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acobt\Documents\TY 2024\Valuation\Models\Inventory\"/>
    </mc:Choice>
  </mc:AlternateContent>
  <xr:revisionPtr revIDLastSave="0" documentId="13_ncr:1_{259C52C9-6F43-4494-8AA3-4239E53F0EA9}" xr6:coauthVersionLast="47" xr6:coauthVersionMax="47" xr10:uidLastSave="{00000000-0000-0000-0000-000000000000}"/>
  <bookViews>
    <workbookView xWindow="-34515" yWindow="2430" windowWidth="28800" windowHeight="15345" xr2:uid="{DC408183-9766-4C18-A5A3-6E4A108CC14F}"/>
  </bookViews>
  <sheets>
    <sheet name="Sales Data" sheetId="1" r:id="rId1"/>
    <sheet name="Lookups" sheetId="2" r:id="rId2"/>
    <sheet name="Pivot Tabels" sheetId="3" r:id="rId3"/>
    <sheet name="Inventory" sheetId="4" r:id="rId4"/>
  </sheets>
  <calcPr calcId="191029"/>
  <pivotCaches>
    <pivotCache cacheId="1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73" i="1" l="1"/>
  <c r="CH63" i="1" l="1"/>
  <c r="CH65" i="1"/>
  <c r="CH64" i="1"/>
  <c r="L1233" i="4"/>
  <c r="R1233" i="4"/>
  <c r="L1234" i="4"/>
  <c r="R1234" i="4" s="1"/>
  <c r="L1235" i="4"/>
  <c r="R1235" i="4" s="1"/>
  <c r="L1236" i="4"/>
  <c r="R1236" i="4" s="1"/>
  <c r="L1237" i="4"/>
  <c r="R1237" i="4" s="1"/>
  <c r="L1238" i="4"/>
  <c r="R1238" i="4"/>
  <c r="L1239" i="4"/>
  <c r="R1239" i="4" s="1"/>
  <c r="L1240" i="4"/>
  <c r="R1240" i="4" s="1"/>
  <c r="L1241" i="4"/>
  <c r="R1241" i="4" s="1"/>
  <c r="L1242" i="4"/>
  <c r="R1242" i="4"/>
  <c r="L1243" i="4"/>
  <c r="R1243" i="4" s="1"/>
  <c r="L1244" i="4"/>
  <c r="R1244" i="4" s="1"/>
  <c r="L1245" i="4"/>
  <c r="R1245" i="4"/>
  <c r="L1246" i="4"/>
  <c r="R1246" i="4" s="1"/>
  <c r="L1247" i="4"/>
  <c r="R1247" i="4" s="1"/>
  <c r="L1248" i="4"/>
  <c r="R1248" i="4"/>
  <c r="L1249" i="4"/>
  <c r="R1249" i="4" s="1"/>
  <c r="L1250" i="4"/>
  <c r="R1250" i="4"/>
  <c r="L1251" i="4"/>
  <c r="R1251" i="4" s="1"/>
  <c r="L1252" i="4"/>
  <c r="R1252" i="4" s="1"/>
  <c r="L1253" i="4"/>
  <c r="R1253" i="4" s="1"/>
  <c r="L1254" i="4"/>
  <c r="R1254" i="4"/>
  <c r="L1255" i="4"/>
  <c r="R1255" i="4" s="1"/>
  <c r="L1256" i="4"/>
  <c r="R1256" i="4"/>
  <c r="L1257" i="4"/>
  <c r="R1257" i="4"/>
  <c r="L1258" i="4"/>
  <c r="R1258" i="4" s="1"/>
  <c r="L1259" i="4"/>
  <c r="R1259" i="4" s="1"/>
  <c r="L1260" i="4"/>
  <c r="R1260" i="4" s="1"/>
  <c r="L1261" i="4"/>
  <c r="R1261" i="4" s="1"/>
  <c r="L1262" i="4"/>
  <c r="R1262" i="4"/>
  <c r="L1263" i="4"/>
  <c r="R1263" i="4" s="1"/>
  <c r="L1264" i="4"/>
  <c r="R1264" i="4" s="1"/>
  <c r="L1265" i="4"/>
  <c r="R1265" i="4" s="1"/>
  <c r="L1266" i="4"/>
  <c r="R1266" i="4"/>
  <c r="L1267" i="4"/>
  <c r="R1267" i="4" s="1"/>
  <c r="L1268" i="4"/>
  <c r="R1268" i="4" s="1"/>
  <c r="L1269" i="4"/>
  <c r="R1269" i="4" s="1"/>
  <c r="L1270" i="4"/>
  <c r="R1270" i="4" s="1"/>
  <c r="L1271" i="4"/>
  <c r="R1271" i="4" s="1"/>
  <c r="L1272" i="4"/>
  <c r="R1272" i="4" s="1"/>
  <c r="L1273" i="4"/>
  <c r="R1273" i="4" s="1"/>
  <c r="L1274" i="4"/>
  <c r="R1274" i="4"/>
  <c r="L1275" i="4"/>
  <c r="R1275" i="4" s="1"/>
  <c r="L1276" i="4"/>
  <c r="R1276" i="4" s="1"/>
  <c r="L1277" i="4"/>
  <c r="R1277" i="4" s="1"/>
  <c r="L1278" i="4"/>
  <c r="R1278" i="4" s="1"/>
  <c r="L1279" i="4"/>
  <c r="R1279" i="4" s="1"/>
  <c r="L1280" i="4"/>
  <c r="R1280" i="4"/>
  <c r="L1281" i="4"/>
  <c r="R1281" i="4" s="1"/>
  <c r="L1282" i="4"/>
  <c r="R1282" i="4" s="1"/>
  <c r="L1283" i="4"/>
  <c r="R1283" i="4" s="1"/>
  <c r="L1284" i="4"/>
  <c r="R1284" i="4" s="1"/>
  <c r="L1285" i="4"/>
  <c r="R1285" i="4" s="1"/>
  <c r="L1286" i="4"/>
  <c r="R1286" i="4"/>
  <c r="L1287" i="4"/>
  <c r="R1287" i="4" s="1"/>
  <c r="L1288" i="4"/>
  <c r="R1288" i="4" s="1"/>
  <c r="L1289" i="4"/>
  <c r="R1289" i="4" s="1"/>
  <c r="L1290" i="4"/>
  <c r="R1290" i="4" s="1"/>
  <c r="L1291" i="4"/>
  <c r="R1291" i="4" s="1"/>
  <c r="L1292" i="4"/>
  <c r="R1292" i="4"/>
  <c r="L1293" i="4"/>
  <c r="R1293" i="4" s="1"/>
  <c r="L1294" i="4"/>
  <c r="R1294" i="4" s="1"/>
  <c r="L1295" i="4"/>
  <c r="R1295" i="4" s="1"/>
  <c r="L1296" i="4"/>
  <c r="R1296" i="4" s="1"/>
  <c r="L1297" i="4"/>
  <c r="R1297" i="4" s="1"/>
  <c r="L1298" i="4"/>
  <c r="R1298" i="4" s="1"/>
  <c r="L1299" i="4"/>
  <c r="R1299" i="4" s="1"/>
  <c r="L1300" i="4"/>
  <c r="R1300" i="4" s="1"/>
  <c r="L1301" i="4"/>
  <c r="R1301" i="4" s="1"/>
  <c r="L1302" i="4"/>
  <c r="R1302" i="4" s="1"/>
  <c r="L1303" i="4"/>
  <c r="R1303" i="4" s="1"/>
  <c r="L1304" i="4"/>
  <c r="R1304" i="4" s="1"/>
  <c r="L1305" i="4"/>
  <c r="R1305" i="4" s="1"/>
  <c r="L1306" i="4"/>
  <c r="R1306" i="4" s="1"/>
  <c r="L1307" i="4"/>
  <c r="R1307" i="4" s="1"/>
  <c r="L1308" i="4"/>
  <c r="R1308" i="4" s="1"/>
  <c r="L1309" i="4"/>
  <c r="R1309" i="4" s="1"/>
  <c r="L1310" i="4"/>
  <c r="R1310" i="4" s="1"/>
  <c r="L1311" i="4"/>
  <c r="R1311" i="4" s="1"/>
  <c r="L1312" i="4"/>
  <c r="R1312" i="4" s="1"/>
  <c r="L1313" i="4"/>
  <c r="R1313" i="4" s="1"/>
  <c r="L1314" i="4"/>
  <c r="R1314" i="4" s="1"/>
  <c r="L1315" i="4"/>
  <c r="R1315" i="4" s="1"/>
  <c r="L1316" i="4"/>
  <c r="R1316" i="4" s="1"/>
  <c r="L1317" i="4"/>
  <c r="R1317" i="4" s="1"/>
  <c r="L1318" i="4"/>
  <c r="R1318" i="4" s="1"/>
  <c r="L1319" i="4"/>
  <c r="R1319" i="4" s="1"/>
  <c r="L1320" i="4"/>
  <c r="R1320" i="4" s="1"/>
  <c r="L1321" i="4"/>
  <c r="R1321" i="4" s="1"/>
  <c r="L1322" i="4"/>
  <c r="R1322" i="4"/>
  <c r="L1323" i="4"/>
  <c r="R1323" i="4" s="1"/>
  <c r="L1324" i="4"/>
  <c r="R1324" i="4" s="1"/>
  <c r="L1325" i="4"/>
  <c r="R1325" i="4" s="1"/>
  <c r="L1326" i="4"/>
  <c r="R1326" i="4" s="1"/>
  <c r="L1327" i="4"/>
  <c r="R1327" i="4" s="1"/>
  <c r="L1328" i="4"/>
  <c r="R1328" i="4"/>
  <c r="L1329" i="4"/>
  <c r="R1329" i="4" s="1"/>
  <c r="L1330" i="4"/>
  <c r="R1330" i="4" s="1"/>
  <c r="L1331" i="4"/>
  <c r="R1331" i="4" s="1"/>
  <c r="L1332" i="4"/>
  <c r="R1332" i="4" s="1"/>
  <c r="L1333" i="4"/>
  <c r="R1333" i="4" s="1"/>
  <c r="L1334" i="4"/>
  <c r="R1334" i="4" s="1"/>
  <c r="L1335" i="4"/>
  <c r="R1335" i="4" s="1"/>
  <c r="L1336" i="4"/>
  <c r="R1336" i="4" s="1"/>
  <c r="L1337" i="4"/>
  <c r="R1337" i="4" s="1"/>
  <c r="L1338" i="4"/>
  <c r="R1338" i="4" s="1"/>
  <c r="L1339" i="4"/>
  <c r="R1339" i="4" s="1"/>
  <c r="L1340" i="4"/>
  <c r="R1340" i="4" s="1"/>
  <c r="L1341" i="4"/>
  <c r="R1341" i="4" s="1"/>
  <c r="L1342" i="4"/>
  <c r="R1342" i="4" s="1"/>
  <c r="L1343" i="4"/>
  <c r="R1343" i="4" s="1"/>
  <c r="L1344" i="4"/>
  <c r="R1344" i="4" s="1"/>
  <c r="L1345" i="4"/>
  <c r="R1345" i="4" s="1"/>
  <c r="L2" i="4"/>
  <c r="R2" i="4" s="1"/>
  <c r="L3" i="4"/>
  <c r="R3" i="4" s="1"/>
  <c r="L4" i="4"/>
  <c r="R4" i="4" s="1"/>
  <c r="L5" i="4"/>
  <c r="R5" i="4" s="1"/>
  <c r="L6" i="4"/>
  <c r="R6" i="4" s="1"/>
  <c r="L7" i="4"/>
  <c r="R7" i="4" s="1"/>
  <c r="L8" i="4"/>
  <c r="R8" i="4" s="1"/>
  <c r="L9" i="4"/>
  <c r="R9" i="4" s="1"/>
  <c r="L10" i="4"/>
  <c r="R10" i="4" s="1"/>
  <c r="L11" i="4"/>
  <c r="R11" i="4" s="1"/>
  <c r="L12" i="4"/>
  <c r="R12" i="4"/>
  <c r="L13" i="4"/>
  <c r="R13" i="4"/>
  <c r="L14" i="4"/>
  <c r="R14" i="4" s="1"/>
  <c r="L15" i="4"/>
  <c r="R15" i="4" s="1"/>
  <c r="L16" i="4"/>
  <c r="R16" i="4" s="1"/>
  <c r="L17" i="4"/>
  <c r="R17" i="4" s="1"/>
  <c r="L18" i="4"/>
  <c r="R18" i="4"/>
  <c r="L19" i="4"/>
  <c r="R19" i="4" s="1"/>
  <c r="L20" i="4"/>
  <c r="R20" i="4" s="1"/>
  <c r="L21" i="4"/>
  <c r="R21" i="4" s="1"/>
  <c r="L22" i="4"/>
  <c r="R22" i="4" s="1"/>
  <c r="L23" i="4"/>
  <c r="R23" i="4" s="1"/>
  <c r="L24" i="4"/>
  <c r="R24" i="4" s="1"/>
  <c r="L25" i="4"/>
  <c r="R25" i="4" s="1"/>
  <c r="L26" i="4"/>
  <c r="R26" i="4" s="1"/>
  <c r="L27" i="4"/>
  <c r="R27" i="4" s="1"/>
  <c r="L28" i="4"/>
  <c r="R28" i="4" s="1"/>
  <c r="L29" i="4"/>
  <c r="R29" i="4" s="1"/>
  <c r="L30" i="4"/>
  <c r="R30" i="4" s="1"/>
  <c r="L31" i="4"/>
  <c r="R31" i="4" s="1"/>
  <c r="L32" i="4"/>
  <c r="R32" i="4" s="1"/>
  <c r="L33" i="4"/>
  <c r="R33" i="4" s="1"/>
  <c r="L34" i="4"/>
  <c r="R34" i="4" s="1"/>
  <c r="L35" i="4"/>
  <c r="R35" i="4" s="1"/>
  <c r="L36" i="4"/>
  <c r="R36" i="4" s="1"/>
  <c r="L37" i="4"/>
  <c r="R37" i="4"/>
  <c r="L38" i="4"/>
  <c r="R38" i="4" s="1"/>
  <c r="L39" i="4"/>
  <c r="R39" i="4" s="1"/>
  <c r="L40" i="4"/>
  <c r="R40" i="4" s="1"/>
  <c r="L41" i="4"/>
  <c r="R41" i="4" s="1"/>
  <c r="L42" i="4"/>
  <c r="R42" i="4"/>
  <c r="L43" i="4"/>
  <c r="R43" i="4" s="1"/>
  <c r="L44" i="4"/>
  <c r="R44" i="4" s="1"/>
  <c r="L45" i="4"/>
  <c r="R45" i="4" s="1"/>
  <c r="L46" i="4"/>
  <c r="R46" i="4" s="1"/>
  <c r="L47" i="4"/>
  <c r="R47" i="4" s="1"/>
  <c r="L48" i="4"/>
  <c r="R48" i="4" s="1"/>
  <c r="L49" i="4"/>
  <c r="R49" i="4" s="1"/>
  <c r="L50" i="4"/>
  <c r="R50" i="4" s="1"/>
  <c r="L51" i="4"/>
  <c r="R51" i="4" s="1"/>
  <c r="L52" i="4"/>
  <c r="R52" i="4" s="1"/>
  <c r="L53" i="4"/>
  <c r="R53" i="4" s="1"/>
  <c r="L54" i="4"/>
  <c r="R54" i="4" s="1"/>
  <c r="L55" i="4"/>
  <c r="R55" i="4" s="1"/>
  <c r="L56" i="4"/>
  <c r="R56" i="4" s="1"/>
  <c r="L57" i="4"/>
  <c r="R57" i="4" s="1"/>
  <c r="L58" i="4"/>
  <c r="R58" i="4" s="1"/>
  <c r="L59" i="4"/>
  <c r="R59" i="4" s="1"/>
  <c r="L60" i="4"/>
  <c r="R60" i="4" s="1"/>
  <c r="L61" i="4"/>
  <c r="R61" i="4"/>
  <c r="L62" i="4"/>
  <c r="R62" i="4" s="1"/>
  <c r="L63" i="4"/>
  <c r="R63" i="4" s="1"/>
  <c r="L64" i="4"/>
  <c r="R64" i="4" s="1"/>
  <c r="L65" i="4"/>
  <c r="R65" i="4" s="1"/>
  <c r="L66" i="4"/>
  <c r="R66" i="4" s="1"/>
  <c r="L67" i="4"/>
  <c r="R67" i="4" s="1"/>
  <c r="L68" i="4"/>
  <c r="R68" i="4" s="1"/>
  <c r="L69" i="4"/>
  <c r="R69" i="4" s="1"/>
  <c r="L70" i="4"/>
  <c r="R70" i="4" s="1"/>
  <c r="L71" i="4"/>
  <c r="R71" i="4" s="1"/>
  <c r="L72" i="4"/>
  <c r="R72" i="4" s="1"/>
  <c r="L73" i="4"/>
  <c r="R73" i="4" s="1"/>
  <c r="L74" i="4"/>
  <c r="R74" i="4" s="1"/>
  <c r="L75" i="4"/>
  <c r="R75" i="4" s="1"/>
  <c r="L76" i="4"/>
  <c r="R76" i="4" s="1"/>
  <c r="L77" i="4"/>
  <c r="R77" i="4" s="1"/>
  <c r="L78" i="4"/>
  <c r="R78" i="4" s="1"/>
  <c r="L79" i="4"/>
  <c r="R79" i="4"/>
  <c r="L80" i="4"/>
  <c r="R80" i="4" s="1"/>
  <c r="L81" i="4"/>
  <c r="R81" i="4" s="1"/>
  <c r="L82" i="4"/>
  <c r="R82" i="4" s="1"/>
  <c r="L83" i="4"/>
  <c r="R83" i="4" s="1"/>
  <c r="L84" i="4"/>
  <c r="R84" i="4" s="1"/>
  <c r="L85" i="4"/>
  <c r="R85" i="4" s="1"/>
  <c r="L86" i="4"/>
  <c r="R86" i="4" s="1"/>
  <c r="L87" i="4"/>
  <c r="R87" i="4" s="1"/>
  <c r="L88" i="4"/>
  <c r="R88" i="4" s="1"/>
  <c r="L89" i="4"/>
  <c r="R89" i="4" s="1"/>
  <c r="L90" i="4"/>
  <c r="R90" i="4" s="1"/>
  <c r="L91" i="4"/>
  <c r="R91" i="4"/>
  <c r="L92" i="4"/>
  <c r="R92" i="4" s="1"/>
  <c r="L93" i="4"/>
  <c r="R93" i="4" s="1"/>
  <c r="L94" i="4"/>
  <c r="R94" i="4" s="1"/>
  <c r="L95" i="4"/>
  <c r="R95" i="4" s="1"/>
  <c r="L96" i="4"/>
  <c r="R96" i="4" s="1"/>
  <c r="L97" i="4"/>
  <c r="R97" i="4"/>
  <c r="L98" i="4"/>
  <c r="R98" i="4" s="1"/>
  <c r="L99" i="4"/>
  <c r="R99" i="4" s="1"/>
  <c r="L100" i="4"/>
  <c r="R100" i="4" s="1"/>
  <c r="L101" i="4"/>
  <c r="R101" i="4" s="1"/>
  <c r="L102" i="4"/>
  <c r="R102" i="4" s="1"/>
  <c r="L103" i="4"/>
  <c r="R103" i="4" s="1"/>
  <c r="L104" i="4"/>
  <c r="R104" i="4" s="1"/>
  <c r="L105" i="4"/>
  <c r="R105" i="4" s="1"/>
  <c r="L106" i="4"/>
  <c r="R106" i="4" s="1"/>
  <c r="L107" i="4"/>
  <c r="R107" i="4" s="1"/>
  <c r="L108" i="4"/>
  <c r="R108" i="4" s="1"/>
  <c r="L109" i="4"/>
  <c r="R109" i="4" s="1"/>
  <c r="L110" i="4"/>
  <c r="R110" i="4" s="1"/>
  <c r="L111" i="4"/>
  <c r="R111" i="4" s="1"/>
  <c r="L112" i="4"/>
  <c r="R112" i="4" s="1"/>
  <c r="L113" i="4"/>
  <c r="R113" i="4" s="1"/>
  <c r="L114" i="4"/>
  <c r="R114" i="4" s="1"/>
  <c r="L115" i="4"/>
  <c r="R115" i="4"/>
  <c r="L116" i="4"/>
  <c r="R116" i="4" s="1"/>
  <c r="L117" i="4"/>
  <c r="R117" i="4" s="1"/>
  <c r="L118" i="4"/>
  <c r="R118" i="4" s="1"/>
  <c r="L119" i="4"/>
  <c r="R119" i="4" s="1"/>
  <c r="L120" i="4"/>
  <c r="R120" i="4" s="1"/>
  <c r="L121" i="4"/>
  <c r="R121" i="4" s="1"/>
  <c r="L122" i="4"/>
  <c r="R122" i="4" s="1"/>
  <c r="L123" i="4"/>
  <c r="R123" i="4" s="1"/>
  <c r="L124" i="4"/>
  <c r="R124" i="4" s="1"/>
  <c r="L125" i="4"/>
  <c r="R125" i="4" s="1"/>
  <c r="L126" i="4"/>
  <c r="R126" i="4" s="1"/>
  <c r="L127" i="4"/>
  <c r="R127" i="4" s="1"/>
  <c r="L128" i="4"/>
  <c r="R128" i="4" s="1"/>
  <c r="L129" i="4"/>
  <c r="R129" i="4" s="1"/>
  <c r="L130" i="4"/>
  <c r="R130" i="4" s="1"/>
  <c r="L131" i="4"/>
  <c r="R131" i="4" s="1"/>
  <c r="L132" i="4"/>
  <c r="R132" i="4" s="1"/>
  <c r="L133" i="4"/>
  <c r="R133" i="4"/>
  <c r="L134" i="4"/>
  <c r="R134" i="4" s="1"/>
  <c r="L135" i="4"/>
  <c r="R135" i="4" s="1"/>
  <c r="L136" i="4"/>
  <c r="R136" i="4" s="1"/>
  <c r="L137" i="4"/>
  <c r="R137" i="4" s="1"/>
  <c r="L138" i="4"/>
  <c r="R138" i="4" s="1"/>
  <c r="L139" i="4"/>
  <c r="R139" i="4" s="1"/>
  <c r="L140" i="4"/>
  <c r="R140" i="4" s="1"/>
  <c r="L141" i="4"/>
  <c r="R141" i="4" s="1"/>
  <c r="L142" i="4"/>
  <c r="R142" i="4" s="1"/>
  <c r="L143" i="4"/>
  <c r="R143" i="4" s="1"/>
  <c r="L144" i="4"/>
  <c r="R144" i="4" s="1"/>
  <c r="L145" i="4"/>
  <c r="R145" i="4" s="1"/>
  <c r="L146" i="4"/>
  <c r="R146" i="4" s="1"/>
  <c r="L147" i="4"/>
  <c r="R147" i="4" s="1"/>
  <c r="L148" i="4"/>
  <c r="R148" i="4" s="1"/>
  <c r="L149" i="4"/>
  <c r="R149" i="4" s="1"/>
  <c r="L150" i="4"/>
  <c r="R150" i="4" s="1"/>
  <c r="L151" i="4"/>
  <c r="R151" i="4"/>
  <c r="L152" i="4"/>
  <c r="R152" i="4" s="1"/>
  <c r="L153" i="4"/>
  <c r="R153" i="4" s="1"/>
  <c r="L154" i="4"/>
  <c r="R154" i="4" s="1"/>
  <c r="L155" i="4"/>
  <c r="R155" i="4" s="1"/>
  <c r="L156" i="4"/>
  <c r="R156" i="4" s="1"/>
  <c r="L157" i="4"/>
  <c r="R157" i="4" s="1"/>
  <c r="L158" i="4"/>
  <c r="R158" i="4" s="1"/>
  <c r="L159" i="4"/>
  <c r="R159" i="4" s="1"/>
  <c r="L160" i="4"/>
  <c r="R160" i="4" s="1"/>
  <c r="L161" i="4"/>
  <c r="R161" i="4" s="1"/>
  <c r="L162" i="4"/>
  <c r="R162" i="4" s="1"/>
  <c r="L163" i="4"/>
  <c r="R163" i="4"/>
  <c r="L164" i="4"/>
  <c r="R164" i="4" s="1"/>
  <c r="L165" i="4"/>
  <c r="R165" i="4" s="1"/>
  <c r="L166" i="4"/>
  <c r="R166" i="4" s="1"/>
  <c r="L167" i="4"/>
  <c r="R167" i="4" s="1"/>
  <c r="L168" i="4"/>
  <c r="R168" i="4" s="1"/>
  <c r="L169" i="4"/>
  <c r="R169" i="4"/>
  <c r="L170" i="4"/>
  <c r="R170" i="4" s="1"/>
  <c r="L171" i="4"/>
  <c r="R171" i="4" s="1"/>
  <c r="L172" i="4"/>
  <c r="R172" i="4" s="1"/>
  <c r="L173" i="4"/>
  <c r="R173" i="4" s="1"/>
  <c r="L174" i="4"/>
  <c r="R174" i="4" s="1"/>
  <c r="L175" i="4"/>
  <c r="R175" i="4" s="1"/>
  <c r="L176" i="4"/>
  <c r="R176" i="4" s="1"/>
  <c r="L177" i="4"/>
  <c r="R177" i="4" s="1"/>
  <c r="L178" i="4"/>
  <c r="R178" i="4" s="1"/>
  <c r="L179" i="4"/>
  <c r="R179" i="4" s="1"/>
  <c r="L180" i="4"/>
  <c r="R180" i="4" s="1"/>
  <c r="L181" i="4"/>
  <c r="R181" i="4" s="1"/>
  <c r="L182" i="4"/>
  <c r="R182" i="4" s="1"/>
  <c r="L183" i="4"/>
  <c r="R183" i="4" s="1"/>
  <c r="L184" i="4"/>
  <c r="R184" i="4" s="1"/>
  <c r="L185" i="4"/>
  <c r="R185" i="4" s="1"/>
  <c r="L186" i="4"/>
  <c r="R186" i="4" s="1"/>
  <c r="L187" i="4"/>
  <c r="R187" i="4" s="1"/>
  <c r="L188" i="4"/>
  <c r="R188" i="4" s="1"/>
  <c r="L189" i="4"/>
  <c r="R189" i="4" s="1"/>
  <c r="L190" i="4"/>
  <c r="R190" i="4" s="1"/>
  <c r="L191" i="4"/>
  <c r="R191" i="4" s="1"/>
  <c r="L192" i="4"/>
  <c r="R192" i="4" s="1"/>
  <c r="L193" i="4"/>
  <c r="R193" i="4" s="1"/>
  <c r="L194" i="4"/>
  <c r="R194" i="4" s="1"/>
  <c r="L195" i="4"/>
  <c r="R195" i="4" s="1"/>
  <c r="L196" i="4"/>
  <c r="R196" i="4" s="1"/>
  <c r="L197" i="4"/>
  <c r="R197" i="4" s="1"/>
  <c r="L198" i="4"/>
  <c r="R198" i="4" s="1"/>
  <c r="L199" i="4"/>
  <c r="R199" i="4" s="1"/>
  <c r="L200" i="4"/>
  <c r="R200" i="4" s="1"/>
  <c r="L201" i="4"/>
  <c r="R201" i="4" s="1"/>
  <c r="L202" i="4"/>
  <c r="R202" i="4" s="1"/>
  <c r="L203" i="4"/>
  <c r="R203" i="4" s="1"/>
  <c r="L204" i="4"/>
  <c r="R204" i="4" s="1"/>
  <c r="L205" i="4"/>
  <c r="R205" i="4"/>
  <c r="L206" i="4"/>
  <c r="R206" i="4" s="1"/>
  <c r="L207" i="4"/>
  <c r="R207" i="4" s="1"/>
  <c r="L208" i="4"/>
  <c r="R208" i="4" s="1"/>
  <c r="L209" i="4"/>
  <c r="R209" i="4" s="1"/>
  <c r="L210" i="4"/>
  <c r="R210" i="4" s="1"/>
  <c r="L211" i="4"/>
  <c r="R211" i="4" s="1"/>
  <c r="L212" i="4"/>
  <c r="R212" i="4" s="1"/>
  <c r="L213" i="4"/>
  <c r="R213" i="4" s="1"/>
  <c r="L214" i="4"/>
  <c r="R214" i="4" s="1"/>
  <c r="L215" i="4"/>
  <c r="R215" i="4" s="1"/>
  <c r="L216" i="4"/>
  <c r="R216" i="4" s="1"/>
  <c r="L217" i="4"/>
  <c r="R217" i="4" s="1"/>
  <c r="L218" i="4"/>
  <c r="R218" i="4" s="1"/>
  <c r="L219" i="4"/>
  <c r="R219" i="4" s="1"/>
  <c r="L220" i="4"/>
  <c r="R220" i="4" s="1"/>
  <c r="L221" i="4"/>
  <c r="R221" i="4" s="1"/>
  <c r="L222" i="4"/>
  <c r="R222" i="4" s="1"/>
  <c r="L223" i="4"/>
  <c r="R223" i="4"/>
  <c r="L224" i="4"/>
  <c r="R224" i="4" s="1"/>
  <c r="L225" i="4"/>
  <c r="R225" i="4" s="1"/>
  <c r="L226" i="4"/>
  <c r="R226" i="4" s="1"/>
  <c r="L227" i="4"/>
  <c r="R227" i="4" s="1"/>
  <c r="L228" i="4"/>
  <c r="R228" i="4" s="1"/>
  <c r="L229" i="4"/>
  <c r="R229" i="4" s="1"/>
  <c r="L230" i="4"/>
  <c r="R230" i="4" s="1"/>
  <c r="L231" i="4"/>
  <c r="R231" i="4" s="1"/>
  <c r="L232" i="4"/>
  <c r="R232" i="4" s="1"/>
  <c r="L233" i="4"/>
  <c r="R233" i="4" s="1"/>
  <c r="L234" i="4"/>
  <c r="R234" i="4" s="1"/>
  <c r="L235" i="4"/>
  <c r="R235" i="4"/>
  <c r="L236" i="4"/>
  <c r="R236" i="4" s="1"/>
  <c r="L237" i="4"/>
  <c r="R237" i="4" s="1"/>
  <c r="L238" i="4"/>
  <c r="R238" i="4" s="1"/>
  <c r="L239" i="4"/>
  <c r="R239" i="4" s="1"/>
  <c r="L240" i="4"/>
  <c r="R240" i="4" s="1"/>
  <c r="L241" i="4"/>
  <c r="R241" i="4"/>
  <c r="L242" i="4"/>
  <c r="R242" i="4" s="1"/>
  <c r="L243" i="4"/>
  <c r="R243" i="4" s="1"/>
  <c r="L244" i="4"/>
  <c r="R244" i="4" s="1"/>
  <c r="L245" i="4"/>
  <c r="R245" i="4" s="1"/>
  <c r="L246" i="4"/>
  <c r="R246" i="4" s="1"/>
  <c r="L247" i="4"/>
  <c r="R247" i="4" s="1"/>
  <c r="L248" i="4"/>
  <c r="R248" i="4" s="1"/>
  <c r="L249" i="4"/>
  <c r="R249" i="4" s="1"/>
  <c r="L250" i="4"/>
  <c r="R250" i="4" s="1"/>
  <c r="L251" i="4"/>
  <c r="R251" i="4" s="1"/>
  <c r="L252" i="4"/>
  <c r="R252" i="4" s="1"/>
  <c r="L253" i="4"/>
  <c r="R253" i="4" s="1"/>
  <c r="L254" i="4"/>
  <c r="R254" i="4" s="1"/>
  <c r="L255" i="4"/>
  <c r="R255" i="4" s="1"/>
  <c r="L256" i="4"/>
  <c r="R256" i="4" s="1"/>
  <c r="L257" i="4"/>
  <c r="R257" i="4" s="1"/>
  <c r="L258" i="4"/>
  <c r="R258" i="4" s="1"/>
  <c r="L259" i="4"/>
  <c r="R259" i="4" s="1"/>
  <c r="L260" i="4"/>
  <c r="R260" i="4" s="1"/>
  <c r="L261" i="4"/>
  <c r="R261" i="4" s="1"/>
  <c r="L262" i="4"/>
  <c r="R262" i="4" s="1"/>
  <c r="L263" i="4"/>
  <c r="R263" i="4" s="1"/>
  <c r="L264" i="4"/>
  <c r="R264" i="4" s="1"/>
  <c r="L265" i="4"/>
  <c r="R265" i="4" s="1"/>
  <c r="L266" i="4"/>
  <c r="R266" i="4" s="1"/>
  <c r="L267" i="4"/>
  <c r="R267" i="4" s="1"/>
  <c r="L268" i="4"/>
  <c r="R268" i="4" s="1"/>
  <c r="L269" i="4"/>
  <c r="R269" i="4" s="1"/>
  <c r="L270" i="4"/>
  <c r="R270" i="4" s="1"/>
  <c r="L271" i="4"/>
  <c r="R271" i="4" s="1"/>
  <c r="L272" i="4"/>
  <c r="R272" i="4" s="1"/>
  <c r="L273" i="4"/>
  <c r="R273" i="4" s="1"/>
  <c r="L274" i="4"/>
  <c r="R274" i="4" s="1"/>
  <c r="L275" i="4"/>
  <c r="R275" i="4" s="1"/>
  <c r="L276" i="4"/>
  <c r="R276" i="4" s="1"/>
  <c r="L277" i="4"/>
  <c r="R277" i="4" s="1"/>
  <c r="L278" i="4"/>
  <c r="R278" i="4" s="1"/>
  <c r="L279" i="4"/>
  <c r="R279" i="4" s="1"/>
  <c r="L280" i="4"/>
  <c r="R280" i="4" s="1"/>
  <c r="L281" i="4"/>
  <c r="R281" i="4" s="1"/>
  <c r="L282" i="4"/>
  <c r="R282" i="4" s="1"/>
  <c r="L283" i="4"/>
  <c r="R283" i="4"/>
  <c r="L284" i="4"/>
  <c r="R284" i="4"/>
  <c r="L285" i="4"/>
  <c r="R285" i="4" s="1"/>
  <c r="L286" i="4"/>
  <c r="R286" i="4" s="1"/>
  <c r="L287" i="4"/>
  <c r="R287" i="4" s="1"/>
  <c r="L288" i="4"/>
  <c r="R288" i="4" s="1"/>
  <c r="L289" i="4"/>
  <c r="R289" i="4" s="1"/>
  <c r="L290" i="4"/>
  <c r="R290" i="4" s="1"/>
  <c r="L291" i="4"/>
  <c r="R291" i="4" s="1"/>
  <c r="L292" i="4"/>
  <c r="R292" i="4" s="1"/>
  <c r="L293" i="4"/>
  <c r="R293" i="4" s="1"/>
  <c r="L294" i="4"/>
  <c r="R294" i="4" s="1"/>
  <c r="L295" i="4"/>
  <c r="R295" i="4" s="1"/>
  <c r="L296" i="4"/>
  <c r="R296" i="4"/>
  <c r="L297" i="4"/>
  <c r="R297" i="4" s="1"/>
  <c r="L298" i="4"/>
  <c r="R298" i="4" s="1"/>
  <c r="L299" i="4"/>
  <c r="R299" i="4" s="1"/>
  <c r="L300" i="4"/>
  <c r="R300" i="4" s="1"/>
  <c r="L301" i="4"/>
  <c r="R301" i="4" s="1"/>
  <c r="L302" i="4"/>
  <c r="R302" i="4" s="1"/>
  <c r="L303" i="4"/>
  <c r="R303" i="4" s="1"/>
  <c r="L304" i="4"/>
  <c r="R304" i="4" s="1"/>
  <c r="L305" i="4"/>
  <c r="R305" i="4" s="1"/>
  <c r="L306" i="4"/>
  <c r="R306" i="4" s="1"/>
  <c r="L307" i="4"/>
  <c r="R307" i="4" s="1"/>
  <c r="L308" i="4"/>
  <c r="R308" i="4" s="1"/>
  <c r="L309" i="4"/>
  <c r="R309" i="4" s="1"/>
  <c r="L310" i="4"/>
  <c r="R310" i="4" s="1"/>
  <c r="L311" i="4"/>
  <c r="R311" i="4" s="1"/>
  <c r="L312" i="4"/>
  <c r="R312" i="4" s="1"/>
  <c r="L313" i="4"/>
  <c r="R313" i="4" s="1"/>
  <c r="L314" i="4"/>
  <c r="R314" i="4" s="1"/>
  <c r="L315" i="4"/>
  <c r="R315" i="4" s="1"/>
  <c r="L316" i="4"/>
  <c r="R316" i="4" s="1"/>
  <c r="L317" i="4"/>
  <c r="R317" i="4" s="1"/>
  <c r="L318" i="4"/>
  <c r="R318" i="4" s="1"/>
  <c r="L319" i="4"/>
  <c r="R319" i="4" s="1"/>
  <c r="L320" i="4"/>
  <c r="R320" i="4" s="1"/>
  <c r="L321" i="4"/>
  <c r="R321" i="4" s="1"/>
  <c r="L322" i="4"/>
  <c r="R322" i="4" s="1"/>
  <c r="L323" i="4"/>
  <c r="R323" i="4" s="1"/>
  <c r="L324" i="4"/>
  <c r="R324" i="4" s="1"/>
  <c r="L325" i="4"/>
  <c r="R325" i="4" s="1"/>
  <c r="L326" i="4"/>
  <c r="R326" i="4" s="1"/>
  <c r="L327" i="4"/>
  <c r="R327" i="4" s="1"/>
  <c r="L328" i="4"/>
  <c r="R328" i="4" s="1"/>
  <c r="L329" i="4"/>
  <c r="R329" i="4" s="1"/>
  <c r="L330" i="4"/>
  <c r="R330" i="4" s="1"/>
  <c r="L331" i="4"/>
  <c r="R331" i="4" s="1"/>
  <c r="L332" i="4"/>
  <c r="R332" i="4" s="1"/>
  <c r="L333" i="4"/>
  <c r="R333" i="4" s="1"/>
  <c r="L334" i="4"/>
  <c r="R334" i="4" s="1"/>
  <c r="L335" i="4"/>
  <c r="R335" i="4" s="1"/>
  <c r="L336" i="4"/>
  <c r="R336" i="4" s="1"/>
  <c r="L337" i="4"/>
  <c r="R337" i="4" s="1"/>
  <c r="L338" i="4"/>
  <c r="R338" i="4" s="1"/>
  <c r="L339" i="4"/>
  <c r="R339" i="4" s="1"/>
  <c r="L340" i="4"/>
  <c r="R340" i="4" s="1"/>
  <c r="L341" i="4"/>
  <c r="R341" i="4" s="1"/>
  <c r="L342" i="4"/>
  <c r="R342" i="4" s="1"/>
  <c r="L343" i="4"/>
  <c r="R343" i="4" s="1"/>
  <c r="L344" i="4"/>
  <c r="R344" i="4" s="1"/>
  <c r="L345" i="4"/>
  <c r="R345" i="4" s="1"/>
  <c r="L346" i="4"/>
  <c r="R346" i="4" s="1"/>
  <c r="L347" i="4"/>
  <c r="R347" i="4" s="1"/>
  <c r="L348" i="4"/>
  <c r="R348" i="4" s="1"/>
  <c r="L349" i="4"/>
  <c r="R349" i="4" s="1"/>
  <c r="L350" i="4"/>
  <c r="R350" i="4" s="1"/>
  <c r="L351" i="4"/>
  <c r="R351" i="4" s="1"/>
  <c r="L352" i="4"/>
  <c r="R352" i="4" s="1"/>
  <c r="L353" i="4"/>
  <c r="R353" i="4" s="1"/>
  <c r="L354" i="4"/>
  <c r="R354" i="4" s="1"/>
  <c r="L355" i="4"/>
  <c r="R355" i="4" s="1"/>
  <c r="L356" i="4"/>
  <c r="R356" i="4" s="1"/>
  <c r="L357" i="4"/>
  <c r="R357" i="4" s="1"/>
  <c r="L358" i="4"/>
  <c r="R358" i="4" s="1"/>
  <c r="L359" i="4"/>
  <c r="R359" i="4" s="1"/>
  <c r="L360" i="4"/>
  <c r="R360" i="4" s="1"/>
  <c r="L361" i="4"/>
  <c r="R361" i="4" s="1"/>
  <c r="L362" i="4"/>
  <c r="R362" i="4" s="1"/>
  <c r="L363" i="4"/>
  <c r="R363" i="4" s="1"/>
  <c r="L364" i="4"/>
  <c r="R364" i="4" s="1"/>
  <c r="L365" i="4"/>
  <c r="R365" i="4" s="1"/>
  <c r="L366" i="4"/>
  <c r="R366" i="4" s="1"/>
  <c r="L367" i="4"/>
  <c r="R367" i="4" s="1"/>
  <c r="L368" i="4"/>
  <c r="R368" i="4"/>
  <c r="L369" i="4"/>
  <c r="R369" i="4" s="1"/>
  <c r="L370" i="4"/>
  <c r="R370" i="4" s="1"/>
  <c r="L371" i="4"/>
  <c r="R371" i="4" s="1"/>
  <c r="L372" i="4"/>
  <c r="R372" i="4" s="1"/>
  <c r="L373" i="4"/>
  <c r="R373" i="4" s="1"/>
  <c r="L374" i="4"/>
  <c r="R374" i="4"/>
  <c r="L375" i="4"/>
  <c r="R375" i="4" s="1"/>
  <c r="L376" i="4"/>
  <c r="R376" i="4" s="1"/>
  <c r="L377" i="4"/>
  <c r="R377" i="4" s="1"/>
  <c r="L378" i="4"/>
  <c r="R378" i="4" s="1"/>
  <c r="L379" i="4"/>
  <c r="R379" i="4" s="1"/>
  <c r="L380" i="4"/>
  <c r="R380" i="4"/>
  <c r="L381" i="4"/>
  <c r="R381" i="4" s="1"/>
  <c r="L382" i="4"/>
  <c r="R382" i="4" s="1"/>
  <c r="L383" i="4"/>
  <c r="R383" i="4" s="1"/>
  <c r="L384" i="4"/>
  <c r="R384" i="4" s="1"/>
  <c r="L385" i="4"/>
  <c r="R385" i="4" s="1"/>
  <c r="L386" i="4"/>
  <c r="R386" i="4" s="1"/>
  <c r="L387" i="4"/>
  <c r="R387" i="4" s="1"/>
  <c r="L388" i="4"/>
  <c r="R388" i="4" s="1"/>
  <c r="L389" i="4"/>
  <c r="R389" i="4" s="1"/>
  <c r="L390" i="4"/>
  <c r="R390" i="4" s="1"/>
  <c r="L391" i="4"/>
  <c r="R391" i="4" s="1"/>
  <c r="L392" i="4"/>
  <c r="R392" i="4" s="1"/>
  <c r="L393" i="4"/>
  <c r="R393" i="4" s="1"/>
  <c r="L394" i="4"/>
  <c r="R394" i="4" s="1"/>
  <c r="L395" i="4"/>
  <c r="R395" i="4" s="1"/>
  <c r="L396" i="4"/>
  <c r="R396" i="4" s="1"/>
  <c r="L397" i="4"/>
  <c r="R397" i="4" s="1"/>
  <c r="L398" i="4"/>
  <c r="R398" i="4"/>
  <c r="L399" i="4"/>
  <c r="R399" i="4" s="1"/>
  <c r="L400" i="4"/>
  <c r="R400" i="4" s="1"/>
  <c r="L401" i="4"/>
  <c r="R401" i="4" s="1"/>
  <c r="L402" i="4"/>
  <c r="R402" i="4" s="1"/>
  <c r="L403" i="4"/>
  <c r="R403" i="4" s="1"/>
  <c r="L404" i="4"/>
  <c r="R404" i="4" s="1"/>
  <c r="L405" i="4"/>
  <c r="R405" i="4" s="1"/>
  <c r="L406" i="4"/>
  <c r="R406" i="4" s="1"/>
  <c r="L407" i="4"/>
  <c r="R407" i="4" s="1"/>
  <c r="L408" i="4"/>
  <c r="R408" i="4" s="1"/>
  <c r="L409" i="4"/>
  <c r="R409" i="4" s="1"/>
  <c r="L410" i="4"/>
  <c r="R410" i="4" s="1"/>
  <c r="L411" i="4"/>
  <c r="R411" i="4" s="1"/>
  <c r="L412" i="4"/>
  <c r="R412" i="4" s="1"/>
  <c r="L413" i="4"/>
  <c r="R413" i="4" s="1"/>
  <c r="L414" i="4"/>
  <c r="R414" i="4" s="1"/>
  <c r="L415" i="4"/>
  <c r="R415" i="4" s="1"/>
  <c r="L416" i="4"/>
  <c r="R416" i="4" s="1"/>
  <c r="L417" i="4"/>
  <c r="R417" i="4" s="1"/>
  <c r="L418" i="4"/>
  <c r="R418" i="4" s="1"/>
  <c r="L419" i="4"/>
  <c r="R419" i="4" s="1"/>
  <c r="L420" i="4"/>
  <c r="R420" i="4" s="1"/>
  <c r="L421" i="4"/>
  <c r="R421" i="4" s="1"/>
  <c r="L422" i="4"/>
  <c r="R422" i="4" s="1"/>
  <c r="L423" i="4"/>
  <c r="R423" i="4" s="1"/>
  <c r="L424" i="4"/>
  <c r="R424" i="4" s="1"/>
  <c r="L425" i="4"/>
  <c r="R425" i="4" s="1"/>
  <c r="L426" i="4"/>
  <c r="R426" i="4" s="1"/>
  <c r="L427" i="4"/>
  <c r="R427" i="4" s="1"/>
  <c r="L428" i="4"/>
  <c r="R428" i="4" s="1"/>
  <c r="L429" i="4"/>
  <c r="R429" i="4" s="1"/>
  <c r="L430" i="4"/>
  <c r="R430" i="4" s="1"/>
  <c r="L431" i="4"/>
  <c r="R431" i="4" s="1"/>
  <c r="L432" i="4"/>
  <c r="R432" i="4" s="1"/>
  <c r="L433" i="4"/>
  <c r="R433" i="4" s="1"/>
  <c r="L434" i="4"/>
  <c r="R434" i="4" s="1"/>
  <c r="L435" i="4"/>
  <c r="R435" i="4" s="1"/>
  <c r="L436" i="4"/>
  <c r="R436" i="4" s="1"/>
  <c r="L437" i="4"/>
  <c r="R437" i="4" s="1"/>
  <c r="L438" i="4"/>
  <c r="R438" i="4" s="1"/>
  <c r="L439" i="4"/>
  <c r="R439" i="4" s="1"/>
  <c r="L440" i="4"/>
  <c r="R440" i="4" s="1"/>
  <c r="L441" i="4"/>
  <c r="R441" i="4" s="1"/>
  <c r="L442" i="4"/>
  <c r="R442" i="4" s="1"/>
  <c r="L443" i="4"/>
  <c r="R443" i="4" s="1"/>
  <c r="L444" i="4"/>
  <c r="R444" i="4" s="1"/>
  <c r="L445" i="4"/>
  <c r="R445" i="4" s="1"/>
  <c r="L446" i="4"/>
  <c r="R446" i="4" s="1"/>
  <c r="L447" i="4"/>
  <c r="R447" i="4" s="1"/>
  <c r="L448" i="4"/>
  <c r="R448" i="4" s="1"/>
  <c r="L449" i="4"/>
  <c r="R449" i="4" s="1"/>
  <c r="L450" i="4"/>
  <c r="R450" i="4" s="1"/>
  <c r="L451" i="4"/>
  <c r="R451" i="4" s="1"/>
  <c r="L452" i="4"/>
  <c r="R452" i="4" s="1"/>
  <c r="L453" i="4"/>
  <c r="R453" i="4" s="1"/>
  <c r="L454" i="4"/>
  <c r="R454" i="4" s="1"/>
  <c r="L455" i="4"/>
  <c r="R455" i="4" s="1"/>
  <c r="L456" i="4"/>
  <c r="R456" i="4" s="1"/>
  <c r="L457" i="4"/>
  <c r="R457" i="4" s="1"/>
  <c r="L458" i="4"/>
  <c r="R458" i="4" s="1"/>
  <c r="L459" i="4"/>
  <c r="R459" i="4" s="1"/>
  <c r="L460" i="4"/>
  <c r="R460" i="4" s="1"/>
  <c r="L461" i="4"/>
  <c r="R461" i="4" s="1"/>
  <c r="L462" i="4"/>
  <c r="R462" i="4" s="1"/>
  <c r="L463" i="4"/>
  <c r="R463" i="4" s="1"/>
  <c r="L464" i="4"/>
  <c r="R464" i="4"/>
  <c r="L465" i="4"/>
  <c r="R465" i="4" s="1"/>
  <c r="L466" i="4"/>
  <c r="R466" i="4" s="1"/>
  <c r="L467" i="4"/>
  <c r="R467" i="4" s="1"/>
  <c r="L468" i="4"/>
  <c r="R468" i="4" s="1"/>
  <c r="L469" i="4"/>
  <c r="R469" i="4" s="1"/>
  <c r="L470" i="4"/>
  <c r="R470" i="4" s="1"/>
  <c r="L471" i="4"/>
  <c r="R471" i="4" s="1"/>
  <c r="L472" i="4"/>
  <c r="R472" i="4" s="1"/>
  <c r="L473" i="4"/>
  <c r="R473" i="4" s="1"/>
  <c r="L474" i="4"/>
  <c r="R474" i="4" s="1"/>
  <c r="L475" i="4"/>
  <c r="R475" i="4" s="1"/>
  <c r="L476" i="4"/>
  <c r="R476" i="4" s="1"/>
  <c r="L477" i="4"/>
  <c r="R477" i="4" s="1"/>
  <c r="L478" i="4"/>
  <c r="R478" i="4" s="1"/>
  <c r="L479" i="4"/>
  <c r="R479" i="4" s="1"/>
  <c r="L480" i="4"/>
  <c r="R480" i="4" s="1"/>
  <c r="L481" i="4"/>
  <c r="R481" i="4" s="1"/>
  <c r="L482" i="4"/>
  <c r="R482" i="4" s="1"/>
  <c r="L483" i="4"/>
  <c r="R483" i="4" s="1"/>
  <c r="L484" i="4"/>
  <c r="R484" i="4" s="1"/>
  <c r="L485" i="4"/>
  <c r="R485" i="4" s="1"/>
  <c r="L486" i="4"/>
  <c r="R486" i="4" s="1"/>
  <c r="L487" i="4"/>
  <c r="R487" i="4" s="1"/>
  <c r="L488" i="4"/>
  <c r="R488" i="4"/>
  <c r="L489" i="4"/>
  <c r="R489" i="4" s="1"/>
  <c r="L490" i="4"/>
  <c r="R490" i="4" s="1"/>
  <c r="L491" i="4"/>
  <c r="R491" i="4" s="1"/>
  <c r="L492" i="4"/>
  <c r="R492" i="4" s="1"/>
  <c r="L493" i="4"/>
  <c r="R493" i="4" s="1"/>
  <c r="L494" i="4"/>
  <c r="R494" i="4" s="1"/>
  <c r="L495" i="4"/>
  <c r="R495" i="4" s="1"/>
  <c r="L496" i="4"/>
  <c r="R496" i="4" s="1"/>
  <c r="L497" i="4"/>
  <c r="R497" i="4" s="1"/>
  <c r="L498" i="4"/>
  <c r="R498" i="4" s="1"/>
  <c r="L499" i="4"/>
  <c r="R499" i="4" s="1"/>
  <c r="L500" i="4"/>
  <c r="R500" i="4" s="1"/>
  <c r="L501" i="4"/>
  <c r="R501" i="4" s="1"/>
  <c r="L502" i="4"/>
  <c r="R502" i="4" s="1"/>
  <c r="L503" i="4"/>
  <c r="R503" i="4" s="1"/>
  <c r="L504" i="4"/>
  <c r="R504" i="4" s="1"/>
  <c r="L505" i="4"/>
  <c r="R505" i="4" s="1"/>
  <c r="L506" i="4"/>
  <c r="R506" i="4" s="1"/>
  <c r="L507" i="4"/>
  <c r="R507" i="4" s="1"/>
  <c r="L508" i="4"/>
  <c r="R508" i="4" s="1"/>
  <c r="L509" i="4"/>
  <c r="R509" i="4" s="1"/>
  <c r="L510" i="4"/>
  <c r="R510" i="4" s="1"/>
  <c r="L511" i="4"/>
  <c r="R511" i="4" s="1"/>
  <c r="L512" i="4"/>
  <c r="R512" i="4" s="1"/>
  <c r="L513" i="4"/>
  <c r="R513" i="4" s="1"/>
  <c r="L514" i="4"/>
  <c r="R514" i="4" s="1"/>
  <c r="L515" i="4"/>
  <c r="R515" i="4" s="1"/>
  <c r="L516" i="4"/>
  <c r="R516" i="4"/>
  <c r="L517" i="4"/>
  <c r="R517" i="4" s="1"/>
  <c r="L518" i="4"/>
  <c r="R518" i="4" s="1"/>
  <c r="L519" i="4"/>
  <c r="R519" i="4" s="1"/>
  <c r="L520" i="4"/>
  <c r="R520" i="4" s="1"/>
  <c r="L521" i="4"/>
  <c r="R521" i="4" s="1"/>
  <c r="L522" i="4"/>
  <c r="R522" i="4" s="1"/>
  <c r="L523" i="4"/>
  <c r="R523" i="4" s="1"/>
  <c r="L524" i="4"/>
  <c r="R524" i="4" s="1"/>
  <c r="L525" i="4"/>
  <c r="R525" i="4" s="1"/>
  <c r="L526" i="4"/>
  <c r="R526" i="4" s="1"/>
  <c r="L527" i="4"/>
  <c r="R527" i="4" s="1"/>
  <c r="L528" i="4"/>
  <c r="R528" i="4"/>
  <c r="L529" i="4"/>
  <c r="R529" i="4" s="1"/>
  <c r="L530" i="4"/>
  <c r="R530" i="4" s="1"/>
  <c r="L531" i="4"/>
  <c r="R531" i="4" s="1"/>
  <c r="L532" i="4"/>
  <c r="R532" i="4" s="1"/>
  <c r="L533" i="4"/>
  <c r="R533" i="4" s="1"/>
  <c r="L534" i="4"/>
  <c r="R534" i="4" s="1"/>
  <c r="L535" i="4"/>
  <c r="R535" i="4" s="1"/>
  <c r="L536" i="4"/>
  <c r="R536" i="4"/>
  <c r="L537" i="4"/>
  <c r="R537" i="4" s="1"/>
  <c r="L538" i="4"/>
  <c r="R538" i="4" s="1"/>
  <c r="L539" i="4"/>
  <c r="R539" i="4" s="1"/>
  <c r="L540" i="4"/>
  <c r="R540" i="4"/>
  <c r="L541" i="4"/>
  <c r="R541" i="4" s="1"/>
  <c r="L542" i="4"/>
  <c r="R542" i="4" s="1"/>
  <c r="L543" i="4"/>
  <c r="R543" i="4" s="1"/>
  <c r="L544" i="4"/>
  <c r="R544" i="4" s="1"/>
  <c r="L545" i="4"/>
  <c r="R545" i="4" s="1"/>
  <c r="L546" i="4"/>
  <c r="R546" i="4" s="1"/>
  <c r="L547" i="4"/>
  <c r="R547" i="4" s="1"/>
  <c r="L548" i="4"/>
  <c r="R548" i="4" s="1"/>
  <c r="L549" i="4"/>
  <c r="R549" i="4" s="1"/>
  <c r="L550" i="4"/>
  <c r="R550" i="4" s="1"/>
  <c r="L551" i="4"/>
  <c r="R551" i="4" s="1"/>
  <c r="L552" i="4"/>
  <c r="R552" i="4"/>
  <c r="L553" i="4"/>
  <c r="R553" i="4" s="1"/>
  <c r="L554" i="4"/>
  <c r="R554" i="4" s="1"/>
  <c r="L555" i="4"/>
  <c r="R555" i="4" s="1"/>
  <c r="L556" i="4"/>
  <c r="R556" i="4" s="1"/>
  <c r="L557" i="4"/>
  <c r="R557" i="4" s="1"/>
  <c r="L558" i="4"/>
  <c r="R558" i="4" s="1"/>
  <c r="L559" i="4"/>
  <c r="R559" i="4" s="1"/>
  <c r="L560" i="4"/>
  <c r="R560" i="4"/>
  <c r="L561" i="4"/>
  <c r="R561" i="4" s="1"/>
  <c r="L562" i="4"/>
  <c r="R562" i="4" s="1"/>
  <c r="L563" i="4"/>
  <c r="R563" i="4" s="1"/>
  <c r="L564" i="4"/>
  <c r="R564" i="4"/>
  <c r="L565" i="4"/>
  <c r="R565" i="4" s="1"/>
  <c r="L566" i="4"/>
  <c r="R566" i="4" s="1"/>
  <c r="L567" i="4"/>
  <c r="R567" i="4" s="1"/>
  <c r="L568" i="4"/>
  <c r="R568" i="4" s="1"/>
  <c r="L569" i="4"/>
  <c r="R569" i="4" s="1"/>
  <c r="L570" i="4"/>
  <c r="R570" i="4"/>
  <c r="L571" i="4"/>
  <c r="R571" i="4" s="1"/>
  <c r="L572" i="4"/>
  <c r="R572" i="4" s="1"/>
  <c r="L573" i="4"/>
  <c r="R573" i="4" s="1"/>
  <c r="L574" i="4"/>
  <c r="R574" i="4" s="1"/>
  <c r="L575" i="4"/>
  <c r="R575" i="4" s="1"/>
  <c r="L576" i="4"/>
  <c r="R576" i="4" s="1"/>
  <c r="L577" i="4"/>
  <c r="R577" i="4" s="1"/>
  <c r="L578" i="4"/>
  <c r="R578" i="4"/>
  <c r="L579" i="4"/>
  <c r="R579" i="4" s="1"/>
  <c r="L580" i="4"/>
  <c r="R580" i="4" s="1"/>
  <c r="L581" i="4"/>
  <c r="R581" i="4" s="1"/>
  <c r="L582" i="4"/>
  <c r="R582" i="4" s="1"/>
  <c r="L583" i="4"/>
  <c r="R583" i="4" s="1"/>
  <c r="L584" i="4"/>
  <c r="R584" i="4" s="1"/>
  <c r="L585" i="4"/>
  <c r="R585" i="4"/>
  <c r="L586" i="4"/>
  <c r="R586" i="4" s="1"/>
  <c r="L587" i="4"/>
  <c r="R587" i="4" s="1"/>
  <c r="L588" i="4"/>
  <c r="R588" i="4" s="1"/>
  <c r="L589" i="4"/>
  <c r="R589" i="4" s="1"/>
  <c r="L590" i="4"/>
  <c r="R590" i="4"/>
  <c r="L591" i="4"/>
  <c r="R591" i="4" s="1"/>
  <c r="L592" i="4"/>
  <c r="R592" i="4" s="1"/>
  <c r="L593" i="4"/>
  <c r="R593" i="4" s="1"/>
  <c r="L594" i="4"/>
  <c r="R594" i="4" s="1"/>
  <c r="L595" i="4"/>
  <c r="R595" i="4" s="1"/>
  <c r="L596" i="4"/>
  <c r="R596" i="4" s="1"/>
  <c r="L597" i="4"/>
  <c r="R597" i="4" s="1"/>
  <c r="L598" i="4"/>
  <c r="R598" i="4" s="1"/>
  <c r="L599" i="4"/>
  <c r="R599" i="4" s="1"/>
  <c r="L600" i="4"/>
  <c r="R600" i="4"/>
  <c r="L601" i="4"/>
  <c r="R601" i="4" s="1"/>
  <c r="L602" i="4"/>
  <c r="R602" i="4"/>
  <c r="L603" i="4"/>
  <c r="R603" i="4" s="1"/>
  <c r="L604" i="4"/>
  <c r="R604" i="4" s="1"/>
  <c r="L605" i="4"/>
  <c r="R605" i="4"/>
  <c r="L606" i="4"/>
  <c r="R606" i="4" s="1"/>
  <c r="L607" i="4"/>
  <c r="R607" i="4" s="1"/>
  <c r="L608" i="4"/>
  <c r="R608" i="4" s="1"/>
  <c r="L609" i="4"/>
  <c r="R609" i="4" s="1"/>
  <c r="L610" i="4"/>
  <c r="R610" i="4" s="1"/>
  <c r="L611" i="4"/>
  <c r="R611" i="4" s="1"/>
  <c r="L612" i="4"/>
  <c r="R612" i="4" s="1"/>
  <c r="L613" i="4"/>
  <c r="R613" i="4" s="1"/>
  <c r="L614" i="4"/>
  <c r="R614" i="4" s="1"/>
  <c r="L615" i="4"/>
  <c r="R615" i="4"/>
  <c r="L616" i="4"/>
  <c r="R616" i="4" s="1"/>
  <c r="L617" i="4"/>
  <c r="R617" i="4" s="1"/>
  <c r="L618" i="4"/>
  <c r="R618" i="4" s="1"/>
  <c r="L619" i="4"/>
  <c r="R619" i="4" s="1"/>
  <c r="L620" i="4"/>
  <c r="R620" i="4"/>
  <c r="L621" i="4"/>
  <c r="R621" i="4" s="1"/>
  <c r="L622" i="4"/>
  <c r="R622" i="4" s="1"/>
  <c r="L623" i="4"/>
  <c r="R623" i="4" s="1"/>
  <c r="L624" i="4"/>
  <c r="R624" i="4" s="1"/>
  <c r="L625" i="4"/>
  <c r="R625" i="4" s="1"/>
  <c r="L626" i="4"/>
  <c r="R626" i="4"/>
  <c r="L627" i="4"/>
  <c r="R627" i="4"/>
  <c r="L628" i="4"/>
  <c r="R628" i="4" s="1"/>
  <c r="L629" i="4"/>
  <c r="R629" i="4" s="1"/>
  <c r="L630" i="4"/>
  <c r="R630" i="4"/>
  <c r="L631" i="4"/>
  <c r="R631" i="4" s="1"/>
  <c r="L632" i="4"/>
  <c r="R632" i="4" s="1"/>
  <c r="L633" i="4"/>
  <c r="R633" i="4" s="1"/>
  <c r="L634" i="4"/>
  <c r="R634" i="4" s="1"/>
  <c r="L635" i="4"/>
  <c r="R635" i="4"/>
  <c r="L636" i="4"/>
  <c r="R636" i="4" s="1"/>
  <c r="L637" i="4"/>
  <c r="R637" i="4" s="1"/>
  <c r="L638" i="4"/>
  <c r="R638" i="4" s="1"/>
  <c r="L639" i="4"/>
  <c r="R639" i="4" s="1"/>
  <c r="L640" i="4"/>
  <c r="R640" i="4" s="1"/>
  <c r="L641" i="4"/>
  <c r="R641" i="4"/>
  <c r="L642" i="4"/>
  <c r="R642" i="4"/>
  <c r="L643" i="4"/>
  <c r="R643" i="4" s="1"/>
  <c r="L644" i="4"/>
  <c r="R644" i="4"/>
  <c r="L645" i="4"/>
  <c r="R645" i="4" s="1"/>
  <c r="L646" i="4"/>
  <c r="R646" i="4" s="1"/>
  <c r="L647" i="4"/>
  <c r="R647" i="4" s="1"/>
  <c r="L648" i="4"/>
  <c r="R648" i="4" s="1"/>
  <c r="L649" i="4"/>
  <c r="R649" i="4" s="1"/>
  <c r="L650" i="4"/>
  <c r="R650" i="4"/>
  <c r="L651" i="4"/>
  <c r="R651" i="4" s="1"/>
  <c r="L652" i="4"/>
  <c r="R652" i="4" s="1"/>
  <c r="L653" i="4"/>
  <c r="R653" i="4" s="1"/>
  <c r="L654" i="4"/>
  <c r="R654" i="4" s="1"/>
  <c r="L655" i="4"/>
  <c r="R655" i="4" s="1"/>
  <c r="L656" i="4"/>
  <c r="R656" i="4"/>
  <c r="L657" i="4"/>
  <c r="R657" i="4" s="1"/>
  <c r="L658" i="4"/>
  <c r="R658" i="4" s="1"/>
  <c r="L659" i="4"/>
  <c r="R659" i="4"/>
  <c r="L660" i="4"/>
  <c r="R660" i="4" s="1"/>
  <c r="L661" i="4"/>
  <c r="R661" i="4" s="1"/>
  <c r="L662" i="4"/>
  <c r="R662" i="4"/>
  <c r="L663" i="4"/>
  <c r="R663" i="4"/>
  <c r="L664" i="4"/>
  <c r="R664" i="4" s="1"/>
  <c r="L665" i="4"/>
  <c r="R665" i="4" s="1"/>
  <c r="L666" i="4"/>
  <c r="R666" i="4" s="1"/>
  <c r="L667" i="4"/>
  <c r="R667" i="4" s="1"/>
  <c r="L668" i="4"/>
  <c r="R668" i="4" s="1"/>
  <c r="L669" i="4"/>
  <c r="R669" i="4" s="1"/>
  <c r="L670" i="4"/>
  <c r="R670" i="4" s="1"/>
  <c r="L671" i="4"/>
  <c r="R671" i="4"/>
  <c r="L672" i="4"/>
  <c r="R672" i="4" s="1"/>
  <c r="L673" i="4"/>
  <c r="R673" i="4" s="1"/>
  <c r="L674" i="4"/>
  <c r="R674" i="4"/>
  <c r="L675" i="4"/>
  <c r="R675" i="4" s="1"/>
  <c r="L676" i="4"/>
  <c r="R676" i="4" s="1"/>
  <c r="L677" i="4"/>
  <c r="R677" i="4"/>
  <c r="L678" i="4"/>
  <c r="R678" i="4"/>
  <c r="L679" i="4"/>
  <c r="R679" i="4" s="1"/>
  <c r="L680" i="4"/>
  <c r="R680" i="4" s="1"/>
  <c r="L681" i="4"/>
  <c r="R681" i="4"/>
  <c r="L682" i="4"/>
  <c r="R682" i="4" s="1"/>
  <c r="L683" i="4"/>
  <c r="R683" i="4" s="1"/>
  <c r="L684" i="4"/>
  <c r="R684" i="4" s="1"/>
  <c r="L685" i="4"/>
  <c r="R685" i="4" s="1"/>
  <c r="L686" i="4"/>
  <c r="R686" i="4"/>
  <c r="L687" i="4"/>
  <c r="R687" i="4" s="1"/>
  <c r="L688" i="4"/>
  <c r="R688" i="4" s="1"/>
  <c r="L689" i="4"/>
  <c r="R689" i="4"/>
  <c r="L690" i="4"/>
  <c r="R690" i="4" s="1"/>
  <c r="L691" i="4"/>
  <c r="R691" i="4" s="1"/>
  <c r="L692" i="4"/>
  <c r="R692" i="4"/>
  <c r="L693" i="4"/>
  <c r="R693" i="4"/>
  <c r="L694" i="4"/>
  <c r="R694" i="4" s="1"/>
  <c r="L695" i="4"/>
  <c r="R695" i="4" s="1"/>
  <c r="L696" i="4"/>
  <c r="R696" i="4"/>
  <c r="L697" i="4"/>
  <c r="R697" i="4" s="1"/>
  <c r="L698" i="4"/>
  <c r="R698" i="4"/>
  <c r="L699" i="4"/>
  <c r="R699" i="4" s="1"/>
  <c r="L700" i="4"/>
  <c r="R700" i="4" s="1"/>
  <c r="L701" i="4"/>
  <c r="R701" i="4" s="1"/>
  <c r="L702" i="4"/>
  <c r="R702" i="4" s="1"/>
  <c r="L703" i="4"/>
  <c r="R703" i="4" s="1"/>
  <c r="L704" i="4"/>
  <c r="R704" i="4" s="1"/>
  <c r="L705" i="4"/>
  <c r="R705" i="4" s="1"/>
  <c r="L706" i="4"/>
  <c r="R706" i="4" s="1"/>
  <c r="L707" i="4"/>
  <c r="R707" i="4" s="1"/>
  <c r="L708" i="4"/>
  <c r="R708" i="4" s="1"/>
  <c r="L709" i="4"/>
  <c r="R709" i="4" s="1"/>
  <c r="L710" i="4"/>
  <c r="R710" i="4"/>
  <c r="L711" i="4"/>
  <c r="R711" i="4" s="1"/>
  <c r="L712" i="4"/>
  <c r="R712" i="4" s="1"/>
  <c r="L713" i="4"/>
  <c r="R713" i="4" s="1"/>
  <c r="L714" i="4"/>
  <c r="R714" i="4" s="1"/>
  <c r="L715" i="4"/>
  <c r="R715" i="4" s="1"/>
  <c r="L716" i="4"/>
  <c r="R716" i="4"/>
  <c r="L717" i="4"/>
  <c r="R717" i="4"/>
  <c r="L718" i="4"/>
  <c r="R718" i="4" s="1"/>
  <c r="L719" i="4"/>
  <c r="R719" i="4" s="1"/>
  <c r="L720" i="4"/>
  <c r="R720" i="4" s="1"/>
  <c r="L721" i="4"/>
  <c r="R721" i="4" s="1"/>
  <c r="L722" i="4"/>
  <c r="R722" i="4" s="1"/>
  <c r="L723" i="4"/>
  <c r="R723" i="4" s="1"/>
  <c r="L724" i="4"/>
  <c r="R724" i="4" s="1"/>
  <c r="L725" i="4"/>
  <c r="R725" i="4" s="1"/>
  <c r="L726" i="4"/>
  <c r="R726" i="4" s="1"/>
  <c r="L727" i="4"/>
  <c r="R727" i="4" s="1"/>
  <c r="L728" i="4"/>
  <c r="R728" i="4" s="1"/>
  <c r="L729" i="4"/>
  <c r="R729" i="4" s="1"/>
  <c r="L730" i="4"/>
  <c r="R730" i="4" s="1"/>
  <c r="L731" i="4"/>
  <c r="R731" i="4" s="1"/>
  <c r="L732" i="4"/>
  <c r="R732" i="4"/>
  <c r="L733" i="4"/>
  <c r="R733" i="4" s="1"/>
  <c r="L734" i="4"/>
  <c r="R734" i="4" s="1"/>
  <c r="L735" i="4"/>
  <c r="R735" i="4" s="1"/>
  <c r="L736" i="4"/>
  <c r="R736" i="4" s="1"/>
  <c r="L737" i="4"/>
  <c r="R737" i="4" s="1"/>
  <c r="L738" i="4"/>
  <c r="R738" i="4" s="1"/>
  <c r="L739" i="4"/>
  <c r="R739" i="4" s="1"/>
  <c r="L740" i="4"/>
  <c r="R740" i="4" s="1"/>
  <c r="L741" i="4"/>
  <c r="R741" i="4"/>
  <c r="L742" i="4"/>
  <c r="R742" i="4" s="1"/>
  <c r="L743" i="4"/>
  <c r="R743" i="4" s="1"/>
  <c r="L744" i="4"/>
  <c r="R744" i="4" s="1"/>
  <c r="L745" i="4"/>
  <c r="R745" i="4" s="1"/>
  <c r="L746" i="4"/>
  <c r="R746" i="4"/>
  <c r="L747" i="4"/>
  <c r="R747" i="4" s="1"/>
  <c r="L748" i="4"/>
  <c r="R748" i="4" s="1"/>
  <c r="L749" i="4"/>
  <c r="R749" i="4" s="1"/>
  <c r="L750" i="4"/>
  <c r="R750" i="4"/>
  <c r="L751" i="4"/>
  <c r="R751" i="4" s="1"/>
  <c r="L752" i="4"/>
  <c r="R752" i="4" s="1"/>
  <c r="L753" i="4"/>
  <c r="R753" i="4" s="1"/>
  <c r="L754" i="4"/>
  <c r="R754" i="4" s="1"/>
  <c r="L755" i="4"/>
  <c r="R755" i="4"/>
  <c r="L756" i="4"/>
  <c r="R756" i="4" s="1"/>
  <c r="L757" i="4"/>
  <c r="R757" i="4" s="1"/>
  <c r="L758" i="4"/>
  <c r="R758" i="4" s="1"/>
  <c r="L759" i="4"/>
  <c r="R759" i="4" s="1"/>
  <c r="L760" i="4"/>
  <c r="R760" i="4" s="1"/>
  <c r="L761" i="4"/>
  <c r="R761" i="4" s="1"/>
  <c r="L762" i="4"/>
  <c r="R762" i="4" s="1"/>
  <c r="L763" i="4"/>
  <c r="R763" i="4" s="1"/>
  <c r="L764" i="4"/>
  <c r="R764" i="4" s="1"/>
  <c r="L765" i="4"/>
  <c r="R765" i="4" s="1"/>
  <c r="L766" i="4"/>
  <c r="R766" i="4" s="1"/>
  <c r="L767" i="4"/>
  <c r="R767" i="4" s="1"/>
  <c r="L768" i="4"/>
  <c r="R768" i="4"/>
  <c r="L769" i="4"/>
  <c r="R769" i="4" s="1"/>
  <c r="L770" i="4"/>
  <c r="R770" i="4" s="1"/>
  <c r="L771" i="4"/>
  <c r="R771" i="4" s="1"/>
  <c r="L772" i="4"/>
  <c r="R772" i="4" s="1"/>
  <c r="L773" i="4"/>
  <c r="R773" i="4" s="1"/>
  <c r="L774" i="4"/>
  <c r="R774" i="4" s="1"/>
  <c r="L775" i="4"/>
  <c r="R775" i="4" s="1"/>
  <c r="L776" i="4"/>
  <c r="R776" i="4" s="1"/>
  <c r="L777" i="4"/>
  <c r="R777" i="4"/>
  <c r="L778" i="4"/>
  <c r="R778" i="4" s="1"/>
  <c r="L779" i="4"/>
  <c r="R779" i="4" s="1"/>
  <c r="L780" i="4"/>
  <c r="R780" i="4" s="1"/>
  <c r="L781" i="4"/>
  <c r="R781" i="4" s="1"/>
  <c r="L782" i="4"/>
  <c r="R782" i="4"/>
  <c r="L783" i="4"/>
  <c r="R783" i="4" s="1"/>
  <c r="L784" i="4"/>
  <c r="R784" i="4" s="1"/>
  <c r="L785" i="4"/>
  <c r="R785" i="4" s="1"/>
  <c r="L786" i="4"/>
  <c r="R786" i="4"/>
  <c r="L787" i="4"/>
  <c r="R787" i="4" s="1"/>
  <c r="L788" i="4"/>
  <c r="R788" i="4" s="1"/>
  <c r="L789" i="4"/>
  <c r="R789" i="4" s="1"/>
  <c r="L790" i="4"/>
  <c r="R790" i="4" s="1"/>
  <c r="L791" i="4"/>
  <c r="R791" i="4"/>
  <c r="L792" i="4"/>
  <c r="R792" i="4" s="1"/>
  <c r="L793" i="4"/>
  <c r="R793" i="4" s="1"/>
  <c r="L794" i="4"/>
  <c r="R794" i="4" s="1"/>
  <c r="L795" i="4"/>
  <c r="R795" i="4" s="1"/>
  <c r="L796" i="4"/>
  <c r="R796" i="4" s="1"/>
  <c r="L797" i="4"/>
  <c r="R797" i="4" s="1"/>
  <c r="L798" i="4"/>
  <c r="R798" i="4" s="1"/>
  <c r="L799" i="4"/>
  <c r="R799" i="4" s="1"/>
  <c r="L800" i="4"/>
  <c r="R800" i="4" s="1"/>
  <c r="L801" i="4"/>
  <c r="R801" i="4" s="1"/>
  <c r="L802" i="4"/>
  <c r="R802" i="4" s="1"/>
  <c r="L803" i="4"/>
  <c r="R803" i="4" s="1"/>
  <c r="L804" i="4"/>
  <c r="R804" i="4"/>
  <c r="L805" i="4"/>
  <c r="R805" i="4" s="1"/>
  <c r="L806" i="4"/>
  <c r="R806" i="4" s="1"/>
  <c r="L807" i="4"/>
  <c r="R807" i="4" s="1"/>
  <c r="L808" i="4"/>
  <c r="R808" i="4" s="1"/>
  <c r="L809" i="4"/>
  <c r="R809" i="4" s="1"/>
  <c r="L810" i="4"/>
  <c r="R810" i="4" s="1"/>
  <c r="L811" i="4"/>
  <c r="R811" i="4" s="1"/>
  <c r="L812" i="4"/>
  <c r="R812" i="4" s="1"/>
  <c r="L813" i="4"/>
  <c r="R813" i="4"/>
  <c r="L814" i="4"/>
  <c r="R814" i="4" s="1"/>
  <c r="L815" i="4"/>
  <c r="R815" i="4" s="1"/>
  <c r="L816" i="4"/>
  <c r="R816" i="4" s="1"/>
  <c r="L817" i="4"/>
  <c r="R817" i="4" s="1"/>
  <c r="L818" i="4"/>
  <c r="R818" i="4"/>
  <c r="L819" i="4"/>
  <c r="R819" i="4" s="1"/>
  <c r="L820" i="4"/>
  <c r="R820" i="4" s="1"/>
  <c r="L821" i="4"/>
  <c r="R821" i="4" s="1"/>
  <c r="L822" i="4"/>
  <c r="R822" i="4"/>
  <c r="L823" i="4"/>
  <c r="R823" i="4" s="1"/>
  <c r="L824" i="4"/>
  <c r="R824" i="4" s="1"/>
  <c r="L825" i="4"/>
  <c r="R825" i="4" s="1"/>
  <c r="L826" i="4"/>
  <c r="R826" i="4" s="1"/>
  <c r="L827" i="4"/>
  <c r="R827" i="4"/>
  <c r="L828" i="4"/>
  <c r="R828" i="4" s="1"/>
  <c r="L829" i="4"/>
  <c r="R829" i="4" s="1"/>
  <c r="L830" i="4"/>
  <c r="R830" i="4" s="1"/>
  <c r="L831" i="4"/>
  <c r="R831" i="4" s="1"/>
  <c r="L832" i="4"/>
  <c r="R832" i="4" s="1"/>
  <c r="L833" i="4"/>
  <c r="R833" i="4" s="1"/>
  <c r="L834" i="4"/>
  <c r="R834" i="4" s="1"/>
  <c r="L835" i="4"/>
  <c r="R835" i="4" s="1"/>
  <c r="L836" i="4"/>
  <c r="R836" i="4" s="1"/>
  <c r="L837" i="4"/>
  <c r="R837" i="4" s="1"/>
  <c r="L838" i="4"/>
  <c r="R838" i="4" s="1"/>
  <c r="L839" i="4"/>
  <c r="R839" i="4" s="1"/>
  <c r="L840" i="4"/>
  <c r="R840" i="4"/>
  <c r="L841" i="4"/>
  <c r="R841" i="4" s="1"/>
  <c r="L842" i="4"/>
  <c r="R842" i="4" s="1"/>
  <c r="L843" i="4"/>
  <c r="R843" i="4" s="1"/>
  <c r="L844" i="4"/>
  <c r="R844" i="4" s="1"/>
  <c r="L845" i="4"/>
  <c r="R845" i="4" s="1"/>
  <c r="L846" i="4"/>
  <c r="R846" i="4" s="1"/>
  <c r="L847" i="4"/>
  <c r="R847" i="4" s="1"/>
  <c r="L848" i="4"/>
  <c r="R848" i="4" s="1"/>
  <c r="L849" i="4"/>
  <c r="R849" i="4"/>
  <c r="L850" i="4"/>
  <c r="R850" i="4" s="1"/>
  <c r="L851" i="4"/>
  <c r="R851" i="4" s="1"/>
  <c r="L852" i="4"/>
  <c r="R852" i="4" s="1"/>
  <c r="L853" i="4"/>
  <c r="R853" i="4" s="1"/>
  <c r="L854" i="4"/>
  <c r="R854" i="4"/>
  <c r="L855" i="4"/>
  <c r="R855" i="4" s="1"/>
  <c r="L856" i="4"/>
  <c r="R856" i="4" s="1"/>
  <c r="L857" i="4"/>
  <c r="R857" i="4" s="1"/>
  <c r="L858" i="4"/>
  <c r="R858" i="4"/>
  <c r="L859" i="4"/>
  <c r="R859" i="4" s="1"/>
  <c r="L860" i="4"/>
  <c r="R860" i="4" s="1"/>
  <c r="L861" i="4"/>
  <c r="R861" i="4" s="1"/>
  <c r="L862" i="4"/>
  <c r="R862" i="4" s="1"/>
  <c r="L863" i="4"/>
  <c r="R863" i="4"/>
  <c r="L864" i="4"/>
  <c r="R864" i="4" s="1"/>
  <c r="L865" i="4"/>
  <c r="R865" i="4" s="1"/>
  <c r="L866" i="4"/>
  <c r="R866" i="4" s="1"/>
  <c r="L867" i="4"/>
  <c r="R867" i="4" s="1"/>
  <c r="L868" i="4"/>
  <c r="R868" i="4" s="1"/>
  <c r="L869" i="4"/>
  <c r="R869" i="4" s="1"/>
  <c r="L870" i="4"/>
  <c r="R870" i="4" s="1"/>
  <c r="L871" i="4"/>
  <c r="R871" i="4" s="1"/>
  <c r="L872" i="4"/>
  <c r="R872" i="4" s="1"/>
  <c r="L873" i="4"/>
  <c r="R873" i="4" s="1"/>
  <c r="L874" i="4"/>
  <c r="R874" i="4" s="1"/>
  <c r="L875" i="4"/>
  <c r="R875" i="4" s="1"/>
  <c r="L876" i="4"/>
  <c r="R876" i="4"/>
  <c r="L877" i="4"/>
  <c r="R877" i="4" s="1"/>
  <c r="L878" i="4"/>
  <c r="R878" i="4" s="1"/>
  <c r="L879" i="4"/>
  <c r="R879" i="4" s="1"/>
  <c r="L880" i="4"/>
  <c r="R880" i="4" s="1"/>
  <c r="L881" i="4"/>
  <c r="R881" i="4" s="1"/>
  <c r="L882" i="4"/>
  <c r="R882" i="4" s="1"/>
  <c r="L883" i="4"/>
  <c r="R883" i="4" s="1"/>
  <c r="L884" i="4"/>
  <c r="R884" i="4" s="1"/>
  <c r="L885" i="4"/>
  <c r="R885" i="4"/>
  <c r="L886" i="4"/>
  <c r="R886" i="4" s="1"/>
  <c r="L887" i="4"/>
  <c r="R887" i="4" s="1"/>
  <c r="L888" i="4"/>
  <c r="R888" i="4" s="1"/>
  <c r="L889" i="4"/>
  <c r="R889" i="4" s="1"/>
  <c r="L890" i="4"/>
  <c r="R890" i="4"/>
  <c r="L891" i="4"/>
  <c r="R891" i="4" s="1"/>
  <c r="L892" i="4"/>
  <c r="R892" i="4" s="1"/>
  <c r="L893" i="4"/>
  <c r="R893" i="4" s="1"/>
  <c r="L894" i="4"/>
  <c r="R894" i="4"/>
  <c r="L895" i="4"/>
  <c r="R895" i="4" s="1"/>
  <c r="L896" i="4"/>
  <c r="R896" i="4" s="1"/>
  <c r="L897" i="4"/>
  <c r="R897" i="4" s="1"/>
  <c r="L898" i="4"/>
  <c r="R898" i="4" s="1"/>
  <c r="L899" i="4"/>
  <c r="R899" i="4"/>
  <c r="L900" i="4"/>
  <c r="R900" i="4" s="1"/>
  <c r="L901" i="4"/>
  <c r="R901" i="4" s="1"/>
  <c r="L902" i="4"/>
  <c r="R902" i="4" s="1"/>
  <c r="L903" i="4"/>
  <c r="R903" i="4" s="1"/>
  <c r="L904" i="4"/>
  <c r="R904" i="4" s="1"/>
  <c r="L905" i="4"/>
  <c r="R905" i="4" s="1"/>
  <c r="L906" i="4"/>
  <c r="R906" i="4" s="1"/>
  <c r="L907" i="4"/>
  <c r="R907" i="4" s="1"/>
  <c r="L908" i="4"/>
  <c r="R908" i="4"/>
  <c r="L909" i="4"/>
  <c r="R909" i="4" s="1"/>
  <c r="L910" i="4"/>
  <c r="R910" i="4" s="1"/>
  <c r="L911" i="4"/>
  <c r="R911" i="4"/>
  <c r="L912" i="4"/>
  <c r="R912" i="4" s="1"/>
  <c r="L913" i="4"/>
  <c r="R913" i="4"/>
  <c r="L914" i="4"/>
  <c r="R914" i="4" s="1"/>
  <c r="L915" i="4"/>
  <c r="R915" i="4" s="1"/>
  <c r="L916" i="4"/>
  <c r="R916" i="4" s="1"/>
  <c r="L917" i="4"/>
  <c r="R917" i="4" s="1"/>
  <c r="L918" i="4"/>
  <c r="R918" i="4" s="1"/>
  <c r="L919" i="4"/>
  <c r="R919" i="4"/>
  <c r="L920" i="4"/>
  <c r="R920" i="4" s="1"/>
  <c r="L921" i="4"/>
  <c r="R921" i="4" s="1"/>
  <c r="L922" i="4"/>
  <c r="R922" i="4" s="1"/>
  <c r="L923" i="4"/>
  <c r="R923" i="4" s="1"/>
  <c r="L924" i="4"/>
  <c r="R924" i="4" s="1"/>
  <c r="L925" i="4"/>
  <c r="R925" i="4" s="1"/>
  <c r="L926" i="4"/>
  <c r="R926" i="4" s="1"/>
  <c r="L927" i="4"/>
  <c r="R927" i="4" s="1"/>
  <c r="L928" i="4"/>
  <c r="R928" i="4" s="1"/>
  <c r="L929" i="4"/>
  <c r="R929" i="4"/>
  <c r="L930" i="4"/>
  <c r="R930" i="4" s="1"/>
  <c r="L931" i="4"/>
  <c r="R931" i="4" s="1"/>
  <c r="L932" i="4"/>
  <c r="R932" i="4" s="1"/>
  <c r="L933" i="4"/>
  <c r="R933" i="4" s="1"/>
  <c r="L934" i="4"/>
  <c r="R934" i="4" s="1"/>
  <c r="L935" i="4"/>
  <c r="R935" i="4" s="1"/>
  <c r="L936" i="4"/>
  <c r="R936" i="4" s="1"/>
  <c r="L937" i="4"/>
  <c r="R937" i="4"/>
  <c r="L938" i="4"/>
  <c r="R938" i="4" s="1"/>
  <c r="L939" i="4"/>
  <c r="R939" i="4"/>
  <c r="L940" i="4"/>
  <c r="R940" i="4" s="1"/>
  <c r="L941" i="4"/>
  <c r="R941" i="4" s="1"/>
  <c r="L942" i="4"/>
  <c r="R942" i="4" s="1"/>
  <c r="L943" i="4"/>
  <c r="R943" i="4" s="1"/>
  <c r="L944" i="4"/>
  <c r="R944" i="4" s="1"/>
  <c r="L945" i="4"/>
  <c r="R945" i="4"/>
  <c r="L946" i="4"/>
  <c r="R946" i="4" s="1"/>
  <c r="L947" i="4"/>
  <c r="R947" i="4" s="1"/>
  <c r="L948" i="4"/>
  <c r="R948" i="4" s="1"/>
  <c r="L949" i="4"/>
  <c r="R949" i="4" s="1"/>
  <c r="L950" i="4"/>
  <c r="R950" i="4" s="1"/>
  <c r="L951" i="4"/>
  <c r="R951" i="4" s="1"/>
  <c r="L952" i="4"/>
  <c r="R952" i="4" s="1"/>
  <c r="L953" i="4"/>
  <c r="R953" i="4" s="1"/>
  <c r="L954" i="4"/>
  <c r="R954" i="4" s="1"/>
  <c r="L955" i="4"/>
  <c r="R955" i="4"/>
  <c r="L956" i="4"/>
  <c r="R956" i="4" s="1"/>
  <c r="L957" i="4"/>
  <c r="R957" i="4" s="1"/>
  <c r="L958" i="4"/>
  <c r="R958" i="4" s="1"/>
  <c r="L959" i="4"/>
  <c r="R959" i="4" s="1"/>
  <c r="L960" i="4"/>
  <c r="R960" i="4" s="1"/>
  <c r="L961" i="4"/>
  <c r="R961" i="4" s="1"/>
  <c r="L962" i="4"/>
  <c r="R962" i="4" s="1"/>
  <c r="L963" i="4"/>
  <c r="R963" i="4" s="1"/>
  <c r="L964" i="4"/>
  <c r="R964" i="4" s="1"/>
  <c r="L965" i="4"/>
  <c r="R965" i="4" s="1"/>
  <c r="L966" i="4"/>
  <c r="R966" i="4" s="1"/>
  <c r="L967" i="4"/>
  <c r="R967" i="4"/>
  <c r="L968" i="4"/>
  <c r="R968" i="4" s="1"/>
  <c r="L969" i="4"/>
  <c r="R969" i="4" s="1"/>
  <c r="L970" i="4"/>
  <c r="R970" i="4" s="1"/>
  <c r="L971" i="4"/>
  <c r="R971" i="4" s="1"/>
  <c r="L972" i="4"/>
  <c r="R972" i="4" s="1"/>
  <c r="L973" i="4"/>
  <c r="R973" i="4" s="1"/>
  <c r="L974" i="4"/>
  <c r="R974" i="4" s="1"/>
  <c r="L975" i="4"/>
  <c r="R975" i="4" s="1"/>
  <c r="L976" i="4"/>
  <c r="R976" i="4" s="1"/>
  <c r="L977" i="4"/>
  <c r="R977" i="4" s="1"/>
  <c r="L978" i="4"/>
  <c r="R978" i="4" s="1"/>
  <c r="L979" i="4"/>
  <c r="R979" i="4"/>
  <c r="L980" i="4"/>
  <c r="R980" i="4" s="1"/>
  <c r="L981" i="4"/>
  <c r="R981" i="4" s="1"/>
  <c r="L982" i="4"/>
  <c r="R982" i="4" s="1"/>
  <c r="L983" i="4"/>
  <c r="R983" i="4" s="1"/>
  <c r="L984" i="4"/>
  <c r="R984" i="4" s="1"/>
  <c r="L985" i="4"/>
  <c r="R985" i="4" s="1"/>
  <c r="L986" i="4"/>
  <c r="R986" i="4" s="1"/>
  <c r="L987" i="4"/>
  <c r="R987" i="4" s="1"/>
  <c r="L988" i="4"/>
  <c r="R988" i="4" s="1"/>
  <c r="L989" i="4"/>
  <c r="R989" i="4" s="1"/>
  <c r="L990" i="4"/>
  <c r="R990" i="4" s="1"/>
  <c r="L991" i="4"/>
  <c r="R991" i="4"/>
  <c r="L992" i="4"/>
  <c r="R992" i="4" s="1"/>
  <c r="L993" i="4"/>
  <c r="R993" i="4" s="1"/>
  <c r="L994" i="4"/>
  <c r="R994" i="4" s="1"/>
  <c r="L995" i="4"/>
  <c r="R995" i="4" s="1"/>
  <c r="L996" i="4"/>
  <c r="R996" i="4" s="1"/>
  <c r="L997" i="4"/>
  <c r="R997" i="4"/>
  <c r="L998" i="4"/>
  <c r="R998" i="4" s="1"/>
  <c r="L999" i="4"/>
  <c r="R999" i="4" s="1"/>
  <c r="L1000" i="4"/>
  <c r="R1000" i="4" s="1"/>
  <c r="L1001" i="4"/>
  <c r="R1001" i="4" s="1"/>
  <c r="L1002" i="4"/>
  <c r="R1002" i="4" s="1"/>
  <c r="L1003" i="4"/>
  <c r="R1003" i="4"/>
  <c r="L1004" i="4"/>
  <c r="R1004" i="4" s="1"/>
  <c r="L1005" i="4"/>
  <c r="R1005" i="4" s="1"/>
  <c r="L1006" i="4"/>
  <c r="R1006" i="4" s="1"/>
  <c r="L1007" i="4"/>
  <c r="R1007" i="4" s="1"/>
  <c r="L1008" i="4"/>
  <c r="R1008" i="4" s="1"/>
  <c r="L1009" i="4"/>
  <c r="R1009" i="4" s="1"/>
  <c r="L1010" i="4"/>
  <c r="R1010" i="4" s="1"/>
  <c r="L1011" i="4"/>
  <c r="R1011" i="4" s="1"/>
  <c r="L1012" i="4"/>
  <c r="R1012" i="4" s="1"/>
  <c r="L1013" i="4"/>
  <c r="R1013" i="4" s="1"/>
  <c r="L1014" i="4"/>
  <c r="R1014" i="4" s="1"/>
  <c r="L1015" i="4"/>
  <c r="R1015" i="4" s="1"/>
  <c r="L1016" i="4"/>
  <c r="R1016" i="4" s="1"/>
  <c r="L1017" i="4"/>
  <c r="R1017" i="4" s="1"/>
  <c r="L1018" i="4"/>
  <c r="R1018" i="4" s="1"/>
  <c r="L1019" i="4"/>
  <c r="R1019" i="4" s="1"/>
  <c r="L1020" i="4"/>
  <c r="R1020" i="4" s="1"/>
  <c r="L1021" i="4"/>
  <c r="R1021" i="4" s="1"/>
  <c r="L1022" i="4"/>
  <c r="R1022" i="4" s="1"/>
  <c r="L1023" i="4"/>
  <c r="R1023" i="4" s="1"/>
  <c r="L1024" i="4"/>
  <c r="R1024" i="4" s="1"/>
  <c r="L1025" i="4"/>
  <c r="R1025" i="4" s="1"/>
  <c r="L1026" i="4"/>
  <c r="R1026" i="4" s="1"/>
  <c r="L1027" i="4"/>
  <c r="R1027" i="4"/>
  <c r="L1028" i="4"/>
  <c r="R1028" i="4" s="1"/>
  <c r="L1029" i="4"/>
  <c r="R1029" i="4" s="1"/>
  <c r="L1030" i="4"/>
  <c r="R1030" i="4" s="1"/>
  <c r="L1031" i="4"/>
  <c r="R1031" i="4" s="1"/>
  <c r="L1032" i="4"/>
  <c r="R1032" i="4" s="1"/>
  <c r="L1033" i="4"/>
  <c r="R1033" i="4" s="1"/>
  <c r="L1034" i="4"/>
  <c r="R1034" i="4" s="1"/>
  <c r="L1035" i="4"/>
  <c r="R1035" i="4" s="1"/>
  <c r="L1036" i="4"/>
  <c r="R1036" i="4" s="1"/>
  <c r="L1037" i="4"/>
  <c r="R1037" i="4" s="1"/>
  <c r="L1038" i="4"/>
  <c r="R1038" i="4" s="1"/>
  <c r="L1039" i="4"/>
  <c r="R1039" i="4"/>
  <c r="L1040" i="4"/>
  <c r="R1040" i="4" s="1"/>
  <c r="L1041" i="4"/>
  <c r="R1041" i="4" s="1"/>
  <c r="L1042" i="4"/>
  <c r="R1042" i="4" s="1"/>
  <c r="L1043" i="4"/>
  <c r="R1043" i="4" s="1"/>
  <c r="L1044" i="4"/>
  <c r="R1044" i="4" s="1"/>
  <c r="L1045" i="4"/>
  <c r="R1045" i="4" s="1"/>
  <c r="L1046" i="4"/>
  <c r="R1046" i="4" s="1"/>
  <c r="L1047" i="4"/>
  <c r="R1047" i="4" s="1"/>
  <c r="L1048" i="4"/>
  <c r="R1048" i="4" s="1"/>
  <c r="L1049" i="4"/>
  <c r="R1049" i="4" s="1"/>
  <c r="L1050" i="4"/>
  <c r="R1050" i="4" s="1"/>
  <c r="L1051" i="4"/>
  <c r="R1051" i="4"/>
  <c r="L1052" i="4"/>
  <c r="R1052" i="4" s="1"/>
  <c r="L1053" i="4"/>
  <c r="R1053" i="4" s="1"/>
  <c r="L1054" i="4"/>
  <c r="R1054" i="4" s="1"/>
  <c r="L1055" i="4"/>
  <c r="R1055" i="4" s="1"/>
  <c r="L1056" i="4"/>
  <c r="R1056" i="4" s="1"/>
  <c r="L1057" i="4"/>
  <c r="R1057" i="4" s="1"/>
  <c r="L1058" i="4"/>
  <c r="R1058" i="4" s="1"/>
  <c r="L1059" i="4"/>
  <c r="R1059" i="4" s="1"/>
  <c r="L1060" i="4"/>
  <c r="R1060" i="4" s="1"/>
  <c r="L1061" i="4"/>
  <c r="R1061" i="4" s="1"/>
  <c r="L1062" i="4"/>
  <c r="R1062" i="4" s="1"/>
  <c r="L1063" i="4"/>
  <c r="R1063" i="4"/>
  <c r="L1064" i="4"/>
  <c r="R1064" i="4" s="1"/>
  <c r="L1065" i="4"/>
  <c r="R1065" i="4" s="1"/>
  <c r="L1066" i="4"/>
  <c r="R1066" i="4" s="1"/>
  <c r="L1067" i="4"/>
  <c r="R1067" i="4" s="1"/>
  <c r="L1068" i="4"/>
  <c r="R1068" i="4" s="1"/>
  <c r="L1069" i="4"/>
  <c r="R1069" i="4" s="1"/>
  <c r="L1070" i="4"/>
  <c r="R1070" i="4" s="1"/>
  <c r="L1071" i="4"/>
  <c r="R1071" i="4" s="1"/>
  <c r="L1072" i="4"/>
  <c r="R1072" i="4" s="1"/>
  <c r="L1073" i="4"/>
  <c r="R1073" i="4" s="1"/>
  <c r="L1074" i="4"/>
  <c r="R1074" i="4" s="1"/>
  <c r="L1075" i="4"/>
  <c r="R1075" i="4"/>
  <c r="L1076" i="4"/>
  <c r="R1076" i="4" s="1"/>
  <c r="L1077" i="4"/>
  <c r="R1077" i="4" s="1"/>
  <c r="L1078" i="4"/>
  <c r="R1078" i="4" s="1"/>
  <c r="L1079" i="4"/>
  <c r="R1079" i="4" s="1"/>
  <c r="L1080" i="4"/>
  <c r="R1080" i="4" s="1"/>
  <c r="L1081" i="4"/>
  <c r="R1081" i="4" s="1"/>
  <c r="L1082" i="4"/>
  <c r="R1082" i="4" s="1"/>
  <c r="L1083" i="4"/>
  <c r="R1083" i="4" s="1"/>
  <c r="L1084" i="4"/>
  <c r="R1084" i="4" s="1"/>
  <c r="L1085" i="4"/>
  <c r="R1085" i="4" s="1"/>
  <c r="L1086" i="4"/>
  <c r="R1086" i="4" s="1"/>
  <c r="L1087" i="4"/>
  <c r="R1087" i="4" s="1"/>
  <c r="L1088" i="4"/>
  <c r="R1088" i="4" s="1"/>
  <c r="L1089" i="4"/>
  <c r="R1089" i="4" s="1"/>
  <c r="L1090" i="4"/>
  <c r="R1090" i="4" s="1"/>
  <c r="L1091" i="4"/>
  <c r="R1091" i="4" s="1"/>
  <c r="L1092" i="4"/>
  <c r="R1092" i="4" s="1"/>
  <c r="L1093" i="4"/>
  <c r="R1093" i="4" s="1"/>
  <c r="L1094" i="4"/>
  <c r="R1094" i="4" s="1"/>
  <c r="L1095" i="4"/>
  <c r="R1095" i="4" s="1"/>
  <c r="L1096" i="4"/>
  <c r="R1096" i="4" s="1"/>
  <c r="L1097" i="4"/>
  <c r="R1097" i="4" s="1"/>
  <c r="L1098" i="4"/>
  <c r="R1098" i="4" s="1"/>
  <c r="L1099" i="4"/>
  <c r="R1099" i="4"/>
  <c r="L1100" i="4"/>
  <c r="R1100" i="4" s="1"/>
  <c r="L1101" i="4"/>
  <c r="R1101" i="4" s="1"/>
  <c r="L1102" i="4"/>
  <c r="R1102" i="4" s="1"/>
  <c r="L1103" i="4"/>
  <c r="R1103" i="4" s="1"/>
  <c r="L1104" i="4"/>
  <c r="R1104" i="4" s="1"/>
  <c r="L1105" i="4"/>
  <c r="R1105" i="4" s="1"/>
  <c r="L1106" i="4"/>
  <c r="R1106" i="4" s="1"/>
  <c r="L1107" i="4"/>
  <c r="R1107" i="4" s="1"/>
  <c r="L1108" i="4"/>
  <c r="R1108" i="4" s="1"/>
  <c r="L1109" i="4"/>
  <c r="R1109" i="4" s="1"/>
  <c r="L1110" i="4"/>
  <c r="R1110" i="4" s="1"/>
  <c r="L1111" i="4"/>
  <c r="R1111" i="4"/>
  <c r="L1112" i="4"/>
  <c r="R1112" i="4" s="1"/>
  <c r="L1113" i="4"/>
  <c r="R1113" i="4" s="1"/>
  <c r="L1114" i="4"/>
  <c r="R1114" i="4" s="1"/>
  <c r="L1115" i="4"/>
  <c r="R1115" i="4" s="1"/>
  <c r="L1116" i="4"/>
  <c r="R1116" i="4" s="1"/>
  <c r="L1117" i="4"/>
  <c r="R1117" i="4" s="1"/>
  <c r="L1118" i="4"/>
  <c r="R1118" i="4" s="1"/>
  <c r="L1119" i="4"/>
  <c r="R1119" i="4" s="1"/>
  <c r="L1120" i="4"/>
  <c r="R1120" i="4" s="1"/>
  <c r="L1121" i="4"/>
  <c r="R1121" i="4" s="1"/>
  <c r="L1122" i="4"/>
  <c r="R1122" i="4" s="1"/>
  <c r="L1123" i="4"/>
  <c r="R1123" i="4"/>
  <c r="L1124" i="4"/>
  <c r="R1124" i="4" s="1"/>
  <c r="L1125" i="4"/>
  <c r="R1125" i="4" s="1"/>
  <c r="L1126" i="4"/>
  <c r="R1126" i="4" s="1"/>
  <c r="L1127" i="4"/>
  <c r="R1127" i="4" s="1"/>
  <c r="L1128" i="4"/>
  <c r="R1128" i="4" s="1"/>
  <c r="L1129" i="4"/>
  <c r="R1129" i="4" s="1"/>
  <c r="L1130" i="4"/>
  <c r="R1130" i="4" s="1"/>
  <c r="L1131" i="4"/>
  <c r="R1131" i="4" s="1"/>
  <c r="L1132" i="4"/>
  <c r="R1132" i="4" s="1"/>
  <c r="L1133" i="4"/>
  <c r="R1133" i="4" s="1"/>
  <c r="L1134" i="4"/>
  <c r="R1134" i="4" s="1"/>
  <c r="L1135" i="4"/>
  <c r="R1135" i="4"/>
  <c r="L1136" i="4"/>
  <c r="R1136" i="4" s="1"/>
  <c r="L1137" i="4"/>
  <c r="R1137" i="4" s="1"/>
  <c r="L1138" i="4"/>
  <c r="R1138" i="4" s="1"/>
  <c r="L1139" i="4"/>
  <c r="R1139" i="4" s="1"/>
  <c r="L1140" i="4"/>
  <c r="R1140" i="4" s="1"/>
  <c r="L1141" i="4"/>
  <c r="R1141" i="4" s="1"/>
  <c r="L1142" i="4"/>
  <c r="R1142" i="4" s="1"/>
  <c r="L1143" i="4"/>
  <c r="R1143" i="4" s="1"/>
  <c r="L1144" i="4"/>
  <c r="R1144" i="4" s="1"/>
  <c r="L1145" i="4"/>
  <c r="R1145" i="4" s="1"/>
  <c r="L1146" i="4"/>
  <c r="R1146" i="4" s="1"/>
  <c r="L1147" i="4"/>
  <c r="R1147" i="4"/>
  <c r="L1148" i="4"/>
  <c r="R1148" i="4" s="1"/>
  <c r="L1149" i="4"/>
  <c r="R1149" i="4" s="1"/>
  <c r="L1150" i="4"/>
  <c r="R1150" i="4" s="1"/>
  <c r="L1151" i="4"/>
  <c r="R1151" i="4" s="1"/>
  <c r="L1152" i="4"/>
  <c r="R1152" i="4" s="1"/>
  <c r="L1153" i="4"/>
  <c r="R1153" i="4" s="1"/>
  <c r="L1154" i="4"/>
  <c r="R1154" i="4" s="1"/>
  <c r="L1155" i="4"/>
  <c r="R1155" i="4" s="1"/>
  <c r="L1156" i="4"/>
  <c r="R1156" i="4" s="1"/>
  <c r="L1157" i="4"/>
  <c r="R1157" i="4" s="1"/>
  <c r="L1158" i="4"/>
  <c r="R1158" i="4" s="1"/>
  <c r="L1159" i="4"/>
  <c r="R1159" i="4" s="1"/>
  <c r="L1160" i="4"/>
  <c r="R1160" i="4" s="1"/>
  <c r="L1161" i="4"/>
  <c r="R1161" i="4" s="1"/>
  <c r="L1162" i="4"/>
  <c r="R1162" i="4" s="1"/>
  <c r="L1163" i="4"/>
  <c r="R1163" i="4" s="1"/>
  <c r="L1164" i="4"/>
  <c r="R1164" i="4" s="1"/>
  <c r="L1165" i="4"/>
  <c r="R1165" i="4" s="1"/>
  <c r="L1166" i="4"/>
  <c r="R1166" i="4" s="1"/>
  <c r="L1167" i="4"/>
  <c r="R1167" i="4" s="1"/>
  <c r="L1168" i="4"/>
  <c r="R1168" i="4" s="1"/>
  <c r="L1169" i="4"/>
  <c r="R1169" i="4" s="1"/>
  <c r="L1170" i="4"/>
  <c r="R1170" i="4" s="1"/>
  <c r="L1171" i="4"/>
  <c r="R1171" i="4"/>
  <c r="L1172" i="4"/>
  <c r="R1172" i="4" s="1"/>
  <c r="L1173" i="4"/>
  <c r="R1173" i="4" s="1"/>
  <c r="L1174" i="4"/>
  <c r="R1174" i="4" s="1"/>
  <c r="L1175" i="4"/>
  <c r="R1175" i="4" s="1"/>
  <c r="L1176" i="4"/>
  <c r="R1176" i="4" s="1"/>
  <c r="L1177" i="4"/>
  <c r="R1177" i="4" s="1"/>
  <c r="L1178" i="4"/>
  <c r="R1178" i="4" s="1"/>
  <c r="L1179" i="4"/>
  <c r="R1179" i="4" s="1"/>
  <c r="L1180" i="4"/>
  <c r="R1180" i="4" s="1"/>
  <c r="L1181" i="4"/>
  <c r="R1181" i="4" s="1"/>
  <c r="L1182" i="4"/>
  <c r="R1182" i="4" s="1"/>
  <c r="L1183" i="4"/>
  <c r="R1183" i="4"/>
  <c r="L1184" i="4"/>
  <c r="R1184" i="4" s="1"/>
  <c r="L1185" i="4"/>
  <c r="R1185" i="4" s="1"/>
  <c r="L1186" i="4"/>
  <c r="R1186" i="4" s="1"/>
  <c r="L1187" i="4"/>
  <c r="R1187" i="4" s="1"/>
  <c r="L1188" i="4"/>
  <c r="R1188" i="4" s="1"/>
  <c r="L1189" i="4"/>
  <c r="R1189" i="4" s="1"/>
  <c r="L1190" i="4"/>
  <c r="R1190" i="4" s="1"/>
  <c r="L1191" i="4"/>
  <c r="R1191" i="4" s="1"/>
  <c r="L1192" i="4"/>
  <c r="R1192" i="4" s="1"/>
  <c r="L1193" i="4"/>
  <c r="R1193" i="4" s="1"/>
  <c r="L1194" i="4"/>
  <c r="R1194" i="4" s="1"/>
  <c r="L1195" i="4"/>
  <c r="R1195" i="4"/>
  <c r="L1196" i="4"/>
  <c r="R1196" i="4" s="1"/>
  <c r="L1197" i="4"/>
  <c r="R1197" i="4" s="1"/>
  <c r="L1198" i="4"/>
  <c r="R1198" i="4" s="1"/>
  <c r="L1199" i="4"/>
  <c r="R1199" i="4" s="1"/>
  <c r="L1200" i="4"/>
  <c r="R1200" i="4" s="1"/>
  <c r="L1201" i="4"/>
  <c r="R1201" i="4" s="1"/>
  <c r="L1202" i="4"/>
  <c r="R1202" i="4" s="1"/>
  <c r="L1203" i="4"/>
  <c r="R1203" i="4" s="1"/>
  <c r="L1204" i="4"/>
  <c r="R1204" i="4" s="1"/>
  <c r="L1205" i="4"/>
  <c r="R1205" i="4" s="1"/>
  <c r="L1206" i="4"/>
  <c r="R1206" i="4" s="1"/>
  <c r="L1207" i="4"/>
  <c r="R1207" i="4"/>
  <c r="L1208" i="4"/>
  <c r="R1208" i="4" s="1"/>
  <c r="L1209" i="4"/>
  <c r="R1209" i="4" s="1"/>
  <c r="L1210" i="4"/>
  <c r="R1210" i="4" s="1"/>
  <c r="L1211" i="4"/>
  <c r="R1211" i="4" s="1"/>
  <c r="L1212" i="4"/>
  <c r="R1212" i="4" s="1"/>
  <c r="L1213" i="4"/>
  <c r="R1213" i="4" s="1"/>
  <c r="L1214" i="4"/>
  <c r="R1214" i="4" s="1"/>
  <c r="L1215" i="4"/>
  <c r="R1215" i="4" s="1"/>
  <c r="L1216" i="4"/>
  <c r="R1216" i="4" s="1"/>
  <c r="L1217" i="4"/>
  <c r="R1217" i="4" s="1"/>
  <c r="L1218" i="4"/>
  <c r="R1218" i="4" s="1"/>
  <c r="L1219" i="4"/>
  <c r="R1219" i="4"/>
  <c r="L1220" i="4"/>
  <c r="R1220" i="4" s="1"/>
  <c r="L1221" i="4"/>
  <c r="R1221" i="4" s="1"/>
  <c r="L1222" i="4"/>
  <c r="R1222" i="4" s="1"/>
  <c r="L1223" i="4"/>
  <c r="R1223" i="4" s="1"/>
  <c r="L1224" i="4"/>
  <c r="R1224" i="4" s="1"/>
  <c r="L1225" i="4"/>
  <c r="R1225" i="4"/>
  <c r="L1226" i="4"/>
  <c r="R1226" i="4" s="1"/>
  <c r="L1227" i="4"/>
  <c r="R1227" i="4" s="1"/>
  <c r="L1228" i="4"/>
  <c r="R1228" i="4" s="1"/>
  <c r="L1229" i="4"/>
  <c r="R1229" i="4" s="1"/>
  <c r="L1230" i="4"/>
  <c r="R1230" i="4" s="1"/>
  <c r="L1231" i="4"/>
  <c r="R1231" i="4" s="1"/>
  <c r="L1232" i="4"/>
  <c r="R1232" i="4" s="1"/>
  <c r="BK2" i="4" l="1"/>
  <c r="BK3" i="4"/>
  <c r="BK4" i="4"/>
  <c r="BK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148" i="4"/>
  <c r="BK149" i="4"/>
  <c r="BK150" i="4"/>
  <c r="BK151" i="4"/>
  <c r="BK152" i="4"/>
  <c r="BK153" i="4"/>
  <c r="BK154" i="4"/>
  <c r="BK155" i="4"/>
  <c r="BK156" i="4"/>
  <c r="BK157" i="4"/>
  <c r="BK158" i="4"/>
  <c r="BK159" i="4"/>
  <c r="BK160" i="4"/>
  <c r="BK161" i="4"/>
  <c r="BK162" i="4"/>
  <c r="BK163" i="4"/>
  <c r="BK164" i="4"/>
  <c r="BK165" i="4"/>
  <c r="BK166" i="4"/>
  <c r="BK167" i="4"/>
  <c r="BK168" i="4"/>
  <c r="BK169" i="4"/>
  <c r="BK170" i="4"/>
  <c r="BK171" i="4"/>
  <c r="BK172" i="4"/>
  <c r="BK173" i="4"/>
  <c r="BK174" i="4"/>
  <c r="BK175" i="4"/>
  <c r="BK176" i="4"/>
  <c r="BK177" i="4"/>
  <c r="BK178" i="4"/>
  <c r="BK179" i="4"/>
  <c r="BK180" i="4"/>
  <c r="BK181" i="4"/>
  <c r="BK182" i="4"/>
  <c r="BK183" i="4"/>
  <c r="BK184" i="4"/>
  <c r="BK185" i="4"/>
  <c r="BK186" i="4"/>
  <c r="BK187" i="4"/>
  <c r="BK188" i="4"/>
  <c r="BK189" i="4"/>
  <c r="BK190" i="4"/>
  <c r="BK191" i="4"/>
  <c r="BK192" i="4"/>
  <c r="BK193" i="4"/>
  <c r="BK194" i="4"/>
  <c r="BK195" i="4"/>
  <c r="BK196" i="4"/>
  <c r="BK197" i="4"/>
  <c r="BK198" i="4"/>
  <c r="BK199" i="4"/>
  <c r="BK200" i="4"/>
  <c r="BK201" i="4"/>
  <c r="BK202" i="4"/>
  <c r="BK203" i="4"/>
  <c r="BK204" i="4"/>
  <c r="BK205" i="4"/>
  <c r="BK206" i="4"/>
  <c r="BK207" i="4"/>
  <c r="BK208" i="4"/>
  <c r="BK209" i="4"/>
  <c r="BK210" i="4"/>
  <c r="BK211" i="4"/>
  <c r="BK212" i="4"/>
  <c r="BK213" i="4"/>
  <c r="BK214" i="4"/>
  <c r="BK215" i="4"/>
  <c r="BK216" i="4"/>
  <c r="BK217" i="4"/>
  <c r="BK218" i="4"/>
  <c r="BK219" i="4"/>
  <c r="BK220" i="4"/>
  <c r="BK221" i="4"/>
  <c r="BK222" i="4"/>
  <c r="BK223" i="4"/>
  <c r="BK224" i="4"/>
  <c r="BK225" i="4"/>
  <c r="BK226" i="4"/>
  <c r="BK227" i="4"/>
  <c r="BK228" i="4"/>
  <c r="BK229" i="4"/>
  <c r="BK230" i="4"/>
  <c r="BK231" i="4"/>
  <c r="BK232" i="4"/>
  <c r="BK233" i="4"/>
  <c r="BK234" i="4"/>
  <c r="BK235" i="4"/>
  <c r="BK236" i="4"/>
  <c r="BK237" i="4"/>
  <c r="BK238" i="4"/>
  <c r="BK239" i="4"/>
  <c r="BK240" i="4"/>
  <c r="BK241" i="4"/>
  <c r="BK242" i="4"/>
  <c r="BK243" i="4"/>
  <c r="BK244" i="4"/>
  <c r="BK245" i="4"/>
  <c r="BK246" i="4"/>
  <c r="BK247" i="4"/>
  <c r="BK248" i="4"/>
  <c r="BK249" i="4"/>
  <c r="BK250" i="4"/>
  <c r="BK251" i="4"/>
  <c r="BK252" i="4"/>
  <c r="BK253" i="4"/>
  <c r="BK254" i="4"/>
  <c r="BK255" i="4"/>
  <c r="BK256" i="4"/>
  <c r="BK257" i="4"/>
  <c r="BK258" i="4"/>
  <c r="BK259" i="4"/>
  <c r="BK260" i="4"/>
  <c r="BK261" i="4"/>
  <c r="BK262" i="4"/>
  <c r="BK263" i="4"/>
  <c r="BK264" i="4"/>
  <c r="BK265" i="4"/>
  <c r="BK266" i="4"/>
  <c r="BK267" i="4"/>
  <c r="BK268" i="4"/>
  <c r="BK269" i="4"/>
  <c r="BK270" i="4"/>
  <c r="BK271" i="4"/>
  <c r="BK272" i="4"/>
  <c r="BK273" i="4"/>
  <c r="BK274" i="4"/>
  <c r="BK275" i="4"/>
  <c r="BK276" i="4"/>
  <c r="BK277" i="4"/>
  <c r="BK278" i="4"/>
  <c r="BK279" i="4"/>
  <c r="BK280" i="4"/>
  <c r="BK281" i="4"/>
  <c r="BK282" i="4"/>
  <c r="BK283" i="4"/>
  <c r="BK284" i="4"/>
  <c r="BK285" i="4"/>
  <c r="BK286" i="4"/>
  <c r="BK287" i="4"/>
  <c r="BK288" i="4"/>
  <c r="BK289" i="4"/>
  <c r="BK290" i="4"/>
  <c r="BK291" i="4"/>
  <c r="BK292" i="4"/>
  <c r="BK293" i="4"/>
  <c r="BK294" i="4"/>
  <c r="BK295" i="4"/>
  <c r="BK296" i="4"/>
  <c r="BK297" i="4"/>
  <c r="BK298" i="4"/>
  <c r="BK299" i="4"/>
  <c r="BK300" i="4"/>
  <c r="BK301" i="4"/>
  <c r="BK302" i="4"/>
  <c r="BK303" i="4"/>
  <c r="BK304" i="4"/>
  <c r="BK305" i="4"/>
  <c r="BK306" i="4"/>
  <c r="BK307" i="4"/>
  <c r="BK308" i="4"/>
  <c r="BK309" i="4"/>
  <c r="BK310" i="4"/>
  <c r="BK311" i="4"/>
  <c r="BK312" i="4"/>
  <c r="BK313" i="4"/>
  <c r="BK314" i="4"/>
  <c r="BK315" i="4"/>
  <c r="BK316" i="4"/>
  <c r="BK317" i="4"/>
  <c r="BK318" i="4"/>
  <c r="BK319" i="4"/>
  <c r="BK320" i="4"/>
  <c r="BK321" i="4"/>
  <c r="BK322" i="4"/>
  <c r="BK323" i="4"/>
  <c r="BK324" i="4"/>
  <c r="BK325" i="4"/>
  <c r="BK326" i="4"/>
  <c r="BK327" i="4"/>
  <c r="BK328" i="4"/>
  <c r="BK329" i="4"/>
  <c r="BK330" i="4"/>
  <c r="BK331" i="4"/>
  <c r="BK332" i="4"/>
  <c r="BK333" i="4"/>
  <c r="BK334" i="4"/>
  <c r="BK335" i="4"/>
  <c r="BK336" i="4"/>
  <c r="BK337" i="4"/>
  <c r="BK338" i="4"/>
  <c r="BK339" i="4"/>
  <c r="BK340" i="4"/>
  <c r="BK341" i="4"/>
  <c r="BK342" i="4"/>
  <c r="BK343" i="4"/>
  <c r="BK344" i="4"/>
  <c r="BK345" i="4"/>
  <c r="BK346" i="4"/>
  <c r="BK347" i="4"/>
  <c r="BK348" i="4"/>
  <c r="BK349" i="4"/>
  <c r="BK350" i="4"/>
  <c r="BK351" i="4"/>
  <c r="BK352" i="4"/>
  <c r="BK353" i="4"/>
  <c r="BK354" i="4"/>
  <c r="BK355" i="4"/>
  <c r="BK356" i="4"/>
  <c r="BK357" i="4"/>
  <c r="BK358" i="4"/>
  <c r="BK359" i="4"/>
  <c r="BK360" i="4"/>
  <c r="BK361" i="4"/>
  <c r="BK362" i="4"/>
  <c r="BK363" i="4"/>
  <c r="BK364" i="4"/>
  <c r="BK365" i="4"/>
  <c r="BK366" i="4"/>
  <c r="BK367" i="4"/>
  <c r="BK368" i="4"/>
  <c r="BK369" i="4"/>
  <c r="BK370" i="4"/>
  <c r="BK371" i="4"/>
  <c r="BK372" i="4"/>
  <c r="BK373" i="4"/>
  <c r="BK374" i="4"/>
  <c r="BK375" i="4"/>
  <c r="BK376" i="4"/>
  <c r="BK377" i="4"/>
  <c r="BK378" i="4"/>
  <c r="BK379" i="4"/>
  <c r="BK380" i="4"/>
  <c r="BK381" i="4"/>
  <c r="BK382" i="4"/>
  <c r="BK383" i="4"/>
  <c r="BK384" i="4"/>
  <c r="BK385" i="4"/>
  <c r="BK386" i="4"/>
  <c r="BK387" i="4"/>
  <c r="BK388" i="4"/>
  <c r="BK389" i="4"/>
  <c r="BK390" i="4"/>
  <c r="BK391" i="4"/>
  <c r="BK392" i="4"/>
  <c r="BK393" i="4"/>
  <c r="BK394" i="4"/>
  <c r="BK395" i="4"/>
  <c r="BK396" i="4"/>
  <c r="BK397" i="4"/>
  <c r="BK398" i="4"/>
  <c r="BK399" i="4"/>
  <c r="BK400" i="4"/>
  <c r="BK401" i="4"/>
  <c r="BK402" i="4"/>
  <c r="BK403" i="4"/>
  <c r="BK404" i="4"/>
  <c r="BK405" i="4"/>
  <c r="BK406" i="4"/>
  <c r="BK407" i="4"/>
  <c r="BK408" i="4"/>
  <c r="BK409" i="4"/>
  <c r="BK410" i="4"/>
  <c r="BK411" i="4"/>
  <c r="BK412" i="4"/>
  <c r="BK413" i="4"/>
  <c r="BK414" i="4"/>
  <c r="BK415" i="4"/>
  <c r="BK416" i="4"/>
  <c r="BK417" i="4"/>
  <c r="BK418" i="4"/>
  <c r="BK419" i="4"/>
  <c r="BK420" i="4"/>
  <c r="BK421" i="4"/>
  <c r="BK422" i="4"/>
  <c r="BK423" i="4"/>
  <c r="BK424" i="4"/>
  <c r="BK425" i="4"/>
  <c r="BK426" i="4"/>
  <c r="BK427" i="4"/>
  <c r="BK428" i="4"/>
  <c r="BK429" i="4"/>
  <c r="BK430" i="4"/>
  <c r="BK431" i="4"/>
  <c r="BK432" i="4"/>
  <c r="BK433" i="4"/>
  <c r="BK434" i="4"/>
  <c r="BK435" i="4"/>
  <c r="BK436" i="4"/>
  <c r="BK437" i="4"/>
  <c r="BK438" i="4"/>
  <c r="BK439" i="4"/>
  <c r="BK440" i="4"/>
  <c r="BK441" i="4"/>
  <c r="BK442" i="4"/>
  <c r="BK443" i="4"/>
  <c r="BK444" i="4"/>
  <c r="BK445" i="4"/>
  <c r="BK446" i="4"/>
  <c r="BK447" i="4"/>
  <c r="BK448" i="4"/>
  <c r="BK449" i="4"/>
  <c r="BK450" i="4"/>
  <c r="BK451" i="4"/>
  <c r="BK452" i="4"/>
  <c r="BK453" i="4"/>
  <c r="BK454" i="4"/>
  <c r="BK455" i="4"/>
  <c r="BK456" i="4"/>
  <c r="BK457" i="4"/>
  <c r="BK458" i="4"/>
  <c r="BK459" i="4"/>
  <c r="BK460" i="4"/>
  <c r="BK461" i="4"/>
  <c r="BK462" i="4"/>
  <c r="BK463" i="4"/>
  <c r="BK464" i="4"/>
  <c r="BK465" i="4"/>
  <c r="BK466" i="4"/>
  <c r="BK467" i="4"/>
  <c r="BK468" i="4"/>
  <c r="BK469" i="4"/>
  <c r="BK470" i="4"/>
  <c r="BK471" i="4"/>
  <c r="BK472" i="4"/>
  <c r="BK473" i="4"/>
  <c r="BK474" i="4"/>
  <c r="BK475" i="4"/>
  <c r="BK476" i="4"/>
  <c r="BK477" i="4"/>
  <c r="BK478" i="4"/>
  <c r="BK479" i="4"/>
  <c r="BK480" i="4"/>
  <c r="BK481" i="4"/>
  <c r="BK482" i="4"/>
  <c r="BK483" i="4"/>
  <c r="BK484" i="4"/>
  <c r="BK485" i="4"/>
  <c r="BK486" i="4"/>
  <c r="BK487" i="4"/>
  <c r="BK488" i="4"/>
  <c r="BK489" i="4"/>
  <c r="BK490" i="4"/>
  <c r="BK491" i="4"/>
  <c r="BK492" i="4"/>
  <c r="BK493" i="4"/>
  <c r="BK494" i="4"/>
  <c r="BK495" i="4"/>
  <c r="BK496" i="4"/>
  <c r="BK497" i="4"/>
  <c r="BK498" i="4"/>
  <c r="BK499" i="4"/>
  <c r="BK500" i="4"/>
  <c r="BK501" i="4"/>
  <c r="BK502" i="4"/>
  <c r="BK503" i="4"/>
  <c r="BK504" i="4"/>
  <c r="BK505" i="4"/>
  <c r="BK506" i="4"/>
  <c r="BK507" i="4"/>
  <c r="BK508" i="4"/>
  <c r="BK509" i="4"/>
  <c r="BK510" i="4"/>
  <c r="BK511" i="4"/>
  <c r="BK512" i="4"/>
  <c r="BK513" i="4"/>
  <c r="BK514" i="4"/>
  <c r="BK515" i="4"/>
  <c r="BK516" i="4"/>
  <c r="BK517" i="4"/>
  <c r="BK518" i="4"/>
  <c r="BK519" i="4"/>
  <c r="BK520" i="4"/>
  <c r="BK521" i="4"/>
  <c r="BK522" i="4"/>
  <c r="BK523" i="4"/>
  <c r="BK524" i="4"/>
  <c r="BK525" i="4"/>
  <c r="BK526" i="4"/>
  <c r="BK527" i="4"/>
  <c r="BK528" i="4"/>
  <c r="BK529" i="4"/>
  <c r="BK530" i="4"/>
  <c r="BK531" i="4"/>
  <c r="BK532" i="4"/>
  <c r="BK533" i="4"/>
  <c r="BK534" i="4"/>
  <c r="BK535" i="4"/>
  <c r="BK536" i="4"/>
  <c r="BK537" i="4"/>
  <c r="BK538" i="4"/>
  <c r="BK539" i="4"/>
  <c r="BK540" i="4"/>
  <c r="BK541" i="4"/>
  <c r="BK542" i="4"/>
  <c r="BK543" i="4"/>
  <c r="BK544" i="4"/>
  <c r="BK545" i="4"/>
  <c r="BK546" i="4"/>
  <c r="BK547" i="4"/>
  <c r="BK548" i="4"/>
  <c r="BK549" i="4"/>
  <c r="BK550" i="4"/>
  <c r="BK551" i="4"/>
  <c r="BK552" i="4"/>
  <c r="BK553" i="4"/>
  <c r="BK554" i="4"/>
  <c r="BK555" i="4"/>
  <c r="BK556" i="4"/>
  <c r="BK557" i="4"/>
  <c r="BK558" i="4"/>
  <c r="BK559" i="4"/>
  <c r="BK560" i="4"/>
  <c r="BK561" i="4"/>
  <c r="BK562" i="4"/>
  <c r="BK563" i="4"/>
  <c r="BK564" i="4"/>
  <c r="BK565" i="4"/>
  <c r="BK566" i="4"/>
  <c r="BK567" i="4"/>
  <c r="BK568" i="4"/>
  <c r="BK569" i="4"/>
  <c r="BK570" i="4"/>
  <c r="BK571" i="4"/>
  <c r="BK572" i="4"/>
  <c r="BK573" i="4"/>
  <c r="BK574" i="4"/>
  <c r="BK575" i="4"/>
  <c r="BK576" i="4"/>
  <c r="BK577" i="4"/>
  <c r="BK578" i="4"/>
  <c r="BK579" i="4"/>
  <c r="BK580" i="4"/>
  <c r="BK581" i="4"/>
  <c r="BK582" i="4"/>
  <c r="BK583" i="4"/>
  <c r="BK584" i="4"/>
  <c r="BK585" i="4"/>
  <c r="BK586" i="4"/>
  <c r="BK587" i="4"/>
  <c r="BK588" i="4"/>
  <c r="BK589" i="4"/>
  <c r="BK590" i="4"/>
  <c r="BK591" i="4"/>
  <c r="BK592" i="4"/>
  <c r="BK593" i="4"/>
  <c r="BK594" i="4"/>
  <c r="BK595" i="4"/>
  <c r="BK596" i="4"/>
  <c r="BK597" i="4"/>
  <c r="BK598" i="4"/>
  <c r="BK599" i="4"/>
  <c r="BK600" i="4"/>
  <c r="BK601" i="4"/>
  <c r="BK602" i="4"/>
  <c r="BK603" i="4"/>
  <c r="BK604" i="4"/>
  <c r="BK605" i="4"/>
  <c r="BK606" i="4"/>
  <c r="BK607" i="4"/>
  <c r="BK608" i="4"/>
  <c r="BK609" i="4"/>
  <c r="BK610" i="4"/>
  <c r="BK611" i="4"/>
  <c r="BK612" i="4"/>
  <c r="BK613" i="4"/>
  <c r="BK614" i="4"/>
  <c r="BK615" i="4"/>
  <c r="BK616" i="4"/>
  <c r="BK617" i="4"/>
  <c r="BK618" i="4"/>
  <c r="BK619" i="4"/>
  <c r="BK620" i="4"/>
  <c r="BK621" i="4"/>
  <c r="BK622" i="4"/>
  <c r="BK623" i="4"/>
  <c r="BK624" i="4"/>
  <c r="BK625" i="4"/>
  <c r="BK626" i="4"/>
  <c r="BK627" i="4"/>
  <c r="BK628" i="4"/>
  <c r="BK629" i="4"/>
  <c r="BK630" i="4"/>
  <c r="BK631" i="4"/>
  <c r="BK632" i="4"/>
  <c r="BK633" i="4"/>
  <c r="BK634" i="4"/>
  <c r="BK635" i="4"/>
  <c r="BK636" i="4"/>
  <c r="BK637" i="4"/>
  <c r="BK638" i="4"/>
  <c r="BK639" i="4"/>
  <c r="BK640" i="4"/>
  <c r="BK641" i="4"/>
  <c r="BK642" i="4"/>
  <c r="BK643" i="4"/>
  <c r="BK644" i="4"/>
  <c r="BK645" i="4"/>
  <c r="BK646" i="4"/>
  <c r="BK647" i="4"/>
  <c r="BK648" i="4"/>
  <c r="BK649" i="4"/>
  <c r="BK650" i="4"/>
  <c r="BK651" i="4"/>
  <c r="BK652" i="4"/>
  <c r="BK653" i="4"/>
  <c r="BK654" i="4"/>
  <c r="BK655" i="4"/>
  <c r="BK656" i="4"/>
  <c r="BK657" i="4"/>
  <c r="BK658" i="4"/>
  <c r="BK659" i="4"/>
  <c r="BK660" i="4"/>
  <c r="BK661" i="4"/>
  <c r="BK662" i="4"/>
  <c r="BK663" i="4"/>
  <c r="BK664" i="4"/>
  <c r="BK665" i="4"/>
  <c r="BK666" i="4"/>
  <c r="BK667" i="4"/>
  <c r="BK668" i="4"/>
  <c r="BK669" i="4"/>
  <c r="BK670" i="4"/>
  <c r="BK671" i="4"/>
  <c r="BK672" i="4"/>
  <c r="BK673" i="4"/>
  <c r="BK674" i="4"/>
  <c r="BK675" i="4"/>
  <c r="BK676" i="4"/>
  <c r="BK677" i="4"/>
  <c r="BK678" i="4"/>
  <c r="BK679" i="4"/>
  <c r="BK680" i="4"/>
  <c r="BK681" i="4"/>
  <c r="BK682" i="4"/>
  <c r="BK683" i="4"/>
  <c r="BK684" i="4"/>
  <c r="BK685" i="4"/>
  <c r="BK686" i="4"/>
  <c r="BK687" i="4"/>
  <c r="BK688" i="4"/>
  <c r="BK689" i="4"/>
  <c r="BK690" i="4"/>
  <c r="BK691" i="4"/>
  <c r="BK692" i="4"/>
  <c r="BK693" i="4"/>
  <c r="BK694" i="4"/>
  <c r="BK695" i="4"/>
  <c r="BK696" i="4"/>
  <c r="BK697" i="4"/>
  <c r="BK698" i="4"/>
  <c r="BK699" i="4"/>
  <c r="BK700" i="4"/>
  <c r="BK701" i="4"/>
  <c r="BK702" i="4"/>
  <c r="BK703" i="4"/>
  <c r="BK704" i="4"/>
  <c r="BK705" i="4"/>
  <c r="BK706" i="4"/>
  <c r="BK707" i="4"/>
  <c r="BK708" i="4"/>
  <c r="BK709" i="4"/>
  <c r="BK710" i="4"/>
  <c r="BK711" i="4"/>
  <c r="BK712" i="4"/>
  <c r="BK713" i="4"/>
  <c r="BK714" i="4"/>
  <c r="BK715" i="4"/>
  <c r="BK716" i="4"/>
  <c r="BK717" i="4"/>
  <c r="BK718" i="4"/>
  <c r="BK719" i="4"/>
  <c r="BK720" i="4"/>
  <c r="BK721" i="4"/>
  <c r="BK722" i="4"/>
  <c r="BK723" i="4"/>
  <c r="BK724" i="4"/>
  <c r="BK725" i="4"/>
  <c r="BK726" i="4"/>
  <c r="BK727" i="4"/>
  <c r="BK728" i="4"/>
  <c r="BK729" i="4"/>
  <c r="BK730" i="4"/>
  <c r="BK731" i="4"/>
  <c r="BK732" i="4"/>
  <c r="BK733" i="4"/>
  <c r="BK734" i="4"/>
  <c r="BK735" i="4"/>
  <c r="BK736" i="4"/>
  <c r="BK737" i="4"/>
  <c r="BK738" i="4"/>
  <c r="BK739" i="4"/>
  <c r="BK740" i="4"/>
  <c r="BK741" i="4"/>
  <c r="BK742" i="4"/>
  <c r="BK743" i="4"/>
  <c r="BK744" i="4"/>
  <c r="BK745" i="4"/>
  <c r="BK746" i="4"/>
  <c r="BK747" i="4"/>
  <c r="BK748" i="4"/>
  <c r="BK749" i="4"/>
  <c r="BK750" i="4"/>
  <c r="BK751" i="4"/>
  <c r="BK752" i="4"/>
  <c r="BK753" i="4"/>
  <c r="BK754" i="4"/>
  <c r="BK755" i="4"/>
  <c r="BK756" i="4"/>
  <c r="BK757" i="4"/>
  <c r="BK758" i="4"/>
  <c r="BK759" i="4"/>
  <c r="BK760" i="4"/>
  <c r="BK761" i="4"/>
  <c r="BK762" i="4"/>
  <c r="BK763" i="4"/>
  <c r="BK764" i="4"/>
  <c r="BK765" i="4"/>
  <c r="BK766" i="4"/>
  <c r="BK767" i="4"/>
  <c r="BK768" i="4"/>
  <c r="BK769" i="4"/>
  <c r="BK770" i="4"/>
  <c r="BK771" i="4"/>
  <c r="BK772" i="4"/>
  <c r="BK773" i="4"/>
  <c r="BK774" i="4"/>
  <c r="BK775" i="4"/>
  <c r="BK776" i="4"/>
  <c r="BK777" i="4"/>
  <c r="BK778" i="4"/>
  <c r="BK779" i="4"/>
  <c r="BK780" i="4"/>
  <c r="BK781" i="4"/>
  <c r="BK782" i="4"/>
  <c r="BK783" i="4"/>
  <c r="BK784" i="4"/>
  <c r="BK785" i="4"/>
  <c r="BK786" i="4"/>
  <c r="BK787" i="4"/>
  <c r="BK788" i="4"/>
  <c r="BK789" i="4"/>
  <c r="BK790" i="4"/>
  <c r="BK791" i="4"/>
  <c r="BK792" i="4"/>
  <c r="BK793" i="4"/>
  <c r="BK794" i="4"/>
  <c r="BK795" i="4"/>
  <c r="BK796" i="4"/>
  <c r="BK797" i="4"/>
  <c r="BK798" i="4"/>
  <c r="BK799" i="4"/>
  <c r="BK800" i="4"/>
  <c r="BK801" i="4"/>
  <c r="BK802" i="4"/>
  <c r="BK803" i="4"/>
  <c r="BK804" i="4"/>
  <c r="BK805" i="4"/>
  <c r="BK806" i="4"/>
  <c r="BK807" i="4"/>
  <c r="BK808" i="4"/>
  <c r="BK809" i="4"/>
  <c r="BK810" i="4"/>
  <c r="BK811" i="4"/>
  <c r="BK812" i="4"/>
  <c r="BK813" i="4"/>
  <c r="BK814" i="4"/>
  <c r="BK815" i="4"/>
  <c r="BK816" i="4"/>
  <c r="BK817" i="4"/>
  <c r="BK818" i="4"/>
  <c r="BK819" i="4"/>
  <c r="BK820" i="4"/>
  <c r="BK821" i="4"/>
  <c r="BK822" i="4"/>
  <c r="BK823" i="4"/>
  <c r="BK824" i="4"/>
  <c r="BK825" i="4"/>
  <c r="BK826" i="4"/>
  <c r="BK827" i="4"/>
  <c r="BK828" i="4"/>
  <c r="BK829" i="4"/>
  <c r="BK830" i="4"/>
  <c r="BK831" i="4"/>
  <c r="BK832" i="4"/>
  <c r="BK833" i="4"/>
  <c r="BK834" i="4"/>
  <c r="BK835" i="4"/>
  <c r="BK836" i="4"/>
  <c r="BK837" i="4"/>
  <c r="BK838" i="4"/>
  <c r="BK839" i="4"/>
  <c r="BK840" i="4"/>
  <c r="BK841" i="4"/>
  <c r="BK842" i="4"/>
  <c r="BK843" i="4"/>
  <c r="BK844" i="4"/>
  <c r="BK845" i="4"/>
  <c r="BK846" i="4"/>
  <c r="BK847" i="4"/>
  <c r="BK848" i="4"/>
  <c r="BK849" i="4"/>
  <c r="BK850" i="4"/>
  <c r="BK851" i="4"/>
  <c r="BK852" i="4"/>
  <c r="BK853" i="4"/>
  <c r="BK854" i="4"/>
  <c r="BK855" i="4"/>
  <c r="BK856" i="4"/>
  <c r="BK857" i="4"/>
  <c r="BK858" i="4"/>
  <c r="BK859" i="4"/>
  <c r="BK860" i="4"/>
  <c r="BK861" i="4"/>
  <c r="BK862" i="4"/>
  <c r="BK863" i="4"/>
  <c r="BK864" i="4"/>
  <c r="BK865" i="4"/>
  <c r="BK866" i="4"/>
  <c r="BK867" i="4"/>
  <c r="BK868" i="4"/>
  <c r="BK869" i="4"/>
  <c r="BK870" i="4"/>
  <c r="BK871" i="4"/>
  <c r="BK872" i="4"/>
  <c r="BK873" i="4"/>
  <c r="BK874" i="4"/>
  <c r="BK875" i="4"/>
  <c r="BK876" i="4"/>
  <c r="BK877" i="4"/>
  <c r="BK878" i="4"/>
  <c r="BK879" i="4"/>
  <c r="BK880" i="4"/>
  <c r="BK881" i="4"/>
  <c r="BK882" i="4"/>
  <c r="BK883" i="4"/>
  <c r="BK884" i="4"/>
  <c r="BK885" i="4"/>
  <c r="BK886" i="4"/>
  <c r="BK887" i="4"/>
  <c r="BK888" i="4"/>
  <c r="BK889" i="4"/>
  <c r="BK890" i="4"/>
  <c r="BK891" i="4"/>
  <c r="BK892" i="4"/>
  <c r="BK893" i="4"/>
  <c r="BK894" i="4"/>
  <c r="BK895" i="4"/>
  <c r="BK896" i="4"/>
  <c r="BK897" i="4"/>
  <c r="BK898" i="4"/>
  <c r="BK899" i="4"/>
  <c r="BK900" i="4"/>
  <c r="BK901" i="4"/>
  <c r="BK902" i="4"/>
  <c r="BK903" i="4"/>
  <c r="BK904" i="4"/>
  <c r="BK905" i="4"/>
  <c r="BK906" i="4"/>
  <c r="BK907" i="4"/>
  <c r="BK908" i="4"/>
  <c r="BK909" i="4"/>
  <c r="BK910" i="4"/>
  <c r="BK911" i="4"/>
  <c r="BK912" i="4"/>
  <c r="BK913" i="4"/>
  <c r="BK914" i="4"/>
  <c r="BK915" i="4"/>
  <c r="BK916" i="4"/>
  <c r="BK917" i="4"/>
  <c r="BK918" i="4"/>
  <c r="BK919" i="4"/>
  <c r="BK920" i="4"/>
  <c r="BK921" i="4"/>
  <c r="BK922" i="4"/>
  <c r="BK923" i="4"/>
  <c r="BK924" i="4"/>
  <c r="BK925" i="4"/>
  <c r="BK926" i="4"/>
  <c r="BK927" i="4"/>
  <c r="BK928" i="4"/>
  <c r="BK929" i="4"/>
  <c r="BK930" i="4"/>
  <c r="BK931" i="4"/>
  <c r="BK932" i="4"/>
  <c r="BK933" i="4"/>
  <c r="BK934" i="4"/>
  <c r="BK935" i="4"/>
  <c r="BK936" i="4"/>
  <c r="BK937" i="4"/>
  <c r="BK938" i="4"/>
  <c r="BK939" i="4"/>
  <c r="BK940" i="4"/>
  <c r="BK941" i="4"/>
  <c r="BK942" i="4"/>
  <c r="BK943" i="4"/>
  <c r="BK944" i="4"/>
  <c r="BK945" i="4"/>
  <c r="BK946" i="4"/>
  <c r="BK947" i="4"/>
  <c r="BK948" i="4"/>
  <c r="BK949" i="4"/>
  <c r="BK950" i="4"/>
  <c r="BK951" i="4"/>
  <c r="BK952" i="4"/>
  <c r="BK953" i="4"/>
  <c r="BK954" i="4"/>
  <c r="BK955" i="4"/>
  <c r="BK956" i="4"/>
  <c r="BK957" i="4"/>
  <c r="BK958" i="4"/>
  <c r="BK959" i="4"/>
  <c r="BK960" i="4"/>
  <c r="BK961" i="4"/>
  <c r="BK962" i="4"/>
  <c r="BK963" i="4"/>
  <c r="BK964" i="4"/>
  <c r="BK965" i="4"/>
  <c r="BK966" i="4"/>
  <c r="BK967" i="4"/>
  <c r="BK968" i="4"/>
  <c r="BK969" i="4"/>
  <c r="BK970" i="4"/>
  <c r="BK971" i="4"/>
  <c r="BK972" i="4"/>
  <c r="BK973" i="4"/>
  <c r="BK974" i="4"/>
  <c r="BK975" i="4"/>
  <c r="BK976" i="4"/>
  <c r="BK977" i="4"/>
  <c r="BK978" i="4"/>
  <c r="BK979" i="4"/>
  <c r="BK980" i="4"/>
  <c r="BK981" i="4"/>
  <c r="BK982" i="4"/>
  <c r="BK983" i="4"/>
  <c r="BK984" i="4"/>
  <c r="BK985" i="4"/>
  <c r="BK986" i="4"/>
  <c r="BK987" i="4"/>
  <c r="BK988" i="4"/>
  <c r="BK989" i="4"/>
  <c r="BK990" i="4"/>
  <c r="BK991" i="4"/>
  <c r="BK992" i="4"/>
  <c r="BK993" i="4"/>
  <c r="BK994" i="4"/>
  <c r="BK995" i="4"/>
  <c r="BK996" i="4"/>
  <c r="BK997" i="4"/>
  <c r="BK998" i="4"/>
  <c r="BK999" i="4"/>
  <c r="BK1000" i="4"/>
  <c r="BK1001" i="4"/>
  <c r="BK1002" i="4"/>
  <c r="BK1003" i="4"/>
  <c r="BK1004" i="4"/>
  <c r="BK1005" i="4"/>
  <c r="BK1006" i="4"/>
  <c r="BK1007" i="4"/>
  <c r="BK1008" i="4"/>
  <c r="BK1009" i="4"/>
  <c r="BK1010" i="4"/>
  <c r="BK1011" i="4"/>
  <c r="BK1012" i="4"/>
  <c r="BK1013" i="4"/>
  <c r="BK1014" i="4"/>
  <c r="BK1015" i="4"/>
  <c r="BK1016" i="4"/>
  <c r="BK1017" i="4"/>
  <c r="BK1018" i="4"/>
  <c r="BK1019" i="4"/>
  <c r="BK1020" i="4"/>
  <c r="BK1021" i="4"/>
  <c r="BK1022" i="4"/>
  <c r="BK1023" i="4"/>
  <c r="BK1024" i="4"/>
  <c r="BK1025" i="4"/>
  <c r="BK1026" i="4"/>
  <c r="BK1027" i="4"/>
  <c r="BK1028" i="4"/>
  <c r="BK1029" i="4"/>
  <c r="BK1030" i="4"/>
  <c r="BK1031" i="4"/>
  <c r="BK1032" i="4"/>
  <c r="BK1033" i="4"/>
  <c r="BK1034" i="4"/>
  <c r="BK1035" i="4"/>
  <c r="BK1036" i="4"/>
  <c r="BK1037" i="4"/>
  <c r="BK1038" i="4"/>
  <c r="BK1039" i="4"/>
  <c r="BK1040" i="4"/>
  <c r="BK1041" i="4"/>
  <c r="BK1042" i="4"/>
  <c r="BK1043" i="4"/>
  <c r="BK1044" i="4"/>
  <c r="BK1045" i="4"/>
  <c r="BK1046" i="4"/>
  <c r="BK1047" i="4"/>
  <c r="BK1048" i="4"/>
  <c r="BK1049" i="4"/>
  <c r="BK1050" i="4"/>
  <c r="BK1051" i="4"/>
  <c r="BK1052" i="4"/>
  <c r="BK1053" i="4"/>
  <c r="BK1054" i="4"/>
  <c r="BK1055" i="4"/>
  <c r="BK1056" i="4"/>
  <c r="BK1057" i="4"/>
  <c r="BK1058" i="4"/>
  <c r="BK1059" i="4"/>
  <c r="BK1060" i="4"/>
  <c r="BK1061" i="4"/>
  <c r="BK1062" i="4"/>
  <c r="BK1063" i="4"/>
  <c r="BK1064" i="4"/>
  <c r="BK1065" i="4"/>
  <c r="BK1066" i="4"/>
  <c r="BK1067" i="4"/>
  <c r="BK1068" i="4"/>
  <c r="BK1069" i="4"/>
  <c r="BK1070" i="4"/>
  <c r="BK1071" i="4"/>
  <c r="BK1072" i="4"/>
  <c r="BK1073" i="4"/>
  <c r="BK1074" i="4"/>
  <c r="BK1075" i="4"/>
  <c r="BK1076" i="4"/>
  <c r="BK1077" i="4"/>
  <c r="BK1078" i="4"/>
  <c r="BK1079" i="4"/>
  <c r="BK1080" i="4"/>
  <c r="BK1081" i="4"/>
  <c r="BK1082" i="4"/>
  <c r="BK1083" i="4"/>
  <c r="BK1084" i="4"/>
  <c r="BK1085" i="4"/>
  <c r="BK1086" i="4"/>
  <c r="BK1087" i="4"/>
  <c r="BK1088" i="4"/>
  <c r="BK1089" i="4"/>
  <c r="BK1090" i="4"/>
  <c r="BK1091" i="4"/>
  <c r="BK1092" i="4"/>
  <c r="BK1093" i="4"/>
  <c r="BK1094" i="4"/>
  <c r="BK1095" i="4"/>
  <c r="BK1096" i="4"/>
  <c r="BK1097" i="4"/>
  <c r="BK1098" i="4"/>
  <c r="BK1099" i="4"/>
  <c r="BK1100" i="4"/>
  <c r="BK1101" i="4"/>
  <c r="BK1102" i="4"/>
  <c r="BK1103" i="4"/>
  <c r="BK1104" i="4"/>
  <c r="BK1105" i="4"/>
  <c r="BK1106" i="4"/>
  <c r="BK1107" i="4"/>
  <c r="BK1108" i="4"/>
  <c r="BK1109" i="4"/>
  <c r="BK1110" i="4"/>
  <c r="BK1111" i="4"/>
  <c r="BK1112" i="4"/>
  <c r="BK1113" i="4"/>
  <c r="BK1114" i="4"/>
  <c r="BK1115" i="4"/>
  <c r="BK1116" i="4"/>
  <c r="BK1117" i="4"/>
  <c r="BK1118" i="4"/>
  <c r="BK1119" i="4"/>
  <c r="BK1120" i="4"/>
  <c r="BK1121" i="4"/>
  <c r="BK1122" i="4"/>
  <c r="BK1123" i="4"/>
  <c r="BK1124" i="4"/>
  <c r="BK1125" i="4"/>
  <c r="BK1126" i="4"/>
  <c r="BK1127" i="4"/>
  <c r="BK1128" i="4"/>
  <c r="BK1129" i="4"/>
  <c r="BK1130" i="4"/>
  <c r="BK1131" i="4"/>
  <c r="BK1132" i="4"/>
  <c r="BK1133" i="4"/>
  <c r="BK1134" i="4"/>
  <c r="BK1135" i="4"/>
  <c r="BK1136" i="4"/>
  <c r="BK1137" i="4"/>
  <c r="BK1138" i="4"/>
  <c r="BK1139" i="4"/>
  <c r="BK1140" i="4"/>
  <c r="BK1141" i="4"/>
  <c r="BK1142" i="4"/>
  <c r="BK1143" i="4"/>
  <c r="BK1144" i="4"/>
  <c r="BK1145" i="4"/>
  <c r="BK1146" i="4"/>
  <c r="BK1147" i="4"/>
  <c r="BK1148" i="4"/>
  <c r="BK1149" i="4"/>
  <c r="BK1150" i="4"/>
  <c r="BK1151" i="4"/>
  <c r="BK1152" i="4"/>
  <c r="BK1153" i="4"/>
  <c r="BK1154" i="4"/>
  <c r="BK1155" i="4"/>
  <c r="BK1156" i="4"/>
  <c r="BK1157" i="4"/>
  <c r="BK1158" i="4"/>
  <c r="BK1159" i="4"/>
  <c r="BK1160" i="4"/>
  <c r="BK1161" i="4"/>
  <c r="BK1162" i="4"/>
  <c r="BK1163" i="4"/>
  <c r="BK1164" i="4"/>
  <c r="BK1165" i="4"/>
  <c r="BK1166" i="4"/>
  <c r="BK1167" i="4"/>
  <c r="BK1168" i="4"/>
  <c r="BK1169" i="4"/>
  <c r="BK1170" i="4"/>
  <c r="BK1171" i="4"/>
  <c r="BK1172" i="4"/>
  <c r="BK1173" i="4"/>
  <c r="BK1174" i="4"/>
  <c r="BK1175" i="4"/>
  <c r="BK1176" i="4"/>
  <c r="BK1177" i="4"/>
  <c r="BK1178" i="4"/>
  <c r="BK1179" i="4"/>
  <c r="BK1180" i="4"/>
  <c r="BK1181" i="4"/>
  <c r="BK1182" i="4"/>
  <c r="BK1183" i="4"/>
  <c r="BK1184" i="4"/>
  <c r="BK1185" i="4"/>
  <c r="BK1186" i="4"/>
  <c r="BK1187" i="4"/>
  <c r="BK1188" i="4"/>
  <c r="BK1189" i="4"/>
  <c r="BK1190" i="4"/>
  <c r="BK1191" i="4"/>
  <c r="BK1192" i="4"/>
  <c r="BK1193" i="4"/>
  <c r="BK1194" i="4"/>
  <c r="BK1195" i="4"/>
  <c r="BK1196" i="4"/>
  <c r="BK1197" i="4"/>
  <c r="BK1198" i="4"/>
  <c r="BK1199" i="4"/>
  <c r="BK1200" i="4"/>
  <c r="BK1201" i="4"/>
  <c r="BK1202" i="4"/>
  <c r="BK1203" i="4"/>
  <c r="BK1204" i="4"/>
  <c r="BK1205" i="4"/>
  <c r="BK1206" i="4"/>
  <c r="BK1207" i="4"/>
  <c r="BK1208" i="4"/>
  <c r="BK1209" i="4"/>
  <c r="BK1210" i="4"/>
  <c r="BK1211" i="4"/>
  <c r="BK1212" i="4"/>
  <c r="BK1213" i="4"/>
  <c r="BK1214" i="4"/>
  <c r="BK1215" i="4"/>
  <c r="BK1216" i="4"/>
  <c r="BK1217" i="4"/>
  <c r="BK1218" i="4"/>
  <c r="BK1219" i="4"/>
  <c r="BK1220" i="4"/>
  <c r="BK1221" i="4"/>
  <c r="BK1222" i="4"/>
  <c r="BK1223" i="4"/>
  <c r="BK1224" i="4"/>
  <c r="BK1225" i="4"/>
  <c r="BK1226" i="4"/>
  <c r="BK1227" i="4"/>
  <c r="BK1228" i="4"/>
  <c r="BK1229" i="4"/>
  <c r="BK1230" i="4"/>
  <c r="BK1231" i="4"/>
  <c r="BK1232" i="4"/>
  <c r="BK1233" i="4"/>
  <c r="BK1234" i="4"/>
  <c r="BK1235" i="4"/>
  <c r="BK1236" i="4"/>
  <c r="BK1237" i="4"/>
  <c r="BK1238" i="4"/>
  <c r="BK1239" i="4"/>
  <c r="BK1240" i="4"/>
  <c r="BK1241" i="4"/>
  <c r="BK1242" i="4"/>
  <c r="BK1243" i="4"/>
  <c r="BK1244" i="4"/>
  <c r="BK1245" i="4"/>
  <c r="BK1246" i="4"/>
  <c r="BK1247" i="4"/>
  <c r="BK1248" i="4"/>
  <c r="BK1249" i="4"/>
  <c r="BK1250" i="4"/>
  <c r="BK1251" i="4"/>
  <c r="BK1252" i="4"/>
  <c r="BK1253" i="4"/>
  <c r="BK1254" i="4"/>
  <c r="BK1255" i="4"/>
  <c r="BK1256" i="4"/>
  <c r="BK1257" i="4"/>
  <c r="BK1258" i="4"/>
  <c r="BK1259" i="4"/>
  <c r="BK1260" i="4"/>
  <c r="BK1261" i="4"/>
  <c r="BK1262" i="4"/>
  <c r="BK1263" i="4"/>
  <c r="BK1264" i="4"/>
  <c r="BK1265" i="4"/>
  <c r="BK1266" i="4"/>
  <c r="BK1267" i="4"/>
  <c r="BK1268" i="4"/>
  <c r="BK1269" i="4"/>
  <c r="BK1270" i="4"/>
  <c r="BK1271" i="4"/>
  <c r="BK1272" i="4"/>
  <c r="BK1273" i="4"/>
  <c r="BK1274" i="4"/>
  <c r="BK1275" i="4"/>
  <c r="BK1276" i="4"/>
  <c r="BK1277" i="4"/>
  <c r="BK1278" i="4"/>
  <c r="BK1279" i="4"/>
  <c r="BK1280" i="4"/>
  <c r="BK1281" i="4"/>
  <c r="BK1282" i="4"/>
  <c r="BK1283" i="4"/>
  <c r="BK1284" i="4"/>
  <c r="BK1285" i="4"/>
  <c r="BK1286" i="4"/>
  <c r="BK1287" i="4"/>
  <c r="BK1288" i="4"/>
  <c r="BK1289" i="4"/>
  <c r="BK1290" i="4"/>
  <c r="BK1291" i="4"/>
  <c r="BK1292" i="4"/>
  <c r="BK1293" i="4"/>
  <c r="BK1294" i="4"/>
  <c r="BK1295" i="4"/>
  <c r="BK1296" i="4"/>
  <c r="BK1297" i="4"/>
  <c r="BK1298" i="4"/>
  <c r="BK1299" i="4"/>
  <c r="BK1300" i="4"/>
  <c r="BK1301" i="4"/>
  <c r="BK1302" i="4"/>
  <c r="BK1303" i="4"/>
  <c r="BK1304" i="4"/>
  <c r="BK1305" i="4"/>
  <c r="BK1306" i="4"/>
  <c r="BK1307" i="4"/>
  <c r="BK1308" i="4"/>
  <c r="BK1309" i="4"/>
  <c r="BK1310" i="4"/>
  <c r="BK1311" i="4"/>
  <c r="BK1312" i="4"/>
  <c r="BK1313" i="4"/>
  <c r="BK1314" i="4"/>
  <c r="BK1315" i="4"/>
  <c r="BK1316" i="4"/>
  <c r="BK1317" i="4"/>
  <c r="BK1318" i="4"/>
  <c r="BK1319" i="4"/>
  <c r="BK1320" i="4"/>
  <c r="BK1321" i="4"/>
  <c r="BK1322" i="4"/>
  <c r="BK1323" i="4"/>
  <c r="BK1324" i="4"/>
  <c r="BK1325" i="4"/>
  <c r="BK1326" i="4"/>
  <c r="BK1327" i="4"/>
  <c r="BK1328" i="4"/>
  <c r="BK1329" i="4"/>
  <c r="BK1330" i="4"/>
  <c r="BK1331" i="4"/>
  <c r="BK1332" i="4"/>
  <c r="BK1333" i="4"/>
  <c r="BK1334" i="4"/>
  <c r="BK1335" i="4"/>
  <c r="BK1336" i="4"/>
  <c r="BK1337" i="4"/>
  <c r="BK1338" i="4"/>
  <c r="BK1339" i="4"/>
  <c r="BK1340" i="4"/>
  <c r="BK1341" i="4"/>
  <c r="BK1342" i="4"/>
  <c r="BK1343" i="4"/>
  <c r="BK1344" i="4"/>
  <c r="BK1345" i="4"/>
  <c r="J14" i="2"/>
  <c r="J13" i="2"/>
  <c r="J12" i="2"/>
  <c r="BI1295" i="4" l="1"/>
  <c r="BT1295" i="4" s="1"/>
  <c r="BI1296" i="4"/>
  <c r="BI1297" i="4"/>
  <c r="BT1297" i="4" s="1"/>
  <c r="BI1298" i="4"/>
  <c r="BI1299" i="4"/>
  <c r="BT1299" i="4" s="1"/>
  <c r="BI1300" i="4"/>
  <c r="BI1301" i="4"/>
  <c r="BI1302" i="4"/>
  <c r="BT1302" i="4" s="1"/>
  <c r="BZ1302" i="4" s="1"/>
  <c r="CB1302" i="4" s="1"/>
  <c r="BI1303" i="4"/>
  <c r="BI1304" i="4"/>
  <c r="BI1305" i="4"/>
  <c r="BT1305" i="4" s="1"/>
  <c r="BZ1305" i="4" s="1"/>
  <c r="CB1305" i="4" s="1"/>
  <c r="BI1306" i="4"/>
  <c r="BT1306" i="4" s="1"/>
  <c r="BZ1306" i="4" s="1"/>
  <c r="CB1306" i="4" s="1"/>
  <c r="BI1307" i="4"/>
  <c r="BT1307" i="4" s="1"/>
  <c r="BZ1307" i="4" s="1"/>
  <c r="CB1307" i="4" s="1"/>
  <c r="BI1308" i="4"/>
  <c r="BT1308" i="4" s="1"/>
  <c r="BZ1308" i="4" s="1"/>
  <c r="CB1308" i="4" s="1"/>
  <c r="BI1309" i="4"/>
  <c r="BT1309" i="4" s="1"/>
  <c r="BZ1309" i="4" s="1"/>
  <c r="CB1309" i="4" s="1"/>
  <c r="BI1310" i="4"/>
  <c r="BT1310" i="4" s="1"/>
  <c r="BZ1310" i="4" s="1"/>
  <c r="CB1310" i="4" s="1"/>
  <c r="BI1311" i="4"/>
  <c r="BT1311" i="4" s="1"/>
  <c r="BZ1311" i="4" s="1"/>
  <c r="CB1311" i="4" s="1"/>
  <c r="BI1312" i="4"/>
  <c r="BT1312" i="4" s="1"/>
  <c r="BZ1312" i="4" s="1"/>
  <c r="CB1312" i="4" s="1"/>
  <c r="BI1313" i="4"/>
  <c r="BT1313" i="4" s="1"/>
  <c r="BZ1313" i="4" s="1"/>
  <c r="CB1313" i="4" s="1"/>
  <c r="BI1314" i="4"/>
  <c r="BT1314" i="4" s="1"/>
  <c r="BZ1314" i="4" s="1"/>
  <c r="CB1314" i="4" s="1"/>
  <c r="BI1315" i="4"/>
  <c r="BT1315" i="4" s="1"/>
  <c r="BZ1315" i="4" s="1"/>
  <c r="CB1315" i="4" s="1"/>
  <c r="BI1316" i="4"/>
  <c r="BT1316" i="4" s="1"/>
  <c r="BZ1316" i="4" s="1"/>
  <c r="CB1316" i="4" s="1"/>
  <c r="BI1318" i="4"/>
  <c r="BT1318" i="4" s="1"/>
  <c r="BZ1318" i="4" s="1"/>
  <c r="CB1318" i="4" s="1"/>
  <c r="BI1319" i="4"/>
  <c r="BT1319" i="4" s="1"/>
  <c r="BZ1319" i="4" s="1"/>
  <c r="CB1319" i="4" s="1"/>
  <c r="BI1320" i="4"/>
  <c r="BT1320" i="4" s="1"/>
  <c r="BZ1320" i="4" s="1"/>
  <c r="CB1320" i="4" s="1"/>
  <c r="BI1321" i="4"/>
  <c r="BT1321" i="4" s="1"/>
  <c r="BZ1321" i="4" s="1"/>
  <c r="CB1321" i="4" s="1"/>
  <c r="BI1322" i="4"/>
  <c r="BT1322" i="4" s="1"/>
  <c r="BZ1322" i="4" s="1"/>
  <c r="CB1322" i="4" s="1"/>
  <c r="BI1323" i="4"/>
  <c r="BT1323" i="4" s="1"/>
  <c r="BZ1323" i="4" s="1"/>
  <c r="CB1323" i="4" s="1"/>
  <c r="BI1324" i="4"/>
  <c r="BT1324" i="4" s="1"/>
  <c r="BZ1324" i="4" s="1"/>
  <c r="CB1324" i="4" s="1"/>
  <c r="BI1325" i="4"/>
  <c r="BT1325" i="4" s="1"/>
  <c r="BZ1325" i="4" s="1"/>
  <c r="CB1325" i="4" s="1"/>
  <c r="BI1326" i="4"/>
  <c r="BT1326" i="4" s="1"/>
  <c r="BZ1326" i="4" s="1"/>
  <c r="CB1326" i="4" s="1"/>
  <c r="BI1327" i="4"/>
  <c r="BT1327" i="4" s="1"/>
  <c r="BZ1327" i="4" s="1"/>
  <c r="CB1327" i="4" s="1"/>
  <c r="BI1328" i="4"/>
  <c r="BT1328" i="4" s="1"/>
  <c r="BZ1328" i="4" s="1"/>
  <c r="CB1328" i="4" s="1"/>
  <c r="BI1329" i="4"/>
  <c r="BT1329" i="4" s="1"/>
  <c r="BZ1329" i="4" s="1"/>
  <c r="CB1329" i="4" s="1"/>
  <c r="BI1330" i="4"/>
  <c r="BT1330" i="4" s="1"/>
  <c r="BZ1330" i="4" s="1"/>
  <c r="CB1330" i="4" s="1"/>
  <c r="BI1331" i="4"/>
  <c r="BT1331" i="4" s="1"/>
  <c r="BZ1331" i="4" s="1"/>
  <c r="CB1331" i="4" s="1"/>
  <c r="BI1332" i="4"/>
  <c r="BT1332" i="4" s="1"/>
  <c r="BZ1332" i="4" s="1"/>
  <c r="CB1332" i="4" s="1"/>
  <c r="BI1333" i="4"/>
  <c r="BT1333" i="4" s="1"/>
  <c r="BZ1333" i="4" s="1"/>
  <c r="CB1333" i="4" s="1"/>
  <c r="BI1334" i="4"/>
  <c r="BT1334" i="4" s="1"/>
  <c r="BZ1334" i="4" s="1"/>
  <c r="CB1334" i="4" s="1"/>
  <c r="BI1335" i="4"/>
  <c r="BT1335" i="4" s="1"/>
  <c r="BZ1335" i="4" s="1"/>
  <c r="CB1335" i="4" s="1"/>
  <c r="BI1336" i="4"/>
  <c r="BT1336" i="4" s="1"/>
  <c r="BZ1336" i="4" s="1"/>
  <c r="CB1336" i="4" s="1"/>
  <c r="BI1337" i="4"/>
  <c r="BT1337" i="4" s="1"/>
  <c r="BZ1337" i="4" s="1"/>
  <c r="CB1337" i="4" s="1"/>
  <c r="BI1338" i="4"/>
  <c r="BT1338" i="4" s="1"/>
  <c r="BZ1338" i="4" s="1"/>
  <c r="CB1338" i="4" s="1"/>
  <c r="BI1339" i="4"/>
  <c r="BT1339" i="4" s="1"/>
  <c r="BZ1339" i="4" s="1"/>
  <c r="CB1339" i="4" s="1"/>
  <c r="BI1340" i="4"/>
  <c r="BT1340" i="4" s="1"/>
  <c r="BZ1340" i="4" s="1"/>
  <c r="CB1340" i="4" s="1"/>
  <c r="BI1341" i="4"/>
  <c r="BT1341" i="4" s="1"/>
  <c r="BZ1341" i="4" s="1"/>
  <c r="CB1341" i="4" s="1"/>
  <c r="BI1342" i="4"/>
  <c r="BT1342" i="4" s="1"/>
  <c r="BZ1342" i="4" s="1"/>
  <c r="CB1342" i="4" s="1"/>
  <c r="BI1343" i="4"/>
  <c r="BT1343" i="4" s="1"/>
  <c r="BZ1343" i="4" s="1"/>
  <c r="CB1343" i="4" s="1"/>
  <c r="BI1344" i="4"/>
  <c r="BT1344" i="4" s="1"/>
  <c r="BZ1344" i="4" s="1"/>
  <c r="CB1344" i="4" s="1"/>
  <c r="BH1318" i="4"/>
  <c r="CD1318" i="4" s="1"/>
  <c r="BH1319" i="4"/>
  <c r="CD1319" i="4" s="1"/>
  <c r="BH1320" i="4"/>
  <c r="CD1320" i="4" s="1"/>
  <c r="BH1321" i="4"/>
  <c r="CD1321" i="4" s="1"/>
  <c r="BH1322" i="4"/>
  <c r="CD1322" i="4" s="1"/>
  <c r="BH1323" i="4"/>
  <c r="CD1323" i="4" s="1"/>
  <c r="BH1324" i="4"/>
  <c r="CD1324" i="4" s="1"/>
  <c r="BH1325" i="4"/>
  <c r="CD1325" i="4" s="1"/>
  <c r="BH1326" i="4"/>
  <c r="CD1326" i="4" s="1"/>
  <c r="BH1327" i="4"/>
  <c r="CD1327" i="4" s="1"/>
  <c r="BH1328" i="4"/>
  <c r="CD1328" i="4" s="1"/>
  <c r="BH1329" i="4"/>
  <c r="CD1329" i="4" s="1"/>
  <c r="BH1330" i="4"/>
  <c r="CD1330" i="4" s="1"/>
  <c r="BH1331" i="4"/>
  <c r="CD1331" i="4" s="1"/>
  <c r="BH1332" i="4"/>
  <c r="CD1332" i="4" s="1"/>
  <c r="BH1333" i="4"/>
  <c r="CD1333" i="4" s="1"/>
  <c r="BH1334" i="4"/>
  <c r="CD1334" i="4" s="1"/>
  <c r="BH1335" i="4"/>
  <c r="CD1335" i="4" s="1"/>
  <c r="BH1336" i="4"/>
  <c r="CD1336" i="4" s="1"/>
  <c r="BH1337" i="4"/>
  <c r="CD1337" i="4" s="1"/>
  <c r="BH1338" i="4"/>
  <c r="CD1338" i="4" s="1"/>
  <c r="BH1339" i="4"/>
  <c r="CD1339" i="4" s="1"/>
  <c r="BH1340" i="4"/>
  <c r="CD1340" i="4" s="1"/>
  <c r="BH1341" i="4"/>
  <c r="CD1341" i="4" s="1"/>
  <c r="BH1342" i="4"/>
  <c r="CD1342" i="4" s="1"/>
  <c r="BH1343" i="4"/>
  <c r="CD1343" i="4" s="1"/>
  <c r="BH1344" i="4"/>
  <c r="CD1344" i="4" s="1"/>
  <c r="BH1345" i="4"/>
  <c r="CD1345" i="4" s="1"/>
  <c r="BJ1318" i="4"/>
  <c r="BJ1319" i="4"/>
  <c r="BJ1320" i="4"/>
  <c r="BJ1321" i="4"/>
  <c r="BJ1322" i="4"/>
  <c r="BJ1323" i="4"/>
  <c r="BJ1324" i="4"/>
  <c r="BJ1325" i="4"/>
  <c r="BJ1326" i="4"/>
  <c r="BJ1327" i="4"/>
  <c r="BJ1328" i="4"/>
  <c r="BJ1329" i="4"/>
  <c r="BJ1330" i="4"/>
  <c r="BJ1331" i="4"/>
  <c r="BJ1332" i="4"/>
  <c r="BJ1333" i="4"/>
  <c r="BJ1334" i="4"/>
  <c r="BJ1335" i="4"/>
  <c r="BJ1336" i="4"/>
  <c r="BJ1337" i="4"/>
  <c r="BJ1338" i="4"/>
  <c r="BJ1339" i="4"/>
  <c r="BJ1340" i="4"/>
  <c r="BJ1341" i="4"/>
  <c r="BJ1342" i="4"/>
  <c r="BJ1343" i="4"/>
  <c r="BJ1344" i="4"/>
  <c r="BJ1345" i="4"/>
  <c r="BL1318" i="4"/>
  <c r="BL1319" i="4"/>
  <c r="BL1320" i="4"/>
  <c r="BL1321" i="4"/>
  <c r="BL1322" i="4"/>
  <c r="BL1323" i="4"/>
  <c r="BL1324" i="4"/>
  <c r="BL1325" i="4"/>
  <c r="BL1326" i="4"/>
  <c r="BL1327" i="4"/>
  <c r="BL1328" i="4"/>
  <c r="BL1329" i="4"/>
  <c r="BL1330" i="4"/>
  <c r="BL1331" i="4"/>
  <c r="BL1332" i="4"/>
  <c r="BL1333" i="4"/>
  <c r="BL1334" i="4"/>
  <c r="BL1335" i="4"/>
  <c r="BL1336" i="4"/>
  <c r="BL1337" i="4"/>
  <c r="BL1338" i="4"/>
  <c r="BL1339" i="4"/>
  <c r="BL1340" i="4"/>
  <c r="BL1341" i="4"/>
  <c r="BL1342" i="4"/>
  <c r="BL1343" i="4"/>
  <c r="BL1344" i="4"/>
  <c r="BL1345" i="4"/>
  <c r="BM1318" i="4"/>
  <c r="BM1319" i="4"/>
  <c r="BM1320" i="4"/>
  <c r="BM1321" i="4"/>
  <c r="BM1322" i="4"/>
  <c r="BM1323" i="4"/>
  <c r="BM1324" i="4"/>
  <c r="BM1325" i="4"/>
  <c r="BM1326" i="4"/>
  <c r="BM1327" i="4"/>
  <c r="BM1328" i="4"/>
  <c r="BM1329" i="4"/>
  <c r="BM1330" i="4"/>
  <c r="BM1331" i="4"/>
  <c r="BM1332" i="4"/>
  <c r="BM1333" i="4"/>
  <c r="BM1334" i="4"/>
  <c r="BM1335" i="4"/>
  <c r="BM1336" i="4"/>
  <c r="BM1337" i="4"/>
  <c r="BM1338" i="4"/>
  <c r="BM1339" i="4"/>
  <c r="BM1340" i="4"/>
  <c r="BM1341" i="4"/>
  <c r="BM1342" i="4"/>
  <c r="BM1343" i="4"/>
  <c r="BM1344" i="4"/>
  <c r="BM1345" i="4"/>
  <c r="BN1318" i="4"/>
  <c r="BN1319" i="4"/>
  <c r="BN1320" i="4"/>
  <c r="BN1321" i="4"/>
  <c r="BN1322" i="4"/>
  <c r="BN1323" i="4"/>
  <c r="BN1324" i="4"/>
  <c r="BN1325" i="4"/>
  <c r="BN1326" i="4"/>
  <c r="BN1327" i="4"/>
  <c r="BN1328" i="4"/>
  <c r="BN1329" i="4"/>
  <c r="BN1330" i="4"/>
  <c r="BN1331" i="4"/>
  <c r="BN1332" i="4"/>
  <c r="BN1333" i="4"/>
  <c r="BN1334" i="4"/>
  <c r="BN1335" i="4"/>
  <c r="BN1336" i="4"/>
  <c r="BN1337" i="4"/>
  <c r="BN1338" i="4"/>
  <c r="BN1339" i="4"/>
  <c r="BN1340" i="4"/>
  <c r="BN1341" i="4"/>
  <c r="BN1342" i="4"/>
  <c r="BN1343" i="4"/>
  <c r="BN1344" i="4"/>
  <c r="BN1345" i="4"/>
  <c r="BO1318" i="4"/>
  <c r="BO1319" i="4"/>
  <c r="BO1320" i="4"/>
  <c r="BO1321" i="4"/>
  <c r="BO1322" i="4"/>
  <c r="BO1323" i="4"/>
  <c r="BO1324" i="4"/>
  <c r="BO1325" i="4"/>
  <c r="BO1326" i="4"/>
  <c r="BO1327" i="4"/>
  <c r="BO1328" i="4"/>
  <c r="BO1329" i="4"/>
  <c r="BO1330" i="4"/>
  <c r="BO1331" i="4"/>
  <c r="BO1332" i="4"/>
  <c r="BO1333" i="4"/>
  <c r="BO1334" i="4"/>
  <c r="BO1335" i="4"/>
  <c r="BO1336" i="4"/>
  <c r="BO1337" i="4"/>
  <c r="BO1338" i="4"/>
  <c r="BO1339" i="4"/>
  <c r="BO1340" i="4"/>
  <c r="BO1341" i="4"/>
  <c r="BO1342" i="4"/>
  <c r="BO1343" i="4"/>
  <c r="BO1344" i="4"/>
  <c r="BO1345" i="4"/>
  <c r="BP1318" i="4"/>
  <c r="BP1319" i="4"/>
  <c r="BP1320" i="4"/>
  <c r="BP1321" i="4"/>
  <c r="BP1322" i="4"/>
  <c r="BP1323" i="4"/>
  <c r="BP1324" i="4"/>
  <c r="BP1325" i="4"/>
  <c r="BP1326" i="4"/>
  <c r="BP1327" i="4"/>
  <c r="BP1328" i="4"/>
  <c r="BP1329" i="4"/>
  <c r="BP1330" i="4"/>
  <c r="BP1331" i="4"/>
  <c r="BP1332" i="4"/>
  <c r="BP1333" i="4"/>
  <c r="BP1334" i="4"/>
  <c r="BP1335" i="4"/>
  <c r="BP1336" i="4"/>
  <c r="BP1337" i="4"/>
  <c r="BP1338" i="4"/>
  <c r="BP1339" i="4"/>
  <c r="BP1340" i="4"/>
  <c r="BP1341" i="4"/>
  <c r="BP1342" i="4"/>
  <c r="BP1343" i="4"/>
  <c r="BP1344" i="4"/>
  <c r="BP1345" i="4"/>
  <c r="BQ1318" i="4"/>
  <c r="BQ1319" i="4"/>
  <c r="BQ1320" i="4"/>
  <c r="BQ1321" i="4"/>
  <c r="BQ1322" i="4"/>
  <c r="BQ1323" i="4"/>
  <c r="BQ1324" i="4"/>
  <c r="BQ1325" i="4"/>
  <c r="BQ1326" i="4"/>
  <c r="BQ1327" i="4"/>
  <c r="BQ1328" i="4"/>
  <c r="BQ1329" i="4"/>
  <c r="BQ1330" i="4"/>
  <c r="BQ1331" i="4"/>
  <c r="BQ1332" i="4"/>
  <c r="BQ1333" i="4"/>
  <c r="BQ1334" i="4"/>
  <c r="BQ1335" i="4"/>
  <c r="BQ1336" i="4"/>
  <c r="BQ1337" i="4"/>
  <c r="BQ1338" i="4"/>
  <c r="BQ1339" i="4"/>
  <c r="BQ1340" i="4"/>
  <c r="BQ1341" i="4"/>
  <c r="BQ1342" i="4"/>
  <c r="BQ1343" i="4"/>
  <c r="BQ1344" i="4"/>
  <c r="BQ1345" i="4"/>
  <c r="BR1318" i="4"/>
  <c r="BR1319" i="4"/>
  <c r="BR1320" i="4"/>
  <c r="BR1321" i="4"/>
  <c r="BR1322" i="4"/>
  <c r="BR1323" i="4"/>
  <c r="BR1324" i="4"/>
  <c r="BR1325" i="4"/>
  <c r="BR1326" i="4"/>
  <c r="BR1327" i="4"/>
  <c r="BR1328" i="4"/>
  <c r="BR1329" i="4"/>
  <c r="BR1330" i="4"/>
  <c r="BR1331" i="4"/>
  <c r="BR1332" i="4"/>
  <c r="BR1333" i="4"/>
  <c r="BR1334" i="4"/>
  <c r="BR1335" i="4"/>
  <c r="BR1336" i="4"/>
  <c r="BR1337" i="4"/>
  <c r="BR1338" i="4"/>
  <c r="BR1339" i="4"/>
  <c r="BR1340" i="4"/>
  <c r="BR1341" i="4"/>
  <c r="BR1342" i="4"/>
  <c r="BR1343" i="4"/>
  <c r="BR1344" i="4"/>
  <c r="BR1345" i="4"/>
  <c r="BU1318" i="4"/>
  <c r="BU1319" i="4"/>
  <c r="BU1320" i="4"/>
  <c r="BU1321" i="4"/>
  <c r="BU1322" i="4"/>
  <c r="BU1323" i="4"/>
  <c r="BU1324" i="4"/>
  <c r="BU1325" i="4"/>
  <c r="BU1326" i="4"/>
  <c r="BU1327" i="4"/>
  <c r="BU1328" i="4"/>
  <c r="BU1329" i="4"/>
  <c r="BU1330" i="4"/>
  <c r="BU1331" i="4"/>
  <c r="BU1332" i="4"/>
  <c r="BU1333" i="4"/>
  <c r="BU1334" i="4"/>
  <c r="BU1335" i="4"/>
  <c r="BU1336" i="4"/>
  <c r="BU1337" i="4"/>
  <c r="BU1338" i="4"/>
  <c r="BU1339" i="4"/>
  <c r="BU1340" i="4"/>
  <c r="BU1341" i="4"/>
  <c r="BU1342" i="4"/>
  <c r="BU1343" i="4"/>
  <c r="BU1344" i="4"/>
  <c r="BU1345" i="4"/>
  <c r="BV1318" i="4"/>
  <c r="BV1319" i="4"/>
  <c r="BV1320" i="4"/>
  <c r="BV1321" i="4"/>
  <c r="BV1322" i="4"/>
  <c r="BV1323" i="4"/>
  <c r="BV1324" i="4"/>
  <c r="BV1325" i="4"/>
  <c r="BV1326" i="4"/>
  <c r="BV1327" i="4"/>
  <c r="BV1328" i="4"/>
  <c r="BV1329" i="4"/>
  <c r="BV1330" i="4"/>
  <c r="BV1331" i="4"/>
  <c r="BV1332" i="4"/>
  <c r="BV1333" i="4"/>
  <c r="BV1334" i="4"/>
  <c r="BV1335" i="4"/>
  <c r="BV1336" i="4"/>
  <c r="BV1337" i="4"/>
  <c r="BV1338" i="4"/>
  <c r="BV1339" i="4"/>
  <c r="BV1340" i="4"/>
  <c r="BV1341" i="4"/>
  <c r="BV1342" i="4"/>
  <c r="BV1343" i="4"/>
  <c r="BV1344" i="4"/>
  <c r="BV1345" i="4"/>
  <c r="BW1318" i="4"/>
  <c r="BW1319" i="4"/>
  <c r="BW1320" i="4"/>
  <c r="BW1321" i="4"/>
  <c r="BW1322" i="4"/>
  <c r="BW1323" i="4"/>
  <c r="BW1324" i="4"/>
  <c r="BW1325" i="4"/>
  <c r="BW1326" i="4"/>
  <c r="BW1327" i="4"/>
  <c r="BW1328" i="4"/>
  <c r="BW1329" i="4"/>
  <c r="BW1330" i="4"/>
  <c r="BW1331" i="4"/>
  <c r="BW1332" i="4"/>
  <c r="BW1333" i="4"/>
  <c r="BW1334" i="4"/>
  <c r="BW1335" i="4"/>
  <c r="BW1336" i="4"/>
  <c r="BW1337" i="4"/>
  <c r="BW1338" i="4"/>
  <c r="BW1339" i="4"/>
  <c r="BW1340" i="4"/>
  <c r="BW1341" i="4"/>
  <c r="BW1342" i="4"/>
  <c r="BW1343" i="4"/>
  <c r="BW1344" i="4"/>
  <c r="BW1345" i="4"/>
  <c r="BX1318" i="4"/>
  <c r="BX1319" i="4"/>
  <c r="BX1320" i="4"/>
  <c r="BX1321" i="4"/>
  <c r="BX1322" i="4"/>
  <c r="BX1323" i="4"/>
  <c r="BX1324" i="4"/>
  <c r="BX1325" i="4"/>
  <c r="BX1326" i="4"/>
  <c r="BX1327" i="4"/>
  <c r="BX1328" i="4"/>
  <c r="BX1329" i="4"/>
  <c r="BX1330" i="4"/>
  <c r="BX1331" i="4"/>
  <c r="BX1332" i="4"/>
  <c r="BX1333" i="4"/>
  <c r="BX1334" i="4"/>
  <c r="BX1335" i="4"/>
  <c r="BX1336" i="4"/>
  <c r="BX1337" i="4"/>
  <c r="BX1338" i="4"/>
  <c r="BX1339" i="4"/>
  <c r="BX1340" i="4"/>
  <c r="BX1341" i="4"/>
  <c r="BX1342" i="4"/>
  <c r="BX1343" i="4"/>
  <c r="BX1344" i="4"/>
  <c r="BX1345" i="4"/>
  <c r="BH1315" i="4"/>
  <c r="CD1315" i="4" s="1"/>
  <c r="BH1316" i="4"/>
  <c r="CD1316" i="4" s="1"/>
  <c r="BH1317" i="4"/>
  <c r="CD1317" i="4" s="1"/>
  <c r="BJ1315" i="4"/>
  <c r="BJ1316" i="4"/>
  <c r="BJ1317" i="4"/>
  <c r="BL1315" i="4"/>
  <c r="BL1316" i="4"/>
  <c r="BL1317" i="4"/>
  <c r="BM1315" i="4"/>
  <c r="BM1316" i="4"/>
  <c r="BM1317" i="4"/>
  <c r="BN1315" i="4"/>
  <c r="BN1316" i="4"/>
  <c r="BN1317" i="4"/>
  <c r="BO1315" i="4"/>
  <c r="BO1316" i="4"/>
  <c r="BO1317" i="4"/>
  <c r="BP1315" i="4"/>
  <c r="BP1316" i="4"/>
  <c r="BP1317" i="4"/>
  <c r="BQ1315" i="4"/>
  <c r="BQ1316" i="4"/>
  <c r="BQ1317" i="4"/>
  <c r="BR1315" i="4"/>
  <c r="BR1316" i="4"/>
  <c r="BR1317" i="4"/>
  <c r="BU1315" i="4"/>
  <c r="BU1316" i="4"/>
  <c r="BU1317" i="4"/>
  <c r="BV1315" i="4"/>
  <c r="BV1316" i="4"/>
  <c r="BV1317" i="4"/>
  <c r="BW1315" i="4"/>
  <c r="BW1316" i="4"/>
  <c r="BW1317" i="4"/>
  <c r="BX1315" i="4"/>
  <c r="BX1316" i="4"/>
  <c r="BX1317" i="4"/>
  <c r="BH1305" i="4"/>
  <c r="CD1305" i="4" s="1"/>
  <c r="BH1306" i="4"/>
  <c r="CD1306" i="4" s="1"/>
  <c r="BH1307" i="4"/>
  <c r="CD1307" i="4" s="1"/>
  <c r="BH1308" i="4"/>
  <c r="CD1308" i="4" s="1"/>
  <c r="BH1309" i="4"/>
  <c r="CD1309" i="4" s="1"/>
  <c r="BH1310" i="4"/>
  <c r="CD1310" i="4" s="1"/>
  <c r="BH1311" i="4"/>
  <c r="CD1311" i="4" s="1"/>
  <c r="BH1312" i="4"/>
  <c r="CD1312" i="4" s="1"/>
  <c r="BH1313" i="4"/>
  <c r="CD1313" i="4" s="1"/>
  <c r="BH1314" i="4"/>
  <c r="CD1314" i="4" s="1"/>
  <c r="BJ1305" i="4"/>
  <c r="BJ1306" i="4"/>
  <c r="BJ1307" i="4"/>
  <c r="BJ1308" i="4"/>
  <c r="BJ1309" i="4"/>
  <c r="BJ1310" i="4"/>
  <c r="BJ1311" i="4"/>
  <c r="BJ1312" i="4"/>
  <c r="BJ1313" i="4"/>
  <c r="BJ1314" i="4"/>
  <c r="BL1305" i="4"/>
  <c r="BL1306" i="4"/>
  <c r="BL1307" i="4"/>
  <c r="BL1308" i="4"/>
  <c r="BL1309" i="4"/>
  <c r="BL1310" i="4"/>
  <c r="BL1311" i="4"/>
  <c r="BL1312" i="4"/>
  <c r="BL1313" i="4"/>
  <c r="BL1314" i="4"/>
  <c r="BM1305" i="4"/>
  <c r="BM1306" i="4"/>
  <c r="BM1307" i="4"/>
  <c r="BM1308" i="4"/>
  <c r="BM1309" i="4"/>
  <c r="BM1310" i="4"/>
  <c r="BM1311" i="4"/>
  <c r="BM1312" i="4"/>
  <c r="BM1313" i="4"/>
  <c r="BM1314" i="4"/>
  <c r="BN1305" i="4"/>
  <c r="BN1306" i="4"/>
  <c r="BN1307" i="4"/>
  <c r="BN1308" i="4"/>
  <c r="BN1309" i="4"/>
  <c r="BN1310" i="4"/>
  <c r="BN1311" i="4"/>
  <c r="BN1312" i="4"/>
  <c r="BN1313" i="4"/>
  <c r="BN1314" i="4"/>
  <c r="BO1305" i="4"/>
  <c r="BO1306" i="4"/>
  <c r="BO1307" i="4"/>
  <c r="BO1308" i="4"/>
  <c r="BO1309" i="4"/>
  <c r="BO1310" i="4"/>
  <c r="BO1311" i="4"/>
  <c r="BO1312" i="4"/>
  <c r="BO1313" i="4"/>
  <c r="BO1314" i="4"/>
  <c r="BP1305" i="4"/>
  <c r="BP1306" i="4"/>
  <c r="BP1307" i="4"/>
  <c r="BP1308" i="4"/>
  <c r="BP1309" i="4"/>
  <c r="BP1310" i="4"/>
  <c r="BP1311" i="4"/>
  <c r="BP1312" i="4"/>
  <c r="BP1313" i="4"/>
  <c r="BP1314" i="4"/>
  <c r="BQ1305" i="4"/>
  <c r="BQ1306" i="4"/>
  <c r="BQ1307" i="4"/>
  <c r="BQ1308" i="4"/>
  <c r="BQ1309" i="4"/>
  <c r="BQ1310" i="4"/>
  <c r="BQ1311" i="4"/>
  <c r="BQ1312" i="4"/>
  <c r="BQ1313" i="4"/>
  <c r="BQ1314" i="4"/>
  <c r="BR1305" i="4"/>
  <c r="BR1306" i="4"/>
  <c r="BR1307" i="4"/>
  <c r="BR1308" i="4"/>
  <c r="BR1309" i="4"/>
  <c r="BR1310" i="4"/>
  <c r="BR1311" i="4"/>
  <c r="BR1312" i="4"/>
  <c r="BR1313" i="4"/>
  <c r="BR1314" i="4"/>
  <c r="BU1305" i="4"/>
  <c r="BU1306" i="4"/>
  <c r="BU1307" i="4"/>
  <c r="BU1308" i="4"/>
  <c r="BU1309" i="4"/>
  <c r="BU1310" i="4"/>
  <c r="BU1311" i="4"/>
  <c r="BU1312" i="4"/>
  <c r="BU1313" i="4"/>
  <c r="BU1314" i="4"/>
  <c r="BV1305" i="4"/>
  <c r="BV1306" i="4"/>
  <c r="BV1307" i="4"/>
  <c r="BV1308" i="4"/>
  <c r="BV1309" i="4"/>
  <c r="BV1310" i="4"/>
  <c r="BV1311" i="4"/>
  <c r="BV1312" i="4"/>
  <c r="BV1313" i="4"/>
  <c r="BV1314" i="4"/>
  <c r="BW1305" i="4"/>
  <c r="BW1306" i="4"/>
  <c r="BW1307" i="4"/>
  <c r="BW1308" i="4"/>
  <c r="BW1309" i="4"/>
  <c r="BW1310" i="4"/>
  <c r="BW1311" i="4"/>
  <c r="BW1312" i="4"/>
  <c r="BW1313" i="4"/>
  <c r="BW1314" i="4"/>
  <c r="BX1305" i="4"/>
  <c r="BX1306" i="4"/>
  <c r="BX1307" i="4"/>
  <c r="BX1308" i="4"/>
  <c r="BX1309" i="4"/>
  <c r="BX1310" i="4"/>
  <c r="BX1311" i="4"/>
  <c r="BX1312" i="4"/>
  <c r="BX1313" i="4"/>
  <c r="BX1314" i="4"/>
  <c r="BH1295" i="4"/>
  <c r="CD1295" i="4" s="1"/>
  <c r="BH1296" i="4"/>
  <c r="CD1296" i="4" s="1"/>
  <c r="BH1297" i="4"/>
  <c r="CD1297" i="4" s="1"/>
  <c r="BH1298" i="4"/>
  <c r="CD1298" i="4" s="1"/>
  <c r="BH1299" i="4"/>
  <c r="CD1299" i="4" s="1"/>
  <c r="BH1300" i="4"/>
  <c r="CD1300" i="4" s="1"/>
  <c r="BH1301" i="4"/>
  <c r="CD1301" i="4" s="1"/>
  <c r="BH1302" i="4"/>
  <c r="CD1302" i="4" s="1"/>
  <c r="BH1303" i="4"/>
  <c r="CD1303" i="4" s="1"/>
  <c r="BH1304" i="4"/>
  <c r="CD1304" i="4" s="1"/>
  <c r="BJ1295" i="4"/>
  <c r="BJ1296" i="4"/>
  <c r="BJ1297" i="4"/>
  <c r="BJ1298" i="4"/>
  <c r="BJ1299" i="4"/>
  <c r="BJ1300" i="4"/>
  <c r="BJ1301" i="4"/>
  <c r="BJ1302" i="4"/>
  <c r="BJ1303" i="4"/>
  <c r="BJ1304" i="4"/>
  <c r="BL1295" i="4"/>
  <c r="BL1296" i="4"/>
  <c r="BL1297" i="4"/>
  <c r="BL1298" i="4"/>
  <c r="BL1299" i="4"/>
  <c r="BL1300" i="4"/>
  <c r="BL1301" i="4"/>
  <c r="BL1302" i="4"/>
  <c r="BL1303" i="4"/>
  <c r="BL1304" i="4"/>
  <c r="BM1295" i="4"/>
  <c r="BM1296" i="4"/>
  <c r="BM1297" i="4"/>
  <c r="BM1298" i="4"/>
  <c r="BM1299" i="4"/>
  <c r="BM1300" i="4"/>
  <c r="BM1301" i="4"/>
  <c r="BM1302" i="4"/>
  <c r="BM1303" i="4"/>
  <c r="BM1304" i="4"/>
  <c r="BN1295" i="4"/>
  <c r="BN1296" i="4"/>
  <c r="BN1297" i="4"/>
  <c r="BN1298" i="4"/>
  <c r="BN1299" i="4"/>
  <c r="BN1300" i="4"/>
  <c r="BN1301" i="4"/>
  <c r="BN1302" i="4"/>
  <c r="BN1303" i="4"/>
  <c r="BN1304" i="4"/>
  <c r="BO1295" i="4"/>
  <c r="BO1296" i="4"/>
  <c r="BO1297" i="4"/>
  <c r="BO1298" i="4"/>
  <c r="BO1299" i="4"/>
  <c r="BO1300" i="4"/>
  <c r="BO1301" i="4"/>
  <c r="BO1302" i="4"/>
  <c r="BO1303" i="4"/>
  <c r="BO1304" i="4"/>
  <c r="BP1295" i="4"/>
  <c r="BP1296" i="4"/>
  <c r="BP1297" i="4"/>
  <c r="BP1298" i="4"/>
  <c r="BP1299" i="4"/>
  <c r="BP1300" i="4"/>
  <c r="BP1301" i="4"/>
  <c r="BP1302" i="4"/>
  <c r="BP1303" i="4"/>
  <c r="BP1304" i="4"/>
  <c r="BQ1295" i="4"/>
  <c r="BQ1296" i="4"/>
  <c r="BQ1297" i="4"/>
  <c r="BQ1298" i="4"/>
  <c r="BQ1299" i="4"/>
  <c r="BQ1300" i="4"/>
  <c r="BQ1301" i="4"/>
  <c r="BQ1302" i="4"/>
  <c r="BQ1303" i="4"/>
  <c r="BQ1304" i="4"/>
  <c r="BR1295" i="4"/>
  <c r="BR1296" i="4"/>
  <c r="BR1297" i="4"/>
  <c r="BR1298" i="4"/>
  <c r="BR1299" i="4"/>
  <c r="BR1300" i="4"/>
  <c r="BR1301" i="4"/>
  <c r="BR1302" i="4"/>
  <c r="BR1303" i="4"/>
  <c r="BR1304" i="4"/>
  <c r="BU1295" i="4"/>
  <c r="BU1296" i="4"/>
  <c r="BU1297" i="4"/>
  <c r="BU1298" i="4"/>
  <c r="BU1299" i="4"/>
  <c r="BU1300" i="4"/>
  <c r="BU1301" i="4"/>
  <c r="BU1302" i="4"/>
  <c r="BU1303" i="4"/>
  <c r="BU1304" i="4"/>
  <c r="BV1295" i="4"/>
  <c r="BV1296" i="4"/>
  <c r="BV1297" i="4"/>
  <c r="BV1298" i="4"/>
  <c r="BV1299" i="4"/>
  <c r="BV1300" i="4"/>
  <c r="BV1301" i="4"/>
  <c r="BV1302" i="4"/>
  <c r="BV1303" i="4"/>
  <c r="BV1304" i="4"/>
  <c r="BW1295" i="4"/>
  <c r="BW1296" i="4"/>
  <c r="BW1297" i="4"/>
  <c r="BW1298" i="4"/>
  <c r="BW1299" i="4"/>
  <c r="BW1300" i="4"/>
  <c r="BW1301" i="4"/>
  <c r="BW1302" i="4"/>
  <c r="BW1303" i="4"/>
  <c r="BW1304" i="4"/>
  <c r="BX1295" i="4"/>
  <c r="BX1296" i="4"/>
  <c r="BX1297" i="4"/>
  <c r="BX1298" i="4"/>
  <c r="BX1299" i="4"/>
  <c r="BX1300" i="4"/>
  <c r="BX1301" i="4"/>
  <c r="BX1302" i="4"/>
  <c r="BX1303" i="4"/>
  <c r="BX1304" i="4"/>
  <c r="BQ2" i="4"/>
  <c r="BQ3" i="4"/>
  <c r="BQ4" i="4"/>
  <c r="BQ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Q84" i="4"/>
  <c r="BQ85" i="4"/>
  <c r="BQ86" i="4"/>
  <c r="BQ87" i="4"/>
  <c r="BQ88" i="4"/>
  <c r="BQ89" i="4"/>
  <c r="BQ90" i="4"/>
  <c r="BQ91" i="4"/>
  <c r="BQ92" i="4"/>
  <c r="BQ93" i="4"/>
  <c r="BQ94" i="4"/>
  <c r="BQ95" i="4"/>
  <c r="BQ96" i="4"/>
  <c r="BQ97" i="4"/>
  <c r="BQ98" i="4"/>
  <c r="BQ99" i="4"/>
  <c r="BQ100" i="4"/>
  <c r="BQ101" i="4"/>
  <c r="BQ102" i="4"/>
  <c r="BQ103" i="4"/>
  <c r="BQ104" i="4"/>
  <c r="BQ105" i="4"/>
  <c r="BQ106" i="4"/>
  <c r="BQ107" i="4"/>
  <c r="BQ108" i="4"/>
  <c r="BQ109" i="4"/>
  <c r="BQ110" i="4"/>
  <c r="BQ111" i="4"/>
  <c r="BQ112" i="4"/>
  <c r="BQ113" i="4"/>
  <c r="BQ114" i="4"/>
  <c r="BQ115" i="4"/>
  <c r="BQ116" i="4"/>
  <c r="BQ117" i="4"/>
  <c r="BQ118" i="4"/>
  <c r="BQ119" i="4"/>
  <c r="BQ120" i="4"/>
  <c r="BQ121" i="4"/>
  <c r="BQ122" i="4"/>
  <c r="BQ123" i="4"/>
  <c r="BQ124" i="4"/>
  <c r="BQ125" i="4"/>
  <c r="BQ126" i="4"/>
  <c r="BQ127" i="4"/>
  <c r="BQ128" i="4"/>
  <c r="BQ129" i="4"/>
  <c r="BQ130" i="4"/>
  <c r="BQ131" i="4"/>
  <c r="BQ132" i="4"/>
  <c r="BQ133" i="4"/>
  <c r="BQ134" i="4"/>
  <c r="BQ135" i="4"/>
  <c r="BQ136" i="4"/>
  <c r="BQ137" i="4"/>
  <c r="BQ138" i="4"/>
  <c r="BQ139" i="4"/>
  <c r="BQ140" i="4"/>
  <c r="BQ141" i="4"/>
  <c r="BQ142" i="4"/>
  <c r="BQ143" i="4"/>
  <c r="BQ144" i="4"/>
  <c r="BQ145" i="4"/>
  <c r="BQ146" i="4"/>
  <c r="BQ147" i="4"/>
  <c r="BQ148" i="4"/>
  <c r="BQ149" i="4"/>
  <c r="BQ150" i="4"/>
  <c r="BQ151" i="4"/>
  <c r="BQ152" i="4"/>
  <c r="BQ153" i="4"/>
  <c r="BQ154" i="4"/>
  <c r="BQ155" i="4"/>
  <c r="BQ156" i="4"/>
  <c r="BQ157" i="4"/>
  <c r="BQ158" i="4"/>
  <c r="BQ159" i="4"/>
  <c r="BQ160" i="4"/>
  <c r="BQ161" i="4"/>
  <c r="BQ162" i="4"/>
  <c r="BQ163" i="4"/>
  <c r="BQ164" i="4"/>
  <c r="BQ165" i="4"/>
  <c r="BQ166" i="4"/>
  <c r="BQ167" i="4"/>
  <c r="BQ168" i="4"/>
  <c r="BQ169" i="4"/>
  <c r="BQ170" i="4"/>
  <c r="BQ171" i="4"/>
  <c r="BQ172" i="4"/>
  <c r="BQ173" i="4"/>
  <c r="BQ174" i="4"/>
  <c r="BQ175" i="4"/>
  <c r="BQ176" i="4"/>
  <c r="BQ177" i="4"/>
  <c r="BQ178" i="4"/>
  <c r="BQ179" i="4"/>
  <c r="BQ180" i="4"/>
  <c r="BQ181" i="4"/>
  <c r="BQ182" i="4"/>
  <c r="BQ183" i="4"/>
  <c r="BQ184" i="4"/>
  <c r="BQ185" i="4"/>
  <c r="BQ186" i="4"/>
  <c r="BQ187" i="4"/>
  <c r="BQ188" i="4"/>
  <c r="BQ189" i="4"/>
  <c r="BQ190" i="4"/>
  <c r="BQ191" i="4"/>
  <c r="BQ192" i="4"/>
  <c r="BQ193" i="4"/>
  <c r="BQ194" i="4"/>
  <c r="BQ195" i="4"/>
  <c r="BQ196" i="4"/>
  <c r="BQ197" i="4"/>
  <c r="BQ198" i="4"/>
  <c r="BQ199" i="4"/>
  <c r="BQ200" i="4"/>
  <c r="BQ201" i="4"/>
  <c r="BQ202" i="4"/>
  <c r="BQ203" i="4"/>
  <c r="BQ204" i="4"/>
  <c r="BQ205" i="4"/>
  <c r="BQ206" i="4"/>
  <c r="BQ207" i="4"/>
  <c r="BQ208" i="4"/>
  <c r="BQ209" i="4"/>
  <c r="BQ210" i="4"/>
  <c r="BQ211" i="4"/>
  <c r="BQ212" i="4"/>
  <c r="BQ213" i="4"/>
  <c r="BQ214" i="4"/>
  <c r="BQ215" i="4"/>
  <c r="BQ216" i="4"/>
  <c r="BQ217" i="4"/>
  <c r="BQ218" i="4"/>
  <c r="BQ219" i="4"/>
  <c r="BQ220" i="4"/>
  <c r="BQ221" i="4"/>
  <c r="BQ222" i="4"/>
  <c r="BQ223" i="4"/>
  <c r="BQ224" i="4"/>
  <c r="BQ225" i="4"/>
  <c r="BQ226" i="4"/>
  <c r="BQ227" i="4"/>
  <c r="BQ228" i="4"/>
  <c r="BQ229" i="4"/>
  <c r="BQ230" i="4"/>
  <c r="BQ231" i="4"/>
  <c r="BQ232" i="4"/>
  <c r="BQ233" i="4"/>
  <c r="BQ234" i="4"/>
  <c r="BQ235" i="4"/>
  <c r="BQ236" i="4"/>
  <c r="BQ237" i="4"/>
  <c r="BQ238" i="4"/>
  <c r="BQ239" i="4"/>
  <c r="BQ240" i="4"/>
  <c r="BQ241" i="4"/>
  <c r="BQ242" i="4"/>
  <c r="BQ243" i="4"/>
  <c r="BQ244" i="4"/>
  <c r="BQ245" i="4"/>
  <c r="BQ246" i="4"/>
  <c r="BQ247" i="4"/>
  <c r="BQ248" i="4"/>
  <c r="BQ249" i="4"/>
  <c r="BQ250" i="4"/>
  <c r="BQ251" i="4"/>
  <c r="BQ252" i="4"/>
  <c r="BQ253" i="4"/>
  <c r="BQ254" i="4"/>
  <c r="BQ255" i="4"/>
  <c r="BQ256" i="4"/>
  <c r="BQ257" i="4"/>
  <c r="BQ258" i="4"/>
  <c r="BQ259" i="4"/>
  <c r="BQ260" i="4"/>
  <c r="BQ261" i="4"/>
  <c r="BQ262" i="4"/>
  <c r="BQ263" i="4"/>
  <c r="BQ264" i="4"/>
  <c r="BQ265" i="4"/>
  <c r="BQ266" i="4"/>
  <c r="BQ267" i="4"/>
  <c r="BQ268" i="4"/>
  <c r="BQ269" i="4"/>
  <c r="BQ270" i="4"/>
  <c r="BQ271" i="4"/>
  <c r="BQ272" i="4"/>
  <c r="BQ273" i="4"/>
  <c r="BQ274" i="4"/>
  <c r="BQ275" i="4"/>
  <c r="BQ276" i="4"/>
  <c r="BQ277" i="4"/>
  <c r="BQ278" i="4"/>
  <c r="BQ279" i="4"/>
  <c r="BQ280" i="4"/>
  <c r="BQ281" i="4"/>
  <c r="BQ282" i="4"/>
  <c r="BQ283" i="4"/>
  <c r="BQ284" i="4"/>
  <c r="BQ285" i="4"/>
  <c r="BQ286" i="4"/>
  <c r="BQ287" i="4"/>
  <c r="BQ288" i="4"/>
  <c r="BQ289" i="4"/>
  <c r="BQ290" i="4"/>
  <c r="BQ291" i="4"/>
  <c r="BQ292" i="4"/>
  <c r="BQ293" i="4"/>
  <c r="BQ294" i="4"/>
  <c r="BQ295" i="4"/>
  <c r="BQ296" i="4"/>
  <c r="BQ297" i="4"/>
  <c r="BQ298" i="4"/>
  <c r="BQ299" i="4"/>
  <c r="BQ300" i="4"/>
  <c r="BQ301" i="4"/>
  <c r="BQ302" i="4"/>
  <c r="BQ303" i="4"/>
  <c r="BQ304" i="4"/>
  <c r="BQ305" i="4"/>
  <c r="BQ306" i="4"/>
  <c r="BQ307" i="4"/>
  <c r="BQ308" i="4"/>
  <c r="BQ309" i="4"/>
  <c r="BQ310" i="4"/>
  <c r="BQ311" i="4"/>
  <c r="BQ312" i="4"/>
  <c r="BQ313" i="4"/>
  <c r="BQ314" i="4"/>
  <c r="BQ315" i="4"/>
  <c r="BQ316" i="4"/>
  <c r="BQ317" i="4"/>
  <c r="BQ318" i="4"/>
  <c r="BQ319" i="4"/>
  <c r="BQ320" i="4"/>
  <c r="BQ321" i="4"/>
  <c r="BQ322" i="4"/>
  <c r="BQ323" i="4"/>
  <c r="BQ324" i="4"/>
  <c r="BQ325" i="4"/>
  <c r="BQ326" i="4"/>
  <c r="BQ327" i="4"/>
  <c r="BQ328" i="4"/>
  <c r="BQ329" i="4"/>
  <c r="BQ330" i="4"/>
  <c r="BQ331" i="4"/>
  <c r="BQ332" i="4"/>
  <c r="BQ333" i="4"/>
  <c r="BQ334" i="4"/>
  <c r="BQ335" i="4"/>
  <c r="BQ336" i="4"/>
  <c r="BQ337" i="4"/>
  <c r="BQ338" i="4"/>
  <c r="BQ339" i="4"/>
  <c r="BQ340" i="4"/>
  <c r="BQ341" i="4"/>
  <c r="BQ342" i="4"/>
  <c r="BQ343" i="4"/>
  <c r="BQ344" i="4"/>
  <c r="BQ345" i="4"/>
  <c r="BQ346" i="4"/>
  <c r="BQ347" i="4"/>
  <c r="BQ348" i="4"/>
  <c r="BQ349" i="4"/>
  <c r="BQ350" i="4"/>
  <c r="BQ351" i="4"/>
  <c r="BQ352" i="4"/>
  <c r="BQ353" i="4"/>
  <c r="BQ354" i="4"/>
  <c r="BQ355" i="4"/>
  <c r="BQ356" i="4"/>
  <c r="BQ357" i="4"/>
  <c r="BQ358" i="4"/>
  <c r="BQ359" i="4"/>
  <c r="BQ360" i="4"/>
  <c r="BQ361" i="4"/>
  <c r="BQ362" i="4"/>
  <c r="BQ363" i="4"/>
  <c r="BQ364" i="4"/>
  <c r="BQ365" i="4"/>
  <c r="BQ366" i="4"/>
  <c r="BQ367" i="4"/>
  <c r="BQ368" i="4"/>
  <c r="BQ369" i="4"/>
  <c r="BQ370" i="4"/>
  <c r="BQ371" i="4"/>
  <c r="BQ372" i="4"/>
  <c r="BQ373" i="4"/>
  <c r="BQ374" i="4"/>
  <c r="BQ375" i="4"/>
  <c r="BQ376" i="4"/>
  <c r="BQ377" i="4"/>
  <c r="BQ378" i="4"/>
  <c r="BQ379" i="4"/>
  <c r="BQ380" i="4"/>
  <c r="BQ381" i="4"/>
  <c r="BQ382" i="4"/>
  <c r="BQ383" i="4"/>
  <c r="BQ384" i="4"/>
  <c r="BQ385" i="4"/>
  <c r="BQ386" i="4"/>
  <c r="BQ387" i="4"/>
  <c r="BQ388" i="4"/>
  <c r="BQ389" i="4"/>
  <c r="BQ390" i="4"/>
  <c r="BQ391" i="4"/>
  <c r="BQ392" i="4"/>
  <c r="BQ393" i="4"/>
  <c r="BQ394" i="4"/>
  <c r="BQ395" i="4"/>
  <c r="BQ396" i="4"/>
  <c r="BQ397" i="4"/>
  <c r="BQ398" i="4"/>
  <c r="BQ399" i="4"/>
  <c r="BQ400" i="4"/>
  <c r="BQ401" i="4"/>
  <c r="BQ402" i="4"/>
  <c r="BQ403" i="4"/>
  <c r="BQ404" i="4"/>
  <c r="BQ405" i="4"/>
  <c r="BQ406" i="4"/>
  <c r="BQ407" i="4"/>
  <c r="BQ408" i="4"/>
  <c r="BQ409" i="4"/>
  <c r="BQ410" i="4"/>
  <c r="BQ411" i="4"/>
  <c r="BQ412" i="4"/>
  <c r="BQ413" i="4"/>
  <c r="BQ414" i="4"/>
  <c r="BQ415" i="4"/>
  <c r="BQ416" i="4"/>
  <c r="BQ417" i="4"/>
  <c r="BQ418" i="4"/>
  <c r="BQ419" i="4"/>
  <c r="BQ420" i="4"/>
  <c r="BQ421" i="4"/>
  <c r="BQ422" i="4"/>
  <c r="BQ423" i="4"/>
  <c r="BQ424" i="4"/>
  <c r="BQ425" i="4"/>
  <c r="BQ426" i="4"/>
  <c r="BQ427" i="4"/>
  <c r="BQ428" i="4"/>
  <c r="BQ429" i="4"/>
  <c r="BQ430" i="4"/>
  <c r="BQ431" i="4"/>
  <c r="BQ432" i="4"/>
  <c r="BQ433" i="4"/>
  <c r="BQ434" i="4"/>
  <c r="BQ435" i="4"/>
  <c r="BQ436" i="4"/>
  <c r="BQ437" i="4"/>
  <c r="BQ438" i="4"/>
  <c r="BQ439" i="4"/>
  <c r="BQ440" i="4"/>
  <c r="BQ441" i="4"/>
  <c r="BQ442" i="4"/>
  <c r="BQ443" i="4"/>
  <c r="BQ444" i="4"/>
  <c r="BQ445" i="4"/>
  <c r="BQ446" i="4"/>
  <c r="BQ447" i="4"/>
  <c r="BQ448" i="4"/>
  <c r="BQ449" i="4"/>
  <c r="BQ450" i="4"/>
  <c r="BQ451" i="4"/>
  <c r="BQ452" i="4"/>
  <c r="BQ453" i="4"/>
  <c r="BQ454" i="4"/>
  <c r="BQ455" i="4"/>
  <c r="BQ456" i="4"/>
  <c r="BQ457" i="4"/>
  <c r="BQ458" i="4"/>
  <c r="BQ459" i="4"/>
  <c r="BQ460" i="4"/>
  <c r="BQ461" i="4"/>
  <c r="BQ462" i="4"/>
  <c r="BQ463" i="4"/>
  <c r="BQ464" i="4"/>
  <c r="BQ465" i="4"/>
  <c r="BQ466" i="4"/>
  <c r="BQ467" i="4"/>
  <c r="BQ468" i="4"/>
  <c r="BQ469" i="4"/>
  <c r="BQ470" i="4"/>
  <c r="BQ471" i="4"/>
  <c r="BQ472" i="4"/>
  <c r="BQ473" i="4"/>
  <c r="BQ474" i="4"/>
  <c r="BQ475" i="4"/>
  <c r="BQ476" i="4"/>
  <c r="BQ477" i="4"/>
  <c r="BQ478" i="4"/>
  <c r="BQ479" i="4"/>
  <c r="BQ480" i="4"/>
  <c r="BQ481" i="4"/>
  <c r="BQ482" i="4"/>
  <c r="BQ483" i="4"/>
  <c r="BQ484" i="4"/>
  <c r="BQ485" i="4"/>
  <c r="BQ486" i="4"/>
  <c r="BQ487" i="4"/>
  <c r="BQ488" i="4"/>
  <c r="BQ489" i="4"/>
  <c r="BQ490" i="4"/>
  <c r="BQ491" i="4"/>
  <c r="BQ492" i="4"/>
  <c r="BQ493" i="4"/>
  <c r="BQ494" i="4"/>
  <c r="BQ495" i="4"/>
  <c r="BQ496" i="4"/>
  <c r="BQ497" i="4"/>
  <c r="BQ498" i="4"/>
  <c r="BQ499" i="4"/>
  <c r="BQ500" i="4"/>
  <c r="BQ501" i="4"/>
  <c r="BQ502" i="4"/>
  <c r="BQ503" i="4"/>
  <c r="BQ504" i="4"/>
  <c r="BQ505" i="4"/>
  <c r="BQ506" i="4"/>
  <c r="BQ507" i="4"/>
  <c r="BQ508" i="4"/>
  <c r="BQ509" i="4"/>
  <c r="BQ510" i="4"/>
  <c r="BQ511" i="4"/>
  <c r="BQ512" i="4"/>
  <c r="BQ513" i="4"/>
  <c r="BQ514" i="4"/>
  <c r="BQ515" i="4"/>
  <c r="BQ516" i="4"/>
  <c r="BQ517" i="4"/>
  <c r="BQ518" i="4"/>
  <c r="BQ519" i="4"/>
  <c r="BQ520" i="4"/>
  <c r="BQ521" i="4"/>
  <c r="BQ522" i="4"/>
  <c r="BQ523" i="4"/>
  <c r="BQ524" i="4"/>
  <c r="BQ525" i="4"/>
  <c r="BQ526" i="4"/>
  <c r="BQ527" i="4"/>
  <c r="BQ528" i="4"/>
  <c r="BQ529" i="4"/>
  <c r="BQ530" i="4"/>
  <c r="BQ531" i="4"/>
  <c r="BQ532" i="4"/>
  <c r="BQ533" i="4"/>
  <c r="BQ534" i="4"/>
  <c r="BQ535" i="4"/>
  <c r="BQ536" i="4"/>
  <c r="BQ537" i="4"/>
  <c r="BQ538" i="4"/>
  <c r="BQ539" i="4"/>
  <c r="BQ540" i="4"/>
  <c r="BQ541" i="4"/>
  <c r="BQ542" i="4"/>
  <c r="BQ543" i="4"/>
  <c r="BQ544" i="4"/>
  <c r="BQ545" i="4"/>
  <c r="BQ546" i="4"/>
  <c r="BQ547" i="4"/>
  <c r="BQ548" i="4"/>
  <c r="BQ549" i="4"/>
  <c r="BQ550" i="4"/>
  <c r="BQ551" i="4"/>
  <c r="BQ552" i="4"/>
  <c r="BQ553" i="4"/>
  <c r="BQ554" i="4"/>
  <c r="BQ555" i="4"/>
  <c r="BQ556" i="4"/>
  <c r="BQ557" i="4"/>
  <c r="BQ558" i="4"/>
  <c r="BQ559" i="4"/>
  <c r="BQ560" i="4"/>
  <c r="BQ561" i="4"/>
  <c r="BQ562" i="4"/>
  <c r="BQ563" i="4"/>
  <c r="BQ564" i="4"/>
  <c r="BQ565" i="4"/>
  <c r="BQ566" i="4"/>
  <c r="BQ567" i="4"/>
  <c r="BQ568" i="4"/>
  <c r="BQ569" i="4"/>
  <c r="BQ570" i="4"/>
  <c r="BQ571" i="4"/>
  <c r="BQ572" i="4"/>
  <c r="BQ573" i="4"/>
  <c r="BQ574" i="4"/>
  <c r="BQ575" i="4"/>
  <c r="BQ576" i="4"/>
  <c r="BQ577" i="4"/>
  <c r="BQ578" i="4"/>
  <c r="BQ579" i="4"/>
  <c r="BQ580" i="4"/>
  <c r="BQ581" i="4"/>
  <c r="BQ582" i="4"/>
  <c r="BQ583" i="4"/>
  <c r="BQ584" i="4"/>
  <c r="BQ585" i="4"/>
  <c r="BQ586" i="4"/>
  <c r="BQ587" i="4"/>
  <c r="BQ588" i="4"/>
  <c r="BQ589" i="4"/>
  <c r="BQ590" i="4"/>
  <c r="BQ591" i="4"/>
  <c r="BQ592" i="4"/>
  <c r="BQ593" i="4"/>
  <c r="BQ594" i="4"/>
  <c r="BQ595" i="4"/>
  <c r="BQ596" i="4"/>
  <c r="BQ597" i="4"/>
  <c r="BQ598" i="4"/>
  <c r="BQ599" i="4"/>
  <c r="BQ600" i="4"/>
  <c r="BQ601" i="4"/>
  <c r="BQ602" i="4"/>
  <c r="BQ603" i="4"/>
  <c r="BQ604" i="4"/>
  <c r="BQ605" i="4"/>
  <c r="BQ606" i="4"/>
  <c r="BQ607" i="4"/>
  <c r="BQ608" i="4"/>
  <c r="BQ609" i="4"/>
  <c r="BQ610" i="4"/>
  <c r="BQ611" i="4"/>
  <c r="BQ612" i="4"/>
  <c r="BQ613" i="4"/>
  <c r="BQ614" i="4"/>
  <c r="BQ615" i="4"/>
  <c r="BQ616" i="4"/>
  <c r="BQ617" i="4"/>
  <c r="BQ618" i="4"/>
  <c r="BQ619" i="4"/>
  <c r="BQ620" i="4"/>
  <c r="BQ621" i="4"/>
  <c r="BQ622" i="4"/>
  <c r="BQ623" i="4"/>
  <c r="BQ624" i="4"/>
  <c r="BQ625" i="4"/>
  <c r="BQ626" i="4"/>
  <c r="BQ627" i="4"/>
  <c r="BQ628" i="4"/>
  <c r="BQ629" i="4"/>
  <c r="BQ630" i="4"/>
  <c r="BQ631" i="4"/>
  <c r="BQ632" i="4"/>
  <c r="BQ633" i="4"/>
  <c r="BQ634" i="4"/>
  <c r="BQ635" i="4"/>
  <c r="BQ636" i="4"/>
  <c r="BQ637" i="4"/>
  <c r="BQ638" i="4"/>
  <c r="BQ639" i="4"/>
  <c r="BQ640" i="4"/>
  <c r="BQ641" i="4"/>
  <c r="BQ642" i="4"/>
  <c r="BQ643" i="4"/>
  <c r="BQ644" i="4"/>
  <c r="BQ645" i="4"/>
  <c r="BQ646" i="4"/>
  <c r="BQ647" i="4"/>
  <c r="BQ648" i="4"/>
  <c r="BQ649" i="4"/>
  <c r="BQ650" i="4"/>
  <c r="BQ651" i="4"/>
  <c r="BQ652" i="4"/>
  <c r="BQ653" i="4"/>
  <c r="BQ654" i="4"/>
  <c r="BQ655" i="4"/>
  <c r="BQ656" i="4"/>
  <c r="BQ657" i="4"/>
  <c r="BQ658" i="4"/>
  <c r="BQ659" i="4"/>
  <c r="BQ660" i="4"/>
  <c r="BQ661" i="4"/>
  <c r="BQ662" i="4"/>
  <c r="BQ663" i="4"/>
  <c r="BQ664" i="4"/>
  <c r="BQ665" i="4"/>
  <c r="BQ666" i="4"/>
  <c r="BQ667" i="4"/>
  <c r="BQ668" i="4"/>
  <c r="BQ669" i="4"/>
  <c r="BQ670" i="4"/>
  <c r="BQ671" i="4"/>
  <c r="BQ672" i="4"/>
  <c r="BQ673" i="4"/>
  <c r="BQ674" i="4"/>
  <c r="BQ675" i="4"/>
  <c r="BQ676" i="4"/>
  <c r="BQ677" i="4"/>
  <c r="BQ678" i="4"/>
  <c r="BQ679" i="4"/>
  <c r="BQ680" i="4"/>
  <c r="BQ681" i="4"/>
  <c r="BQ682" i="4"/>
  <c r="BQ683" i="4"/>
  <c r="BQ684" i="4"/>
  <c r="BQ685" i="4"/>
  <c r="BQ686" i="4"/>
  <c r="BQ687" i="4"/>
  <c r="BQ688" i="4"/>
  <c r="BQ689" i="4"/>
  <c r="BQ690" i="4"/>
  <c r="BQ691" i="4"/>
  <c r="BQ692" i="4"/>
  <c r="BQ693" i="4"/>
  <c r="BQ694" i="4"/>
  <c r="BQ695" i="4"/>
  <c r="BQ696" i="4"/>
  <c r="BQ697" i="4"/>
  <c r="BQ698" i="4"/>
  <c r="BQ699" i="4"/>
  <c r="BQ700" i="4"/>
  <c r="BQ701" i="4"/>
  <c r="BQ702" i="4"/>
  <c r="BQ703" i="4"/>
  <c r="BQ704" i="4"/>
  <c r="BQ705" i="4"/>
  <c r="BQ706" i="4"/>
  <c r="BQ707" i="4"/>
  <c r="BQ708" i="4"/>
  <c r="BQ709" i="4"/>
  <c r="BQ710" i="4"/>
  <c r="BQ711" i="4"/>
  <c r="BQ712" i="4"/>
  <c r="BQ713" i="4"/>
  <c r="BQ714" i="4"/>
  <c r="BQ715" i="4"/>
  <c r="BQ716" i="4"/>
  <c r="BQ717" i="4"/>
  <c r="BQ718" i="4"/>
  <c r="BQ719" i="4"/>
  <c r="BQ720" i="4"/>
  <c r="BQ721" i="4"/>
  <c r="BQ722" i="4"/>
  <c r="BQ723" i="4"/>
  <c r="BQ724" i="4"/>
  <c r="BQ725" i="4"/>
  <c r="BQ726" i="4"/>
  <c r="BQ727" i="4"/>
  <c r="BQ728" i="4"/>
  <c r="BQ729" i="4"/>
  <c r="BQ730" i="4"/>
  <c r="BQ731" i="4"/>
  <c r="BQ732" i="4"/>
  <c r="BQ733" i="4"/>
  <c r="BQ734" i="4"/>
  <c r="BQ735" i="4"/>
  <c r="BQ736" i="4"/>
  <c r="BQ737" i="4"/>
  <c r="BQ738" i="4"/>
  <c r="BQ739" i="4"/>
  <c r="BQ740" i="4"/>
  <c r="BQ741" i="4"/>
  <c r="BQ742" i="4"/>
  <c r="BQ743" i="4"/>
  <c r="BQ744" i="4"/>
  <c r="BQ745" i="4"/>
  <c r="BQ746" i="4"/>
  <c r="BQ747" i="4"/>
  <c r="BQ748" i="4"/>
  <c r="BQ749" i="4"/>
  <c r="BQ750" i="4"/>
  <c r="BQ751" i="4"/>
  <c r="BQ752" i="4"/>
  <c r="BQ753" i="4"/>
  <c r="BQ754" i="4"/>
  <c r="BQ755" i="4"/>
  <c r="BQ756" i="4"/>
  <c r="BQ757" i="4"/>
  <c r="BQ758" i="4"/>
  <c r="BQ759" i="4"/>
  <c r="BQ760" i="4"/>
  <c r="BQ761" i="4"/>
  <c r="BQ762" i="4"/>
  <c r="BQ763" i="4"/>
  <c r="BQ764" i="4"/>
  <c r="BQ765" i="4"/>
  <c r="BQ766" i="4"/>
  <c r="BQ767" i="4"/>
  <c r="BQ768" i="4"/>
  <c r="BQ769" i="4"/>
  <c r="BQ770" i="4"/>
  <c r="BQ771" i="4"/>
  <c r="BQ772" i="4"/>
  <c r="BQ773" i="4"/>
  <c r="BQ774" i="4"/>
  <c r="BQ775" i="4"/>
  <c r="BQ776" i="4"/>
  <c r="BQ777" i="4"/>
  <c r="BQ778" i="4"/>
  <c r="BQ779" i="4"/>
  <c r="BQ780" i="4"/>
  <c r="BQ781" i="4"/>
  <c r="BQ782" i="4"/>
  <c r="BQ783" i="4"/>
  <c r="BQ784" i="4"/>
  <c r="BQ785" i="4"/>
  <c r="BQ786" i="4"/>
  <c r="BQ787" i="4"/>
  <c r="BQ788" i="4"/>
  <c r="BQ789" i="4"/>
  <c r="BQ790" i="4"/>
  <c r="BQ791" i="4"/>
  <c r="BQ792" i="4"/>
  <c r="BQ793" i="4"/>
  <c r="BQ794" i="4"/>
  <c r="BQ795" i="4"/>
  <c r="BQ796" i="4"/>
  <c r="BQ797" i="4"/>
  <c r="BQ798" i="4"/>
  <c r="BQ799" i="4"/>
  <c r="BQ800" i="4"/>
  <c r="BQ801" i="4"/>
  <c r="BQ802" i="4"/>
  <c r="BQ803" i="4"/>
  <c r="BQ804" i="4"/>
  <c r="BQ805" i="4"/>
  <c r="BQ806" i="4"/>
  <c r="BQ807" i="4"/>
  <c r="BQ808" i="4"/>
  <c r="BQ809" i="4"/>
  <c r="BQ810" i="4"/>
  <c r="BQ811" i="4"/>
  <c r="BQ812" i="4"/>
  <c r="BQ813" i="4"/>
  <c r="BQ814" i="4"/>
  <c r="BQ815" i="4"/>
  <c r="BQ816" i="4"/>
  <c r="BQ817" i="4"/>
  <c r="BQ818" i="4"/>
  <c r="BQ819" i="4"/>
  <c r="BQ820" i="4"/>
  <c r="BQ821" i="4"/>
  <c r="BQ822" i="4"/>
  <c r="BQ823" i="4"/>
  <c r="BQ824" i="4"/>
  <c r="BQ825" i="4"/>
  <c r="BQ826" i="4"/>
  <c r="BQ827" i="4"/>
  <c r="BQ828" i="4"/>
  <c r="BQ829" i="4"/>
  <c r="BQ830" i="4"/>
  <c r="BQ831" i="4"/>
  <c r="BQ832" i="4"/>
  <c r="BQ833" i="4"/>
  <c r="BQ834" i="4"/>
  <c r="BQ835" i="4"/>
  <c r="BQ836" i="4"/>
  <c r="BQ837" i="4"/>
  <c r="BQ838" i="4"/>
  <c r="BQ839" i="4"/>
  <c r="BQ840" i="4"/>
  <c r="BQ841" i="4"/>
  <c r="BQ842" i="4"/>
  <c r="BQ843" i="4"/>
  <c r="BQ844" i="4"/>
  <c r="BQ845" i="4"/>
  <c r="BQ846" i="4"/>
  <c r="BQ847" i="4"/>
  <c r="BQ848" i="4"/>
  <c r="BQ849" i="4"/>
  <c r="BQ850" i="4"/>
  <c r="BQ851" i="4"/>
  <c r="BQ852" i="4"/>
  <c r="BQ853" i="4"/>
  <c r="BQ854" i="4"/>
  <c r="BQ855" i="4"/>
  <c r="BQ856" i="4"/>
  <c r="BQ857" i="4"/>
  <c r="BQ858" i="4"/>
  <c r="BQ859" i="4"/>
  <c r="BQ860" i="4"/>
  <c r="BQ861" i="4"/>
  <c r="BQ862" i="4"/>
  <c r="BQ863" i="4"/>
  <c r="BQ864" i="4"/>
  <c r="BQ865" i="4"/>
  <c r="BQ866" i="4"/>
  <c r="BQ867" i="4"/>
  <c r="BQ868" i="4"/>
  <c r="BQ869" i="4"/>
  <c r="BQ870" i="4"/>
  <c r="BQ871" i="4"/>
  <c r="BQ872" i="4"/>
  <c r="BQ873" i="4"/>
  <c r="BQ874" i="4"/>
  <c r="BQ875" i="4"/>
  <c r="BQ876" i="4"/>
  <c r="BQ877" i="4"/>
  <c r="BQ878" i="4"/>
  <c r="BQ879" i="4"/>
  <c r="BQ880" i="4"/>
  <c r="BQ881" i="4"/>
  <c r="BQ882" i="4"/>
  <c r="BQ883" i="4"/>
  <c r="BQ884" i="4"/>
  <c r="BQ885" i="4"/>
  <c r="BQ886" i="4"/>
  <c r="BQ887" i="4"/>
  <c r="BQ888" i="4"/>
  <c r="BQ889" i="4"/>
  <c r="BQ890" i="4"/>
  <c r="BQ891" i="4"/>
  <c r="BQ892" i="4"/>
  <c r="BQ893" i="4"/>
  <c r="BQ894" i="4"/>
  <c r="BQ895" i="4"/>
  <c r="BQ896" i="4"/>
  <c r="BQ897" i="4"/>
  <c r="BQ898" i="4"/>
  <c r="BQ899" i="4"/>
  <c r="BQ900" i="4"/>
  <c r="BQ901" i="4"/>
  <c r="BQ902" i="4"/>
  <c r="BQ903" i="4"/>
  <c r="BQ904" i="4"/>
  <c r="BQ905" i="4"/>
  <c r="BQ906" i="4"/>
  <c r="BQ907" i="4"/>
  <c r="BQ908" i="4"/>
  <c r="BQ909" i="4"/>
  <c r="BQ910" i="4"/>
  <c r="BQ911" i="4"/>
  <c r="BQ912" i="4"/>
  <c r="BQ913" i="4"/>
  <c r="BQ914" i="4"/>
  <c r="BQ915" i="4"/>
  <c r="BQ916" i="4"/>
  <c r="BQ917" i="4"/>
  <c r="BQ918" i="4"/>
  <c r="BQ919" i="4"/>
  <c r="BQ920" i="4"/>
  <c r="BQ921" i="4"/>
  <c r="BQ922" i="4"/>
  <c r="BQ923" i="4"/>
  <c r="BQ924" i="4"/>
  <c r="BQ925" i="4"/>
  <c r="BQ926" i="4"/>
  <c r="BQ927" i="4"/>
  <c r="BQ928" i="4"/>
  <c r="BQ929" i="4"/>
  <c r="BQ930" i="4"/>
  <c r="BQ931" i="4"/>
  <c r="BQ932" i="4"/>
  <c r="BQ933" i="4"/>
  <c r="BQ934" i="4"/>
  <c r="BQ935" i="4"/>
  <c r="BQ936" i="4"/>
  <c r="BQ937" i="4"/>
  <c r="BQ938" i="4"/>
  <c r="BQ939" i="4"/>
  <c r="BQ940" i="4"/>
  <c r="BQ941" i="4"/>
  <c r="BQ942" i="4"/>
  <c r="BQ943" i="4"/>
  <c r="BQ944" i="4"/>
  <c r="BQ945" i="4"/>
  <c r="BQ946" i="4"/>
  <c r="BQ947" i="4"/>
  <c r="BQ948" i="4"/>
  <c r="BQ949" i="4"/>
  <c r="BQ950" i="4"/>
  <c r="BQ951" i="4"/>
  <c r="BQ952" i="4"/>
  <c r="BQ953" i="4"/>
  <c r="BQ954" i="4"/>
  <c r="BQ955" i="4"/>
  <c r="BQ956" i="4"/>
  <c r="BQ957" i="4"/>
  <c r="BQ958" i="4"/>
  <c r="BQ959" i="4"/>
  <c r="BQ960" i="4"/>
  <c r="BQ961" i="4"/>
  <c r="BQ962" i="4"/>
  <c r="BQ963" i="4"/>
  <c r="BQ964" i="4"/>
  <c r="BQ965" i="4"/>
  <c r="BQ966" i="4"/>
  <c r="BQ967" i="4"/>
  <c r="BQ968" i="4"/>
  <c r="BQ969" i="4"/>
  <c r="BQ970" i="4"/>
  <c r="BQ971" i="4"/>
  <c r="BQ972" i="4"/>
  <c r="BQ973" i="4"/>
  <c r="BQ974" i="4"/>
  <c r="BQ975" i="4"/>
  <c r="BQ976" i="4"/>
  <c r="BQ977" i="4"/>
  <c r="BQ978" i="4"/>
  <c r="BQ979" i="4"/>
  <c r="BQ980" i="4"/>
  <c r="BQ981" i="4"/>
  <c r="BQ982" i="4"/>
  <c r="BQ983" i="4"/>
  <c r="BQ984" i="4"/>
  <c r="BQ985" i="4"/>
  <c r="BQ986" i="4"/>
  <c r="BQ987" i="4"/>
  <c r="BQ988" i="4"/>
  <c r="BQ989" i="4"/>
  <c r="BQ990" i="4"/>
  <c r="BQ991" i="4"/>
  <c r="BQ992" i="4"/>
  <c r="BQ993" i="4"/>
  <c r="BQ994" i="4"/>
  <c r="BQ995" i="4"/>
  <c r="BQ996" i="4"/>
  <c r="BQ997" i="4"/>
  <c r="BQ998" i="4"/>
  <c r="BQ999" i="4"/>
  <c r="BQ1000" i="4"/>
  <c r="BQ1001" i="4"/>
  <c r="BQ1002" i="4"/>
  <c r="BQ1003" i="4"/>
  <c r="BQ1004" i="4"/>
  <c r="BQ1005" i="4"/>
  <c r="BQ1006" i="4"/>
  <c r="BQ1007" i="4"/>
  <c r="BQ1008" i="4"/>
  <c r="BQ1009" i="4"/>
  <c r="BQ1010" i="4"/>
  <c r="BQ1011" i="4"/>
  <c r="BQ1012" i="4"/>
  <c r="BQ1013" i="4"/>
  <c r="BQ1014" i="4"/>
  <c r="BQ1015" i="4"/>
  <c r="BQ1016" i="4"/>
  <c r="BQ1017" i="4"/>
  <c r="BQ1018" i="4"/>
  <c r="BQ1019" i="4"/>
  <c r="BQ1020" i="4"/>
  <c r="BQ1021" i="4"/>
  <c r="BQ1022" i="4"/>
  <c r="BQ1023" i="4"/>
  <c r="BQ1024" i="4"/>
  <c r="BQ1025" i="4"/>
  <c r="BQ1026" i="4"/>
  <c r="BQ1027" i="4"/>
  <c r="BQ1028" i="4"/>
  <c r="BQ1029" i="4"/>
  <c r="BQ1030" i="4"/>
  <c r="BQ1031" i="4"/>
  <c r="BQ1032" i="4"/>
  <c r="BQ1033" i="4"/>
  <c r="BQ1034" i="4"/>
  <c r="BQ1035" i="4"/>
  <c r="BQ1036" i="4"/>
  <c r="BQ1037" i="4"/>
  <c r="BQ1038" i="4"/>
  <c r="BQ1039" i="4"/>
  <c r="BQ1040" i="4"/>
  <c r="BQ1041" i="4"/>
  <c r="BQ1042" i="4"/>
  <c r="BQ1043" i="4"/>
  <c r="BQ1044" i="4"/>
  <c r="BQ1045" i="4"/>
  <c r="BQ1046" i="4"/>
  <c r="BQ1047" i="4"/>
  <c r="BQ1048" i="4"/>
  <c r="BQ1049" i="4"/>
  <c r="BQ1050" i="4"/>
  <c r="BQ1051" i="4"/>
  <c r="BQ1052" i="4"/>
  <c r="BQ1053" i="4"/>
  <c r="BQ1054" i="4"/>
  <c r="BQ1055" i="4"/>
  <c r="BQ1056" i="4"/>
  <c r="BQ1057" i="4"/>
  <c r="BQ1058" i="4"/>
  <c r="BQ1059" i="4"/>
  <c r="BQ1060" i="4"/>
  <c r="BQ1061" i="4"/>
  <c r="BQ1062" i="4"/>
  <c r="BQ1063" i="4"/>
  <c r="BQ1064" i="4"/>
  <c r="BQ1065" i="4"/>
  <c r="BQ1066" i="4"/>
  <c r="BQ1067" i="4"/>
  <c r="BQ1068" i="4"/>
  <c r="BQ1069" i="4"/>
  <c r="BQ1070" i="4"/>
  <c r="BQ1071" i="4"/>
  <c r="BQ1072" i="4"/>
  <c r="BQ1073" i="4"/>
  <c r="BQ1074" i="4"/>
  <c r="BQ1075" i="4"/>
  <c r="BQ1076" i="4"/>
  <c r="BQ1077" i="4"/>
  <c r="BQ1078" i="4"/>
  <c r="BQ1079" i="4"/>
  <c r="BQ1080" i="4"/>
  <c r="BQ1081" i="4"/>
  <c r="BQ1082" i="4"/>
  <c r="BQ1083" i="4"/>
  <c r="BQ1084" i="4"/>
  <c r="BQ1085" i="4"/>
  <c r="BQ1086" i="4"/>
  <c r="BQ1087" i="4"/>
  <c r="BQ1088" i="4"/>
  <c r="BQ1089" i="4"/>
  <c r="BQ1090" i="4"/>
  <c r="BQ1091" i="4"/>
  <c r="BQ1092" i="4"/>
  <c r="BQ1093" i="4"/>
  <c r="BQ1094" i="4"/>
  <c r="BQ1095" i="4"/>
  <c r="BQ1096" i="4"/>
  <c r="BQ1097" i="4"/>
  <c r="BQ1098" i="4"/>
  <c r="BQ1099" i="4"/>
  <c r="BQ1100" i="4"/>
  <c r="BQ1101" i="4"/>
  <c r="BQ1102" i="4"/>
  <c r="BQ1103" i="4"/>
  <c r="BQ1104" i="4"/>
  <c r="BQ1105" i="4"/>
  <c r="BQ1106" i="4"/>
  <c r="BQ1107" i="4"/>
  <c r="BQ1108" i="4"/>
  <c r="BQ1109" i="4"/>
  <c r="BQ1110" i="4"/>
  <c r="BQ1111" i="4"/>
  <c r="BQ1112" i="4"/>
  <c r="BQ1113" i="4"/>
  <c r="BQ1114" i="4"/>
  <c r="BQ1115" i="4"/>
  <c r="BQ1116" i="4"/>
  <c r="BQ1117" i="4"/>
  <c r="BQ1118" i="4"/>
  <c r="BQ1119" i="4"/>
  <c r="BQ1120" i="4"/>
  <c r="BQ1121" i="4"/>
  <c r="BQ1122" i="4"/>
  <c r="BQ1123" i="4"/>
  <c r="BQ1124" i="4"/>
  <c r="BQ1125" i="4"/>
  <c r="BQ1126" i="4"/>
  <c r="BQ1127" i="4"/>
  <c r="BQ1128" i="4"/>
  <c r="BQ1129" i="4"/>
  <c r="BQ1130" i="4"/>
  <c r="BQ1131" i="4"/>
  <c r="BQ1132" i="4"/>
  <c r="BQ1133" i="4"/>
  <c r="BQ1134" i="4"/>
  <c r="BQ1135" i="4"/>
  <c r="BQ1136" i="4"/>
  <c r="BQ1137" i="4"/>
  <c r="BQ1138" i="4"/>
  <c r="BQ1139" i="4"/>
  <c r="BQ1140" i="4"/>
  <c r="BQ1141" i="4"/>
  <c r="BQ1142" i="4"/>
  <c r="BQ1143" i="4"/>
  <c r="BQ1144" i="4"/>
  <c r="BQ1145" i="4"/>
  <c r="BQ1146" i="4"/>
  <c r="BQ1147" i="4"/>
  <c r="BQ1148" i="4"/>
  <c r="BQ1149" i="4"/>
  <c r="BQ1150" i="4"/>
  <c r="BQ1151" i="4"/>
  <c r="BQ1152" i="4"/>
  <c r="BQ1153" i="4"/>
  <c r="BQ1154" i="4"/>
  <c r="BQ1155" i="4"/>
  <c r="BQ1156" i="4"/>
  <c r="BQ1157" i="4"/>
  <c r="BQ1158" i="4"/>
  <c r="BQ1159" i="4"/>
  <c r="BQ1160" i="4"/>
  <c r="BQ1161" i="4"/>
  <c r="BQ1162" i="4"/>
  <c r="BQ1163" i="4"/>
  <c r="BQ1164" i="4"/>
  <c r="BQ1165" i="4"/>
  <c r="BQ1166" i="4"/>
  <c r="BQ1167" i="4"/>
  <c r="BQ1168" i="4"/>
  <c r="BQ1169" i="4"/>
  <c r="BQ1170" i="4"/>
  <c r="BQ1171" i="4"/>
  <c r="BQ1172" i="4"/>
  <c r="BQ1173" i="4"/>
  <c r="BQ1174" i="4"/>
  <c r="BQ1175" i="4"/>
  <c r="BQ1176" i="4"/>
  <c r="BQ1177" i="4"/>
  <c r="BQ1178" i="4"/>
  <c r="BQ1179" i="4"/>
  <c r="BQ1180" i="4"/>
  <c r="BQ1181" i="4"/>
  <c r="BQ1182" i="4"/>
  <c r="BQ1183" i="4"/>
  <c r="BQ1184" i="4"/>
  <c r="BQ1185" i="4"/>
  <c r="BQ1186" i="4"/>
  <c r="BQ1187" i="4"/>
  <c r="BQ1188" i="4"/>
  <c r="BQ1189" i="4"/>
  <c r="BQ1190" i="4"/>
  <c r="BQ1191" i="4"/>
  <c r="BQ1192" i="4"/>
  <c r="BQ1193" i="4"/>
  <c r="BQ1194" i="4"/>
  <c r="BQ1195" i="4"/>
  <c r="BQ1196" i="4"/>
  <c r="BQ1197" i="4"/>
  <c r="BQ1198" i="4"/>
  <c r="BQ1199" i="4"/>
  <c r="BQ1200" i="4"/>
  <c r="BQ1201" i="4"/>
  <c r="BQ1202" i="4"/>
  <c r="BQ1203" i="4"/>
  <c r="BQ1204" i="4"/>
  <c r="BQ1205" i="4"/>
  <c r="BQ1206" i="4"/>
  <c r="BQ1207" i="4"/>
  <c r="BQ1208" i="4"/>
  <c r="BQ1209" i="4"/>
  <c r="BQ1210" i="4"/>
  <c r="BQ1211" i="4"/>
  <c r="BQ1212" i="4"/>
  <c r="BQ1213" i="4"/>
  <c r="BQ1214" i="4"/>
  <c r="BQ1215" i="4"/>
  <c r="BQ1216" i="4"/>
  <c r="BQ1217" i="4"/>
  <c r="BQ1218" i="4"/>
  <c r="BQ1219" i="4"/>
  <c r="BQ1220" i="4"/>
  <c r="BQ1221" i="4"/>
  <c r="BQ1222" i="4"/>
  <c r="BQ1223" i="4"/>
  <c r="BQ1224" i="4"/>
  <c r="BQ1225" i="4"/>
  <c r="BQ1226" i="4"/>
  <c r="BQ1227" i="4"/>
  <c r="BQ1228" i="4"/>
  <c r="BQ1229" i="4"/>
  <c r="BQ1230" i="4"/>
  <c r="BQ1231" i="4"/>
  <c r="BQ1232" i="4"/>
  <c r="BQ1233" i="4"/>
  <c r="BQ1234" i="4"/>
  <c r="BQ1235" i="4"/>
  <c r="BQ1236" i="4"/>
  <c r="BQ1237" i="4"/>
  <c r="BQ1238" i="4"/>
  <c r="BQ1239" i="4"/>
  <c r="BQ1240" i="4"/>
  <c r="BQ1241" i="4"/>
  <c r="BQ1242" i="4"/>
  <c r="BQ1243" i="4"/>
  <c r="BQ1244" i="4"/>
  <c r="BQ1245" i="4"/>
  <c r="BQ1246" i="4"/>
  <c r="BQ1247" i="4"/>
  <c r="BQ1248" i="4"/>
  <c r="BQ1249" i="4"/>
  <c r="BQ1250" i="4"/>
  <c r="BQ1251" i="4"/>
  <c r="BQ1252" i="4"/>
  <c r="BQ1253" i="4"/>
  <c r="BQ1254" i="4"/>
  <c r="BQ1255" i="4"/>
  <c r="BQ1256" i="4"/>
  <c r="BQ1257" i="4"/>
  <c r="BQ1258" i="4"/>
  <c r="BQ1259" i="4"/>
  <c r="BQ1260" i="4"/>
  <c r="BQ1261" i="4"/>
  <c r="BQ1262" i="4"/>
  <c r="BQ1263" i="4"/>
  <c r="BQ1264" i="4"/>
  <c r="BQ1265" i="4"/>
  <c r="BQ1266" i="4"/>
  <c r="BQ1267" i="4"/>
  <c r="BQ1268" i="4"/>
  <c r="BQ1269" i="4"/>
  <c r="BQ1270" i="4"/>
  <c r="BQ1271" i="4"/>
  <c r="BQ1272" i="4"/>
  <c r="BQ1273" i="4"/>
  <c r="BQ1274" i="4"/>
  <c r="BQ1275" i="4"/>
  <c r="BQ1276" i="4"/>
  <c r="BQ1277" i="4"/>
  <c r="BQ1278" i="4"/>
  <c r="BQ1279" i="4"/>
  <c r="BQ1280" i="4"/>
  <c r="BQ1281" i="4"/>
  <c r="BQ1282" i="4"/>
  <c r="BQ1283" i="4"/>
  <c r="BQ1284" i="4"/>
  <c r="BQ1285" i="4"/>
  <c r="BQ1286" i="4"/>
  <c r="BQ1287" i="4"/>
  <c r="BQ1288" i="4"/>
  <c r="BQ1289" i="4"/>
  <c r="BQ1290" i="4"/>
  <c r="BQ1291" i="4"/>
  <c r="BQ1292" i="4"/>
  <c r="BQ1293" i="4"/>
  <c r="BQ1294" i="4"/>
  <c r="BS1320" i="4" l="1"/>
  <c r="BY1327" i="4"/>
  <c r="BS1330" i="4"/>
  <c r="BY1332" i="4"/>
  <c r="BY1341" i="4"/>
  <c r="BY1329" i="4"/>
  <c r="BS1344" i="4"/>
  <c r="BY1320" i="4"/>
  <c r="BS1318" i="4"/>
  <c r="BS1334" i="4"/>
  <c r="BS1322" i="4"/>
  <c r="BY1330" i="4"/>
  <c r="BS1338" i="4"/>
  <c r="BS1326" i="4"/>
  <c r="BS1342" i="4"/>
  <c r="BY1342" i="4"/>
  <c r="BY1318" i="4"/>
  <c r="BY1338" i="4"/>
  <c r="BY1326" i="4"/>
  <c r="BY1340" i="4"/>
  <c r="BY1328" i="4"/>
  <c r="BI1345" i="4"/>
  <c r="BT1345" i="4" s="1"/>
  <c r="BZ1345" i="4" s="1"/>
  <c r="CB1345" i="4" s="1"/>
  <c r="BY1345" i="4"/>
  <c r="BY1321" i="4"/>
  <c r="BY1344" i="4"/>
  <c r="BS1345" i="4"/>
  <c r="BS1321" i="4"/>
  <c r="BS1333" i="4"/>
  <c r="BS1332" i="4"/>
  <c r="BY1334" i="4"/>
  <c r="BY1322" i="4"/>
  <c r="BY1333" i="4"/>
  <c r="BS1339" i="4"/>
  <c r="BS1327" i="4"/>
  <c r="BY1339" i="4"/>
  <c r="BI1317" i="4"/>
  <c r="BT1317" i="4" s="1"/>
  <c r="BZ1317" i="4" s="1"/>
  <c r="CB1317" i="4" s="1"/>
  <c r="BY1337" i="4"/>
  <c r="BY1325" i="4"/>
  <c r="BS1337" i="4"/>
  <c r="BS1325" i="4"/>
  <c r="BS1341" i="4"/>
  <c r="CA1341" i="4" s="1"/>
  <c r="CC1341" i="4" s="1"/>
  <c r="CE1341" i="4" s="1"/>
  <c r="CF1341" i="4" s="1"/>
  <c r="BS1329" i="4"/>
  <c r="CA1329" i="4" s="1"/>
  <c r="CC1329" i="4" s="1"/>
  <c r="CE1329" i="4" s="1"/>
  <c r="CF1329" i="4" s="1"/>
  <c r="CH1329" i="4" s="1"/>
  <c r="BY1336" i="4"/>
  <c r="BY1324" i="4"/>
  <c r="BS1336" i="4"/>
  <c r="BS1324" i="4"/>
  <c r="BS1340" i="4"/>
  <c r="BS1328" i="4"/>
  <c r="BY1335" i="4"/>
  <c r="BY1323" i="4"/>
  <c r="BY1343" i="4"/>
  <c r="BY1331" i="4"/>
  <c r="BY1319" i="4"/>
  <c r="BS1343" i="4"/>
  <c r="BS1331" i="4"/>
  <c r="BS1319" i="4"/>
  <c r="BS1335" i="4"/>
  <c r="BS1323" i="4"/>
  <c r="BS1317" i="4"/>
  <c r="BS1316" i="4"/>
  <c r="BY1310" i="4"/>
  <c r="BY1308" i="4"/>
  <c r="BY1316" i="4"/>
  <c r="BY1307" i="4"/>
  <c r="BY1305" i="4"/>
  <c r="BY1315" i="4"/>
  <c r="BY1317" i="4"/>
  <c r="BY1309" i="4"/>
  <c r="BS1315" i="4"/>
  <c r="BS1309" i="4"/>
  <c r="BS1307" i="4"/>
  <c r="BS1305" i="4"/>
  <c r="BS1314" i="4"/>
  <c r="BS1312" i="4"/>
  <c r="BY1314" i="4"/>
  <c r="BY1312" i="4"/>
  <c r="BS1310" i="4"/>
  <c r="BS1311" i="4"/>
  <c r="BS1308" i="4"/>
  <c r="BS1306" i="4"/>
  <c r="BY1306" i="4"/>
  <c r="BY1313" i="4"/>
  <c r="BS1313" i="4"/>
  <c r="BY1311" i="4"/>
  <c r="BS1299" i="4"/>
  <c r="BT1296" i="4"/>
  <c r="BZ1296" i="4" s="1"/>
  <c r="CB1296" i="4" s="1"/>
  <c r="BT1303" i="4"/>
  <c r="BZ1303" i="4" s="1"/>
  <c r="CB1303" i="4" s="1"/>
  <c r="BY1299" i="4"/>
  <c r="BY1304" i="4"/>
  <c r="BT1298" i="4"/>
  <c r="BZ1298" i="4" s="1"/>
  <c r="CB1298" i="4" s="1"/>
  <c r="BT1301" i="4"/>
  <c r="BZ1301" i="4" s="1"/>
  <c r="CB1301" i="4" s="1"/>
  <c r="BT1300" i="4"/>
  <c r="BZ1300" i="4" s="1"/>
  <c r="CB1300" i="4" s="1"/>
  <c r="BT1304" i="4"/>
  <c r="BZ1304" i="4" s="1"/>
  <c r="CB1304" i="4" s="1"/>
  <c r="BZ1297" i="4"/>
  <c r="CB1297" i="4" s="1"/>
  <c r="BZ1295" i="4"/>
  <c r="CB1295" i="4" s="1"/>
  <c r="BZ1299" i="4"/>
  <c r="CB1299" i="4" s="1"/>
  <c r="BY1295" i="4"/>
  <c r="BY1303" i="4"/>
  <c r="BS1302" i="4"/>
  <c r="BS1303" i="4"/>
  <c r="BS1301" i="4"/>
  <c r="BS1304" i="4"/>
  <c r="BS1300" i="4"/>
  <c r="BS1298" i="4"/>
  <c r="BY1302" i="4"/>
  <c r="BY1298" i="4"/>
  <c r="BY1301" i="4"/>
  <c r="BY1297" i="4"/>
  <c r="BY1300" i="4"/>
  <c r="BY1296" i="4"/>
  <c r="BS1296" i="4"/>
  <c r="BS1297" i="4"/>
  <c r="BS1295" i="4"/>
  <c r="CA1320" i="4" l="1"/>
  <c r="CC1320" i="4" s="1"/>
  <c r="CE1320" i="4" s="1"/>
  <c r="CF1320" i="4" s="1"/>
  <c r="CA1328" i="4"/>
  <c r="CC1328" i="4" s="1"/>
  <c r="CE1328" i="4" s="1"/>
  <c r="CF1328" i="4" s="1"/>
  <c r="CA1318" i="4"/>
  <c r="CC1318" i="4" s="1"/>
  <c r="CE1318" i="4" s="1"/>
  <c r="CF1318" i="4" s="1"/>
  <c r="CA1322" i="4"/>
  <c r="CC1322" i="4" s="1"/>
  <c r="CE1322" i="4" s="1"/>
  <c r="CF1322" i="4" s="1"/>
  <c r="CA1342" i="4"/>
  <c r="CC1342" i="4" s="1"/>
  <c r="CE1342" i="4" s="1"/>
  <c r="CF1342" i="4" s="1"/>
  <c r="CA1321" i="4"/>
  <c r="CC1321" i="4" s="1"/>
  <c r="CE1321" i="4" s="1"/>
  <c r="CF1321" i="4" s="1"/>
  <c r="CA1330" i="4"/>
  <c r="CC1330" i="4" s="1"/>
  <c r="CE1330" i="4" s="1"/>
  <c r="CF1330" i="4" s="1"/>
  <c r="CH1330" i="4" s="1"/>
  <c r="CA1339" i="4"/>
  <c r="CC1339" i="4" s="1"/>
  <c r="CE1339" i="4" s="1"/>
  <c r="CF1339" i="4" s="1"/>
  <c r="CA1327" i="4"/>
  <c r="CC1327" i="4" s="1"/>
  <c r="CE1327" i="4" s="1"/>
  <c r="CF1327" i="4" s="1"/>
  <c r="CA1335" i="4"/>
  <c r="CC1335" i="4" s="1"/>
  <c r="CE1335" i="4" s="1"/>
  <c r="CF1335" i="4" s="1"/>
  <c r="CH1335" i="4" s="1"/>
  <c r="CA1326" i="4"/>
  <c r="CC1326" i="4" s="1"/>
  <c r="CE1326" i="4" s="1"/>
  <c r="CF1326" i="4" s="1"/>
  <c r="CA1334" i="4"/>
  <c r="CC1334" i="4" s="1"/>
  <c r="CE1334" i="4" s="1"/>
  <c r="CF1334" i="4" s="1"/>
  <c r="CA1338" i="4"/>
  <c r="CC1338" i="4" s="1"/>
  <c r="CE1338" i="4" s="1"/>
  <c r="CF1338" i="4" s="1"/>
  <c r="CA1332" i="4"/>
  <c r="CC1332" i="4" s="1"/>
  <c r="CE1332" i="4" s="1"/>
  <c r="CF1332" i="4" s="1"/>
  <c r="CA1344" i="4"/>
  <c r="CC1344" i="4" s="1"/>
  <c r="CE1344" i="4" s="1"/>
  <c r="CF1344" i="4" s="1"/>
  <c r="CA1310" i="4"/>
  <c r="CC1310" i="4" s="1"/>
  <c r="CE1310" i="4" s="1"/>
  <c r="CF1310" i="4" s="1"/>
  <c r="CH1310" i="4" s="1"/>
  <c r="CA1340" i="4"/>
  <c r="CC1340" i="4" s="1"/>
  <c r="CE1340" i="4" s="1"/>
  <c r="CF1340" i="4" s="1"/>
  <c r="CH1340" i="4" s="1"/>
  <c r="CA1331" i="4"/>
  <c r="CC1331" i="4" s="1"/>
  <c r="CE1331" i="4" s="1"/>
  <c r="CF1331" i="4" s="1"/>
  <c r="CA1308" i="4"/>
  <c r="CC1308" i="4" s="1"/>
  <c r="CE1308" i="4" s="1"/>
  <c r="CF1308" i="4" s="1"/>
  <c r="CH1308" i="4" s="1"/>
  <c r="CA1345" i="4"/>
  <c r="CC1345" i="4" s="1"/>
  <c r="CE1345" i="4" s="1"/>
  <c r="CF1345" i="4" s="1"/>
  <c r="CA1333" i="4"/>
  <c r="CC1333" i="4" s="1"/>
  <c r="CE1333" i="4" s="1"/>
  <c r="CF1333" i="4" s="1"/>
  <c r="CA1309" i="4"/>
  <c r="CC1309" i="4" s="1"/>
  <c r="CE1309" i="4" s="1"/>
  <c r="CF1309" i="4" s="1"/>
  <c r="CH1309" i="4" s="1"/>
  <c r="CA1323" i="4"/>
  <c r="CC1323" i="4" s="1"/>
  <c r="CE1323" i="4" s="1"/>
  <c r="CF1323" i="4" s="1"/>
  <c r="CH1323" i="4" s="1"/>
  <c r="CA1336" i="4"/>
  <c r="CC1336" i="4" s="1"/>
  <c r="CE1336" i="4" s="1"/>
  <c r="CF1336" i="4" s="1"/>
  <c r="CH1336" i="4" s="1"/>
  <c r="CA1343" i="4"/>
  <c r="CC1343" i="4" s="1"/>
  <c r="CE1343" i="4" s="1"/>
  <c r="CF1343" i="4" s="1"/>
  <c r="CH1343" i="4" s="1"/>
  <c r="CA1319" i="4"/>
  <c r="CC1319" i="4" s="1"/>
  <c r="CE1319" i="4" s="1"/>
  <c r="CF1319" i="4" s="1"/>
  <c r="CA1325" i="4"/>
  <c r="CC1325" i="4" s="1"/>
  <c r="CE1325" i="4" s="1"/>
  <c r="CA1324" i="4"/>
  <c r="CC1324" i="4" s="1"/>
  <c r="CE1324" i="4" s="1"/>
  <c r="CF1324" i="4" s="1"/>
  <c r="CH1341" i="4"/>
  <c r="CA1337" i="4"/>
  <c r="CC1337" i="4" s="1"/>
  <c r="CE1337" i="4" s="1"/>
  <c r="CA1313" i="4"/>
  <c r="CC1313" i="4" s="1"/>
  <c r="CE1313" i="4" s="1"/>
  <c r="CF1313" i="4" s="1"/>
  <c r="CA1307" i="4"/>
  <c r="CC1307" i="4" s="1"/>
  <c r="CE1307" i="4" s="1"/>
  <c r="CA1315" i="4"/>
  <c r="CC1315" i="4" s="1"/>
  <c r="CE1315" i="4" s="1"/>
  <c r="CF1315" i="4" s="1"/>
  <c r="CA1317" i="4"/>
  <c r="CC1317" i="4" s="1"/>
  <c r="CE1317" i="4" s="1"/>
  <c r="CF1317" i="4" s="1"/>
  <c r="CA1314" i="4"/>
  <c r="CC1314" i="4" s="1"/>
  <c r="CE1314" i="4" s="1"/>
  <c r="CA1312" i="4"/>
  <c r="CC1312" i="4" s="1"/>
  <c r="CE1312" i="4" s="1"/>
  <c r="CA1316" i="4"/>
  <c r="CC1316" i="4" s="1"/>
  <c r="CE1316" i="4" s="1"/>
  <c r="CF1316" i="4" s="1"/>
  <c r="CH1316" i="4" s="1"/>
  <c r="CA1305" i="4"/>
  <c r="CC1305" i="4" s="1"/>
  <c r="CE1305" i="4" s="1"/>
  <c r="CA1306" i="4"/>
  <c r="CC1306" i="4" s="1"/>
  <c r="CE1306" i="4" s="1"/>
  <c r="CA1296" i="4"/>
  <c r="CC1296" i="4" s="1"/>
  <c r="CE1296" i="4" s="1"/>
  <c r="CF1296" i="4" s="1"/>
  <c r="CA1311" i="4"/>
  <c r="CC1311" i="4" s="1"/>
  <c r="CE1311" i="4" s="1"/>
  <c r="CA1304" i="4"/>
  <c r="CC1304" i="4" s="1"/>
  <c r="CE1304" i="4" s="1"/>
  <c r="CF1304" i="4" s="1"/>
  <c r="CA1303" i="4"/>
  <c r="CC1303" i="4" s="1"/>
  <c r="CE1303" i="4" s="1"/>
  <c r="CA1299" i="4"/>
  <c r="CC1299" i="4" s="1"/>
  <c r="CE1299" i="4" s="1"/>
  <c r="CF1299" i="4" s="1"/>
  <c r="CA1300" i="4"/>
  <c r="CC1300" i="4" s="1"/>
  <c r="CE1300" i="4" s="1"/>
  <c r="CF1300" i="4" s="1"/>
  <c r="CA1301" i="4"/>
  <c r="CA1298" i="4"/>
  <c r="CC1298" i="4" s="1"/>
  <c r="CE1298" i="4" s="1"/>
  <c r="CF1298" i="4" s="1"/>
  <c r="CA1295" i="4"/>
  <c r="CC1295" i="4" s="1"/>
  <c r="CE1295" i="4" s="1"/>
  <c r="CF1295" i="4" s="1"/>
  <c r="CA1297" i="4"/>
  <c r="CA1302" i="4"/>
  <c r="BX2" i="4"/>
  <c r="BX3" i="4"/>
  <c r="BX4" i="4"/>
  <c r="BX5" i="4"/>
  <c r="BX6" i="4"/>
  <c r="BX7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X80" i="4"/>
  <c r="BX81" i="4"/>
  <c r="BX82" i="4"/>
  <c r="BX83" i="4"/>
  <c r="BX84" i="4"/>
  <c r="BX85" i="4"/>
  <c r="BX86" i="4"/>
  <c r="BX87" i="4"/>
  <c r="BX88" i="4"/>
  <c r="BX89" i="4"/>
  <c r="BX90" i="4"/>
  <c r="BX91" i="4"/>
  <c r="BX92" i="4"/>
  <c r="BX93" i="4"/>
  <c r="BX94" i="4"/>
  <c r="BX95" i="4"/>
  <c r="BX96" i="4"/>
  <c r="BX97" i="4"/>
  <c r="BX98" i="4"/>
  <c r="BX99" i="4"/>
  <c r="BX100" i="4"/>
  <c r="BX101" i="4"/>
  <c r="BX102" i="4"/>
  <c r="BX103" i="4"/>
  <c r="BX104" i="4"/>
  <c r="BX105" i="4"/>
  <c r="BX106" i="4"/>
  <c r="BX107" i="4"/>
  <c r="BX108" i="4"/>
  <c r="BX109" i="4"/>
  <c r="BX110" i="4"/>
  <c r="BX111" i="4"/>
  <c r="BX112" i="4"/>
  <c r="BX113" i="4"/>
  <c r="BX114" i="4"/>
  <c r="BX115" i="4"/>
  <c r="BX116" i="4"/>
  <c r="BX117" i="4"/>
  <c r="BX118" i="4"/>
  <c r="BX119" i="4"/>
  <c r="BX120" i="4"/>
  <c r="BX121" i="4"/>
  <c r="BX122" i="4"/>
  <c r="BX123" i="4"/>
  <c r="BX124" i="4"/>
  <c r="BX125" i="4"/>
  <c r="BX126" i="4"/>
  <c r="BX127" i="4"/>
  <c r="BX128" i="4"/>
  <c r="BX129" i="4"/>
  <c r="BX130" i="4"/>
  <c r="BX131" i="4"/>
  <c r="BX132" i="4"/>
  <c r="BX133" i="4"/>
  <c r="BX134" i="4"/>
  <c r="BX135" i="4"/>
  <c r="BX136" i="4"/>
  <c r="BX137" i="4"/>
  <c r="BX138" i="4"/>
  <c r="BX139" i="4"/>
  <c r="BX140" i="4"/>
  <c r="BX141" i="4"/>
  <c r="BX142" i="4"/>
  <c r="BX143" i="4"/>
  <c r="BX144" i="4"/>
  <c r="BX145" i="4"/>
  <c r="BX146" i="4"/>
  <c r="BX147" i="4"/>
  <c r="BX148" i="4"/>
  <c r="BX149" i="4"/>
  <c r="BX150" i="4"/>
  <c r="BX151" i="4"/>
  <c r="BX152" i="4"/>
  <c r="BX153" i="4"/>
  <c r="BX154" i="4"/>
  <c r="BX155" i="4"/>
  <c r="BX156" i="4"/>
  <c r="BX157" i="4"/>
  <c r="BX158" i="4"/>
  <c r="BX159" i="4"/>
  <c r="BX160" i="4"/>
  <c r="BX161" i="4"/>
  <c r="BX162" i="4"/>
  <c r="BX163" i="4"/>
  <c r="BX164" i="4"/>
  <c r="BX165" i="4"/>
  <c r="BX166" i="4"/>
  <c r="BX167" i="4"/>
  <c r="BX168" i="4"/>
  <c r="BX169" i="4"/>
  <c r="BX170" i="4"/>
  <c r="BX171" i="4"/>
  <c r="BX172" i="4"/>
  <c r="BX173" i="4"/>
  <c r="BX174" i="4"/>
  <c r="BX175" i="4"/>
  <c r="BX176" i="4"/>
  <c r="BX177" i="4"/>
  <c r="BX178" i="4"/>
  <c r="BX179" i="4"/>
  <c r="BX180" i="4"/>
  <c r="BX181" i="4"/>
  <c r="BX182" i="4"/>
  <c r="BX183" i="4"/>
  <c r="BX184" i="4"/>
  <c r="BX185" i="4"/>
  <c r="BX186" i="4"/>
  <c r="BX187" i="4"/>
  <c r="BX188" i="4"/>
  <c r="BX189" i="4"/>
  <c r="BX190" i="4"/>
  <c r="BX191" i="4"/>
  <c r="BX192" i="4"/>
  <c r="BX193" i="4"/>
  <c r="BX194" i="4"/>
  <c r="BX195" i="4"/>
  <c r="BX196" i="4"/>
  <c r="BX197" i="4"/>
  <c r="BX198" i="4"/>
  <c r="BX199" i="4"/>
  <c r="BX200" i="4"/>
  <c r="BX201" i="4"/>
  <c r="BX202" i="4"/>
  <c r="BX203" i="4"/>
  <c r="BX204" i="4"/>
  <c r="BX205" i="4"/>
  <c r="BX206" i="4"/>
  <c r="BX207" i="4"/>
  <c r="BX208" i="4"/>
  <c r="BX209" i="4"/>
  <c r="BX210" i="4"/>
  <c r="BX211" i="4"/>
  <c r="BX212" i="4"/>
  <c r="BX213" i="4"/>
  <c r="BX214" i="4"/>
  <c r="BX215" i="4"/>
  <c r="BX216" i="4"/>
  <c r="BX217" i="4"/>
  <c r="BX218" i="4"/>
  <c r="BX219" i="4"/>
  <c r="BX220" i="4"/>
  <c r="BX221" i="4"/>
  <c r="BX222" i="4"/>
  <c r="BX223" i="4"/>
  <c r="BX224" i="4"/>
  <c r="BX225" i="4"/>
  <c r="BX226" i="4"/>
  <c r="BX227" i="4"/>
  <c r="BX228" i="4"/>
  <c r="BX229" i="4"/>
  <c r="BX230" i="4"/>
  <c r="BX231" i="4"/>
  <c r="BX232" i="4"/>
  <c r="BX233" i="4"/>
  <c r="BX234" i="4"/>
  <c r="BX235" i="4"/>
  <c r="BX236" i="4"/>
  <c r="BX237" i="4"/>
  <c r="BX238" i="4"/>
  <c r="BX239" i="4"/>
  <c r="BX240" i="4"/>
  <c r="BX241" i="4"/>
  <c r="BX242" i="4"/>
  <c r="BX243" i="4"/>
  <c r="BX244" i="4"/>
  <c r="BX245" i="4"/>
  <c r="BX246" i="4"/>
  <c r="BX247" i="4"/>
  <c r="BX248" i="4"/>
  <c r="BX249" i="4"/>
  <c r="BX250" i="4"/>
  <c r="BX251" i="4"/>
  <c r="BX252" i="4"/>
  <c r="BX253" i="4"/>
  <c r="BX254" i="4"/>
  <c r="BX255" i="4"/>
  <c r="BX256" i="4"/>
  <c r="BX257" i="4"/>
  <c r="BX258" i="4"/>
  <c r="BX259" i="4"/>
  <c r="BX260" i="4"/>
  <c r="BX261" i="4"/>
  <c r="BX262" i="4"/>
  <c r="BX263" i="4"/>
  <c r="BX264" i="4"/>
  <c r="BX265" i="4"/>
  <c r="BX266" i="4"/>
  <c r="BX267" i="4"/>
  <c r="BX268" i="4"/>
  <c r="BX269" i="4"/>
  <c r="BX270" i="4"/>
  <c r="BX271" i="4"/>
  <c r="BX272" i="4"/>
  <c r="BX273" i="4"/>
  <c r="BX274" i="4"/>
  <c r="BX275" i="4"/>
  <c r="BX276" i="4"/>
  <c r="BX277" i="4"/>
  <c r="BX278" i="4"/>
  <c r="BX279" i="4"/>
  <c r="BX280" i="4"/>
  <c r="BX281" i="4"/>
  <c r="BX282" i="4"/>
  <c r="BX283" i="4"/>
  <c r="BX284" i="4"/>
  <c r="BX285" i="4"/>
  <c r="BX286" i="4"/>
  <c r="BX287" i="4"/>
  <c r="BX288" i="4"/>
  <c r="BX289" i="4"/>
  <c r="BX290" i="4"/>
  <c r="BX291" i="4"/>
  <c r="BX292" i="4"/>
  <c r="BX293" i="4"/>
  <c r="BX294" i="4"/>
  <c r="BX295" i="4"/>
  <c r="BX296" i="4"/>
  <c r="BX297" i="4"/>
  <c r="BX298" i="4"/>
  <c r="BX299" i="4"/>
  <c r="BX300" i="4"/>
  <c r="BX301" i="4"/>
  <c r="BX302" i="4"/>
  <c r="BX303" i="4"/>
  <c r="BX304" i="4"/>
  <c r="BX305" i="4"/>
  <c r="BX306" i="4"/>
  <c r="BX307" i="4"/>
  <c r="BX308" i="4"/>
  <c r="BX309" i="4"/>
  <c r="BX310" i="4"/>
  <c r="BX311" i="4"/>
  <c r="BX312" i="4"/>
  <c r="BX313" i="4"/>
  <c r="BX314" i="4"/>
  <c r="BX315" i="4"/>
  <c r="BX316" i="4"/>
  <c r="BX317" i="4"/>
  <c r="BX318" i="4"/>
  <c r="BX319" i="4"/>
  <c r="BX320" i="4"/>
  <c r="BX321" i="4"/>
  <c r="BX322" i="4"/>
  <c r="BX323" i="4"/>
  <c r="BX324" i="4"/>
  <c r="BX325" i="4"/>
  <c r="BX326" i="4"/>
  <c r="BX327" i="4"/>
  <c r="BX328" i="4"/>
  <c r="BX329" i="4"/>
  <c r="BX330" i="4"/>
  <c r="BX331" i="4"/>
  <c r="BX332" i="4"/>
  <c r="BX333" i="4"/>
  <c r="BX334" i="4"/>
  <c r="BX335" i="4"/>
  <c r="BX336" i="4"/>
  <c r="BX337" i="4"/>
  <c r="BX338" i="4"/>
  <c r="BX339" i="4"/>
  <c r="BX340" i="4"/>
  <c r="BX341" i="4"/>
  <c r="BX342" i="4"/>
  <c r="BX343" i="4"/>
  <c r="BX344" i="4"/>
  <c r="BX345" i="4"/>
  <c r="BX346" i="4"/>
  <c r="BX347" i="4"/>
  <c r="BX348" i="4"/>
  <c r="BX349" i="4"/>
  <c r="BX350" i="4"/>
  <c r="BX351" i="4"/>
  <c r="BX352" i="4"/>
  <c r="BX353" i="4"/>
  <c r="BX354" i="4"/>
  <c r="BX355" i="4"/>
  <c r="BX356" i="4"/>
  <c r="BX357" i="4"/>
  <c r="BX358" i="4"/>
  <c r="BX359" i="4"/>
  <c r="BX360" i="4"/>
  <c r="BX361" i="4"/>
  <c r="BX362" i="4"/>
  <c r="BX363" i="4"/>
  <c r="BX364" i="4"/>
  <c r="BX365" i="4"/>
  <c r="BX366" i="4"/>
  <c r="BX367" i="4"/>
  <c r="BX368" i="4"/>
  <c r="BX369" i="4"/>
  <c r="BX370" i="4"/>
  <c r="BX371" i="4"/>
  <c r="BX372" i="4"/>
  <c r="BX373" i="4"/>
  <c r="BX374" i="4"/>
  <c r="BX375" i="4"/>
  <c r="BX376" i="4"/>
  <c r="BX377" i="4"/>
  <c r="BX378" i="4"/>
  <c r="BX379" i="4"/>
  <c r="BX380" i="4"/>
  <c r="BX381" i="4"/>
  <c r="BX382" i="4"/>
  <c r="BX383" i="4"/>
  <c r="BX384" i="4"/>
  <c r="BX385" i="4"/>
  <c r="BX386" i="4"/>
  <c r="BX387" i="4"/>
  <c r="BX388" i="4"/>
  <c r="BX389" i="4"/>
  <c r="BX390" i="4"/>
  <c r="BX391" i="4"/>
  <c r="BX392" i="4"/>
  <c r="BX393" i="4"/>
  <c r="BX394" i="4"/>
  <c r="BX395" i="4"/>
  <c r="BX396" i="4"/>
  <c r="BX397" i="4"/>
  <c r="BX398" i="4"/>
  <c r="BX399" i="4"/>
  <c r="BX400" i="4"/>
  <c r="BX401" i="4"/>
  <c r="BX402" i="4"/>
  <c r="BX403" i="4"/>
  <c r="BX404" i="4"/>
  <c r="BX405" i="4"/>
  <c r="BX406" i="4"/>
  <c r="BX407" i="4"/>
  <c r="BX408" i="4"/>
  <c r="BX409" i="4"/>
  <c r="BX410" i="4"/>
  <c r="BX411" i="4"/>
  <c r="BX412" i="4"/>
  <c r="BX413" i="4"/>
  <c r="BX414" i="4"/>
  <c r="BX415" i="4"/>
  <c r="BX416" i="4"/>
  <c r="BX417" i="4"/>
  <c r="BX418" i="4"/>
  <c r="BX419" i="4"/>
  <c r="BX420" i="4"/>
  <c r="BX421" i="4"/>
  <c r="BX422" i="4"/>
  <c r="BX423" i="4"/>
  <c r="BX424" i="4"/>
  <c r="BX425" i="4"/>
  <c r="BX426" i="4"/>
  <c r="BX427" i="4"/>
  <c r="BX428" i="4"/>
  <c r="BX429" i="4"/>
  <c r="BX430" i="4"/>
  <c r="BX431" i="4"/>
  <c r="BX432" i="4"/>
  <c r="BX433" i="4"/>
  <c r="BX434" i="4"/>
  <c r="BX435" i="4"/>
  <c r="BX436" i="4"/>
  <c r="BX437" i="4"/>
  <c r="BX438" i="4"/>
  <c r="BX439" i="4"/>
  <c r="BX440" i="4"/>
  <c r="BX441" i="4"/>
  <c r="BX442" i="4"/>
  <c r="BX443" i="4"/>
  <c r="BX444" i="4"/>
  <c r="BX445" i="4"/>
  <c r="BX446" i="4"/>
  <c r="BX447" i="4"/>
  <c r="BX448" i="4"/>
  <c r="BX449" i="4"/>
  <c r="BX450" i="4"/>
  <c r="BX451" i="4"/>
  <c r="BX452" i="4"/>
  <c r="BX453" i="4"/>
  <c r="BX454" i="4"/>
  <c r="BX455" i="4"/>
  <c r="BX456" i="4"/>
  <c r="BX457" i="4"/>
  <c r="BX458" i="4"/>
  <c r="BX459" i="4"/>
  <c r="BX460" i="4"/>
  <c r="BX461" i="4"/>
  <c r="BX462" i="4"/>
  <c r="BX463" i="4"/>
  <c r="BX464" i="4"/>
  <c r="BX465" i="4"/>
  <c r="BX466" i="4"/>
  <c r="BX467" i="4"/>
  <c r="BX468" i="4"/>
  <c r="BX469" i="4"/>
  <c r="BX470" i="4"/>
  <c r="BX471" i="4"/>
  <c r="BX472" i="4"/>
  <c r="BX473" i="4"/>
  <c r="BX474" i="4"/>
  <c r="BX475" i="4"/>
  <c r="BX476" i="4"/>
  <c r="BX477" i="4"/>
  <c r="BX478" i="4"/>
  <c r="BX479" i="4"/>
  <c r="BX480" i="4"/>
  <c r="BX481" i="4"/>
  <c r="BX482" i="4"/>
  <c r="BX483" i="4"/>
  <c r="BX484" i="4"/>
  <c r="BX485" i="4"/>
  <c r="BX486" i="4"/>
  <c r="BX487" i="4"/>
  <c r="BX488" i="4"/>
  <c r="BX489" i="4"/>
  <c r="BX490" i="4"/>
  <c r="BX491" i="4"/>
  <c r="BX492" i="4"/>
  <c r="BX493" i="4"/>
  <c r="BX494" i="4"/>
  <c r="BX495" i="4"/>
  <c r="BX496" i="4"/>
  <c r="BX497" i="4"/>
  <c r="BX498" i="4"/>
  <c r="BX499" i="4"/>
  <c r="BX500" i="4"/>
  <c r="BX501" i="4"/>
  <c r="BX502" i="4"/>
  <c r="BX503" i="4"/>
  <c r="BX504" i="4"/>
  <c r="BX505" i="4"/>
  <c r="BX506" i="4"/>
  <c r="BX507" i="4"/>
  <c r="BX508" i="4"/>
  <c r="BX509" i="4"/>
  <c r="BX510" i="4"/>
  <c r="BX511" i="4"/>
  <c r="BX512" i="4"/>
  <c r="BX513" i="4"/>
  <c r="BX514" i="4"/>
  <c r="BX515" i="4"/>
  <c r="BX516" i="4"/>
  <c r="BX517" i="4"/>
  <c r="BX518" i="4"/>
  <c r="BX519" i="4"/>
  <c r="BX520" i="4"/>
  <c r="BX521" i="4"/>
  <c r="BX522" i="4"/>
  <c r="BX523" i="4"/>
  <c r="BX524" i="4"/>
  <c r="BX525" i="4"/>
  <c r="BX526" i="4"/>
  <c r="BX527" i="4"/>
  <c r="BX528" i="4"/>
  <c r="BX529" i="4"/>
  <c r="BX530" i="4"/>
  <c r="BX531" i="4"/>
  <c r="BX532" i="4"/>
  <c r="BX533" i="4"/>
  <c r="BX534" i="4"/>
  <c r="BX535" i="4"/>
  <c r="BX536" i="4"/>
  <c r="BX537" i="4"/>
  <c r="BX538" i="4"/>
  <c r="BX539" i="4"/>
  <c r="BX540" i="4"/>
  <c r="BX541" i="4"/>
  <c r="BX542" i="4"/>
  <c r="BX543" i="4"/>
  <c r="BX544" i="4"/>
  <c r="BX545" i="4"/>
  <c r="BX546" i="4"/>
  <c r="BX547" i="4"/>
  <c r="BX548" i="4"/>
  <c r="BX549" i="4"/>
  <c r="BX550" i="4"/>
  <c r="BX551" i="4"/>
  <c r="BX552" i="4"/>
  <c r="BX553" i="4"/>
  <c r="BX554" i="4"/>
  <c r="BX555" i="4"/>
  <c r="BX556" i="4"/>
  <c r="BX557" i="4"/>
  <c r="BX558" i="4"/>
  <c r="BX559" i="4"/>
  <c r="BX560" i="4"/>
  <c r="BX561" i="4"/>
  <c r="BX562" i="4"/>
  <c r="BX563" i="4"/>
  <c r="BX564" i="4"/>
  <c r="BX565" i="4"/>
  <c r="BX566" i="4"/>
  <c r="BX567" i="4"/>
  <c r="BX568" i="4"/>
  <c r="BX569" i="4"/>
  <c r="BX570" i="4"/>
  <c r="BX571" i="4"/>
  <c r="BX572" i="4"/>
  <c r="BX573" i="4"/>
  <c r="BX574" i="4"/>
  <c r="BX575" i="4"/>
  <c r="BX576" i="4"/>
  <c r="BX577" i="4"/>
  <c r="BX578" i="4"/>
  <c r="BX579" i="4"/>
  <c r="BX580" i="4"/>
  <c r="BX581" i="4"/>
  <c r="BX582" i="4"/>
  <c r="BX583" i="4"/>
  <c r="BX584" i="4"/>
  <c r="BX585" i="4"/>
  <c r="BX586" i="4"/>
  <c r="BX587" i="4"/>
  <c r="BX588" i="4"/>
  <c r="BX589" i="4"/>
  <c r="BX590" i="4"/>
  <c r="BX591" i="4"/>
  <c r="BX592" i="4"/>
  <c r="BX593" i="4"/>
  <c r="BX594" i="4"/>
  <c r="BX595" i="4"/>
  <c r="BX596" i="4"/>
  <c r="BX597" i="4"/>
  <c r="BX598" i="4"/>
  <c r="BX599" i="4"/>
  <c r="BX600" i="4"/>
  <c r="BX601" i="4"/>
  <c r="BX602" i="4"/>
  <c r="BX603" i="4"/>
  <c r="BX604" i="4"/>
  <c r="BX605" i="4"/>
  <c r="BX606" i="4"/>
  <c r="BX607" i="4"/>
  <c r="BX608" i="4"/>
  <c r="BX609" i="4"/>
  <c r="BX610" i="4"/>
  <c r="BX611" i="4"/>
  <c r="BX612" i="4"/>
  <c r="BX613" i="4"/>
  <c r="BX614" i="4"/>
  <c r="BX615" i="4"/>
  <c r="BX616" i="4"/>
  <c r="BX617" i="4"/>
  <c r="BX618" i="4"/>
  <c r="BX619" i="4"/>
  <c r="BX620" i="4"/>
  <c r="BX621" i="4"/>
  <c r="BX622" i="4"/>
  <c r="BX623" i="4"/>
  <c r="BX624" i="4"/>
  <c r="BX625" i="4"/>
  <c r="BX626" i="4"/>
  <c r="BX627" i="4"/>
  <c r="BX628" i="4"/>
  <c r="BX629" i="4"/>
  <c r="BX630" i="4"/>
  <c r="BX631" i="4"/>
  <c r="BX632" i="4"/>
  <c r="BX633" i="4"/>
  <c r="BX634" i="4"/>
  <c r="BX635" i="4"/>
  <c r="BX636" i="4"/>
  <c r="BX637" i="4"/>
  <c r="BX638" i="4"/>
  <c r="BX639" i="4"/>
  <c r="BX640" i="4"/>
  <c r="BX641" i="4"/>
  <c r="BX642" i="4"/>
  <c r="BX643" i="4"/>
  <c r="BX644" i="4"/>
  <c r="BX645" i="4"/>
  <c r="BX646" i="4"/>
  <c r="BX647" i="4"/>
  <c r="BX648" i="4"/>
  <c r="BX649" i="4"/>
  <c r="BX650" i="4"/>
  <c r="BX651" i="4"/>
  <c r="BX652" i="4"/>
  <c r="BX653" i="4"/>
  <c r="BX654" i="4"/>
  <c r="BX655" i="4"/>
  <c r="BX656" i="4"/>
  <c r="BX657" i="4"/>
  <c r="BX658" i="4"/>
  <c r="BX659" i="4"/>
  <c r="BX660" i="4"/>
  <c r="BX661" i="4"/>
  <c r="BX662" i="4"/>
  <c r="BX663" i="4"/>
  <c r="BX664" i="4"/>
  <c r="BX665" i="4"/>
  <c r="BX666" i="4"/>
  <c r="BX667" i="4"/>
  <c r="BX668" i="4"/>
  <c r="BX669" i="4"/>
  <c r="BX670" i="4"/>
  <c r="BX671" i="4"/>
  <c r="BX672" i="4"/>
  <c r="BX673" i="4"/>
  <c r="BX674" i="4"/>
  <c r="BX675" i="4"/>
  <c r="BX676" i="4"/>
  <c r="BX677" i="4"/>
  <c r="BX678" i="4"/>
  <c r="BX679" i="4"/>
  <c r="BX680" i="4"/>
  <c r="BX681" i="4"/>
  <c r="BX682" i="4"/>
  <c r="BX683" i="4"/>
  <c r="BX684" i="4"/>
  <c r="BX685" i="4"/>
  <c r="BX686" i="4"/>
  <c r="BX687" i="4"/>
  <c r="BX688" i="4"/>
  <c r="BX689" i="4"/>
  <c r="BX690" i="4"/>
  <c r="BX691" i="4"/>
  <c r="BX692" i="4"/>
  <c r="BX693" i="4"/>
  <c r="BX694" i="4"/>
  <c r="BX695" i="4"/>
  <c r="BX696" i="4"/>
  <c r="BX697" i="4"/>
  <c r="BX698" i="4"/>
  <c r="BX699" i="4"/>
  <c r="BX700" i="4"/>
  <c r="BX701" i="4"/>
  <c r="BX702" i="4"/>
  <c r="BX703" i="4"/>
  <c r="BX704" i="4"/>
  <c r="BX705" i="4"/>
  <c r="BX706" i="4"/>
  <c r="BX707" i="4"/>
  <c r="BX708" i="4"/>
  <c r="BX709" i="4"/>
  <c r="BX710" i="4"/>
  <c r="BX711" i="4"/>
  <c r="BX712" i="4"/>
  <c r="BX713" i="4"/>
  <c r="BX714" i="4"/>
  <c r="BX715" i="4"/>
  <c r="BX716" i="4"/>
  <c r="BX717" i="4"/>
  <c r="BX718" i="4"/>
  <c r="BX719" i="4"/>
  <c r="BX720" i="4"/>
  <c r="BX721" i="4"/>
  <c r="BX722" i="4"/>
  <c r="BX723" i="4"/>
  <c r="BX724" i="4"/>
  <c r="BX725" i="4"/>
  <c r="BX726" i="4"/>
  <c r="BX727" i="4"/>
  <c r="BX728" i="4"/>
  <c r="BX729" i="4"/>
  <c r="BX730" i="4"/>
  <c r="BX731" i="4"/>
  <c r="BX732" i="4"/>
  <c r="BX733" i="4"/>
  <c r="BX734" i="4"/>
  <c r="BX735" i="4"/>
  <c r="BX736" i="4"/>
  <c r="BX737" i="4"/>
  <c r="BX738" i="4"/>
  <c r="BX739" i="4"/>
  <c r="BX740" i="4"/>
  <c r="BX741" i="4"/>
  <c r="BX742" i="4"/>
  <c r="BX743" i="4"/>
  <c r="BX744" i="4"/>
  <c r="BX745" i="4"/>
  <c r="BX746" i="4"/>
  <c r="BX747" i="4"/>
  <c r="BX748" i="4"/>
  <c r="BX749" i="4"/>
  <c r="BX750" i="4"/>
  <c r="BX751" i="4"/>
  <c r="BX752" i="4"/>
  <c r="BX753" i="4"/>
  <c r="BX754" i="4"/>
  <c r="BX755" i="4"/>
  <c r="BX756" i="4"/>
  <c r="BX757" i="4"/>
  <c r="BX758" i="4"/>
  <c r="BX759" i="4"/>
  <c r="BX760" i="4"/>
  <c r="BX761" i="4"/>
  <c r="BX762" i="4"/>
  <c r="BX763" i="4"/>
  <c r="BX764" i="4"/>
  <c r="BX765" i="4"/>
  <c r="BX766" i="4"/>
  <c r="BX767" i="4"/>
  <c r="BX768" i="4"/>
  <c r="BX769" i="4"/>
  <c r="BX770" i="4"/>
  <c r="BX771" i="4"/>
  <c r="BX772" i="4"/>
  <c r="BX773" i="4"/>
  <c r="BX774" i="4"/>
  <c r="BX775" i="4"/>
  <c r="BX776" i="4"/>
  <c r="BX777" i="4"/>
  <c r="BX778" i="4"/>
  <c r="BX779" i="4"/>
  <c r="BX780" i="4"/>
  <c r="BX781" i="4"/>
  <c r="BX782" i="4"/>
  <c r="BX783" i="4"/>
  <c r="BX784" i="4"/>
  <c r="BX785" i="4"/>
  <c r="BX786" i="4"/>
  <c r="BX787" i="4"/>
  <c r="BX788" i="4"/>
  <c r="BX789" i="4"/>
  <c r="BX790" i="4"/>
  <c r="BX791" i="4"/>
  <c r="BX792" i="4"/>
  <c r="BX793" i="4"/>
  <c r="BX794" i="4"/>
  <c r="BX795" i="4"/>
  <c r="BX796" i="4"/>
  <c r="BX797" i="4"/>
  <c r="BX798" i="4"/>
  <c r="BX799" i="4"/>
  <c r="BX800" i="4"/>
  <c r="BX801" i="4"/>
  <c r="BX802" i="4"/>
  <c r="BX803" i="4"/>
  <c r="BX804" i="4"/>
  <c r="BX805" i="4"/>
  <c r="BX806" i="4"/>
  <c r="BX807" i="4"/>
  <c r="BX808" i="4"/>
  <c r="BX809" i="4"/>
  <c r="BX810" i="4"/>
  <c r="BX811" i="4"/>
  <c r="BX812" i="4"/>
  <c r="BX813" i="4"/>
  <c r="BX814" i="4"/>
  <c r="BX815" i="4"/>
  <c r="BX816" i="4"/>
  <c r="BX817" i="4"/>
  <c r="BX818" i="4"/>
  <c r="BX819" i="4"/>
  <c r="BX820" i="4"/>
  <c r="BX821" i="4"/>
  <c r="BX822" i="4"/>
  <c r="BX823" i="4"/>
  <c r="BX824" i="4"/>
  <c r="BX825" i="4"/>
  <c r="BX826" i="4"/>
  <c r="BX827" i="4"/>
  <c r="BX828" i="4"/>
  <c r="BX829" i="4"/>
  <c r="BX830" i="4"/>
  <c r="BX831" i="4"/>
  <c r="BX832" i="4"/>
  <c r="BX833" i="4"/>
  <c r="BX834" i="4"/>
  <c r="BX835" i="4"/>
  <c r="BX836" i="4"/>
  <c r="BX837" i="4"/>
  <c r="BX838" i="4"/>
  <c r="BX839" i="4"/>
  <c r="BX840" i="4"/>
  <c r="BX841" i="4"/>
  <c r="BX842" i="4"/>
  <c r="BX843" i="4"/>
  <c r="BX844" i="4"/>
  <c r="BX845" i="4"/>
  <c r="BX846" i="4"/>
  <c r="BX847" i="4"/>
  <c r="BX848" i="4"/>
  <c r="BX849" i="4"/>
  <c r="BX850" i="4"/>
  <c r="BX851" i="4"/>
  <c r="BX852" i="4"/>
  <c r="BX853" i="4"/>
  <c r="BX854" i="4"/>
  <c r="BX855" i="4"/>
  <c r="BX856" i="4"/>
  <c r="BX857" i="4"/>
  <c r="BX858" i="4"/>
  <c r="BX859" i="4"/>
  <c r="BX860" i="4"/>
  <c r="BX861" i="4"/>
  <c r="BX862" i="4"/>
  <c r="BX863" i="4"/>
  <c r="BX864" i="4"/>
  <c r="BX865" i="4"/>
  <c r="BX866" i="4"/>
  <c r="BX867" i="4"/>
  <c r="BX868" i="4"/>
  <c r="BX869" i="4"/>
  <c r="BX870" i="4"/>
  <c r="BX871" i="4"/>
  <c r="BX872" i="4"/>
  <c r="BX873" i="4"/>
  <c r="BX874" i="4"/>
  <c r="BX875" i="4"/>
  <c r="BX876" i="4"/>
  <c r="BX877" i="4"/>
  <c r="BX878" i="4"/>
  <c r="BX879" i="4"/>
  <c r="BX880" i="4"/>
  <c r="BX881" i="4"/>
  <c r="BX882" i="4"/>
  <c r="BX883" i="4"/>
  <c r="BX884" i="4"/>
  <c r="BX885" i="4"/>
  <c r="BX886" i="4"/>
  <c r="BX887" i="4"/>
  <c r="BX888" i="4"/>
  <c r="BX889" i="4"/>
  <c r="BX890" i="4"/>
  <c r="BX891" i="4"/>
  <c r="BX892" i="4"/>
  <c r="BX893" i="4"/>
  <c r="BX894" i="4"/>
  <c r="BX895" i="4"/>
  <c r="BX896" i="4"/>
  <c r="BX897" i="4"/>
  <c r="BX898" i="4"/>
  <c r="BX899" i="4"/>
  <c r="BX900" i="4"/>
  <c r="BX901" i="4"/>
  <c r="BX902" i="4"/>
  <c r="BX903" i="4"/>
  <c r="BX904" i="4"/>
  <c r="BX905" i="4"/>
  <c r="BX906" i="4"/>
  <c r="BX907" i="4"/>
  <c r="BX908" i="4"/>
  <c r="BX909" i="4"/>
  <c r="BX910" i="4"/>
  <c r="BX911" i="4"/>
  <c r="BX912" i="4"/>
  <c r="BX913" i="4"/>
  <c r="BX914" i="4"/>
  <c r="BX915" i="4"/>
  <c r="BX916" i="4"/>
  <c r="BX917" i="4"/>
  <c r="BX918" i="4"/>
  <c r="BX919" i="4"/>
  <c r="BX920" i="4"/>
  <c r="BX921" i="4"/>
  <c r="BX922" i="4"/>
  <c r="BX923" i="4"/>
  <c r="BX924" i="4"/>
  <c r="BX925" i="4"/>
  <c r="BX926" i="4"/>
  <c r="BX927" i="4"/>
  <c r="BX928" i="4"/>
  <c r="BX929" i="4"/>
  <c r="BX930" i="4"/>
  <c r="BX931" i="4"/>
  <c r="BX932" i="4"/>
  <c r="BX933" i="4"/>
  <c r="BX934" i="4"/>
  <c r="BX935" i="4"/>
  <c r="BX936" i="4"/>
  <c r="BX937" i="4"/>
  <c r="BX938" i="4"/>
  <c r="BX939" i="4"/>
  <c r="BX940" i="4"/>
  <c r="BX941" i="4"/>
  <c r="BX942" i="4"/>
  <c r="BX943" i="4"/>
  <c r="BX944" i="4"/>
  <c r="BX945" i="4"/>
  <c r="BX946" i="4"/>
  <c r="BX947" i="4"/>
  <c r="BX948" i="4"/>
  <c r="BX949" i="4"/>
  <c r="BX950" i="4"/>
  <c r="BX951" i="4"/>
  <c r="BX952" i="4"/>
  <c r="BX953" i="4"/>
  <c r="BX954" i="4"/>
  <c r="BX955" i="4"/>
  <c r="BX956" i="4"/>
  <c r="BX957" i="4"/>
  <c r="BX958" i="4"/>
  <c r="BX959" i="4"/>
  <c r="BX960" i="4"/>
  <c r="BX961" i="4"/>
  <c r="BX962" i="4"/>
  <c r="BX963" i="4"/>
  <c r="BX964" i="4"/>
  <c r="BX965" i="4"/>
  <c r="BX966" i="4"/>
  <c r="BX967" i="4"/>
  <c r="BX968" i="4"/>
  <c r="BX969" i="4"/>
  <c r="BX970" i="4"/>
  <c r="BX971" i="4"/>
  <c r="BX972" i="4"/>
  <c r="BX973" i="4"/>
  <c r="BX974" i="4"/>
  <c r="BX975" i="4"/>
  <c r="BX976" i="4"/>
  <c r="BX977" i="4"/>
  <c r="BX978" i="4"/>
  <c r="BX979" i="4"/>
  <c r="BX980" i="4"/>
  <c r="BX981" i="4"/>
  <c r="BX982" i="4"/>
  <c r="BX983" i="4"/>
  <c r="BX984" i="4"/>
  <c r="BX985" i="4"/>
  <c r="BX986" i="4"/>
  <c r="BX987" i="4"/>
  <c r="BX988" i="4"/>
  <c r="BX989" i="4"/>
  <c r="BX990" i="4"/>
  <c r="BX991" i="4"/>
  <c r="BX992" i="4"/>
  <c r="BX993" i="4"/>
  <c r="BX994" i="4"/>
  <c r="BX995" i="4"/>
  <c r="BX996" i="4"/>
  <c r="BX997" i="4"/>
  <c r="BX998" i="4"/>
  <c r="BX999" i="4"/>
  <c r="BX1000" i="4"/>
  <c r="BX1001" i="4"/>
  <c r="BX1002" i="4"/>
  <c r="BX1003" i="4"/>
  <c r="BX1004" i="4"/>
  <c r="BX1005" i="4"/>
  <c r="BX1006" i="4"/>
  <c r="BX1007" i="4"/>
  <c r="BX1008" i="4"/>
  <c r="BX1009" i="4"/>
  <c r="BX1010" i="4"/>
  <c r="BX1011" i="4"/>
  <c r="BX1012" i="4"/>
  <c r="BX1013" i="4"/>
  <c r="BX1014" i="4"/>
  <c r="BX1015" i="4"/>
  <c r="BX1016" i="4"/>
  <c r="BX1017" i="4"/>
  <c r="BX1018" i="4"/>
  <c r="BX1019" i="4"/>
  <c r="BX1020" i="4"/>
  <c r="BX1021" i="4"/>
  <c r="BX1022" i="4"/>
  <c r="BX1023" i="4"/>
  <c r="BX1024" i="4"/>
  <c r="BX1025" i="4"/>
  <c r="BX1026" i="4"/>
  <c r="BX1027" i="4"/>
  <c r="BX1028" i="4"/>
  <c r="BX1029" i="4"/>
  <c r="BX1030" i="4"/>
  <c r="BX1031" i="4"/>
  <c r="BX1032" i="4"/>
  <c r="BX1033" i="4"/>
  <c r="BX1034" i="4"/>
  <c r="BX1035" i="4"/>
  <c r="BX1036" i="4"/>
  <c r="BX1037" i="4"/>
  <c r="BX1038" i="4"/>
  <c r="BX1039" i="4"/>
  <c r="BX1040" i="4"/>
  <c r="BX1041" i="4"/>
  <c r="BX1042" i="4"/>
  <c r="BX1043" i="4"/>
  <c r="BX1044" i="4"/>
  <c r="BX1045" i="4"/>
  <c r="BX1046" i="4"/>
  <c r="BX1047" i="4"/>
  <c r="BX1048" i="4"/>
  <c r="BX1049" i="4"/>
  <c r="BX1050" i="4"/>
  <c r="BX1051" i="4"/>
  <c r="BX1052" i="4"/>
  <c r="BX1053" i="4"/>
  <c r="BX1054" i="4"/>
  <c r="BX1055" i="4"/>
  <c r="BX1056" i="4"/>
  <c r="BX1057" i="4"/>
  <c r="BX1058" i="4"/>
  <c r="BX1059" i="4"/>
  <c r="BX1060" i="4"/>
  <c r="BX1061" i="4"/>
  <c r="BX1062" i="4"/>
  <c r="BX1063" i="4"/>
  <c r="BX1064" i="4"/>
  <c r="BX1065" i="4"/>
  <c r="BX1066" i="4"/>
  <c r="BX1067" i="4"/>
  <c r="BX1068" i="4"/>
  <c r="BX1069" i="4"/>
  <c r="BX1070" i="4"/>
  <c r="BX1071" i="4"/>
  <c r="BX1072" i="4"/>
  <c r="BX1073" i="4"/>
  <c r="BX1074" i="4"/>
  <c r="BX1075" i="4"/>
  <c r="BX1076" i="4"/>
  <c r="BX1077" i="4"/>
  <c r="BX1078" i="4"/>
  <c r="BX1079" i="4"/>
  <c r="BX1080" i="4"/>
  <c r="BX1081" i="4"/>
  <c r="BX1082" i="4"/>
  <c r="BX1083" i="4"/>
  <c r="BX1084" i="4"/>
  <c r="BX1085" i="4"/>
  <c r="BX1086" i="4"/>
  <c r="BX1087" i="4"/>
  <c r="BX1088" i="4"/>
  <c r="BX1089" i="4"/>
  <c r="BX1090" i="4"/>
  <c r="BX1091" i="4"/>
  <c r="BX1092" i="4"/>
  <c r="BX1093" i="4"/>
  <c r="BX1094" i="4"/>
  <c r="BX1095" i="4"/>
  <c r="BX1096" i="4"/>
  <c r="BX1097" i="4"/>
  <c r="BX1098" i="4"/>
  <c r="BX1099" i="4"/>
  <c r="BX1100" i="4"/>
  <c r="BX1101" i="4"/>
  <c r="BX1102" i="4"/>
  <c r="BX1103" i="4"/>
  <c r="BX1104" i="4"/>
  <c r="BX1105" i="4"/>
  <c r="BX1106" i="4"/>
  <c r="BX1107" i="4"/>
  <c r="BX1108" i="4"/>
  <c r="BX1109" i="4"/>
  <c r="BX1110" i="4"/>
  <c r="BX1111" i="4"/>
  <c r="BX1112" i="4"/>
  <c r="BX1113" i="4"/>
  <c r="BX1114" i="4"/>
  <c r="BX1115" i="4"/>
  <c r="BX1116" i="4"/>
  <c r="BX1117" i="4"/>
  <c r="BX1118" i="4"/>
  <c r="BX1119" i="4"/>
  <c r="BX1120" i="4"/>
  <c r="BX1121" i="4"/>
  <c r="BX1122" i="4"/>
  <c r="BX1123" i="4"/>
  <c r="BX1124" i="4"/>
  <c r="BX1125" i="4"/>
  <c r="BX1126" i="4"/>
  <c r="BX1127" i="4"/>
  <c r="BX1128" i="4"/>
  <c r="BX1129" i="4"/>
  <c r="BX1130" i="4"/>
  <c r="BX1131" i="4"/>
  <c r="BX1132" i="4"/>
  <c r="BX1133" i="4"/>
  <c r="BX1134" i="4"/>
  <c r="BX1135" i="4"/>
  <c r="BX1136" i="4"/>
  <c r="BX1137" i="4"/>
  <c r="BX1138" i="4"/>
  <c r="BX1139" i="4"/>
  <c r="BX1140" i="4"/>
  <c r="BX1141" i="4"/>
  <c r="BX1142" i="4"/>
  <c r="BX1143" i="4"/>
  <c r="BX1144" i="4"/>
  <c r="BX1145" i="4"/>
  <c r="BX1146" i="4"/>
  <c r="BX1147" i="4"/>
  <c r="BX1148" i="4"/>
  <c r="BX1149" i="4"/>
  <c r="BX1150" i="4"/>
  <c r="BX1151" i="4"/>
  <c r="BX1152" i="4"/>
  <c r="BX1153" i="4"/>
  <c r="BX1154" i="4"/>
  <c r="BX1155" i="4"/>
  <c r="BX1156" i="4"/>
  <c r="BX1157" i="4"/>
  <c r="BX1158" i="4"/>
  <c r="BX1159" i="4"/>
  <c r="BX1160" i="4"/>
  <c r="BX1161" i="4"/>
  <c r="BX1162" i="4"/>
  <c r="BX1163" i="4"/>
  <c r="BX1164" i="4"/>
  <c r="BX1165" i="4"/>
  <c r="BX1166" i="4"/>
  <c r="BX1167" i="4"/>
  <c r="BX1168" i="4"/>
  <c r="BX1169" i="4"/>
  <c r="BX1170" i="4"/>
  <c r="BX1171" i="4"/>
  <c r="BX1172" i="4"/>
  <c r="BX1173" i="4"/>
  <c r="BX1174" i="4"/>
  <c r="BX1175" i="4"/>
  <c r="BX1176" i="4"/>
  <c r="BX1177" i="4"/>
  <c r="BX1178" i="4"/>
  <c r="BX1179" i="4"/>
  <c r="BX1180" i="4"/>
  <c r="BX1181" i="4"/>
  <c r="BX1182" i="4"/>
  <c r="BX1183" i="4"/>
  <c r="BX1184" i="4"/>
  <c r="BX1185" i="4"/>
  <c r="BX1186" i="4"/>
  <c r="BX1187" i="4"/>
  <c r="BX1188" i="4"/>
  <c r="BX1189" i="4"/>
  <c r="BX1190" i="4"/>
  <c r="BX1191" i="4"/>
  <c r="BX1192" i="4"/>
  <c r="BX1193" i="4"/>
  <c r="BX1194" i="4"/>
  <c r="BX1195" i="4"/>
  <c r="BX1196" i="4"/>
  <c r="BX1197" i="4"/>
  <c r="BX1198" i="4"/>
  <c r="BX1199" i="4"/>
  <c r="BX1200" i="4"/>
  <c r="BX1201" i="4"/>
  <c r="BX1202" i="4"/>
  <c r="BX1203" i="4"/>
  <c r="BX1204" i="4"/>
  <c r="BX1205" i="4"/>
  <c r="BX1206" i="4"/>
  <c r="BX1207" i="4"/>
  <c r="BX1208" i="4"/>
  <c r="BX1209" i="4"/>
  <c r="BX1210" i="4"/>
  <c r="BX1211" i="4"/>
  <c r="BX1212" i="4"/>
  <c r="BX1213" i="4"/>
  <c r="BX1214" i="4"/>
  <c r="BX1215" i="4"/>
  <c r="BX1216" i="4"/>
  <c r="BX1217" i="4"/>
  <c r="BX1218" i="4"/>
  <c r="BX1219" i="4"/>
  <c r="BX1220" i="4"/>
  <c r="BX1221" i="4"/>
  <c r="BX1222" i="4"/>
  <c r="BX1223" i="4"/>
  <c r="BX1224" i="4"/>
  <c r="BX1225" i="4"/>
  <c r="BX1226" i="4"/>
  <c r="BX1227" i="4"/>
  <c r="BX1228" i="4"/>
  <c r="BX1229" i="4"/>
  <c r="BX1230" i="4"/>
  <c r="BX1231" i="4"/>
  <c r="BX1232" i="4"/>
  <c r="BX1233" i="4"/>
  <c r="BX1234" i="4"/>
  <c r="BX1235" i="4"/>
  <c r="BX1236" i="4"/>
  <c r="BX1237" i="4"/>
  <c r="BX1238" i="4"/>
  <c r="BX1239" i="4"/>
  <c r="BX1240" i="4"/>
  <c r="BX1241" i="4"/>
  <c r="BX1242" i="4"/>
  <c r="BX1243" i="4"/>
  <c r="BX1244" i="4"/>
  <c r="BX1245" i="4"/>
  <c r="BX1246" i="4"/>
  <c r="BX1247" i="4"/>
  <c r="BX1248" i="4"/>
  <c r="BX1249" i="4"/>
  <c r="BX1250" i="4"/>
  <c r="BX1251" i="4"/>
  <c r="BX1252" i="4"/>
  <c r="BX1253" i="4"/>
  <c r="BX1254" i="4"/>
  <c r="BX1255" i="4"/>
  <c r="BX1256" i="4"/>
  <c r="BX1257" i="4"/>
  <c r="BX1258" i="4"/>
  <c r="BX1259" i="4"/>
  <c r="BX1260" i="4"/>
  <c r="BX1261" i="4"/>
  <c r="BX1262" i="4"/>
  <c r="BX1263" i="4"/>
  <c r="BX1264" i="4"/>
  <c r="BX1265" i="4"/>
  <c r="BX1266" i="4"/>
  <c r="BX1267" i="4"/>
  <c r="BX1268" i="4"/>
  <c r="BX1269" i="4"/>
  <c r="BX1270" i="4"/>
  <c r="BX1271" i="4"/>
  <c r="BX1272" i="4"/>
  <c r="BX1273" i="4"/>
  <c r="BX1274" i="4"/>
  <c r="BX1275" i="4"/>
  <c r="BX1276" i="4"/>
  <c r="BX1277" i="4"/>
  <c r="BX1278" i="4"/>
  <c r="BX1279" i="4"/>
  <c r="BX1280" i="4"/>
  <c r="BX1281" i="4"/>
  <c r="BX1282" i="4"/>
  <c r="BX1283" i="4"/>
  <c r="BX1284" i="4"/>
  <c r="BX1285" i="4"/>
  <c r="BX1286" i="4"/>
  <c r="BX1287" i="4"/>
  <c r="BX1288" i="4"/>
  <c r="BX1289" i="4"/>
  <c r="BX1290" i="4"/>
  <c r="BX1291" i="4"/>
  <c r="BX1292" i="4"/>
  <c r="BX1293" i="4"/>
  <c r="BX1294" i="4"/>
  <c r="BW2" i="4"/>
  <c r="BW3" i="4"/>
  <c r="BW4" i="4"/>
  <c r="BW5" i="4"/>
  <c r="BW6" i="4"/>
  <c r="BW7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W83" i="4"/>
  <c r="BW84" i="4"/>
  <c r="BW85" i="4"/>
  <c r="BW86" i="4"/>
  <c r="BW87" i="4"/>
  <c r="BW88" i="4"/>
  <c r="BW89" i="4"/>
  <c r="BW90" i="4"/>
  <c r="BW91" i="4"/>
  <c r="BW92" i="4"/>
  <c r="BW93" i="4"/>
  <c r="BW94" i="4"/>
  <c r="BW95" i="4"/>
  <c r="BW96" i="4"/>
  <c r="BW97" i="4"/>
  <c r="BW98" i="4"/>
  <c r="BW99" i="4"/>
  <c r="BW100" i="4"/>
  <c r="BW101" i="4"/>
  <c r="BW102" i="4"/>
  <c r="BW103" i="4"/>
  <c r="BW104" i="4"/>
  <c r="BW105" i="4"/>
  <c r="BW106" i="4"/>
  <c r="BW107" i="4"/>
  <c r="BW108" i="4"/>
  <c r="BW109" i="4"/>
  <c r="BW110" i="4"/>
  <c r="BW111" i="4"/>
  <c r="BW112" i="4"/>
  <c r="BW113" i="4"/>
  <c r="BW114" i="4"/>
  <c r="BW115" i="4"/>
  <c r="BW116" i="4"/>
  <c r="BW117" i="4"/>
  <c r="BW118" i="4"/>
  <c r="BW119" i="4"/>
  <c r="BW120" i="4"/>
  <c r="BW121" i="4"/>
  <c r="BW122" i="4"/>
  <c r="BW123" i="4"/>
  <c r="BW124" i="4"/>
  <c r="BW125" i="4"/>
  <c r="BW126" i="4"/>
  <c r="BW127" i="4"/>
  <c r="BW128" i="4"/>
  <c r="BW129" i="4"/>
  <c r="BW130" i="4"/>
  <c r="BW131" i="4"/>
  <c r="BW132" i="4"/>
  <c r="BW133" i="4"/>
  <c r="BW134" i="4"/>
  <c r="BW135" i="4"/>
  <c r="BW136" i="4"/>
  <c r="BW137" i="4"/>
  <c r="BW138" i="4"/>
  <c r="BW139" i="4"/>
  <c r="BW140" i="4"/>
  <c r="BW141" i="4"/>
  <c r="BW142" i="4"/>
  <c r="BW143" i="4"/>
  <c r="BW144" i="4"/>
  <c r="BW145" i="4"/>
  <c r="BW146" i="4"/>
  <c r="BW147" i="4"/>
  <c r="BW148" i="4"/>
  <c r="BW149" i="4"/>
  <c r="BW150" i="4"/>
  <c r="BW151" i="4"/>
  <c r="BW152" i="4"/>
  <c r="BW153" i="4"/>
  <c r="BW154" i="4"/>
  <c r="BW155" i="4"/>
  <c r="BW156" i="4"/>
  <c r="BW157" i="4"/>
  <c r="BW158" i="4"/>
  <c r="BW159" i="4"/>
  <c r="BW160" i="4"/>
  <c r="BW161" i="4"/>
  <c r="BW162" i="4"/>
  <c r="BW163" i="4"/>
  <c r="BW164" i="4"/>
  <c r="BW165" i="4"/>
  <c r="BW166" i="4"/>
  <c r="BW167" i="4"/>
  <c r="BW168" i="4"/>
  <c r="BW169" i="4"/>
  <c r="BW170" i="4"/>
  <c r="BW171" i="4"/>
  <c r="BW172" i="4"/>
  <c r="BW173" i="4"/>
  <c r="BW174" i="4"/>
  <c r="BW175" i="4"/>
  <c r="BW176" i="4"/>
  <c r="BW177" i="4"/>
  <c r="BW178" i="4"/>
  <c r="BW179" i="4"/>
  <c r="BW180" i="4"/>
  <c r="BW181" i="4"/>
  <c r="BW182" i="4"/>
  <c r="BW183" i="4"/>
  <c r="BW184" i="4"/>
  <c r="BW185" i="4"/>
  <c r="BW186" i="4"/>
  <c r="BW187" i="4"/>
  <c r="BW188" i="4"/>
  <c r="BW189" i="4"/>
  <c r="BW190" i="4"/>
  <c r="BW191" i="4"/>
  <c r="BW192" i="4"/>
  <c r="BW193" i="4"/>
  <c r="BW194" i="4"/>
  <c r="BW195" i="4"/>
  <c r="BW196" i="4"/>
  <c r="BW197" i="4"/>
  <c r="BW198" i="4"/>
  <c r="BW199" i="4"/>
  <c r="BW200" i="4"/>
  <c r="BW201" i="4"/>
  <c r="BW202" i="4"/>
  <c r="BW203" i="4"/>
  <c r="BW204" i="4"/>
  <c r="BW205" i="4"/>
  <c r="BW206" i="4"/>
  <c r="BW207" i="4"/>
  <c r="BW208" i="4"/>
  <c r="BW209" i="4"/>
  <c r="BW210" i="4"/>
  <c r="BW211" i="4"/>
  <c r="BW212" i="4"/>
  <c r="BW213" i="4"/>
  <c r="BW214" i="4"/>
  <c r="BW215" i="4"/>
  <c r="BW216" i="4"/>
  <c r="BW217" i="4"/>
  <c r="BW218" i="4"/>
  <c r="BW219" i="4"/>
  <c r="BW220" i="4"/>
  <c r="BW221" i="4"/>
  <c r="BW222" i="4"/>
  <c r="BW223" i="4"/>
  <c r="BW224" i="4"/>
  <c r="BW225" i="4"/>
  <c r="BW226" i="4"/>
  <c r="BW227" i="4"/>
  <c r="BW228" i="4"/>
  <c r="BW229" i="4"/>
  <c r="BW230" i="4"/>
  <c r="BW231" i="4"/>
  <c r="BW232" i="4"/>
  <c r="BW233" i="4"/>
  <c r="BW234" i="4"/>
  <c r="BW235" i="4"/>
  <c r="BW236" i="4"/>
  <c r="BW237" i="4"/>
  <c r="BW238" i="4"/>
  <c r="BW239" i="4"/>
  <c r="BW240" i="4"/>
  <c r="BW241" i="4"/>
  <c r="BW242" i="4"/>
  <c r="BW243" i="4"/>
  <c r="BW244" i="4"/>
  <c r="BW245" i="4"/>
  <c r="BW246" i="4"/>
  <c r="BW247" i="4"/>
  <c r="BW248" i="4"/>
  <c r="BW249" i="4"/>
  <c r="BW250" i="4"/>
  <c r="BW251" i="4"/>
  <c r="BW252" i="4"/>
  <c r="BW253" i="4"/>
  <c r="BW254" i="4"/>
  <c r="BW255" i="4"/>
  <c r="BW256" i="4"/>
  <c r="BW257" i="4"/>
  <c r="BW258" i="4"/>
  <c r="BW259" i="4"/>
  <c r="BW260" i="4"/>
  <c r="BW261" i="4"/>
  <c r="BW262" i="4"/>
  <c r="BW263" i="4"/>
  <c r="BW264" i="4"/>
  <c r="BW265" i="4"/>
  <c r="BW266" i="4"/>
  <c r="BW267" i="4"/>
  <c r="BW268" i="4"/>
  <c r="BW269" i="4"/>
  <c r="BW270" i="4"/>
  <c r="BW271" i="4"/>
  <c r="BW272" i="4"/>
  <c r="BW273" i="4"/>
  <c r="BW274" i="4"/>
  <c r="BW275" i="4"/>
  <c r="BW276" i="4"/>
  <c r="BW277" i="4"/>
  <c r="BW278" i="4"/>
  <c r="BW279" i="4"/>
  <c r="BW280" i="4"/>
  <c r="BW281" i="4"/>
  <c r="BW282" i="4"/>
  <c r="BW283" i="4"/>
  <c r="BW284" i="4"/>
  <c r="BW285" i="4"/>
  <c r="BW286" i="4"/>
  <c r="BW287" i="4"/>
  <c r="BW288" i="4"/>
  <c r="BW289" i="4"/>
  <c r="BW290" i="4"/>
  <c r="BW291" i="4"/>
  <c r="BW292" i="4"/>
  <c r="BW293" i="4"/>
  <c r="BW294" i="4"/>
  <c r="BW295" i="4"/>
  <c r="BW296" i="4"/>
  <c r="BW297" i="4"/>
  <c r="BW298" i="4"/>
  <c r="BW299" i="4"/>
  <c r="BW300" i="4"/>
  <c r="BW301" i="4"/>
  <c r="BW302" i="4"/>
  <c r="BW303" i="4"/>
  <c r="BW304" i="4"/>
  <c r="BW305" i="4"/>
  <c r="BW306" i="4"/>
  <c r="BW307" i="4"/>
  <c r="BW308" i="4"/>
  <c r="BW309" i="4"/>
  <c r="BW310" i="4"/>
  <c r="BW311" i="4"/>
  <c r="BW312" i="4"/>
  <c r="BW313" i="4"/>
  <c r="BW314" i="4"/>
  <c r="BW315" i="4"/>
  <c r="BW316" i="4"/>
  <c r="BW317" i="4"/>
  <c r="BW318" i="4"/>
  <c r="BW319" i="4"/>
  <c r="BW320" i="4"/>
  <c r="BW321" i="4"/>
  <c r="BW322" i="4"/>
  <c r="BW323" i="4"/>
  <c r="BW324" i="4"/>
  <c r="BW325" i="4"/>
  <c r="BW326" i="4"/>
  <c r="BW327" i="4"/>
  <c r="BW328" i="4"/>
  <c r="BW329" i="4"/>
  <c r="BW330" i="4"/>
  <c r="BW331" i="4"/>
  <c r="BW332" i="4"/>
  <c r="BW333" i="4"/>
  <c r="BW334" i="4"/>
  <c r="BW335" i="4"/>
  <c r="BW336" i="4"/>
  <c r="BW337" i="4"/>
  <c r="BW338" i="4"/>
  <c r="BW339" i="4"/>
  <c r="BW340" i="4"/>
  <c r="BW341" i="4"/>
  <c r="BW342" i="4"/>
  <c r="BW343" i="4"/>
  <c r="BW344" i="4"/>
  <c r="BW345" i="4"/>
  <c r="BW346" i="4"/>
  <c r="BW347" i="4"/>
  <c r="BW348" i="4"/>
  <c r="BW349" i="4"/>
  <c r="BW350" i="4"/>
  <c r="BW351" i="4"/>
  <c r="BW352" i="4"/>
  <c r="BW353" i="4"/>
  <c r="BW354" i="4"/>
  <c r="BW355" i="4"/>
  <c r="BW356" i="4"/>
  <c r="BW357" i="4"/>
  <c r="BW358" i="4"/>
  <c r="BW359" i="4"/>
  <c r="BW360" i="4"/>
  <c r="BW361" i="4"/>
  <c r="BW362" i="4"/>
  <c r="BW363" i="4"/>
  <c r="BW364" i="4"/>
  <c r="BW365" i="4"/>
  <c r="BW366" i="4"/>
  <c r="BW367" i="4"/>
  <c r="BW368" i="4"/>
  <c r="BW369" i="4"/>
  <c r="BW370" i="4"/>
  <c r="BW371" i="4"/>
  <c r="BW372" i="4"/>
  <c r="BW373" i="4"/>
  <c r="BW374" i="4"/>
  <c r="BW375" i="4"/>
  <c r="BW376" i="4"/>
  <c r="BW377" i="4"/>
  <c r="BW378" i="4"/>
  <c r="BW379" i="4"/>
  <c r="BW380" i="4"/>
  <c r="BW381" i="4"/>
  <c r="BW382" i="4"/>
  <c r="BW383" i="4"/>
  <c r="BW384" i="4"/>
  <c r="BW385" i="4"/>
  <c r="BW386" i="4"/>
  <c r="BW387" i="4"/>
  <c r="BW388" i="4"/>
  <c r="BW389" i="4"/>
  <c r="BW390" i="4"/>
  <c r="BW391" i="4"/>
  <c r="BW392" i="4"/>
  <c r="BW393" i="4"/>
  <c r="BW394" i="4"/>
  <c r="BW395" i="4"/>
  <c r="BW396" i="4"/>
  <c r="BW397" i="4"/>
  <c r="BW398" i="4"/>
  <c r="BW399" i="4"/>
  <c r="BW400" i="4"/>
  <c r="BW401" i="4"/>
  <c r="BW402" i="4"/>
  <c r="BW403" i="4"/>
  <c r="BW404" i="4"/>
  <c r="BW405" i="4"/>
  <c r="BW406" i="4"/>
  <c r="BW407" i="4"/>
  <c r="BW408" i="4"/>
  <c r="BW409" i="4"/>
  <c r="BW410" i="4"/>
  <c r="BW411" i="4"/>
  <c r="BW412" i="4"/>
  <c r="BW413" i="4"/>
  <c r="BW414" i="4"/>
  <c r="BW415" i="4"/>
  <c r="BW416" i="4"/>
  <c r="BW417" i="4"/>
  <c r="BW418" i="4"/>
  <c r="BW419" i="4"/>
  <c r="BW420" i="4"/>
  <c r="BW421" i="4"/>
  <c r="BW422" i="4"/>
  <c r="BW423" i="4"/>
  <c r="BW424" i="4"/>
  <c r="BW425" i="4"/>
  <c r="BW426" i="4"/>
  <c r="BW427" i="4"/>
  <c r="BW428" i="4"/>
  <c r="BW429" i="4"/>
  <c r="BW430" i="4"/>
  <c r="BW431" i="4"/>
  <c r="BW432" i="4"/>
  <c r="BW433" i="4"/>
  <c r="BW434" i="4"/>
  <c r="BW435" i="4"/>
  <c r="BW436" i="4"/>
  <c r="BW437" i="4"/>
  <c r="BW438" i="4"/>
  <c r="BW439" i="4"/>
  <c r="BW440" i="4"/>
  <c r="BW441" i="4"/>
  <c r="BW442" i="4"/>
  <c r="BW443" i="4"/>
  <c r="BW444" i="4"/>
  <c r="BW445" i="4"/>
  <c r="BW446" i="4"/>
  <c r="BW447" i="4"/>
  <c r="BW448" i="4"/>
  <c r="BW449" i="4"/>
  <c r="BW450" i="4"/>
  <c r="BW451" i="4"/>
  <c r="BW452" i="4"/>
  <c r="BW453" i="4"/>
  <c r="BW454" i="4"/>
  <c r="BW455" i="4"/>
  <c r="BW456" i="4"/>
  <c r="BW457" i="4"/>
  <c r="BW458" i="4"/>
  <c r="BW459" i="4"/>
  <c r="BW460" i="4"/>
  <c r="BW461" i="4"/>
  <c r="BW462" i="4"/>
  <c r="BW463" i="4"/>
  <c r="BW464" i="4"/>
  <c r="BW465" i="4"/>
  <c r="BW466" i="4"/>
  <c r="BW467" i="4"/>
  <c r="BW468" i="4"/>
  <c r="BW469" i="4"/>
  <c r="BW470" i="4"/>
  <c r="BW471" i="4"/>
  <c r="BW472" i="4"/>
  <c r="BW473" i="4"/>
  <c r="BW474" i="4"/>
  <c r="BW475" i="4"/>
  <c r="BW476" i="4"/>
  <c r="BW477" i="4"/>
  <c r="BW478" i="4"/>
  <c r="BW479" i="4"/>
  <c r="BW480" i="4"/>
  <c r="BW481" i="4"/>
  <c r="BW482" i="4"/>
  <c r="BW483" i="4"/>
  <c r="BW484" i="4"/>
  <c r="BW485" i="4"/>
  <c r="BW486" i="4"/>
  <c r="BW487" i="4"/>
  <c r="BW488" i="4"/>
  <c r="BW489" i="4"/>
  <c r="BW490" i="4"/>
  <c r="BW491" i="4"/>
  <c r="BW492" i="4"/>
  <c r="BW493" i="4"/>
  <c r="BW494" i="4"/>
  <c r="BW495" i="4"/>
  <c r="BW496" i="4"/>
  <c r="BW497" i="4"/>
  <c r="BW498" i="4"/>
  <c r="BW499" i="4"/>
  <c r="BW500" i="4"/>
  <c r="BW501" i="4"/>
  <c r="BW502" i="4"/>
  <c r="BW503" i="4"/>
  <c r="BW504" i="4"/>
  <c r="BW505" i="4"/>
  <c r="BW506" i="4"/>
  <c r="BW507" i="4"/>
  <c r="BW508" i="4"/>
  <c r="BW509" i="4"/>
  <c r="BW510" i="4"/>
  <c r="BW511" i="4"/>
  <c r="BW512" i="4"/>
  <c r="BW513" i="4"/>
  <c r="BW514" i="4"/>
  <c r="BW515" i="4"/>
  <c r="BW516" i="4"/>
  <c r="BW517" i="4"/>
  <c r="BW518" i="4"/>
  <c r="BW519" i="4"/>
  <c r="BW520" i="4"/>
  <c r="BW521" i="4"/>
  <c r="BW522" i="4"/>
  <c r="BW523" i="4"/>
  <c r="BW524" i="4"/>
  <c r="BW525" i="4"/>
  <c r="BW526" i="4"/>
  <c r="BW527" i="4"/>
  <c r="BW528" i="4"/>
  <c r="BW529" i="4"/>
  <c r="BW530" i="4"/>
  <c r="BW531" i="4"/>
  <c r="BW532" i="4"/>
  <c r="BW533" i="4"/>
  <c r="BW534" i="4"/>
  <c r="BW535" i="4"/>
  <c r="BW536" i="4"/>
  <c r="BW537" i="4"/>
  <c r="BW538" i="4"/>
  <c r="BW539" i="4"/>
  <c r="BW540" i="4"/>
  <c r="BW541" i="4"/>
  <c r="BW542" i="4"/>
  <c r="BW543" i="4"/>
  <c r="BW544" i="4"/>
  <c r="BW545" i="4"/>
  <c r="BW546" i="4"/>
  <c r="BW547" i="4"/>
  <c r="BW548" i="4"/>
  <c r="BW549" i="4"/>
  <c r="BW550" i="4"/>
  <c r="BW551" i="4"/>
  <c r="BW552" i="4"/>
  <c r="BW553" i="4"/>
  <c r="BW554" i="4"/>
  <c r="BW555" i="4"/>
  <c r="BW556" i="4"/>
  <c r="BW557" i="4"/>
  <c r="BW558" i="4"/>
  <c r="BW559" i="4"/>
  <c r="BW560" i="4"/>
  <c r="BW561" i="4"/>
  <c r="BW562" i="4"/>
  <c r="BW563" i="4"/>
  <c r="BW564" i="4"/>
  <c r="BW565" i="4"/>
  <c r="BW566" i="4"/>
  <c r="BW567" i="4"/>
  <c r="BW568" i="4"/>
  <c r="BW569" i="4"/>
  <c r="BW570" i="4"/>
  <c r="BW571" i="4"/>
  <c r="BW572" i="4"/>
  <c r="BW573" i="4"/>
  <c r="BW574" i="4"/>
  <c r="BW575" i="4"/>
  <c r="BW576" i="4"/>
  <c r="BW577" i="4"/>
  <c r="BW578" i="4"/>
  <c r="BW579" i="4"/>
  <c r="BW580" i="4"/>
  <c r="BW581" i="4"/>
  <c r="BW582" i="4"/>
  <c r="BW583" i="4"/>
  <c r="BW584" i="4"/>
  <c r="BW585" i="4"/>
  <c r="BW586" i="4"/>
  <c r="BW587" i="4"/>
  <c r="BW588" i="4"/>
  <c r="BW589" i="4"/>
  <c r="BW590" i="4"/>
  <c r="BW591" i="4"/>
  <c r="BW592" i="4"/>
  <c r="BW593" i="4"/>
  <c r="BW594" i="4"/>
  <c r="BW595" i="4"/>
  <c r="BW596" i="4"/>
  <c r="BW597" i="4"/>
  <c r="BW598" i="4"/>
  <c r="BW599" i="4"/>
  <c r="BW600" i="4"/>
  <c r="BW601" i="4"/>
  <c r="BW602" i="4"/>
  <c r="BW603" i="4"/>
  <c r="BW604" i="4"/>
  <c r="BW605" i="4"/>
  <c r="BW606" i="4"/>
  <c r="BW607" i="4"/>
  <c r="BW608" i="4"/>
  <c r="BW609" i="4"/>
  <c r="BW610" i="4"/>
  <c r="BW611" i="4"/>
  <c r="BW612" i="4"/>
  <c r="BW613" i="4"/>
  <c r="BW614" i="4"/>
  <c r="BW615" i="4"/>
  <c r="BW616" i="4"/>
  <c r="BW617" i="4"/>
  <c r="BW618" i="4"/>
  <c r="BW619" i="4"/>
  <c r="BW620" i="4"/>
  <c r="BW621" i="4"/>
  <c r="BW622" i="4"/>
  <c r="BW623" i="4"/>
  <c r="BW624" i="4"/>
  <c r="BW625" i="4"/>
  <c r="BW626" i="4"/>
  <c r="BW627" i="4"/>
  <c r="BW628" i="4"/>
  <c r="BW629" i="4"/>
  <c r="BW630" i="4"/>
  <c r="BW631" i="4"/>
  <c r="BW632" i="4"/>
  <c r="BW633" i="4"/>
  <c r="BW634" i="4"/>
  <c r="BW635" i="4"/>
  <c r="BW636" i="4"/>
  <c r="BW637" i="4"/>
  <c r="BW638" i="4"/>
  <c r="BW639" i="4"/>
  <c r="BW640" i="4"/>
  <c r="BW641" i="4"/>
  <c r="BW642" i="4"/>
  <c r="BW643" i="4"/>
  <c r="BW644" i="4"/>
  <c r="BW645" i="4"/>
  <c r="BW646" i="4"/>
  <c r="BW647" i="4"/>
  <c r="BW648" i="4"/>
  <c r="BW649" i="4"/>
  <c r="BW650" i="4"/>
  <c r="BW651" i="4"/>
  <c r="BW652" i="4"/>
  <c r="BW653" i="4"/>
  <c r="BW654" i="4"/>
  <c r="BW655" i="4"/>
  <c r="BW656" i="4"/>
  <c r="BW657" i="4"/>
  <c r="BW658" i="4"/>
  <c r="BW659" i="4"/>
  <c r="BW660" i="4"/>
  <c r="BW661" i="4"/>
  <c r="BW662" i="4"/>
  <c r="BW663" i="4"/>
  <c r="BW664" i="4"/>
  <c r="BW665" i="4"/>
  <c r="BW666" i="4"/>
  <c r="BW667" i="4"/>
  <c r="BW668" i="4"/>
  <c r="BW669" i="4"/>
  <c r="BW670" i="4"/>
  <c r="BW671" i="4"/>
  <c r="BW672" i="4"/>
  <c r="BW673" i="4"/>
  <c r="BW674" i="4"/>
  <c r="BW675" i="4"/>
  <c r="BW676" i="4"/>
  <c r="BW677" i="4"/>
  <c r="BW678" i="4"/>
  <c r="BW679" i="4"/>
  <c r="BW680" i="4"/>
  <c r="BW681" i="4"/>
  <c r="BW682" i="4"/>
  <c r="BW683" i="4"/>
  <c r="BW684" i="4"/>
  <c r="BW685" i="4"/>
  <c r="BW686" i="4"/>
  <c r="BW687" i="4"/>
  <c r="BW688" i="4"/>
  <c r="BW689" i="4"/>
  <c r="BW690" i="4"/>
  <c r="BW691" i="4"/>
  <c r="BW692" i="4"/>
  <c r="BW693" i="4"/>
  <c r="BW694" i="4"/>
  <c r="BW695" i="4"/>
  <c r="BW696" i="4"/>
  <c r="BW697" i="4"/>
  <c r="BW698" i="4"/>
  <c r="BW699" i="4"/>
  <c r="BW700" i="4"/>
  <c r="BW701" i="4"/>
  <c r="BW702" i="4"/>
  <c r="BW703" i="4"/>
  <c r="BW704" i="4"/>
  <c r="BW705" i="4"/>
  <c r="BW706" i="4"/>
  <c r="BW707" i="4"/>
  <c r="BW708" i="4"/>
  <c r="BW709" i="4"/>
  <c r="BW710" i="4"/>
  <c r="BW711" i="4"/>
  <c r="BW712" i="4"/>
  <c r="BW713" i="4"/>
  <c r="BW714" i="4"/>
  <c r="BW715" i="4"/>
  <c r="BW716" i="4"/>
  <c r="BW717" i="4"/>
  <c r="BW718" i="4"/>
  <c r="BW719" i="4"/>
  <c r="BW720" i="4"/>
  <c r="BW721" i="4"/>
  <c r="BW722" i="4"/>
  <c r="BW723" i="4"/>
  <c r="BW724" i="4"/>
  <c r="BW725" i="4"/>
  <c r="BW726" i="4"/>
  <c r="BW727" i="4"/>
  <c r="BW728" i="4"/>
  <c r="BW729" i="4"/>
  <c r="BW730" i="4"/>
  <c r="BW731" i="4"/>
  <c r="BW732" i="4"/>
  <c r="BW733" i="4"/>
  <c r="BW734" i="4"/>
  <c r="BW735" i="4"/>
  <c r="BW736" i="4"/>
  <c r="BW737" i="4"/>
  <c r="BW738" i="4"/>
  <c r="BW739" i="4"/>
  <c r="BW740" i="4"/>
  <c r="BW741" i="4"/>
  <c r="BW742" i="4"/>
  <c r="BW743" i="4"/>
  <c r="BW744" i="4"/>
  <c r="BW745" i="4"/>
  <c r="BW746" i="4"/>
  <c r="BW747" i="4"/>
  <c r="BW748" i="4"/>
  <c r="BW749" i="4"/>
  <c r="BW750" i="4"/>
  <c r="BW751" i="4"/>
  <c r="BW752" i="4"/>
  <c r="BW753" i="4"/>
  <c r="BW754" i="4"/>
  <c r="BW755" i="4"/>
  <c r="BW756" i="4"/>
  <c r="BW757" i="4"/>
  <c r="BW758" i="4"/>
  <c r="BW759" i="4"/>
  <c r="BW760" i="4"/>
  <c r="BW761" i="4"/>
  <c r="BW762" i="4"/>
  <c r="BW763" i="4"/>
  <c r="BW764" i="4"/>
  <c r="BW765" i="4"/>
  <c r="BW766" i="4"/>
  <c r="BW767" i="4"/>
  <c r="BW768" i="4"/>
  <c r="BW769" i="4"/>
  <c r="BW770" i="4"/>
  <c r="BW771" i="4"/>
  <c r="BW772" i="4"/>
  <c r="BW773" i="4"/>
  <c r="BW774" i="4"/>
  <c r="BW775" i="4"/>
  <c r="BW776" i="4"/>
  <c r="BW777" i="4"/>
  <c r="BW778" i="4"/>
  <c r="BW779" i="4"/>
  <c r="BW780" i="4"/>
  <c r="BW781" i="4"/>
  <c r="BW782" i="4"/>
  <c r="BW783" i="4"/>
  <c r="BW784" i="4"/>
  <c r="BW785" i="4"/>
  <c r="BW786" i="4"/>
  <c r="BW787" i="4"/>
  <c r="BW788" i="4"/>
  <c r="BW789" i="4"/>
  <c r="BW790" i="4"/>
  <c r="BW791" i="4"/>
  <c r="BW792" i="4"/>
  <c r="BW793" i="4"/>
  <c r="BW794" i="4"/>
  <c r="BW795" i="4"/>
  <c r="BW796" i="4"/>
  <c r="BW797" i="4"/>
  <c r="BW798" i="4"/>
  <c r="BW799" i="4"/>
  <c r="BW800" i="4"/>
  <c r="BW801" i="4"/>
  <c r="BW802" i="4"/>
  <c r="BW803" i="4"/>
  <c r="BW804" i="4"/>
  <c r="BW805" i="4"/>
  <c r="BW806" i="4"/>
  <c r="BW807" i="4"/>
  <c r="BW808" i="4"/>
  <c r="BW809" i="4"/>
  <c r="BW810" i="4"/>
  <c r="BW811" i="4"/>
  <c r="BW812" i="4"/>
  <c r="BW813" i="4"/>
  <c r="BW814" i="4"/>
  <c r="BW815" i="4"/>
  <c r="BW816" i="4"/>
  <c r="BW817" i="4"/>
  <c r="BW818" i="4"/>
  <c r="BW819" i="4"/>
  <c r="BW820" i="4"/>
  <c r="BW821" i="4"/>
  <c r="BW822" i="4"/>
  <c r="BW823" i="4"/>
  <c r="BW824" i="4"/>
  <c r="BW825" i="4"/>
  <c r="BW826" i="4"/>
  <c r="BW827" i="4"/>
  <c r="BW828" i="4"/>
  <c r="BW829" i="4"/>
  <c r="BW830" i="4"/>
  <c r="BW831" i="4"/>
  <c r="BW832" i="4"/>
  <c r="BW833" i="4"/>
  <c r="BW834" i="4"/>
  <c r="BW835" i="4"/>
  <c r="BW836" i="4"/>
  <c r="BW837" i="4"/>
  <c r="BW838" i="4"/>
  <c r="BW839" i="4"/>
  <c r="BW840" i="4"/>
  <c r="BW841" i="4"/>
  <c r="BW842" i="4"/>
  <c r="BW843" i="4"/>
  <c r="BW844" i="4"/>
  <c r="BW845" i="4"/>
  <c r="BW846" i="4"/>
  <c r="BW847" i="4"/>
  <c r="BW848" i="4"/>
  <c r="BW849" i="4"/>
  <c r="BW850" i="4"/>
  <c r="BW851" i="4"/>
  <c r="BW852" i="4"/>
  <c r="BW853" i="4"/>
  <c r="BW854" i="4"/>
  <c r="BW855" i="4"/>
  <c r="BW856" i="4"/>
  <c r="BW857" i="4"/>
  <c r="BW858" i="4"/>
  <c r="BW859" i="4"/>
  <c r="BW860" i="4"/>
  <c r="BW861" i="4"/>
  <c r="BW862" i="4"/>
  <c r="BW863" i="4"/>
  <c r="BW864" i="4"/>
  <c r="BW865" i="4"/>
  <c r="BW866" i="4"/>
  <c r="BW867" i="4"/>
  <c r="BW868" i="4"/>
  <c r="BW869" i="4"/>
  <c r="BW870" i="4"/>
  <c r="BW871" i="4"/>
  <c r="BW872" i="4"/>
  <c r="BW873" i="4"/>
  <c r="BW874" i="4"/>
  <c r="BW875" i="4"/>
  <c r="BW876" i="4"/>
  <c r="BW877" i="4"/>
  <c r="BW878" i="4"/>
  <c r="BW879" i="4"/>
  <c r="BW880" i="4"/>
  <c r="BW881" i="4"/>
  <c r="BW882" i="4"/>
  <c r="BW883" i="4"/>
  <c r="BW884" i="4"/>
  <c r="BW885" i="4"/>
  <c r="BW886" i="4"/>
  <c r="BW887" i="4"/>
  <c r="BW888" i="4"/>
  <c r="BW889" i="4"/>
  <c r="BW890" i="4"/>
  <c r="BW891" i="4"/>
  <c r="BW892" i="4"/>
  <c r="BW893" i="4"/>
  <c r="BW894" i="4"/>
  <c r="BW895" i="4"/>
  <c r="BW896" i="4"/>
  <c r="BW897" i="4"/>
  <c r="BW898" i="4"/>
  <c r="BW899" i="4"/>
  <c r="BW900" i="4"/>
  <c r="BW901" i="4"/>
  <c r="BW902" i="4"/>
  <c r="BW903" i="4"/>
  <c r="BW904" i="4"/>
  <c r="BW905" i="4"/>
  <c r="BW906" i="4"/>
  <c r="BW907" i="4"/>
  <c r="BW908" i="4"/>
  <c r="BW909" i="4"/>
  <c r="BW910" i="4"/>
  <c r="BW911" i="4"/>
  <c r="BW912" i="4"/>
  <c r="BW913" i="4"/>
  <c r="BW914" i="4"/>
  <c r="BW915" i="4"/>
  <c r="BW916" i="4"/>
  <c r="BW917" i="4"/>
  <c r="BW918" i="4"/>
  <c r="BW919" i="4"/>
  <c r="BW920" i="4"/>
  <c r="BW921" i="4"/>
  <c r="BW922" i="4"/>
  <c r="BW923" i="4"/>
  <c r="BW924" i="4"/>
  <c r="BW925" i="4"/>
  <c r="BW926" i="4"/>
  <c r="BW927" i="4"/>
  <c r="BW928" i="4"/>
  <c r="BW929" i="4"/>
  <c r="BW930" i="4"/>
  <c r="BW931" i="4"/>
  <c r="BW932" i="4"/>
  <c r="BW933" i="4"/>
  <c r="BW934" i="4"/>
  <c r="BW935" i="4"/>
  <c r="BW936" i="4"/>
  <c r="BW937" i="4"/>
  <c r="BW938" i="4"/>
  <c r="BW939" i="4"/>
  <c r="BW940" i="4"/>
  <c r="BW941" i="4"/>
  <c r="BW942" i="4"/>
  <c r="BW943" i="4"/>
  <c r="BW944" i="4"/>
  <c r="BW945" i="4"/>
  <c r="BW946" i="4"/>
  <c r="BW947" i="4"/>
  <c r="BW948" i="4"/>
  <c r="BW949" i="4"/>
  <c r="BW950" i="4"/>
  <c r="BW951" i="4"/>
  <c r="BW952" i="4"/>
  <c r="BW953" i="4"/>
  <c r="BW954" i="4"/>
  <c r="BW955" i="4"/>
  <c r="BW956" i="4"/>
  <c r="BW957" i="4"/>
  <c r="BW958" i="4"/>
  <c r="BW959" i="4"/>
  <c r="BW960" i="4"/>
  <c r="BW961" i="4"/>
  <c r="BW962" i="4"/>
  <c r="BW963" i="4"/>
  <c r="BW964" i="4"/>
  <c r="BW965" i="4"/>
  <c r="BW966" i="4"/>
  <c r="BW967" i="4"/>
  <c r="BW968" i="4"/>
  <c r="BW969" i="4"/>
  <c r="BW970" i="4"/>
  <c r="BW971" i="4"/>
  <c r="BW972" i="4"/>
  <c r="BW973" i="4"/>
  <c r="BW974" i="4"/>
  <c r="BW975" i="4"/>
  <c r="BW976" i="4"/>
  <c r="BW977" i="4"/>
  <c r="BW978" i="4"/>
  <c r="BW979" i="4"/>
  <c r="BW980" i="4"/>
  <c r="BW981" i="4"/>
  <c r="BW982" i="4"/>
  <c r="BW983" i="4"/>
  <c r="BW984" i="4"/>
  <c r="BW985" i="4"/>
  <c r="BW986" i="4"/>
  <c r="BW987" i="4"/>
  <c r="BW988" i="4"/>
  <c r="BW989" i="4"/>
  <c r="BW990" i="4"/>
  <c r="BW991" i="4"/>
  <c r="BW992" i="4"/>
  <c r="BW993" i="4"/>
  <c r="BW994" i="4"/>
  <c r="BW995" i="4"/>
  <c r="BW996" i="4"/>
  <c r="BW997" i="4"/>
  <c r="BW998" i="4"/>
  <c r="BW999" i="4"/>
  <c r="BW1000" i="4"/>
  <c r="BW1001" i="4"/>
  <c r="BW1002" i="4"/>
  <c r="BW1003" i="4"/>
  <c r="BW1004" i="4"/>
  <c r="BW1005" i="4"/>
  <c r="BW1006" i="4"/>
  <c r="BW1007" i="4"/>
  <c r="BW1008" i="4"/>
  <c r="BW1009" i="4"/>
  <c r="BW1010" i="4"/>
  <c r="BW1011" i="4"/>
  <c r="BW1012" i="4"/>
  <c r="BW1013" i="4"/>
  <c r="BW1014" i="4"/>
  <c r="BW1015" i="4"/>
  <c r="BW1016" i="4"/>
  <c r="BW1017" i="4"/>
  <c r="BW1018" i="4"/>
  <c r="BW1019" i="4"/>
  <c r="BW1020" i="4"/>
  <c r="BW1021" i="4"/>
  <c r="BW1022" i="4"/>
  <c r="BW1023" i="4"/>
  <c r="BW1024" i="4"/>
  <c r="BW1025" i="4"/>
  <c r="BW1026" i="4"/>
  <c r="BW1027" i="4"/>
  <c r="BW1028" i="4"/>
  <c r="BW1029" i="4"/>
  <c r="BW1030" i="4"/>
  <c r="BW1031" i="4"/>
  <c r="BW1032" i="4"/>
  <c r="BW1033" i="4"/>
  <c r="BW1034" i="4"/>
  <c r="BW1035" i="4"/>
  <c r="BW1036" i="4"/>
  <c r="BW1037" i="4"/>
  <c r="BW1038" i="4"/>
  <c r="BW1039" i="4"/>
  <c r="BW1040" i="4"/>
  <c r="BW1041" i="4"/>
  <c r="BW1042" i="4"/>
  <c r="BW1043" i="4"/>
  <c r="BW1044" i="4"/>
  <c r="BW1045" i="4"/>
  <c r="BW1046" i="4"/>
  <c r="BW1047" i="4"/>
  <c r="BW1048" i="4"/>
  <c r="BW1049" i="4"/>
  <c r="BW1050" i="4"/>
  <c r="BW1051" i="4"/>
  <c r="BW1052" i="4"/>
  <c r="BW1053" i="4"/>
  <c r="BW1054" i="4"/>
  <c r="BW1055" i="4"/>
  <c r="BW1056" i="4"/>
  <c r="BW1057" i="4"/>
  <c r="BW1058" i="4"/>
  <c r="BW1059" i="4"/>
  <c r="BW1060" i="4"/>
  <c r="BW1061" i="4"/>
  <c r="BW1062" i="4"/>
  <c r="BW1063" i="4"/>
  <c r="BW1064" i="4"/>
  <c r="BW1065" i="4"/>
  <c r="BW1066" i="4"/>
  <c r="BW1067" i="4"/>
  <c r="BW1068" i="4"/>
  <c r="BW1069" i="4"/>
  <c r="BW1070" i="4"/>
  <c r="BW1071" i="4"/>
  <c r="BW1072" i="4"/>
  <c r="BW1073" i="4"/>
  <c r="BW1074" i="4"/>
  <c r="BW1075" i="4"/>
  <c r="BW1076" i="4"/>
  <c r="BW1077" i="4"/>
  <c r="BW1078" i="4"/>
  <c r="BW1079" i="4"/>
  <c r="BW1080" i="4"/>
  <c r="BW1081" i="4"/>
  <c r="BW1082" i="4"/>
  <c r="BW1083" i="4"/>
  <c r="BW1084" i="4"/>
  <c r="BW1085" i="4"/>
  <c r="BW1086" i="4"/>
  <c r="BW1087" i="4"/>
  <c r="BW1088" i="4"/>
  <c r="BW1089" i="4"/>
  <c r="BW1090" i="4"/>
  <c r="BW1091" i="4"/>
  <c r="BW1092" i="4"/>
  <c r="BW1093" i="4"/>
  <c r="BW1094" i="4"/>
  <c r="BW1095" i="4"/>
  <c r="BW1096" i="4"/>
  <c r="BW1097" i="4"/>
  <c r="BW1098" i="4"/>
  <c r="BW1099" i="4"/>
  <c r="BW1100" i="4"/>
  <c r="BW1101" i="4"/>
  <c r="BW1102" i="4"/>
  <c r="BW1103" i="4"/>
  <c r="BW1104" i="4"/>
  <c r="BW1105" i="4"/>
  <c r="BW1106" i="4"/>
  <c r="BW1107" i="4"/>
  <c r="BW1108" i="4"/>
  <c r="BW1109" i="4"/>
  <c r="BW1110" i="4"/>
  <c r="BW1111" i="4"/>
  <c r="BW1112" i="4"/>
  <c r="BW1113" i="4"/>
  <c r="BW1114" i="4"/>
  <c r="BW1115" i="4"/>
  <c r="BW1116" i="4"/>
  <c r="BW1117" i="4"/>
  <c r="BW1118" i="4"/>
  <c r="BW1119" i="4"/>
  <c r="BW1120" i="4"/>
  <c r="BW1121" i="4"/>
  <c r="BW1122" i="4"/>
  <c r="BW1123" i="4"/>
  <c r="BW1124" i="4"/>
  <c r="BW1125" i="4"/>
  <c r="BW1126" i="4"/>
  <c r="BW1127" i="4"/>
  <c r="BW1128" i="4"/>
  <c r="BW1129" i="4"/>
  <c r="BW1130" i="4"/>
  <c r="BW1131" i="4"/>
  <c r="BW1132" i="4"/>
  <c r="BW1133" i="4"/>
  <c r="BW1134" i="4"/>
  <c r="BW1135" i="4"/>
  <c r="BW1136" i="4"/>
  <c r="BW1137" i="4"/>
  <c r="BW1138" i="4"/>
  <c r="BW1139" i="4"/>
  <c r="BW1140" i="4"/>
  <c r="BW1141" i="4"/>
  <c r="BW1142" i="4"/>
  <c r="BW1143" i="4"/>
  <c r="BW1144" i="4"/>
  <c r="BW1145" i="4"/>
  <c r="BW1146" i="4"/>
  <c r="BW1147" i="4"/>
  <c r="BW1148" i="4"/>
  <c r="BW1149" i="4"/>
  <c r="BW1150" i="4"/>
  <c r="BW1151" i="4"/>
  <c r="BW1152" i="4"/>
  <c r="BW1153" i="4"/>
  <c r="BW1154" i="4"/>
  <c r="BW1155" i="4"/>
  <c r="BW1156" i="4"/>
  <c r="BW1157" i="4"/>
  <c r="BW1158" i="4"/>
  <c r="BW1159" i="4"/>
  <c r="BW1160" i="4"/>
  <c r="BW1161" i="4"/>
  <c r="BW1162" i="4"/>
  <c r="BW1163" i="4"/>
  <c r="BW1164" i="4"/>
  <c r="BW1165" i="4"/>
  <c r="BW1166" i="4"/>
  <c r="BW1167" i="4"/>
  <c r="BW1168" i="4"/>
  <c r="BW1169" i="4"/>
  <c r="BW1170" i="4"/>
  <c r="BW1171" i="4"/>
  <c r="BW1172" i="4"/>
  <c r="BW1173" i="4"/>
  <c r="BW1174" i="4"/>
  <c r="BW1175" i="4"/>
  <c r="BW1176" i="4"/>
  <c r="BW1177" i="4"/>
  <c r="BW1178" i="4"/>
  <c r="BW1179" i="4"/>
  <c r="BW1180" i="4"/>
  <c r="BW1181" i="4"/>
  <c r="BW1182" i="4"/>
  <c r="BW1183" i="4"/>
  <c r="BW1184" i="4"/>
  <c r="BW1185" i="4"/>
  <c r="BW1186" i="4"/>
  <c r="BW1187" i="4"/>
  <c r="BW1188" i="4"/>
  <c r="BW1189" i="4"/>
  <c r="BW1190" i="4"/>
  <c r="BW1191" i="4"/>
  <c r="BW1192" i="4"/>
  <c r="BW1193" i="4"/>
  <c r="BW1194" i="4"/>
  <c r="BW1195" i="4"/>
  <c r="BW1196" i="4"/>
  <c r="BW1197" i="4"/>
  <c r="BW1198" i="4"/>
  <c r="BW1199" i="4"/>
  <c r="BW1200" i="4"/>
  <c r="BW1201" i="4"/>
  <c r="BW1202" i="4"/>
  <c r="BW1203" i="4"/>
  <c r="BW1204" i="4"/>
  <c r="BW1205" i="4"/>
  <c r="BW1206" i="4"/>
  <c r="BW1207" i="4"/>
  <c r="BW1208" i="4"/>
  <c r="BW1209" i="4"/>
  <c r="BW1210" i="4"/>
  <c r="BW1211" i="4"/>
  <c r="BW1212" i="4"/>
  <c r="BW1213" i="4"/>
  <c r="BW1214" i="4"/>
  <c r="BW1215" i="4"/>
  <c r="BW1216" i="4"/>
  <c r="BW1217" i="4"/>
  <c r="BW1218" i="4"/>
  <c r="BW1219" i="4"/>
  <c r="BW1220" i="4"/>
  <c r="BW1221" i="4"/>
  <c r="BW1222" i="4"/>
  <c r="BW1223" i="4"/>
  <c r="BW1224" i="4"/>
  <c r="BW1225" i="4"/>
  <c r="BW1226" i="4"/>
  <c r="BW1227" i="4"/>
  <c r="BW1228" i="4"/>
  <c r="BW1229" i="4"/>
  <c r="BW1230" i="4"/>
  <c r="BW1231" i="4"/>
  <c r="BW1232" i="4"/>
  <c r="BW1233" i="4"/>
  <c r="BW1234" i="4"/>
  <c r="BW1235" i="4"/>
  <c r="BW1236" i="4"/>
  <c r="BW1237" i="4"/>
  <c r="BW1238" i="4"/>
  <c r="BW1239" i="4"/>
  <c r="BW1240" i="4"/>
  <c r="BW1241" i="4"/>
  <c r="BW1242" i="4"/>
  <c r="BW1243" i="4"/>
  <c r="BW1244" i="4"/>
  <c r="BW1245" i="4"/>
  <c r="BW1246" i="4"/>
  <c r="BW1247" i="4"/>
  <c r="BW1248" i="4"/>
  <c r="BW1249" i="4"/>
  <c r="BW1250" i="4"/>
  <c r="BW1251" i="4"/>
  <c r="BW1252" i="4"/>
  <c r="BW1253" i="4"/>
  <c r="BW1254" i="4"/>
  <c r="BW1255" i="4"/>
  <c r="BW1256" i="4"/>
  <c r="BW1257" i="4"/>
  <c r="BW1258" i="4"/>
  <c r="BW1259" i="4"/>
  <c r="BW1260" i="4"/>
  <c r="BW1261" i="4"/>
  <c r="BW1262" i="4"/>
  <c r="BW1263" i="4"/>
  <c r="BW1264" i="4"/>
  <c r="BW1265" i="4"/>
  <c r="BW1266" i="4"/>
  <c r="BW1267" i="4"/>
  <c r="BW1268" i="4"/>
  <c r="BW1269" i="4"/>
  <c r="BW1270" i="4"/>
  <c r="BW1271" i="4"/>
  <c r="BW1272" i="4"/>
  <c r="BW1273" i="4"/>
  <c r="BW1274" i="4"/>
  <c r="BW1275" i="4"/>
  <c r="BW1276" i="4"/>
  <c r="BW1277" i="4"/>
  <c r="BW1278" i="4"/>
  <c r="BW1279" i="4"/>
  <c r="BW1280" i="4"/>
  <c r="BW1281" i="4"/>
  <c r="BW1282" i="4"/>
  <c r="BW1283" i="4"/>
  <c r="BW1284" i="4"/>
  <c r="BW1285" i="4"/>
  <c r="BW1286" i="4"/>
  <c r="BW1287" i="4"/>
  <c r="BW1288" i="4"/>
  <c r="BW1289" i="4"/>
  <c r="BW1290" i="4"/>
  <c r="BW1291" i="4"/>
  <c r="BW1292" i="4"/>
  <c r="BW1293" i="4"/>
  <c r="BW1294" i="4"/>
  <c r="BV2" i="4"/>
  <c r="BV3" i="4"/>
  <c r="BV4" i="4"/>
  <c r="BV5" i="4"/>
  <c r="BV6" i="4"/>
  <c r="BV7" i="4"/>
  <c r="BV8" i="4"/>
  <c r="BV9" i="4"/>
  <c r="BV10" i="4"/>
  <c r="BV11" i="4"/>
  <c r="BV12" i="4"/>
  <c r="BV13" i="4"/>
  <c r="BV14" i="4"/>
  <c r="BV15" i="4"/>
  <c r="BV16" i="4"/>
  <c r="BV17" i="4"/>
  <c r="BV18" i="4"/>
  <c r="BV19" i="4"/>
  <c r="BV20" i="4"/>
  <c r="BV21" i="4"/>
  <c r="BV22" i="4"/>
  <c r="BV23" i="4"/>
  <c r="BV24" i="4"/>
  <c r="BV25" i="4"/>
  <c r="BV26" i="4"/>
  <c r="BV27" i="4"/>
  <c r="BV28" i="4"/>
  <c r="BV29" i="4"/>
  <c r="BV30" i="4"/>
  <c r="BV31" i="4"/>
  <c r="BV32" i="4"/>
  <c r="BV33" i="4"/>
  <c r="BV34" i="4"/>
  <c r="BV35" i="4"/>
  <c r="BV36" i="4"/>
  <c r="BV37" i="4"/>
  <c r="BV38" i="4"/>
  <c r="BV39" i="4"/>
  <c r="BV40" i="4"/>
  <c r="BV41" i="4"/>
  <c r="BV42" i="4"/>
  <c r="BV43" i="4"/>
  <c r="BV44" i="4"/>
  <c r="BV45" i="4"/>
  <c r="BV46" i="4"/>
  <c r="BV47" i="4"/>
  <c r="BV48" i="4"/>
  <c r="BV49" i="4"/>
  <c r="BV50" i="4"/>
  <c r="BV51" i="4"/>
  <c r="BV52" i="4"/>
  <c r="BV53" i="4"/>
  <c r="BV54" i="4"/>
  <c r="BV55" i="4"/>
  <c r="BV56" i="4"/>
  <c r="BV57" i="4"/>
  <c r="BV58" i="4"/>
  <c r="BV59" i="4"/>
  <c r="BV60" i="4"/>
  <c r="BV61" i="4"/>
  <c r="BV62" i="4"/>
  <c r="BV63" i="4"/>
  <c r="BV64" i="4"/>
  <c r="BV65" i="4"/>
  <c r="BV66" i="4"/>
  <c r="BV67" i="4"/>
  <c r="BV68" i="4"/>
  <c r="BV69" i="4"/>
  <c r="BV70" i="4"/>
  <c r="BV71" i="4"/>
  <c r="BV72" i="4"/>
  <c r="BV73" i="4"/>
  <c r="BV74" i="4"/>
  <c r="BV75" i="4"/>
  <c r="BV76" i="4"/>
  <c r="BV77" i="4"/>
  <c r="BV78" i="4"/>
  <c r="BV79" i="4"/>
  <c r="BV80" i="4"/>
  <c r="BV81" i="4"/>
  <c r="BV82" i="4"/>
  <c r="BV83" i="4"/>
  <c r="BV84" i="4"/>
  <c r="BV85" i="4"/>
  <c r="BV86" i="4"/>
  <c r="BV87" i="4"/>
  <c r="BV88" i="4"/>
  <c r="BV89" i="4"/>
  <c r="BV90" i="4"/>
  <c r="BV91" i="4"/>
  <c r="BV92" i="4"/>
  <c r="BV93" i="4"/>
  <c r="BV94" i="4"/>
  <c r="BV95" i="4"/>
  <c r="BV96" i="4"/>
  <c r="BV97" i="4"/>
  <c r="BV98" i="4"/>
  <c r="BV99" i="4"/>
  <c r="BV100" i="4"/>
  <c r="BV101" i="4"/>
  <c r="BV102" i="4"/>
  <c r="BV103" i="4"/>
  <c r="BV104" i="4"/>
  <c r="BV105" i="4"/>
  <c r="BV106" i="4"/>
  <c r="BV107" i="4"/>
  <c r="BV108" i="4"/>
  <c r="BV109" i="4"/>
  <c r="BV110" i="4"/>
  <c r="BV111" i="4"/>
  <c r="BV112" i="4"/>
  <c r="BV113" i="4"/>
  <c r="BV114" i="4"/>
  <c r="BV115" i="4"/>
  <c r="BV116" i="4"/>
  <c r="BV117" i="4"/>
  <c r="BV118" i="4"/>
  <c r="BV119" i="4"/>
  <c r="BV120" i="4"/>
  <c r="BV121" i="4"/>
  <c r="BV122" i="4"/>
  <c r="BV123" i="4"/>
  <c r="BV124" i="4"/>
  <c r="BV125" i="4"/>
  <c r="BV126" i="4"/>
  <c r="BV127" i="4"/>
  <c r="BV128" i="4"/>
  <c r="BV129" i="4"/>
  <c r="BV130" i="4"/>
  <c r="BV131" i="4"/>
  <c r="BV132" i="4"/>
  <c r="BV133" i="4"/>
  <c r="BV134" i="4"/>
  <c r="BV135" i="4"/>
  <c r="BV136" i="4"/>
  <c r="BV137" i="4"/>
  <c r="BV138" i="4"/>
  <c r="BV139" i="4"/>
  <c r="BV140" i="4"/>
  <c r="BV141" i="4"/>
  <c r="BV142" i="4"/>
  <c r="BV143" i="4"/>
  <c r="BV144" i="4"/>
  <c r="BV145" i="4"/>
  <c r="BV146" i="4"/>
  <c r="BV147" i="4"/>
  <c r="BV148" i="4"/>
  <c r="BV149" i="4"/>
  <c r="BV150" i="4"/>
  <c r="BV151" i="4"/>
  <c r="BV152" i="4"/>
  <c r="BV153" i="4"/>
  <c r="BV154" i="4"/>
  <c r="BV155" i="4"/>
  <c r="BV156" i="4"/>
  <c r="BV157" i="4"/>
  <c r="BV158" i="4"/>
  <c r="BV159" i="4"/>
  <c r="BV160" i="4"/>
  <c r="BV161" i="4"/>
  <c r="BV162" i="4"/>
  <c r="BV163" i="4"/>
  <c r="BV164" i="4"/>
  <c r="BV165" i="4"/>
  <c r="BV166" i="4"/>
  <c r="BV167" i="4"/>
  <c r="BV168" i="4"/>
  <c r="BV169" i="4"/>
  <c r="BV170" i="4"/>
  <c r="BV171" i="4"/>
  <c r="BV172" i="4"/>
  <c r="BV173" i="4"/>
  <c r="BV174" i="4"/>
  <c r="BV175" i="4"/>
  <c r="BV176" i="4"/>
  <c r="BV177" i="4"/>
  <c r="BV178" i="4"/>
  <c r="BV179" i="4"/>
  <c r="BV180" i="4"/>
  <c r="BV181" i="4"/>
  <c r="BV182" i="4"/>
  <c r="BV183" i="4"/>
  <c r="BV184" i="4"/>
  <c r="BV185" i="4"/>
  <c r="BV186" i="4"/>
  <c r="BV187" i="4"/>
  <c r="BV188" i="4"/>
  <c r="BV189" i="4"/>
  <c r="BV190" i="4"/>
  <c r="BV191" i="4"/>
  <c r="BV192" i="4"/>
  <c r="BV193" i="4"/>
  <c r="BV194" i="4"/>
  <c r="BV195" i="4"/>
  <c r="BV196" i="4"/>
  <c r="BV197" i="4"/>
  <c r="BV198" i="4"/>
  <c r="BV199" i="4"/>
  <c r="BV200" i="4"/>
  <c r="BV201" i="4"/>
  <c r="BV202" i="4"/>
  <c r="BV203" i="4"/>
  <c r="BV204" i="4"/>
  <c r="BV205" i="4"/>
  <c r="BV206" i="4"/>
  <c r="BV207" i="4"/>
  <c r="BV208" i="4"/>
  <c r="BV209" i="4"/>
  <c r="BV210" i="4"/>
  <c r="BV211" i="4"/>
  <c r="BV212" i="4"/>
  <c r="BV213" i="4"/>
  <c r="BV214" i="4"/>
  <c r="BV215" i="4"/>
  <c r="BV216" i="4"/>
  <c r="BV217" i="4"/>
  <c r="BV218" i="4"/>
  <c r="BV219" i="4"/>
  <c r="BV220" i="4"/>
  <c r="BV221" i="4"/>
  <c r="BV222" i="4"/>
  <c r="BV223" i="4"/>
  <c r="BV224" i="4"/>
  <c r="BV225" i="4"/>
  <c r="BV226" i="4"/>
  <c r="BV227" i="4"/>
  <c r="BV228" i="4"/>
  <c r="BV229" i="4"/>
  <c r="BV230" i="4"/>
  <c r="BV231" i="4"/>
  <c r="BV232" i="4"/>
  <c r="BV233" i="4"/>
  <c r="BV234" i="4"/>
  <c r="BV235" i="4"/>
  <c r="BV236" i="4"/>
  <c r="BV237" i="4"/>
  <c r="BV238" i="4"/>
  <c r="BV239" i="4"/>
  <c r="BV240" i="4"/>
  <c r="BV241" i="4"/>
  <c r="BV242" i="4"/>
  <c r="BV243" i="4"/>
  <c r="BV244" i="4"/>
  <c r="BV245" i="4"/>
  <c r="BV246" i="4"/>
  <c r="BV247" i="4"/>
  <c r="BV248" i="4"/>
  <c r="BV249" i="4"/>
  <c r="BV250" i="4"/>
  <c r="BV251" i="4"/>
  <c r="BV252" i="4"/>
  <c r="BV253" i="4"/>
  <c r="BV254" i="4"/>
  <c r="BV255" i="4"/>
  <c r="BV256" i="4"/>
  <c r="BV257" i="4"/>
  <c r="BV258" i="4"/>
  <c r="BV259" i="4"/>
  <c r="BV260" i="4"/>
  <c r="BV261" i="4"/>
  <c r="BV262" i="4"/>
  <c r="BV263" i="4"/>
  <c r="BV264" i="4"/>
  <c r="BV265" i="4"/>
  <c r="BV266" i="4"/>
  <c r="BV267" i="4"/>
  <c r="BV268" i="4"/>
  <c r="BV269" i="4"/>
  <c r="BV270" i="4"/>
  <c r="BV271" i="4"/>
  <c r="BV272" i="4"/>
  <c r="BV273" i="4"/>
  <c r="BV274" i="4"/>
  <c r="BV275" i="4"/>
  <c r="BV276" i="4"/>
  <c r="BV277" i="4"/>
  <c r="BV278" i="4"/>
  <c r="BV279" i="4"/>
  <c r="BV280" i="4"/>
  <c r="BV281" i="4"/>
  <c r="BV282" i="4"/>
  <c r="BV283" i="4"/>
  <c r="BV284" i="4"/>
  <c r="BV285" i="4"/>
  <c r="BV286" i="4"/>
  <c r="BV287" i="4"/>
  <c r="BV288" i="4"/>
  <c r="BV289" i="4"/>
  <c r="BV290" i="4"/>
  <c r="BV291" i="4"/>
  <c r="BV292" i="4"/>
  <c r="BV293" i="4"/>
  <c r="BV294" i="4"/>
  <c r="BV295" i="4"/>
  <c r="BV296" i="4"/>
  <c r="BV297" i="4"/>
  <c r="BV298" i="4"/>
  <c r="BV299" i="4"/>
  <c r="BV300" i="4"/>
  <c r="BV301" i="4"/>
  <c r="BV302" i="4"/>
  <c r="BV303" i="4"/>
  <c r="BV304" i="4"/>
  <c r="BV305" i="4"/>
  <c r="BV306" i="4"/>
  <c r="BV307" i="4"/>
  <c r="BV308" i="4"/>
  <c r="BV309" i="4"/>
  <c r="BV310" i="4"/>
  <c r="BV311" i="4"/>
  <c r="BV312" i="4"/>
  <c r="BV313" i="4"/>
  <c r="BV314" i="4"/>
  <c r="BV315" i="4"/>
  <c r="BV316" i="4"/>
  <c r="BV317" i="4"/>
  <c r="BV318" i="4"/>
  <c r="BV319" i="4"/>
  <c r="BV320" i="4"/>
  <c r="BV321" i="4"/>
  <c r="BV322" i="4"/>
  <c r="BV323" i="4"/>
  <c r="BV324" i="4"/>
  <c r="BV325" i="4"/>
  <c r="BV326" i="4"/>
  <c r="BV327" i="4"/>
  <c r="BV328" i="4"/>
  <c r="BV329" i="4"/>
  <c r="BV330" i="4"/>
  <c r="BV331" i="4"/>
  <c r="BV332" i="4"/>
  <c r="BV333" i="4"/>
  <c r="BV334" i="4"/>
  <c r="BV335" i="4"/>
  <c r="BV336" i="4"/>
  <c r="BV337" i="4"/>
  <c r="BV338" i="4"/>
  <c r="BV339" i="4"/>
  <c r="BV340" i="4"/>
  <c r="BV341" i="4"/>
  <c r="BV342" i="4"/>
  <c r="BV343" i="4"/>
  <c r="BV344" i="4"/>
  <c r="BV345" i="4"/>
  <c r="BV346" i="4"/>
  <c r="BV347" i="4"/>
  <c r="BV348" i="4"/>
  <c r="BV349" i="4"/>
  <c r="BV350" i="4"/>
  <c r="BV351" i="4"/>
  <c r="BV352" i="4"/>
  <c r="BV353" i="4"/>
  <c r="BV354" i="4"/>
  <c r="BV355" i="4"/>
  <c r="BV356" i="4"/>
  <c r="BV357" i="4"/>
  <c r="BV358" i="4"/>
  <c r="BV359" i="4"/>
  <c r="BV360" i="4"/>
  <c r="BV361" i="4"/>
  <c r="BV362" i="4"/>
  <c r="BV363" i="4"/>
  <c r="BV364" i="4"/>
  <c r="BV365" i="4"/>
  <c r="BV366" i="4"/>
  <c r="BV367" i="4"/>
  <c r="BV368" i="4"/>
  <c r="BV369" i="4"/>
  <c r="BV370" i="4"/>
  <c r="BV371" i="4"/>
  <c r="BV372" i="4"/>
  <c r="BV373" i="4"/>
  <c r="BV374" i="4"/>
  <c r="BV375" i="4"/>
  <c r="BV376" i="4"/>
  <c r="BV377" i="4"/>
  <c r="BV378" i="4"/>
  <c r="BV379" i="4"/>
  <c r="BV380" i="4"/>
  <c r="BV381" i="4"/>
  <c r="BV382" i="4"/>
  <c r="BV383" i="4"/>
  <c r="BV384" i="4"/>
  <c r="BV385" i="4"/>
  <c r="BV386" i="4"/>
  <c r="BV387" i="4"/>
  <c r="BV388" i="4"/>
  <c r="BV389" i="4"/>
  <c r="BV390" i="4"/>
  <c r="BV391" i="4"/>
  <c r="BV392" i="4"/>
  <c r="BV393" i="4"/>
  <c r="BV394" i="4"/>
  <c r="BV395" i="4"/>
  <c r="BV396" i="4"/>
  <c r="BV397" i="4"/>
  <c r="BV398" i="4"/>
  <c r="BV399" i="4"/>
  <c r="BV400" i="4"/>
  <c r="BV401" i="4"/>
  <c r="BV402" i="4"/>
  <c r="BV403" i="4"/>
  <c r="BV404" i="4"/>
  <c r="BV405" i="4"/>
  <c r="BV406" i="4"/>
  <c r="BV407" i="4"/>
  <c r="BV408" i="4"/>
  <c r="BV409" i="4"/>
  <c r="BV410" i="4"/>
  <c r="BV411" i="4"/>
  <c r="BV412" i="4"/>
  <c r="BV413" i="4"/>
  <c r="BV414" i="4"/>
  <c r="BV415" i="4"/>
  <c r="BV416" i="4"/>
  <c r="BV417" i="4"/>
  <c r="BV418" i="4"/>
  <c r="BV419" i="4"/>
  <c r="BV420" i="4"/>
  <c r="BV421" i="4"/>
  <c r="BV422" i="4"/>
  <c r="BV423" i="4"/>
  <c r="BV424" i="4"/>
  <c r="BV425" i="4"/>
  <c r="BV426" i="4"/>
  <c r="BV427" i="4"/>
  <c r="BV428" i="4"/>
  <c r="BV429" i="4"/>
  <c r="BV430" i="4"/>
  <c r="BV431" i="4"/>
  <c r="BV432" i="4"/>
  <c r="BV433" i="4"/>
  <c r="BV434" i="4"/>
  <c r="BV435" i="4"/>
  <c r="BV436" i="4"/>
  <c r="BV437" i="4"/>
  <c r="BV438" i="4"/>
  <c r="BV439" i="4"/>
  <c r="BV440" i="4"/>
  <c r="BV441" i="4"/>
  <c r="BV442" i="4"/>
  <c r="BV443" i="4"/>
  <c r="BV444" i="4"/>
  <c r="BV445" i="4"/>
  <c r="BV446" i="4"/>
  <c r="BV447" i="4"/>
  <c r="BV448" i="4"/>
  <c r="BV449" i="4"/>
  <c r="BV450" i="4"/>
  <c r="BV451" i="4"/>
  <c r="BV452" i="4"/>
  <c r="BV453" i="4"/>
  <c r="BV454" i="4"/>
  <c r="BV455" i="4"/>
  <c r="BV456" i="4"/>
  <c r="BV457" i="4"/>
  <c r="BV458" i="4"/>
  <c r="BV459" i="4"/>
  <c r="BV460" i="4"/>
  <c r="BV461" i="4"/>
  <c r="BV462" i="4"/>
  <c r="BV463" i="4"/>
  <c r="BV464" i="4"/>
  <c r="BV465" i="4"/>
  <c r="BV466" i="4"/>
  <c r="BV467" i="4"/>
  <c r="BV468" i="4"/>
  <c r="BV469" i="4"/>
  <c r="BV470" i="4"/>
  <c r="BV471" i="4"/>
  <c r="BV472" i="4"/>
  <c r="BV473" i="4"/>
  <c r="BV474" i="4"/>
  <c r="BV475" i="4"/>
  <c r="BV476" i="4"/>
  <c r="BV477" i="4"/>
  <c r="BV478" i="4"/>
  <c r="BV479" i="4"/>
  <c r="BV480" i="4"/>
  <c r="BV481" i="4"/>
  <c r="BV482" i="4"/>
  <c r="BV483" i="4"/>
  <c r="BV484" i="4"/>
  <c r="BV485" i="4"/>
  <c r="BV486" i="4"/>
  <c r="BV487" i="4"/>
  <c r="BV488" i="4"/>
  <c r="BV489" i="4"/>
  <c r="BV490" i="4"/>
  <c r="BV491" i="4"/>
  <c r="BV492" i="4"/>
  <c r="BV493" i="4"/>
  <c r="BV494" i="4"/>
  <c r="BV495" i="4"/>
  <c r="BV496" i="4"/>
  <c r="BV497" i="4"/>
  <c r="BV498" i="4"/>
  <c r="BV499" i="4"/>
  <c r="BV500" i="4"/>
  <c r="BV501" i="4"/>
  <c r="BV502" i="4"/>
  <c r="BV503" i="4"/>
  <c r="BV504" i="4"/>
  <c r="BV505" i="4"/>
  <c r="BV506" i="4"/>
  <c r="BV507" i="4"/>
  <c r="BV508" i="4"/>
  <c r="BV509" i="4"/>
  <c r="BV510" i="4"/>
  <c r="BV511" i="4"/>
  <c r="BV512" i="4"/>
  <c r="BV513" i="4"/>
  <c r="BV514" i="4"/>
  <c r="BV515" i="4"/>
  <c r="BV516" i="4"/>
  <c r="BV517" i="4"/>
  <c r="BV518" i="4"/>
  <c r="BV519" i="4"/>
  <c r="BV520" i="4"/>
  <c r="BV521" i="4"/>
  <c r="BV522" i="4"/>
  <c r="BV523" i="4"/>
  <c r="BV524" i="4"/>
  <c r="BV525" i="4"/>
  <c r="BV526" i="4"/>
  <c r="BV527" i="4"/>
  <c r="BV528" i="4"/>
  <c r="BV529" i="4"/>
  <c r="BV530" i="4"/>
  <c r="BV531" i="4"/>
  <c r="BV532" i="4"/>
  <c r="BV533" i="4"/>
  <c r="BV534" i="4"/>
  <c r="BV535" i="4"/>
  <c r="BV536" i="4"/>
  <c r="BV537" i="4"/>
  <c r="BV538" i="4"/>
  <c r="BV539" i="4"/>
  <c r="BV540" i="4"/>
  <c r="BV541" i="4"/>
  <c r="BV542" i="4"/>
  <c r="BV543" i="4"/>
  <c r="BV544" i="4"/>
  <c r="BV545" i="4"/>
  <c r="BV546" i="4"/>
  <c r="BV547" i="4"/>
  <c r="BV548" i="4"/>
  <c r="BV549" i="4"/>
  <c r="BV550" i="4"/>
  <c r="BV551" i="4"/>
  <c r="BV552" i="4"/>
  <c r="BV553" i="4"/>
  <c r="BV554" i="4"/>
  <c r="BV555" i="4"/>
  <c r="BV556" i="4"/>
  <c r="BV557" i="4"/>
  <c r="BV558" i="4"/>
  <c r="BV559" i="4"/>
  <c r="BV560" i="4"/>
  <c r="BV561" i="4"/>
  <c r="BV562" i="4"/>
  <c r="BV563" i="4"/>
  <c r="BV564" i="4"/>
  <c r="BV565" i="4"/>
  <c r="BV566" i="4"/>
  <c r="BV567" i="4"/>
  <c r="BV568" i="4"/>
  <c r="BV569" i="4"/>
  <c r="BV570" i="4"/>
  <c r="BV571" i="4"/>
  <c r="BV572" i="4"/>
  <c r="BV573" i="4"/>
  <c r="BV574" i="4"/>
  <c r="BV575" i="4"/>
  <c r="BV576" i="4"/>
  <c r="BV577" i="4"/>
  <c r="BV578" i="4"/>
  <c r="BV579" i="4"/>
  <c r="BV580" i="4"/>
  <c r="BV581" i="4"/>
  <c r="BV582" i="4"/>
  <c r="BV583" i="4"/>
  <c r="BV584" i="4"/>
  <c r="BV585" i="4"/>
  <c r="BV586" i="4"/>
  <c r="BV587" i="4"/>
  <c r="BV588" i="4"/>
  <c r="BV589" i="4"/>
  <c r="BV590" i="4"/>
  <c r="BV591" i="4"/>
  <c r="BV592" i="4"/>
  <c r="BV593" i="4"/>
  <c r="BV594" i="4"/>
  <c r="BV595" i="4"/>
  <c r="BV596" i="4"/>
  <c r="BV597" i="4"/>
  <c r="BV598" i="4"/>
  <c r="BV599" i="4"/>
  <c r="BV600" i="4"/>
  <c r="BV601" i="4"/>
  <c r="BV602" i="4"/>
  <c r="BV603" i="4"/>
  <c r="BV604" i="4"/>
  <c r="BV605" i="4"/>
  <c r="BV606" i="4"/>
  <c r="BV607" i="4"/>
  <c r="BV608" i="4"/>
  <c r="BV609" i="4"/>
  <c r="BV610" i="4"/>
  <c r="BV611" i="4"/>
  <c r="BV612" i="4"/>
  <c r="BV613" i="4"/>
  <c r="BV614" i="4"/>
  <c r="BV615" i="4"/>
  <c r="BV616" i="4"/>
  <c r="BV617" i="4"/>
  <c r="BV618" i="4"/>
  <c r="BV619" i="4"/>
  <c r="BV620" i="4"/>
  <c r="BV621" i="4"/>
  <c r="BV622" i="4"/>
  <c r="BV623" i="4"/>
  <c r="BV624" i="4"/>
  <c r="BV625" i="4"/>
  <c r="BV626" i="4"/>
  <c r="BV627" i="4"/>
  <c r="BV628" i="4"/>
  <c r="BV629" i="4"/>
  <c r="BV630" i="4"/>
  <c r="BV631" i="4"/>
  <c r="BV632" i="4"/>
  <c r="BV633" i="4"/>
  <c r="BV634" i="4"/>
  <c r="BV635" i="4"/>
  <c r="BV636" i="4"/>
  <c r="BV637" i="4"/>
  <c r="BV638" i="4"/>
  <c r="BV639" i="4"/>
  <c r="BV640" i="4"/>
  <c r="BV641" i="4"/>
  <c r="BV642" i="4"/>
  <c r="BV643" i="4"/>
  <c r="BV644" i="4"/>
  <c r="BV645" i="4"/>
  <c r="BV646" i="4"/>
  <c r="BV647" i="4"/>
  <c r="BV648" i="4"/>
  <c r="BV649" i="4"/>
  <c r="BV650" i="4"/>
  <c r="BV651" i="4"/>
  <c r="BV652" i="4"/>
  <c r="BV653" i="4"/>
  <c r="BV654" i="4"/>
  <c r="BV655" i="4"/>
  <c r="BV656" i="4"/>
  <c r="BV657" i="4"/>
  <c r="BV658" i="4"/>
  <c r="BV659" i="4"/>
  <c r="BV660" i="4"/>
  <c r="BV661" i="4"/>
  <c r="BV662" i="4"/>
  <c r="BV663" i="4"/>
  <c r="BV664" i="4"/>
  <c r="BV665" i="4"/>
  <c r="BV666" i="4"/>
  <c r="BV667" i="4"/>
  <c r="BV668" i="4"/>
  <c r="BV669" i="4"/>
  <c r="BV670" i="4"/>
  <c r="BV671" i="4"/>
  <c r="BV672" i="4"/>
  <c r="BV673" i="4"/>
  <c r="BV674" i="4"/>
  <c r="BV675" i="4"/>
  <c r="BV676" i="4"/>
  <c r="BV677" i="4"/>
  <c r="BV678" i="4"/>
  <c r="BV679" i="4"/>
  <c r="BV680" i="4"/>
  <c r="BV681" i="4"/>
  <c r="BV682" i="4"/>
  <c r="BV683" i="4"/>
  <c r="BV684" i="4"/>
  <c r="BV685" i="4"/>
  <c r="BV686" i="4"/>
  <c r="BV687" i="4"/>
  <c r="BV688" i="4"/>
  <c r="BV689" i="4"/>
  <c r="BV690" i="4"/>
  <c r="BV691" i="4"/>
  <c r="BV692" i="4"/>
  <c r="BV693" i="4"/>
  <c r="BV694" i="4"/>
  <c r="BV695" i="4"/>
  <c r="BV696" i="4"/>
  <c r="BV697" i="4"/>
  <c r="BV698" i="4"/>
  <c r="BV699" i="4"/>
  <c r="BV700" i="4"/>
  <c r="BV701" i="4"/>
  <c r="BV702" i="4"/>
  <c r="BV703" i="4"/>
  <c r="BV704" i="4"/>
  <c r="BV705" i="4"/>
  <c r="BV706" i="4"/>
  <c r="BV707" i="4"/>
  <c r="BV708" i="4"/>
  <c r="BV709" i="4"/>
  <c r="BV710" i="4"/>
  <c r="BV711" i="4"/>
  <c r="BV712" i="4"/>
  <c r="BV713" i="4"/>
  <c r="BV714" i="4"/>
  <c r="BV715" i="4"/>
  <c r="BV716" i="4"/>
  <c r="BV717" i="4"/>
  <c r="BV718" i="4"/>
  <c r="BV719" i="4"/>
  <c r="BV720" i="4"/>
  <c r="BV721" i="4"/>
  <c r="BV722" i="4"/>
  <c r="BV723" i="4"/>
  <c r="BV724" i="4"/>
  <c r="BV725" i="4"/>
  <c r="BV726" i="4"/>
  <c r="BV727" i="4"/>
  <c r="BV728" i="4"/>
  <c r="BV729" i="4"/>
  <c r="BV730" i="4"/>
  <c r="BV731" i="4"/>
  <c r="BV732" i="4"/>
  <c r="BV733" i="4"/>
  <c r="BV734" i="4"/>
  <c r="BV735" i="4"/>
  <c r="BV736" i="4"/>
  <c r="BV737" i="4"/>
  <c r="BV738" i="4"/>
  <c r="BV739" i="4"/>
  <c r="BV740" i="4"/>
  <c r="BV741" i="4"/>
  <c r="BV742" i="4"/>
  <c r="BV743" i="4"/>
  <c r="BV744" i="4"/>
  <c r="BV745" i="4"/>
  <c r="BV746" i="4"/>
  <c r="BV747" i="4"/>
  <c r="BV748" i="4"/>
  <c r="BV749" i="4"/>
  <c r="BV750" i="4"/>
  <c r="BV751" i="4"/>
  <c r="BV752" i="4"/>
  <c r="BV753" i="4"/>
  <c r="BV754" i="4"/>
  <c r="BV755" i="4"/>
  <c r="BV756" i="4"/>
  <c r="BV757" i="4"/>
  <c r="BV758" i="4"/>
  <c r="BV759" i="4"/>
  <c r="BV760" i="4"/>
  <c r="BV761" i="4"/>
  <c r="BV762" i="4"/>
  <c r="BV763" i="4"/>
  <c r="BV764" i="4"/>
  <c r="BV765" i="4"/>
  <c r="BV766" i="4"/>
  <c r="BV767" i="4"/>
  <c r="BV768" i="4"/>
  <c r="BV769" i="4"/>
  <c r="BV770" i="4"/>
  <c r="BV771" i="4"/>
  <c r="BV772" i="4"/>
  <c r="BV773" i="4"/>
  <c r="BV774" i="4"/>
  <c r="BV775" i="4"/>
  <c r="BV776" i="4"/>
  <c r="BV777" i="4"/>
  <c r="BV778" i="4"/>
  <c r="BV779" i="4"/>
  <c r="BV780" i="4"/>
  <c r="BV781" i="4"/>
  <c r="BV782" i="4"/>
  <c r="BV783" i="4"/>
  <c r="BV784" i="4"/>
  <c r="BV785" i="4"/>
  <c r="BV786" i="4"/>
  <c r="BV787" i="4"/>
  <c r="BV788" i="4"/>
  <c r="BV789" i="4"/>
  <c r="BV790" i="4"/>
  <c r="BV791" i="4"/>
  <c r="BV792" i="4"/>
  <c r="BV793" i="4"/>
  <c r="BV794" i="4"/>
  <c r="BV795" i="4"/>
  <c r="BV796" i="4"/>
  <c r="BV797" i="4"/>
  <c r="BV798" i="4"/>
  <c r="BV799" i="4"/>
  <c r="BV800" i="4"/>
  <c r="BV801" i="4"/>
  <c r="BV802" i="4"/>
  <c r="BV803" i="4"/>
  <c r="BV804" i="4"/>
  <c r="BV805" i="4"/>
  <c r="BV806" i="4"/>
  <c r="BV807" i="4"/>
  <c r="BV808" i="4"/>
  <c r="BV809" i="4"/>
  <c r="BV810" i="4"/>
  <c r="BV811" i="4"/>
  <c r="BV812" i="4"/>
  <c r="BV813" i="4"/>
  <c r="BV814" i="4"/>
  <c r="BV815" i="4"/>
  <c r="BV816" i="4"/>
  <c r="BV817" i="4"/>
  <c r="BV818" i="4"/>
  <c r="BV819" i="4"/>
  <c r="BV820" i="4"/>
  <c r="BV821" i="4"/>
  <c r="BV822" i="4"/>
  <c r="BV823" i="4"/>
  <c r="BV824" i="4"/>
  <c r="BV825" i="4"/>
  <c r="BV826" i="4"/>
  <c r="BV827" i="4"/>
  <c r="BV828" i="4"/>
  <c r="BV829" i="4"/>
  <c r="BV830" i="4"/>
  <c r="BV831" i="4"/>
  <c r="BV832" i="4"/>
  <c r="BV833" i="4"/>
  <c r="BV834" i="4"/>
  <c r="BV835" i="4"/>
  <c r="BV836" i="4"/>
  <c r="BV837" i="4"/>
  <c r="BV838" i="4"/>
  <c r="BV839" i="4"/>
  <c r="BV840" i="4"/>
  <c r="BV841" i="4"/>
  <c r="BV842" i="4"/>
  <c r="BV843" i="4"/>
  <c r="BV844" i="4"/>
  <c r="BV845" i="4"/>
  <c r="BV846" i="4"/>
  <c r="BV847" i="4"/>
  <c r="BV848" i="4"/>
  <c r="BV849" i="4"/>
  <c r="BV850" i="4"/>
  <c r="BV851" i="4"/>
  <c r="BV852" i="4"/>
  <c r="BV853" i="4"/>
  <c r="BV854" i="4"/>
  <c r="BV855" i="4"/>
  <c r="BV856" i="4"/>
  <c r="BV857" i="4"/>
  <c r="BV858" i="4"/>
  <c r="BV859" i="4"/>
  <c r="BV860" i="4"/>
  <c r="BV861" i="4"/>
  <c r="BV862" i="4"/>
  <c r="BV863" i="4"/>
  <c r="BV864" i="4"/>
  <c r="BV865" i="4"/>
  <c r="BV866" i="4"/>
  <c r="BV867" i="4"/>
  <c r="BV868" i="4"/>
  <c r="BV869" i="4"/>
  <c r="BV870" i="4"/>
  <c r="BV871" i="4"/>
  <c r="BV872" i="4"/>
  <c r="BV873" i="4"/>
  <c r="BV874" i="4"/>
  <c r="BV875" i="4"/>
  <c r="BV876" i="4"/>
  <c r="BV877" i="4"/>
  <c r="BV878" i="4"/>
  <c r="BV879" i="4"/>
  <c r="BV880" i="4"/>
  <c r="BV881" i="4"/>
  <c r="BV882" i="4"/>
  <c r="BV883" i="4"/>
  <c r="BV884" i="4"/>
  <c r="BV885" i="4"/>
  <c r="BV886" i="4"/>
  <c r="BV887" i="4"/>
  <c r="BV888" i="4"/>
  <c r="BV889" i="4"/>
  <c r="BV890" i="4"/>
  <c r="BV891" i="4"/>
  <c r="BV892" i="4"/>
  <c r="BV893" i="4"/>
  <c r="BV894" i="4"/>
  <c r="BV895" i="4"/>
  <c r="BV896" i="4"/>
  <c r="BV897" i="4"/>
  <c r="BV898" i="4"/>
  <c r="BV899" i="4"/>
  <c r="BV900" i="4"/>
  <c r="BV901" i="4"/>
  <c r="BV902" i="4"/>
  <c r="BV903" i="4"/>
  <c r="BV904" i="4"/>
  <c r="BV905" i="4"/>
  <c r="BV906" i="4"/>
  <c r="BV907" i="4"/>
  <c r="BV908" i="4"/>
  <c r="BV909" i="4"/>
  <c r="BV910" i="4"/>
  <c r="BV911" i="4"/>
  <c r="BV912" i="4"/>
  <c r="BV913" i="4"/>
  <c r="BV914" i="4"/>
  <c r="BV915" i="4"/>
  <c r="BV916" i="4"/>
  <c r="BV917" i="4"/>
  <c r="BV918" i="4"/>
  <c r="BV919" i="4"/>
  <c r="BV920" i="4"/>
  <c r="BV921" i="4"/>
  <c r="BV922" i="4"/>
  <c r="BV923" i="4"/>
  <c r="BV924" i="4"/>
  <c r="BV925" i="4"/>
  <c r="BV926" i="4"/>
  <c r="BV927" i="4"/>
  <c r="BV928" i="4"/>
  <c r="BV929" i="4"/>
  <c r="BV930" i="4"/>
  <c r="BV931" i="4"/>
  <c r="BV932" i="4"/>
  <c r="BV933" i="4"/>
  <c r="BV934" i="4"/>
  <c r="BV935" i="4"/>
  <c r="BV936" i="4"/>
  <c r="BV937" i="4"/>
  <c r="BV938" i="4"/>
  <c r="BV939" i="4"/>
  <c r="BV940" i="4"/>
  <c r="BV941" i="4"/>
  <c r="BV942" i="4"/>
  <c r="BV943" i="4"/>
  <c r="BV944" i="4"/>
  <c r="BV945" i="4"/>
  <c r="BV946" i="4"/>
  <c r="BV947" i="4"/>
  <c r="BV948" i="4"/>
  <c r="BV949" i="4"/>
  <c r="BV950" i="4"/>
  <c r="BV951" i="4"/>
  <c r="BV952" i="4"/>
  <c r="BV953" i="4"/>
  <c r="BV954" i="4"/>
  <c r="BV955" i="4"/>
  <c r="BV956" i="4"/>
  <c r="BV957" i="4"/>
  <c r="BV958" i="4"/>
  <c r="BV959" i="4"/>
  <c r="BV960" i="4"/>
  <c r="BV961" i="4"/>
  <c r="BV962" i="4"/>
  <c r="BV963" i="4"/>
  <c r="BV964" i="4"/>
  <c r="BV965" i="4"/>
  <c r="BV966" i="4"/>
  <c r="BV967" i="4"/>
  <c r="BV968" i="4"/>
  <c r="BV969" i="4"/>
  <c r="BV970" i="4"/>
  <c r="BV971" i="4"/>
  <c r="BV972" i="4"/>
  <c r="BV973" i="4"/>
  <c r="BV974" i="4"/>
  <c r="BV975" i="4"/>
  <c r="BV976" i="4"/>
  <c r="BV977" i="4"/>
  <c r="BV978" i="4"/>
  <c r="BV979" i="4"/>
  <c r="BV980" i="4"/>
  <c r="BV981" i="4"/>
  <c r="BV982" i="4"/>
  <c r="BV983" i="4"/>
  <c r="BV984" i="4"/>
  <c r="BV985" i="4"/>
  <c r="BV986" i="4"/>
  <c r="BV987" i="4"/>
  <c r="BV988" i="4"/>
  <c r="BV989" i="4"/>
  <c r="BV990" i="4"/>
  <c r="BV991" i="4"/>
  <c r="BV992" i="4"/>
  <c r="BV993" i="4"/>
  <c r="BV994" i="4"/>
  <c r="BV995" i="4"/>
  <c r="BV996" i="4"/>
  <c r="BV997" i="4"/>
  <c r="BV998" i="4"/>
  <c r="BV999" i="4"/>
  <c r="BV1000" i="4"/>
  <c r="BV1001" i="4"/>
  <c r="BV1002" i="4"/>
  <c r="BV1003" i="4"/>
  <c r="BV1004" i="4"/>
  <c r="BV1005" i="4"/>
  <c r="BV1006" i="4"/>
  <c r="BV1007" i="4"/>
  <c r="BV1008" i="4"/>
  <c r="BV1009" i="4"/>
  <c r="BV1010" i="4"/>
  <c r="BV1011" i="4"/>
  <c r="BV1012" i="4"/>
  <c r="BV1013" i="4"/>
  <c r="BV1014" i="4"/>
  <c r="BV1015" i="4"/>
  <c r="BV1016" i="4"/>
  <c r="BV1017" i="4"/>
  <c r="BV1018" i="4"/>
  <c r="BV1019" i="4"/>
  <c r="BV1020" i="4"/>
  <c r="BV1021" i="4"/>
  <c r="BV1022" i="4"/>
  <c r="BV1023" i="4"/>
  <c r="BV1024" i="4"/>
  <c r="BV1025" i="4"/>
  <c r="BV1026" i="4"/>
  <c r="BV1027" i="4"/>
  <c r="BV1028" i="4"/>
  <c r="BV1029" i="4"/>
  <c r="BV1030" i="4"/>
  <c r="BV1031" i="4"/>
  <c r="BV1032" i="4"/>
  <c r="BV1033" i="4"/>
  <c r="BV1034" i="4"/>
  <c r="BV1035" i="4"/>
  <c r="BV1036" i="4"/>
  <c r="BV1037" i="4"/>
  <c r="BV1038" i="4"/>
  <c r="BV1039" i="4"/>
  <c r="BV1040" i="4"/>
  <c r="BV1041" i="4"/>
  <c r="BV1042" i="4"/>
  <c r="BV1043" i="4"/>
  <c r="BV1044" i="4"/>
  <c r="BV1045" i="4"/>
  <c r="BV1046" i="4"/>
  <c r="BV1047" i="4"/>
  <c r="BV1048" i="4"/>
  <c r="BV1049" i="4"/>
  <c r="BV1050" i="4"/>
  <c r="BV1051" i="4"/>
  <c r="BV1052" i="4"/>
  <c r="BV1053" i="4"/>
  <c r="BV1054" i="4"/>
  <c r="BV1055" i="4"/>
  <c r="BV1056" i="4"/>
  <c r="BV1057" i="4"/>
  <c r="BV1058" i="4"/>
  <c r="BV1059" i="4"/>
  <c r="BV1060" i="4"/>
  <c r="BV1061" i="4"/>
  <c r="BV1062" i="4"/>
  <c r="BV1063" i="4"/>
  <c r="BV1064" i="4"/>
  <c r="BV1065" i="4"/>
  <c r="BV1066" i="4"/>
  <c r="BV1067" i="4"/>
  <c r="BV1068" i="4"/>
  <c r="BV1069" i="4"/>
  <c r="BV1070" i="4"/>
  <c r="BV1071" i="4"/>
  <c r="BV1072" i="4"/>
  <c r="BV1073" i="4"/>
  <c r="BV1074" i="4"/>
  <c r="BV1075" i="4"/>
  <c r="BV1076" i="4"/>
  <c r="BV1077" i="4"/>
  <c r="BV1078" i="4"/>
  <c r="BV1079" i="4"/>
  <c r="BV1080" i="4"/>
  <c r="BV1081" i="4"/>
  <c r="BV1082" i="4"/>
  <c r="BV1083" i="4"/>
  <c r="BV1084" i="4"/>
  <c r="BV1085" i="4"/>
  <c r="BV1086" i="4"/>
  <c r="BV1087" i="4"/>
  <c r="BV1088" i="4"/>
  <c r="BV1089" i="4"/>
  <c r="BV1090" i="4"/>
  <c r="BV1091" i="4"/>
  <c r="BV1092" i="4"/>
  <c r="BV1093" i="4"/>
  <c r="BV1094" i="4"/>
  <c r="BV1095" i="4"/>
  <c r="BV1096" i="4"/>
  <c r="BV1097" i="4"/>
  <c r="BV1098" i="4"/>
  <c r="BV1099" i="4"/>
  <c r="BV1100" i="4"/>
  <c r="BV1101" i="4"/>
  <c r="BV1102" i="4"/>
  <c r="BV1103" i="4"/>
  <c r="BV1104" i="4"/>
  <c r="BV1105" i="4"/>
  <c r="BV1106" i="4"/>
  <c r="BV1107" i="4"/>
  <c r="BV1108" i="4"/>
  <c r="BV1109" i="4"/>
  <c r="BV1110" i="4"/>
  <c r="BV1111" i="4"/>
  <c r="BV1112" i="4"/>
  <c r="BV1113" i="4"/>
  <c r="BV1114" i="4"/>
  <c r="BV1115" i="4"/>
  <c r="BV1116" i="4"/>
  <c r="BV1117" i="4"/>
  <c r="BV1118" i="4"/>
  <c r="BV1119" i="4"/>
  <c r="BV1120" i="4"/>
  <c r="BV1121" i="4"/>
  <c r="BV1122" i="4"/>
  <c r="BV1123" i="4"/>
  <c r="BV1124" i="4"/>
  <c r="BV1125" i="4"/>
  <c r="BV1126" i="4"/>
  <c r="BV1127" i="4"/>
  <c r="BV1128" i="4"/>
  <c r="BV1129" i="4"/>
  <c r="BV1130" i="4"/>
  <c r="BV1131" i="4"/>
  <c r="BV1132" i="4"/>
  <c r="BV1133" i="4"/>
  <c r="BV1134" i="4"/>
  <c r="BV1135" i="4"/>
  <c r="BV1136" i="4"/>
  <c r="BV1137" i="4"/>
  <c r="BV1138" i="4"/>
  <c r="BV1139" i="4"/>
  <c r="BV1140" i="4"/>
  <c r="BV1141" i="4"/>
  <c r="BV1142" i="4"/>
  <c r="BV1143" i="4"/>
  <c r="BV1144" i="4"/>
  <c r="BV1145" i="4"/>
  <c r="BV1146" i="4"/>
  <c r="BV1147" i="4"/>
  <c r="BV1148" i="4"/>
  <c r="BV1149" i="4"/>
  <c r="BV1150" i="4"/>
  <c r="BV1151" i="4"/>
  <c r="BV1152" i="4"/>
  <c r="BV1153" i="4"/>
  <c r="BV1154" i="4"/>
  <c r="BV1155" i="4"/>
  <c r="BV1156" i="4"/>
  <c r="BV1157" i="4"/>
  <c r="BV1158" i="4"/>
  <c r="BV1159" i="4"/>
  <c r="BV1160" i="4"/>
  <c r="BV1161" i="4"/>
  <c r="BV1162" i="4"/>
  <c r="BV1163" i="4"/>
  <c r="BV1164" i="4"/>
  <c r="BV1165" i="4"/>
  <c r="BV1166" i="4"/>
  <c r="BV1167" i="4"/>
  <c r="BV1168" i="4"/>
  <c r="BV1169" i="4"/>
  <c r="BV1170" i="4"/>
  <c r="BV1171" i="4"/>
  <c r="BV1172" i="4"/>
  <c r="BV1173" i="4"/>
  <c r="BV1174" i="4"/>
  <c r="BV1175" i="4"/>
  <c r="BV1176" i="4"/>
  <c r="BV1177" i="4"/>
  <c r="BV1178" i="4"/>
  <c r="BV1179" i="4"/>
  <c r="BV1180" i="4"/>
  <c r="BV1181" i="4"/>
  <c r="BV1182" i="4"/>
  <c r="BV1183" i="4"/>
  <c r="BV1184" i="4"/>
  <c r="BV1185" i="4"/>
  <c r="BV1186" i="4"/>
  <c r="BV1187" i="4"/>
  <c r="BV1188" i="4"/>
  <c r="BV1189" i="4"/>
  <c r="BV1190" i="4"/>
  <c r="BV1191" i="4"/>
  <c r="BV1192" i="4"/>
  <c r="BV1193" i="4"/>
  <c r="BV1194" i="4"/>
  <c r="BV1195" i="4"/>
  <c r="BV1196" i="4"/>
  <c r="BV1197" i="4"/>
  <c r="BV1198" i="4"/>
  <c r="BV1199" i="4"/>
  <c r="BV1200" i="4"/>
  <c r="BV1201" i="4"/>
  <c r="BV1202" i="4"/>
  <c r="BV1203" i="4"/>
  <c r="BV1204" i="4"/>
  <c r="BV1205" i="4"/>
  <c r="BV1206" i="4"/>
  <c r="BV1207" i="4"/>
  <c r="BV1208" i="4"/>
  <c r="BV1209" i="4"/>
  <c r="BV1210" i="4"/>
  <c r="BV1211" i="4"/>
  <c r="BV1212" i="4"/>
  <c r="BV1213" i="4"/>
  <c r="BV1214" i="4"/>
  <c r="BV1215" i="4"/>
  <c r="BV1216" i="4"/>
  <c r="BV1217" i="4"/>
  <c r="BV1218" i="4"/>
  <c r="BV1219" i="4"/>
  <c r="BV1220" i="4"/>
  <c r="BV1221" i="4"/>
  <c r="BV1222" i="4"/>
  <c r="BV1223" i="4"/>
  <c r="BV1224" i="4"/>
  <c r="BV1225" i="4"/>
  <c r="BV1226" i="4"/>
  <c r="BV1227" i="4"/>
  <c r="BV1228" i="4"/>
  <c r="BV1229" i="4"/>
  <c r="BV1230" i="4"/>
  <c r="BV1231" i="4"/>
  <c r="BV1232" i="4"/>
  <c r="BV1233" i="4"/>
  <c r="BV1234" i="4"/>
  <c r="BV1235" i="4"/>
  <c r="BV1236" i="4"/>
  <c r="BV1237" i="4"/>
  <c r="BV1238" i="4"/>
  <c r="BV1239" i="4"/>
  <c r="BV1240" i="4"/>
  <c r="BV1241" i="4"/>
  <c r="BV1242" i="4"/>
  <c r="BV1243" i="4"/>
  <c r="BV1244" i="4"/>
  <c r="BV1245" i="4"/>
  <c r="BV1246" i="4"/>
  <c r="BV1247" i="4"/>
  <c r="BV1248" i="4"/>
  <c r="BV1249" i="4"/>
  <c r="BV1250" i="4"/>
  <c r="BV1251" i="4"/>
  <c r="BV1252" i="4"/>
  <c r="BV1253" i="4"/>
  <c r="BV1254" i="4"/>
  <c r="BV1255" i="4"/>
  <c r="BV1256" i="4"/>
  <c r="BV1257" i="4"/>
  <c r="BV1258" i="4"/>
  <c r="BV1259" i="4"/>
  <c r="BV1260" i="4"/>
  <c r="BV1261" i="4"/>
  <c r="BV1262" i="4"/>
  <c r="BV1263" i="4"/>
  <c r="BV1264" i="4"/>
  <c r="BV1265" i="4"/>
  <c r="BV1266" i="4"/>
  <c r="BV1267" i="4"/>
  <c r="BV1268" i="4"/>
  <c r="BV1269" i="4"/>
  <c r="BV1270" i="4"/>
  <c r="BV1271" i="4"/>
  <c r="BV1272" i="4"/>
  <c r="BV1273" i="4"/>
  <c r="BV1274" i="4"/>
  <c r="BV1275" i="4"/>
  <c r="BV1276" i="4"/>
  <c r="BV1277" i="4"/>
  <c r="BV1278" i="4"/>
  <c r="BV1279" i="4"/>
  <c r="BV1280" i="4"/>
  <c r="BV1281" i="4"/>
  <c r="BV1282" i="4"/>
  <c r="BV1283" i="4"/>
  <c r="BV1284" i="4"/>
  <c r="BV1285" i="4"/>
  <c r="BV1286" i="4"/>
  <c r="BV1287" i="4"/>
  <c r="BV1288" i="4"/>
  <c r="BV1289" i="4"/>
  <c r="BV1290" i="4"/>
  <c r="BV1291" i="4"/>
  <c r="BV1292" i="4"/>
  <c r="BV1293" i="4"/>
  <c r="BV1294" i="4"/>
  <c r="BU2" i="4"/>
  <c r="BU3" i="4"/>
  <c r="BU4" i="4"/>
  <c r="BU5" i="4"/>
  <c r="BU6" i="4"/>
  <c r="BU7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U78" i="4"/>
  <c r="BU79" i="4"/>
  <c r="BU80" i="4"/>
  <c r="BU81" i="4"/>
  <c r="BU82" i="4"/>
  <c r="BU83" i="4"/>
  <c r="BU84" i="4"/>
  <c r="BU85" i="4"/>
  <c r="BU86" i="4"/>
  <c r="BU87" i="4"/>
  <c r="BU88" i="4"/>
  <c r="BU89" i="4"/>
  <c r="BU90" i="4"/>
  <c r="BU91" i="4"/>
  <c r="BU92" i="4"/>
  <c r="BU93" i="4"/>
  <c r="BU94" i="4"/>
  <c r="BU95" i="4"/>
  <c r="BU96" i="4"/>
  <c r="BU97" i="4"/>
  <c r="BU98" i="4"/>
  <c r="BU99" i="4"/>
  <c r="BU100" i="4"/>
  <c r="BU101" i="4"/>
  <c r="BU102" i="4"/>
  <c r="BU103" i="4"/>
  <c r="BU104" i="4"/>
  <c r="BU105" i="4"/>
  <c r="BU106" i="4"/>
  <c r="BU107" i="4"/>
  <c r="BU108" i="4"/>
  <c r="BU109" i="4"/>
  <c r="BU110" i="4"/>
  <c r="BU111" i="4"/>
  <c r="BU112" i="4"/>
  <c r="BU113" i="4"/>
  <c r="BU114" i="4"/>
  <c r="BU115" i="4"/>
  <c r="BU116" i="4"/>
  <c r="BU117" i="4"/>
  <c r="BU118" i="4"/>
  <c r="BU119" i="4"/>
  <c r="BU120" i="4"/>
  <c r="BU121" i="4"/>
  <c r="BU122" i="4"/>
  <c r="BU123" i="4"/>
  <c r="BU124" i="4"/>
  <c r="BU125" i="4"/>
  <c r="BU126" i="4"/>
  <c r="BU127" i="4"/>
  <c r="BU128" i="4"/>
  <c r="BU129" i="4"/>
  <c r="BU130" i="4"/>
  <c r="BU131" i="4"/>
  <c r="BU132" i="4"/>
  <c r="BU133" i="4"/>
  <c r="BU134" i="4"/>
  <c r="BU135" i="4"/>
  <c r="BU136" i="4"/>
  <c r="BU137" i="4"/>
  <c r="BU138" i="4"/>
  <c r="BU139" i="4"/>
  <c r="BU140" i="4"/>
  <c r="BU141" i="4"/>
  <c r="BU142" i="4"/>
  <c r="BU143" i="4"/>
  <c r="BU144" i="4"/>
  <c r="BU145" i="4"/>
  <c r="BU146" i="4"/>
  <c r="BU147" i="4"/>
  <c r="BU148" i="4"/>
  <c r="BU149" i="4"/>
  <c r="BU150" i="4"/>
  <c r="BU151" i="4"/>
  <c r="BU152" i="4"/>
  <c r="BU153" i="4"/>
  <c r="BU154" i="4"/>
  <c r="BU155" i="4"/>
  <c r="BU156" i="4"/>
  <c r="BU157" i="4"/>
  <c r="BU158" i="4"/>
  <c r="BU159" i="4"/>
  <c r="BU160" i="4"/>
  <c r="BU161" i="4"/>
  <c r="BU162" i="4"/>
  <c r="BU163" i="4"/>
  <c r="BU164" i="4"/>
  <c r="BU165" i="4"/>
  <c r="BU166" i="4"/>
  <c r="BU167" i="4"/>
  <c r="BU168" i="4"/>
  <c r="BU169" i="4"/>
  <c r="BU170" i="4"/>
  <c r="BU171" i="4"/>
  <c r="BU172" i="4"/>
  <c r="BU173" i="4"/>
  <c r="BU174" i="4"/>
  <c r="BU175" i="4"/>
  <c r="BU176" i="4"/>
  <c r="BU177" i="4"/>
  <c r="BU178" i="4"/>
  <c r="BU179" i="4"/>
  <c r="BU180" i="4"/>
  <c r="BU181" i="4"/>
  <c r="BU182" i="4"/>
  <c r="BU183" i="4"/>
  <c r="BU184" i="4"/>
  <c r="BU185" i="4"/>
  <c r="BU186" i="4"/>
  <c r="BU187" i="4"/>
  <c r="BU188" i="4"/>
  <c r="BU189" i="4"/>
  <c r="BU190" i="4"/>
  <c r="BU191" i="4"/>
  <c r="BU192" i="4"/>
  <c r="BU193" i="4"/>
  <c r="BU194" i="4"/>
  <c r="BU195" i="4"/>
  <c r="BU196" i="4"/>
  <c r="BU197" i="4"/>
  <c r="BU198" i="4"/>
  <c r="BU199" i="4"/>
  <c r="BU200" i="4"/>
  <c r="BU201" i="4"/>
  <c r="BU202" i="4"/>
  <c r="BU203" i="4"/>
  <c r="BU204" i="4"/>
  <c r="BU205" i="4"/>
  <c r="BU206" i="4"/>
  <c r="BU207" i="4"/>
  <c r="BU208" i="4"/>
  <c r="BU209" i="4"/>
  <c r="BU210" i="4"/>
  <c r="BU211" i="4"/>
  <c r="BU212" i="4"/>
  <c r="BU213" i="4"/>
  <c r="BU214" i="4"/>
  <c r="BU215" i="4"/>
  <c r="BU216" i="4"/>
  <c r="BU217" i="4"/>
  <c r="BU218" i="4"/>
  <c r="BU219" i="4"/>
  <c r="BU220" i="4"/>
  <c r="BU221" i="4"/>
  <c r="BU222" i="4"/>
  <c r="BU223" i="4"/>
  <c r="BU224" i="4"/>
  <c r="BU225" i="4"/>
  <c r="BU226" i="4"/>
  <c r="BU227" i="4"/>
  <c r="BU228" i="4"/>
  <c r="BU229" i="4"/>
  <c r="BU230" i="4"/>
  <c r="BU231" i="4"/>
  <c r="BU232" i="4"/>
  <c r="BU233" i="4"/>
  <c r="BU234" i="4"/>
  <c r="BU235" i="4"/>
  <c r="BU236" i="4"/>
  <c r="BU237" i="4"/>
  <c r="BU238" i="4"/>
  <c r="BU239" i="4"/>
  <c r="BU240" i="4"/>
  <c r="BU241" i="4"/>
  <c r="BU242" i="4"/>
  <c r="BU243" i="4"/>
  <c r="BU244" i="4"/>
  <c r="BU245" i="4"/>
  <c r="BU246" i="4"/>
  <c r="BU247" i="4"/>
  <c r="BU248" i="4"/>
  <c r="BU249" i="4"/>
  <c r="BU250" i="4"/>
  <c r="BU251" i="4"/>
  <c r="BU252" i="4"/>
  <c r="BU253" i="4"/>
  <c r="BU254" i="4"/>
  <c r="BU255" i="4"/>
  <c r="BU256" i="4"/>
  <c r="BU257" i="4"/>
  <c r="BU258" i="4"/>
  <c r="BU259" i="4"/>
  <c r="BU260" i="4"/>
  <c r="BU261" i="4"/>
  <c r="BU262" i="4"/>
  <c r="BU263" i="4"/>
  <c r="BU264" i="4"/>
  <c r="BU265" i="4"/>
  <c r="BU266" i="4"/>
  <c r="BU267" i="4"/>
  <c r="BU268" i="4"/>
  <c r="BU269" i="4"/>
  <c r="BU270" i="4"/>
  <c r="BU271" i="4"/>
  <c r="BU272" i="4"/>
  <c r="BU273" i="4"/>
  <c r="BU274" i="4"/>
  <c r="BU275" i="4"/>
  <c r="BU276" i="4"/>
  <c r="BU277" i="4"/>
  <c r="BU278" i="4"/>
  <c r="BU279" i="4"/>
  <c r="BU280" i="4"/>
  <c r="BU281" i="4"/>
  <c r="BU282" i="4"/>
  <c r="BU283" i="4"/>
  <c r="BU284" i="4"/>
  <c r="BU285" i="4"/>
  <c r="BU286" i="4"/>
  <c r="BU287" i="4"/>
  <c r="BU288" i="4"/>
  <c r="BU289" i="4"/>
  <c r="BU290" i="4"/>
  <c r="BU291" i="4"/>
  <c r="BU292" i="4"/>
  <c r="BU293" i="4"/>
  <c r="BU294" i="4"/>
  <c r="BU295" i="4"/>
  <c r="BU296" i="4"/>
  <c r="BU297" i="4"/>
  <c r="BU298" i="4"/>
  <c r="BU299" i="4"/>
  <c r="BU300" i="4"/>
  <c r="BU301" i="4"/>
  <c r="BU302" i="4"/>
  <c r="BU303" i="4"/>
  <c r="BU304" i="4"/>
  <c r="BU305" i="4"/>
  <c r="BU306" i="4"/>
  <c r="BU307" i="4"/>
  <c r="BU308" i="4"/>
  <c r="BU309" i="4"/>
  <c r="BU310" i="4"/>
  <c r="BU311" i="4"/>
  <c r="BU312" i="4"/>
  <c r="BU313" i="4"/>
  <c r="BU314" i="4"/>
  <c r="BU315" i="4"/>
  <c r="BU316" i="4"/>
  <c r="BU317" i="4"/>
  <c r="BU318" i="4"/>
  <c r="BU319" i="4"/>
  <c r="BU320" i="4"/>
  <c r="BU321" i="4"/>
  <c r="BU322" i="4"/>
  <c r="BU323" i="4"/>
  <c r="BU324" i="4"/>
  <c r="BU325" i="4"/>
  <c r="BU326" i="4"/>
  <c r="BU327" i="4"/>
  <c r="BU328" i="4"/>
  <c r="BU329" i="4"/>
  <c r="BU330" i="4"/>
  <c r="BU331" i="4"/>
  <c r="BU332" i="4"/>
  <c r="BU333" i="4"/>
  <c r="BU334" i="4"/>
  <c r="BU335" i="4"/>
  <c r="BU336" i="4"/>
  <c r="BU337" i="4"/>
  <c r="BU338" i="4"/>
  <c r="BU339" i="4"/>
  <c r="BU340" i="4"/>
  <c r="BU341" i="4"/>
  <c r="BU342" i="4"/>
  <c r="BU343" i="4"/>
  <c r="BU344" i="4"/>
  <c r="BU345" i="4"/>
  <c r="BU346" i="4"/>
  <c r="BU347" i="4"/>
  <c r="BU348" i="4"/>
  <c r="BU349" i="4"/>
  <c r="BU350" i="4"/>
  <c r="BU351" i="4"/>
  <c r="BU352" i="4"/>
  <c r="BU353" i="4"/>
  <c r="BU354" i="4"/>
  <c r="BU355" i="4"/>
  <c r="BU356" i="4"/>
  <c r="BU357" i="4"/>
  <c r="BU358" i="4"/>
  <c r="BU359" i="4"/>
  <c r="BU360" i="4"/>
  <c r="BU361" i="4"/>
  <c r="BU362" i="4"/>
  <c r="BU363" i="4"/>
  <c r="BU364" i="4"/>
  <c r="BU365" i="4"/>
  <c r="BU366" i="4"/>
  <c r="BU367" i="4"/>
  <c r="BU368" i="4"/>
  <c r="BU369" i="4"/>
  <c r="BU370" i="4"/>
  <c r="BU371" i="4"/>
  <c r="BU372" i="4"/>
  <c r="BU373" i="4"/>
  <c r="BU374" i="4"/>
  <c r="BU375" i="4"/>
  <c r="BU376" i="4"/>
  <c r="BU377" i="4"/>
  <c r="BU378" i="4"/>
  <c r="BU379" i="4"/>
  <c r="BU380" i="4"/>
  <c r="BU381" i="4"/>
  <c r="BU382" i="4"/>
  <c r="BU383" i="4"/>
  <c r="BU384" i="4"/>
  <c r="BU385" i="4"/>
  <c r="BU386" i="4"/>
  <c r="BU387" i="4"/>
  <c r="BU388" i="4"/>
  <c r="BU389" i="4"/>
  <c r="BU390" i="4"/>
  <c r="BU391" i="4"/>
  <c r="BU392" i="4"/>
  <c r="BU393" i="4"/>
  <c r="BU394" i="4"/>
  <c r="BU395" i="4"/>
  <c r="BU396" i="4"/>
  <c r="BU397" i="4"/>
  <c r="BU398" i="4"/>
  <c r="BU399" i="4"/>
  <c r="BU400" i="4"/>
  <c r="BU401" i="4"/>
  <c r="BU402" i="4"/>
  <c r="BU403" i="4"/>
  <c r="BU404" i="4"/>
  <c r="BU405" i="4"/>
  <c r="BU406" i="4"/>
  <c r="BU407" i="4"/>
  <c r="BU408" i="4"/>
  <c r="BU409" i="4"/>
  <c r="BU410" i="4"/>
  <c r="BU411" i="4"/>
  <c r="BU412" i="4"/>
  <c r="BU413" i="4"/>
  <c r="BU414" i="4"/>
  <c r="BU415" i="4"/>
  <c r="BU416" i="4"/>
  <c r="BU417" i="4"/>
  <c r="BU418" i="4"/>
  <c r="BU419" i="4"/>
  <c r="BU420" i="4"/>
  <c r="BU421" i="4"/>
  <c r="BU422" i="4"/>
  <c r="BU423" i="4"/>
  <c r="BU424" i="4"/>
  <c r="BU425" i="4"/>
  <c r="BU426" i="4"/>
  <c r="BU427" i="4"/>
  <c r="BU428" i="4"/>
  <c r="BU429" i="4"/>
  <c r="BU430" i="4"/>
  <c r="BU431" i="4"/>
  <c r="BU432" i="4"/>
  <c r="BU433" i="4"/>
  <c r="BU434" i="4"/>
  <c r="BU435" i="4"/>
  <c r="BU436" i="4"/>
  <c r="BU437" i="4"/>
  <c r="BU438" i="4"/>
  <c r="BU439" i="4"/>
  <c r="BU440" i="4"/>
  <c r="BU441" i="4"/>
  <c r="BU442" i="4"/>
  <c r="BU443" i="4"/>
  <c r="BU444" i="4"/>
  <c r="BU445" i="4"/>
  <c r="BU446" i="4"/>
  <c r="BU447" i="4"/>
  <c r="BU448" i="4"/>
  <c r="BU449" i="4"/>
  <c r="BU450" i="4"/>
  <c r="BU451" i="4"/>
  <c r="BU452" i="4"/>
  <c r="BU453" i="4"/>
  <c r="BU454" i="4"/>
  <c r="BU455" i="4"/>
  <c r="BU456" i="4"/>
  <c r="BU457" i="4"/>
  <c r="BU458" i="4"/>
  <c r="BU459" i="4"/>
  <c r="BU460" i="4"/>
  <c r="BU461" i="4"/>
  <c r="BU462" i="4"/>
  <c r="BU463" i="4"/>
  <c r="BU464" i="4"/>
  <c r="BU465" i="4"/>
  <c r="BU466" i="4"/>
  <c r="BU467" i="4"/>
  <c r="BU468" i="4"/>
  <c r="BU469" i="4"/>
  <c r="BU470" i="4"/>
  <c r="BU471" i="4"/>
  <c r="BU472" i="4"/>
  <c r="BU473" i="4"/>
  <c r="BU474" i="4"/>
  <c r="BU475" i="4"/>
  <c r="BU476" i="4"/>
  <c r="BU477" i="4"/>
  <c r="BU478" i="4"/>
  <c r="BU479" i="4"/>
  <c r="BU480" i="4"/>
  <c r="BU481" i="4"/>
  <c r="BU482" i="4"/>
  <c r="BU483" i="4"/>
  <c r="BU484" i="4"/>
  <c r="BU485" i="4"/>
  <c r="BU486" i="4"/>
  <c r="BU487" i="4"/>
  <c r="BU488" i="4"/>
  <c r="BU489" i="4"/>
  <c r="BU490" i="4"/>
  <c r="BU491" i="4"/>
  <c r="BU492" i="4"/>
  <c r="BU493" i="4"/>
  <c r="BU494" i="4"/>
  <c r="BU495" i="4"/>
  <c r="BU496" i="4"/>
  <c r="BU497" i="4"/>
  <c r="BU498" i="4"/>
  <c r="BU499" i="4"/>
  <c r="BU500" i="4"/>
  <c r="BU501" i="4"/>
  <c r="BU502" i="4"/>
  <c r="BU503" i="4"/>
  <c r="BU504" i="4"/>
  <c r="BU505" i="4"/>
  <c r="BU506" i="4"/>
  <c r="BU507" i="4"/>
  <c r="BU508" i="4"/>
  <c r="BU509" i="4"/>
  <c r="BU510" i="4"/>
  <c r="BU511" i="4"/>
  <c r="BU512" i="4"/>
  <c r="BU513" i="4"/>
  <c r="BU514" i="4"/>
  <c r="BU515" i="4"/>
  <c r="BU516" i="4"/>
  <c r="BU517" i="4"/>
  <c r="BU518" i="4"/>
  <c r="BU519" i="4"/>
  <c r="BU520" i="4"/>
  <c r="BU521" i="4"/>
  <c r="BU522" i="4"/>
  <c r="BU523" i="4"/>
  <c r="BU524" i="4"/>
  <c r="BU525" i="4"/>
  <c r="BU526" i="4"/>
  <c r="BU527" i="4"/>
  <c r="BU528" i="4"/>
  <c r="BU529" i="4"/>
  <c r="BU530" i="4"/>
  <c r="BU531" i="4"/>
  <c r="BU532" i="4"/>
  <c r="BU533" i="4"/>
  <c r="BU534" i="4"/>
  <c r="BU535" i="4"/>
  <c r="BU536" i="4"/>
  <c r="BU537" i="4"/>
  <c r="BU538" i="4"/>
  <c r="BU539" i="4"/>
  <c r="BU540" i="4"/>
  <c r="BU541" i="4"/>
  <c r="BU542" i="4"/>
  <c r="BU543" i="4"/>
  <c r="BU544" i="4"/>
  <c r="BU545" i="4"/>
  <c r="BU546" i="4"/>
  <c r="BU547" i="4"/>
  <c r="BU548" i="4"/>
  <c r="BU549" i="4"/>
  <c r="BU550" i="4"/>
  <c r="BU551" i="4"/>
  <c r="BU552" i="4"/>
  <c r="BU553" i="4"/>
  <c r="BU554" i="4"/>
  <c r="BU555" i="4"/>
  <c r="BU556" i="4"/>
  <c r="BU557" i="4"/>
  <c r="BU558" i="4"/>
  <c r="BU559" i="4"/>
  <c r="BU560" i="4"/>
  <c r="BU561" i="4"/>
  <c r="BU562" i="4"/>
  <c r="BU563" i="4"/>
  <c r="BU564" i="4"/>
  <c r="BU565" i="4"/>
  <c r="BU566" i="4"/>
  <c r="BU567" i="4"/>
  <c r="BU568" i="4"/>
  <c r="BU569" i="4"/>
  <c r="BU570" i="4"/>
  <c r="BU571" i="4"/>
  <c r="BU572" i="4"/>
  <c r="BU573" i="4"/>
  <c r="BU574" i="4"/>
  <c r="BU575" i="4"/>
  <c r="BU576" i="4"/>
  <c r="BU577" i="4"/>
  <c r="BU578" i="4"/>
  <c r="BU579" i="4"/>
  <c r="BU580" i="4"/>
  <c r="BU581" i="4"/>
  <c r="BU582" i="4"/>
  <c r="BU583" i="4"/>
  <c r="BU584" i="4"/>
  <c r="BU585" i="4"/>
  <c r="BU586" i="4"/>
  <c r="BU587" i="4"/>
  <c r="BU588" i="4"/>
  <c r="BU589" i="4"/>
  <c r="BU590" i="4"/>
  <c r="BU591" i="4"/>
  <c r="BU592" i="4"/>
  <c r="BU593" i="4"/>
  <c r="BU594" i="4"/>
  <c r="BU595" i="4"/>
  <c r="BU596" i="4"/>
  <c r="BU597" i="4"/>
  <c r="BU598" i="4"/>
  <c r="BU599" i="4"/>
  <c r="BU600" i="4"/>
  <c r="BU601" i="4"/>
  <c r="BU602" i="4"/>
  <c r="BU603" i="4"/>
  <c r="BU604" i="4"/>
  <c r="BU605" i="4"/>
  <c r="BU606" i="4"/>
  <c r="BU607" i="4"/>
  <c r="BU608" i="4"/>
  <c r="BU609" i="4"/>
  <c r="BU610" i="4"/>
  <c r="BU611" i="4"/>
  <c r="BU612" i="4"/>
  <c r="BU613" i="4"/>
  <c r="BU614" i="4"/>
  <c r="BU615" i="4"/>
  <c r="BU616" i="4"/>
  <c r="BU617" i="4"/>
  <c r="BU618" i="4"/>
  <c r="BU619" i="4"/>
  <c r="BU620" i="4"/>
  <c r="BU621" i="4"/>
  <c r="BU622" i="4"/>
  <c r="BU623" i="4"/>
  <c r="BU624" i="4"/>
  <c r="BU625" i="4"/>
  <c r="BU626" i="4"/>
  <c r="BU627" i="4"/>
  <c r="BU628" i="4"/>
  <c r="BU629" i="4"/>
  <c r="BU630" i="4"/>
  <c r="BU631" i="4"/>
  <c r="BU632" i="4"/>
  <c r="BU633" i="4"/>
  <c r="BU634" i="4"/>
  <c r="BU635" i="4"/>
  <c r="BU636" i="4"/>
  <c r="BU637" i="4"/>
  <c r="BU638" i="4"/>
  <c r="BU639" i="4"/>
  <c r="BU640" i="4"/>
  <c r="BU641" i="4"/>
  <c r="BU642" i="4"/>
  <c r="BU643" i="4"/>
  <c r="BU644" i="4"/>
  <c r="BU645" i="4"/>
  <c r="BU646" i="4"/>
  <c r="BU647" i="4"/>
  <c r="BU648" i="4"/>
  <c r="BU649" i="4"/>
  <c r="BU650" i="4"/>
  <c r="BU651" i="4"/>
  <c r="BU652" i="4"/>
  <c r="BU653" i="4"/>
  <c r="BU654" i="4"/>
  <c r="BU655" i="4"/>
  <c r="BU656" i="4"/>
  <c r="BU657" i="4"/>
  <c r="BU658" i="4"/>
  <c r="BU659" i="4"/>
  <c r="BU660" i="4"/>
  <c r="BU661" i="4"/>
  <c r="BU662" i="4"/>
  <c r="BU663" i="4"/>
  <c r="BU664" i="4"/>
  <c r="BU665" i="4"/>
  <c r="BU666" i="4"/>
  <c r="BU667" i="4"/>
  <c r="BU668" i="4"/>
  <c r="BU669" i="4"/>
  <c r="BU670" i="4"/>
  <c r="BU671" i="4"/>
  <c r="BU672" i="4"/>
  <c r="BU673" i="4"/>
  <c r="BU674" i="4"/>
  <c r="BU675" i="4"/>
  <c r="BU676" i="4"/>
  <c r="BU677" i="4"/>
  <c r="BU678" i="4"/>
  <c r="BU679" i="4"/>
  <c r="BU680" i="4"/>
  <c r="BU681" i="4"/>
  <c r="BU682" i="4"/>
  <c r="BU683" i="4"/>
  <c r="BU684" i="4"/>
  <c r="BU685" i="4"/>
  <c r="BU686" i="4"/>
  <c r="BU687" i="4"/>
  <c r="BU688" i="4"/>
  <c r="BU689" i="4"/>
  <c r="BU690" i="4"/>
  <c r="BU691" i="4"/>
  <c r="BU692" i="4"/>
  <c r="BU693" i="4"/>
  <c r="BU694" i="4"/>
  <c r="BU695" i="4"/>
  <c r="BU696" i="4"/>
  <c r="BU697" i="4"/>
  <c r="BU698" i="4"/>
  <c r="BU699" i="4"/>
  <c r="BU700" i="4"/>
  <c r="BU701" i="4"/>
  <c r="BU702" i="4"/>
  <c r="BU703" i="4"/>
  <c r="BU704" i="4"/>
  <c r="BU705" i="4"/>
  <c r="BU706" i="4"/>
  <c r="BU707" i="4"/>
  <c r="BU708" i="4"/>
  <c r="BU709" i="4"/>
  <c r="BU710" i="4"/>
  <c r="BU711" i="4"/>
  <c r="BU712" i="4"/>
  <c r="BU713" i="4"/>
  <c r="BU714" i="4"/>
  <c r="BU715" i="4"/>
  <c r="BU716" i="4"/>
  <c r="BU717" i="4"/>
  <c r="BU718" i="4"/>
  <c r="BU719" i="4"/>
  <c r="BU720" i="4"/>
  <c r="BU721" i="4"/>
  <c r="BU722" i="4"/>
  <c r="BU723" i="4"/>
  <c r="BU724" i="4"/>
  <c r="BU725" i="4"/>
  <c r="BU726" i="4"/>
  <c r="BU727" i="4"/>
  <c r="BU728" i="4"/>
  <c r="BU729" i="4"/>
  <c r="BU730" i="4"/>
  <c r="BU731" i="4"/>
  <c r="BU732" i="4"/>
  <c r="BU733" i="4"/>
  <c r="BU734" i="4"/>
  <c r="BU735" i="4"/>
  <c r="BU736" i="4"/>
  <c r="BU737" i="4"/>
  <c r="BU738" i="4"/>
  <c r="BU739" i="4"/>
  <c r="BU740" i="4"/>
  <c r="BU741" i="4"/>
  <c r="BU742" i="4"/>
  <c r="BU743" i="4"/>
  <c r="BU744" i="4"/>
  <c r="BU745" i="4"/>
  <c r="BU746" i="4"/>
  <c r="BU747" i="4"/>
  <c r="BU748" i="4"/>
  <c r="BU749" i="4"/>
  <c r="BU750" i="4"/>
  <c r="BU751" i="4"/>
  <c r="BU752" i="4"/>
  <c r="BU753" i="4"/>
  <c r="BU754" i="4"/>
  <c r="BU755" i="4"/>
  <c r="BU756" i="4"/>
  <c r="BU757" i="4"/>
  <c r="BU758" i="4"/>
  <c r="BU759" i="4"/>
  <c r="BU760" i="4"/>
  <c r="BU761" i="4"/>
  <c r="BU762" i="4"/>
  <c r="BU763" i="4"/>
  <c r="BU764" i="4"/>
  <c r="BU765" i="4"/>
  <c r="BU766" i="4"/>
  <c r="BU767" i="4"/>
  <c r="BU768" i="4"/>
  <c r="BU769" i="4"/>
  <c r="BU770" i="4"/>
  <c r="BU771" i="4"/>
  <c r="BU772" i="4"/>
  <c r="BU773" i="4"/>
  <c r="BU774" i="4"/>
  <c r="BU775" i="4"/>
  <c r="BU776" i="4"/>
  <c r="BU777" i="4"/>
  <c r="BU778" i="4"/>
  <c r="BU779" i="4"/>
  <c r="BU780" i="4"/>
  <c r="BU781" i="4"/>
  <c r="BU782" i="4"/>
  <c r="BU783" i="4"/>
  <c r="BU784" i="4"/>
  <c r="BU785" i="4"/>
  <c r="BU786" i="4"/>
  <c r="BU787" i="4"/>
  <c r="BU788" i="4"/>
  <c r="BU789" i="4"/>
  <c r="BU790" i="4"/>
  <c r="BU791" i="4"/>
  <c r="BU792" i="4"/>
  <c r="BU793" i="4"/>
  <c r="BU794" i="4"/>
  <c r="BU795" i="4"/>
  <c r="BU796" i="4"/>
  <c r="BU797" i="4"/>
  <c r="BU798" i="4"/>
  <c r="BU799" i="4"/>
  <c r="BU800" i="4"/>
  <c r="BU801" i="4"/>
  <c r="BU802" i="4"/>
  <c r="BU803" i="4"/>
  <c r="BU804" i="4"/>
  <c r="BU805" i="4"/>
  <c r="BU806" i="4"/>
  <c r="BU807" i="4"/>
  <c r="BU808" i="4"/>
  <c r="BU809" i="4"/>
  <c r="BU810" i="4"/>
  <c r="BU811" i="4"/>
  <c r="BU812" i="4"/>
  <c r="BU813" i="4"/>
  <c r="BU814" i="4"/>
  <c r="BU815" i="4"/>
  <c r="BU816" i="4"/>
  <c r="BU817" i="4"/>
  <c r="BU818" i="4"/>
  <c r="BU819" i="4"/>
  <c r="BU820" i="4"/>
  <c r="BU821" i="4"/>
  <c r="BU822" i="4"/>
  <c r="BU823" i="4"/>
  <c r="BU824" i="4"/>
  <c r="BU825" i="4"/>
  <c r="BU826" i="4"/>
  <c r="BU827" i="4"/>
  <c r="BU828" i="4"/>
  <c r="BU829" i="4"/>
  <c r="BU830" i="4"/>
  <c r="BU831" i="4"/>
  <c r="BU832" i="4"/>
  <c r="BU833" i="4"/>
  <c r="BU834" i="4"/>
  <c r="BU835" i="4"/>
  <c r="BU836" i="4"/>
  <c r="BU837" i="4"/>
  <c r="BU838" i="4"/>
  <c r="BU839" i="4"/>
  <c r="BU840" i="4"/>
  <c r="BU841" i="4"/>
  <c r="BU842" i="4"/>
  <c r="BU843" i="4"/>
  <c r="BU844" i="4"/>
  <c r="BU845" i="4"/>
  <c r="BU846" i="4"/>
  <c r="BU847" i="4"/>
  <c r="BU848" i="4"/>
  <c r="BU849" i="4"/>
  <c r="BU850" i="4"/>
  <c r="BU851" i="4"/>
  <c r="BU852" i="4"/>
  <c r="BU853" i="4"/>
  <c r="BU854" i="4"/>
  <c r="BU855" i="4"/>
  <c r="BU856" i="4"/>
  <c r="BU857" i="4"/>
  <c r="BU858" i="4"/>
  <c r="BU859" i="4"/>
  <c r="BU860" i="4"/>
  <c r="BU861" i="4"/>
  <c r="BU862" i="4"/>
  <c r="BU863" i="4"/>
  <c r="BU864" i="4"/>
  <c r="BU865" i="4"/>
  <c r="BU866" i="4"/>
  <c r="BU867" i="4"/>
  <c r="BU868" i="4"/>
  <c r="BU869" i="4"/>
  <c r="BU870" i="4"/>
  <c r="BU871" i="4"/>
  <c r="BU872" i="4"/>
  <c r="BU873" i="4"/>
  <c r="BU874" i="4"/>
  <c r="BU875" i="4"/>
  <c r="BU876" i="4"/>
  <c r="BU877" i="4"/>
  <c r="BU878" i="4"/>
  <c r="BU879" i="4"/>
  <c r="BU880" i="4"/>
  <c r="BU881" i="4"/>
  <c r="BU882" i="4"/>
  <c r="BU883" i="4"/>
  <c r="BU884" i="4"/>
  <c r="BU885" i="4"/>
  <c r="BU886" i="4"/>
  <c r="BU887" i="4"/>
  <c r="BU888" i="4"/>
  <c r="BU889" i="4"/>
  <c r="BU890" i="4"/>
  <c r="BU891" i="4"/>
  <c r="BU892" i="4"/>
  <c r="BU893" i="4"/>
  <c r="BU894" i="4"/>
  <c r="BU895" i="4"/>
  <c r="BU896" i="4"/>
  <c r="BU897" i="4"/>
  <c r="BU898" i="4"/>
  <c r="BU899" i="4"/>
  <c r="BU900" i="4"/>
  <c r="BU901" i="4"/>
  <c r="BU902" i="4"/>
  <c r="BU903" i="4"/>
  <c r="BU904" i="4"/>
  <c r="BU905" i="4"/>
  <c r="BU906" i="4"/>
  <c r="BU907" i="4"/>
  <c r="BU908" i="4"/>
  <c r="BU909" i="4"/>
  <c r="BU910" i="4"/>
  <c r="BU911" i="4"/>
  <c r="BU912" i="4"/>
  <c r="BU913" i="4"/>
  <c r="BU914" i="4"/>
  <c r="BU915" i="4"/>
  <c r="BU916" i="4"/>
  <c r="BU917" i="4"/>
  <c r="BU918" i="4"/>
  <c r="BU919" i="4"/>
  <c r="BU920" i="4"/>
  <c r="BU921" i="4"/>
  <c r="BU922" i="4"/>
  <c r="BU923" i="4"/>
  <c r="BU924" i="4"/>
  <c r="BU925" i="4"/>
  <c r="BU926" i="4"/>
  <c r="BU927" i="4"/>
  <c r="BU928" i="4"/>
  <c r="BU929" i="4"/>
  <c r="BU930" i="4"/>
  <c r="BU931" i="4"/>
  <c r="BU932" i="4"/>
  <c r="BU933" i="4"/>
  <c r="BU934" i="4"/>
  <c r="BU935" i="4"/>
  <c r="BU936" i="4"/>
  <c r="BU937" i="4"/>
  <c r="BU938" i="4"/>
  <c r="BU939" i="4"/>
  <c r="BU940" i="4"/>
  <c r="BU941" i="4"/>
  <c r="BU942" i="4"/>
  <c r="BU943" i="4"/>
  <c r="BU944" i="4"/>
  <c r="BU945" i="4"/>
  <c r="BU946" i="4"/>
  <c r="BU947" i="4"/>
  <c r="BU948" i="4"/>
  <c r="BU949" i="4"/>
  <c r="BU950" i="4"/>
  <c r="BU951" i="4"/>
  <c r="BU952" i="4"/>
  <c r="BU953" i="4"/>
  <c r="BU954" i="4"/>
  <c r="BU955" i="4"/>
  <c r="BU956" i="4"/>
  <c r="BU957" i="4"/>
  <c r="BU958" i="4"/>
  <c r="BU959" i="4"/>
  <c r="BU960" i="4"/>
  <c r="BU961" i="4"/>
  <c r="BU962" i="4"/>
  <c r="BU963" i="4"/>
  <c r="BU964" i="4"/>
  <c r="BU965" i="4"/>
  <c r="BU966" i="4"/>
  <c r="BU967" i="4"/>
  <c r="BU968" i="4"/>
  <c r="BU969" i="4"/>
  <c r="BU970" i="4"/>
  <c r="BU971" i="4"/>
  <c r="BU972" i="4"/>
  <c r="BU973" i="4"/>
  <c r="BU974" i="4"/>
  <c r="BU975" i="4"/>
  <c r="BU976" i="4"/>
  <c r="BU977" i="4"/>
  <c r="BU978" i="4"/>
  <c r="BU979" i="4"/>
  <c r="BU980" i="4"/>
  <c r="BU981" i="4"/>
  <c r="BU982" i="4"/>
  <c r="BU983" i="4"/>
  <c r="BU984" i="4"/>
  <c r="BU985" i="4"/>
  <c r="BU986" i="4"/>
  <c r="BU987" i="4"/>
  <c r="BU988" i="4"/>
  <c r="BU989" i="4"/>
  <c r="BU990" i="4"/>
  <c r="BU991" i="4"/>
  <c r="BU992" i="4"/>
  <c r="BU993" i="4"/>
  <c r="BU994" i="4"/>
  <c r="BU995" i="4"/>
  <c r="BU996" i="4"/>
  <c r="BU997" i="4"/>
  <c r="BU998" i="4"/>
  <c r="BU999" i="4"/>
  <c r="BU1000" i="4"/>
  <c r="BU1001" i="4"/>
  <c r="BU1002" i="4"/>
  <c r="BU1003" i="4"/>
  <c r="BU1004" i="4"/>
  <c r="BU1005" i="4"/>
  <c r="BU1006" i="4"/>
  <c r="BU1007" i="4"/>
  <c r="BU1008" i="4"/>
  <c r="BU1009" i="4"/>
  <c r="BU1010" i="4"/>
  <c r="BU1011" i="4"/>
  <c r="BU1012" i="4"/>
  <c r="BU1013" i="4"/>
  <c r="BU1014" i="4"/>
  <c r="BU1015" i="4"/>
  <c r="BU1016" i="4"/>
  <c r="BU1017" i="4"/>
  <c r="BU1018" i="4"/>
  <c r="BU1019" i="4"/>
  <c r="BU1020" i="4"/>
  <c r="BU1021" i="4"/>
  <c r="BU1022" i="4"/>
  <c r="BU1023" i="4"/>
  <c r="BU1024" i="4"/>
  <c r="BU1025" i="4"/>
  <c r="BU1026" i="4"/>
  <c r="BU1027" i="4"/>
  <c r="BU1028" i="4"/>
  <c r="BU1029" i="4"/>
  <c r="BU1030" i="4"/>
  <c r="BU1031" i="4"/>
  <c r="BU1032" i="4"/>
  <c r="BU1033" i="4"/>
  <c r="BU1034" i="4"/>
  <c r="BU1035" i="4"/>
  <c r="BU1036" i="4"/>
  <c r="BU1037" i="4"/>
  <c r="BU1038" i="4"/>
  <c r="BU1039" i="4"/>
  <c r="BU1040" i="4"/>
  <c r="BU1041" i="4"/>
  <c r="BU1042" i="4"/>
  <c r="BU1043" i="4"/>
  <c r="BU1044" i="4"/>
  <c r="BU1045" i="4"/>
  <c r="BU1046" i="4"/>
  <c r="BU1047" i="4"/>
  <c r="BU1048" i="4"/>
  <c r="BU1049" i="4"/>
  <c r="BU1050" i="4"/>
  <c r="BU1051" i="4"/>
  <c r="BU1052" i="4"/>
  <c r="BU1053" i="4"/>
  <c r="BU1054" i="4"/>
  <c r="BU1055" i="4"/>
  <c r="BU1056" i="4"/>
  <c r="BU1057" i="4"/>
  <c r="BU1058" i="4"/>
  <c r="BU1059" i="4"/>
  <c r="BU1060" i="4"/>
  <c r="BU1061" i="4"/>
  <c r="BU1062" i="4"/>
  <c r="BU1063" i="4"/>
  <c r="BU1064" i="4"/>
  <c r="BU1065" i="4"/>
  <c r="BU1066" i="4"/>
  <c r="BU1067" i="4"/>
  <c r="BU1068" i="4"/>
  <c r="BU1069" i="4"/>
  <c r="BU1070" i="4"/>
  <c r="BU1071" i="4"/>
  <c r="BU1072" i="4"/>
  <c r="BU1073" i="4"/>
  <c r="BU1074" i="4"/>
  <c r="BU1075" i="4"/>
  <c r="BU1076" i="4"/>
  <c r="BU1077" i="4"/>
  <c r="BU1078" i="4"/>
  <c r="BU1079" i="4"/>
  <c r="BU1080" i="4"/>
  <c r="BU1081" i="4"/>
  <c r="BU1082" i="4"/>
  <c r="BU1083" i="4"/>
  <c r="BU1084" i="4"/>
  <c r="BU1085" i="4"/>
  <c r="BU1086" i="4"/>
  <c r="BU1087" i="4"/>
  <c r="BU1088" i="4"/>
  <c r="BU1089" i="4"/>
  <c r="BU1090" i="4"/>
  <c r="BU1091" i="4"/>
  <c r="BU1092" i="4"/>
  <c r="BU1093" i="4"/>
  <c r="BU1094" i="4"/>
  <c r="BU1095" i="4"/>
  <c r="BU1096" i="4"/>
  <c r="BU1097" i="4"/>
  <c r="BU1098" i="4"/>
  <c r="BU1099" i="4"/>
  <c r="BU1100" i="4"/>
  <c r="BU1101" i="4"/>
  <c r="BU1102" i="4"/>
  <c r="BU1103" i="4"/>
  <c r="BU1104" i="4"/>
  <c r="BU1105" i="4"/>
  <c r="BU1106" i="4"/>
  <c r="BU1107" i="4"/>
  <c r="BU1108" i="4"/>
  <c r="BU1109" i="4"/>
  <c r="BU1110" i="4"/>
  <c r="BU1111" i="4"/>
  <c r="BU1112" i="4"/>
  <c r="BU1113" i="4"/>
  <c r="BU1114" i="4"/>
  <c r="BU1115" i="4"/>
  <c r="BU1116" i="4"/>
  <c r="BU1117" i="4"/>
  <c r="BU1118" i="4"/>
  <c r="BU1119" i="4"/>
  <c r="BU1120" i="4"/>
  <c r="BU1121" i="4"/>
  <c r="BU1122" i="4"/>
  <c r="BU1123" i="4"/>
  <c r="BU1124" i="4"/>
  <c r="BU1125" i="4"/>
  <c r="BU1126" i="4"/>
  <c r="BU1127" i="4"/>
  <c r="BU1128" i="4"/>
  <c r="BU1129" i="4"/>
  <c r="BU1130" i="4"/>
  <c r="BU1131" i="4"/>
  <c r="BU1132" i="4"/>
  <c r="BU1133" i="4"/>
  <c r="BU1134" i="4"/>
  <c r="BU1135" i="4"/>
  <c r="BU1136" i="4"/>
  <c r="BU1137" i="4"/>
  <c r="BU1138" i="4"/>
  <c r="BU1139" i="4"/>
  <c r="BU1140" i="4"/>
  <c r="BU1141" i="4"/>
  <c r="BU1142" i="4"/>
  <c r="BU1143" i="4"/>
  <c r="BU1144" i="4"/>
  <c r="BU1145" i="4"/>
  <c r="BU1146" i="4"/>
  <c r="BU1147" i="4"/>
  <c r="BU1148" i="4"/>
  <c r="BU1149" i="4"/>
  <c r="BU1150" i="4"/>
  <c r="BU1151" i="4"/>
  <c r="BU1152" i="4"/>
  <c r="BU1153" i="4"/>
  <c r="BU1154" i="4"/>
  <c r="BU1155" i="4"/>
  <c r="BU1156" i="4"/>
  <c r="BU1157" i="4"/>
  <c r="BU1158" i="4"/>
  <c r="BU1159" i="4"/>
  <c r="BU1160" i="4"/>
  <c r="BU1161" i="4"/>
  <c r="BU1162" i="4"/>
  <c r="BU1163" i="4"/>
  <c r="BU1164" i="4"/>
  <c r="BU1165" i="4"/>
  <c r="BU1166" i="4"/>
  <c r="BU1167" i="4"/>
  <c r="BU1168" i="4"/>
  <c r="BU1169" i="4"/>
  <c r="BU1170" i="4"/>
  <c r="BU1171" i="4"/>
  <c r="BU1172" i="4"/>
  <c r="BU1173" i="4"/>
  <c r="BU1174" i="4"/>
  <c r="BU1175" i="4"/>
  <c r="BU1176" i="4"/>
  <c r="BU1177" i="4"/>
  <c r="BU1178" i="4"/>
  <c r="BU1179" i="4"/>
  <c r="BU1180" i="4"/>
  <c r="BU1181" i="4"/>
  <c r="BU1182" i="4"/>
  <c r="BU1183" i="4"/>
  <c r="BU1184" i="4"/>
  <c r="BU1185" i="4"/>
  <c r="BU1186" i="4"/>
  <c r="BU1187" i="4"/>
  <c r="BU1188" i="4"/>
  <c r="BU1189" i="4"/>
  <c r="BU1190" i="4"/>
  <c r="BU1191" i="4"/>
  <c r="BU1192" i="4"/>
  <c r="BU1193" i="4"/>
  <c r="BU1194" i="4"/>
  <c r="BU1195" i="4"/>
  <c r="BU1196" i="4"/>
  <c r="BU1197" i="4"/>
  <c r="BU1198" i="4"/>
  <c r="BU1199" i="4"/>
  <c r="BU1200" i="4"/>
  <c r="BU1201" i="4"/>
  <c r="BU1202" i="4"/>
  <c r="BU1203" i="4"/>
  <c r="BU1204" i="4"/>
  <c r="BU1205" i="4"/>
  <c r="BU1206" i="4"/>
  <c r="BU1207" i="4"/>
  <c r="BU1208" i="4"/>
  <c r="BU1209" i="4"/>
  <c r="BU1210" i="4"/>
  <c r="BU1211" i="4"/>
  <c r="BU1212" i="4"/>
  <c r="BU1213" i="4"/>
  <c r="BU1214" i="4"/>
  <c r="BU1215" i="4"/>
  <c r="BU1216" i="4"/>
  <c r="BU1217" i="4"/>
  <c r="BU1218" i="4"/>
  <c r="BU1219" i="4"/>
  <c r="BU1220" i="4"/>
  <c r="BU1221" i="4"/>
  <c r="BU1222" i="4"/>
  <c r="BU1223" i="4"/>
  <c r="BU1224" i="4"/>
  <c r="BU1225" i="4"/>
  <c r="BU1226" i="4"/>
  <c r="BU1227" i="4"/>
  <c r="BU1228" i="4"/>
  <c r="BU1229" i="4"/>
  <c r="BU1230" i="4"/>
  <c r="BU1231" i="4"/>
  <c r="BU1232" i="4"/>
  <c r="BU1233" i="4"/>
  <c r="BU1234" i="4"/>
  <c r="BU1235" i="4"/>
  <c r="BU1236" i="4"/>
  <c r="BU1237" i="4"/>
  <c r="BU1238" i="4"/>
  <c r="BU1239" i="4"/>
  <c r="BU1240" i="4"/>
  <c r="BU1241" i="4"/>
  <c r="BU1242" i="4"/>
  <c r="BU1243" i="4"/>
  <c r="BU1244" i="4"/>
  <c r="BU1245" i="4"/>
  <c r="BU1246" i="4"/>
  <c r="BU1247" i="4"/>
  <c r="BU1248" i="4"/>
  <c r="BU1249" i="4"/>
  <c r="BU1250" i="4"/>
  <c r="BU1251" i="4"/>
  <c r="BU1252" i="4"/>
  <c r="BU1253" i="4"/>
  <c r="BU1254" i="4"/>
  <c r="BU1255" i="4"/>
  <c r="BU1256" i="4"/>
  <c r="BU1257" i="4"/>
  <c r="BU1258" i="4"/>
  <c r="BU1259" i="4"/>
  <c r="BU1260" i="4"/>
  <c r="BU1261" i="4"/>
  <c r="BU1262" i="4"/>
  <c r="BU1263" i="4"/>
  <c r="BU1264" i="4"/>
  <c r="BU1265" i="4"/>
  <c r="BU1266" i="4"/>
  <c r="BU1267" i="4"/>
  <c r="BU1268" i="4"/>
  <c r="BU1269" i="4"/>
  <c r="BU1270" i="4"/>
  <c r="BU1271" i="4"/>
  <c r="BU1272" i="4"/>
  <c r="BU1273" i="4"/>
  <c r="BU1274" i="4"/>
  <c r="BU1275" i="4"/>
  <c r="BU1276" i="4"/>
  <c r="BU1277" i="4"/>
  <c r="BU1278" i="4"/>
  <c r="BU1279" i="4"/>
  <c r="BU1280" i="4"/>
  <c r="BU1281" i="4"/>
  <c r="BU1282" i="4"/>
  <c r="BU1283" i="4"/>
  <c r="BU1284" i="4"/>
  <c r="BU1285" i="4"/>
  <c r="BU1286" i="4"/>
  <c r="BU1287" i="4"/>
  <c r="BU1288" i="4"/>
  <c r="BU1289" i="4"/>
  <c r="BU1290" i="4"/>
  <c r="BU1291" i="4"/>
  <c r="BU1292" i="4"/>
  <c r="BU1293" i="4"/>
  <c r="BU1294" i="4"/>
  <c r="BL2" i="4"/>
  <c r="BL3" i="4"/>
  <c r="BL4" i="4"/>
  <c r="BL5" i="4"/>
  <c r="BL6" i="4"/>
  <c r="BL7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L80" i="4"/>
  <c r="BL81" i="4"/>
  <c r="BL82" i="4"/>
  <c r="BL83" i="4"/>
  <c r="BL84" i="4"/>
  <c r="BL85" i="4"/>
  <c r="BL86" i="4"/>
  <c r="BL87" i="4"/>
  <c r="BL88" i="4"/>
  <c r="BL90" i="4"/>
  <c r="BL91" i="4"/>
  <c r="BL92" i="4"/>
  <c r="BL93" i="4"/>
  <c r="BL94" i="4"/>
  <c r="BL95" i="4"/>
  <c r="BL96" i="4"/>
  <c r="BL97" i="4"/>
  <c r="BL99" i="4"/>
  <c r="BL100" i="4"/>
  <c r="BL102" i="4"/>
  <c r="BL103" i="4"/>
  <c r="BL104" i="4"/>
  <c r="BL105" i="4"/>
  <c r="BL106" i="4"/>
  <c r="BL107" i="4"/>
  <c r="BL108" i="4"/>
  <c r="BL109" i="4"/>
  <c r="BL110" i="4"/>
  <c r="BL111" i="4"/>
  <c r="BL112" i="4"/>
  <c r="BL113" i="4"/>
  <c r="BL114" i="4"/>
  <c r="BL115" i="4"/>
  <c r="BL116" i="4"/>
  <c r="BL117" i="4"/>
  <c r="BL118" i="4"/>
  <c r="BL119" i="4"/>
  <c r="BL120" i="4"/>
  <c r="BL121" i="4"/>
  <c r="BL122" i="4"/>
  <c r="BL123" i="4"/>
  <c r="BL124" i="4"/>
  <c r="BL125" i="4"/>
  <c r="BL126" i="4"/>
  <c r="BL127" i="4"/>
  <c r="BL128" i="4"/>
  <c r="BL129" i="4"/>
  <c r="BL130" i="4"/>
  <c r="BL131" i="4"/>
  <c r="BL132" i="4"/>
  <c r="BL133" i="4"/>
  <c r="BL134" i="4"/>
  <c r="BL135" i="4"/>
  <c r="BL136" i="4"/>
  <c r="BL137" i="4"/>
  <c r="BL138" i="4"/>
  <c r="BL139" i="4"/>
  <c r="BL140" i="4"/>
  <c r="BL141" i="4"/>
  <c r="BL142" i="4"/>
  <c r="BL143" i="4"/>
  <c r="BL144" i="4"/>
  <c r="BL145" i="4"/>
  <c r="BL146" i="4"/>
  <c r="BL147" i="4"/>
  <c r="BL148" i="4"/>
  <c r="BL149" i="4"/>
  <c r="BL150" i="4"/>
  <c r="BL151" i="4"/>
  <c r="BL152" i="4"/>
  <c r="BL153" i="4"/>
  <c r="BL154" i="4"/>
  <c r="BL155" i="4"/>
  <c r="BL156" i="4"/>
  <c r="BL157" i="4"/>
  <c r="BL158" i="4"/>
  <c r="BL159" i="4"/>
  <c r="BL160" i="4"/>
  <c r="BL161" i="4"/>
  <c r="BL162" i="4"/>
  <c r="BL163" i="4"/>
  <c r="BL164" i="4"/>
  <c r="BL165" i="4"/>
  <c r="BL166" i="4"/>
  <c r="BL167" i="4"/>
  <c r="BL168" i="4"/>
  <c r="BL169" i="4"/>
  <c r="BL170" i="4"/>
  <c r="BL171" i="4"/>
  <c r="BL172" i="4"/>
  <c r="BL173" i="4"/>
  <c r="BL174" i="4"/>
  <c r="BL175" i="4"/>
  <c r="BL176" i="4"/>
  <c r="BL177" i="4"/>
  <c r="BL178" i="4"/>
  <c r="BL179" i="4"/>
  <c r="BL180" i="4"/>
  <c r="BL181" i="4"/>
  <c r="BL182" i="4"/>
  <c r="BL183" i="4"/>
  <c r="BL184" i="4"/>
  <c r="BL185" i="4"/>
  <c r="BL186" i="4"/>
  <c r="BL187" i="4"/>
  <c r="BL188" i="4"/>
  <c r="BL189" i="4"/>
  <c r="BL190" i="4"/>
  <c r="BL191" i="4"/>
  <c r="BL192" i="4"/>
  <c r="BL193" i="4"/>
  <c r="BL194" i="4"/>
  <c r="BL195" i="4"/>
  <c r="BL196" i="4"/>
  <c r="BL197" i="4"/>
  <c r="BL198" i="4"/>
  <c r="BL199" i="4"/>
  <c r="BL200" i="4"/>
  <c r="BL201" i="4"/>
  <c r="BL202" i="4"/>
  <c r="BL203" i="4"/>
  <c r="BL204" i="4"/>
  <c r="BL205" i="4"/>
  <c r="BL206" i="4"/>
  <c r="BL207" i="4"/>
  <c r="BL208" i="4"/>
  <c r="BL209" i="4"/>
  <c r="BL210" i="4"/>
  <c r="BL211" i="4"/>
  <c r="BL212" i="4"/>
  <c r="BL213" i="4"/>
  <c r="BL214" i="4"/>
  <c r="BL215" i="4"/>
  <c r="BL216" i="4"/>
  <c r="BL217" i="4"/>
  <c r="BL218" i="4"/>
  <c r="BL219" i="4"/>
  <c r="BL220" i="4"/>
  <c r="BL221" i="4"/>
  <c r="BL222" i="4"/>
  <c r="BL223" i="4"/>
  <c r="BL224" i="4"/>
  <c r="BL225" i="4"/>
  <c r="BL226" i="4"/>
  <c r="BL227" i="4"/>
  <c r="BL228" i="4"/>
  <c r="BL229" i="4"/>
  <c r="BL230" i="4"/>
  <c r="BL231" i="4"/>
  <c r="BL232" i="4"/>
  <c r="BL233" i="4"/>
  <c r="BL234" i="4"/>
  <c r="BL235" i="4"/>
  <c r="BL236" i="4"/>
  <c r="BL237" i="4"/>
  <c r="BL238" i="4"/>
  <c r="BL239" i="4"/>
  <c r="BL240" i="4"/>
  <c r="BL241" i="4"/>
  <c r="BL242" i="4"/>
  <c r="BL243" i="4"/>
  <c r="BL244" i="4"/>
  <c r="BL245" i="4"/>
  <c r="BL246" i="4"/>
  <c r="BL247" i="4"/>
  <c r="BL248" i="4"/>
  <c r="BL249" i="4"/>
  <c r="BL250" i="4"/>
  <c r="BL251" i="4"/>
  <c r="BL252" i="4"/>
  <c r="BL253" i="4"/>
  <c r="BL254" i="4"/>
  <c r="BL255" i="4"/>
  <c r="BL256" i="4"/>
  <c r="BL257" i="4"/>
  <c r="BL258" i="4"/>
  <c r="BL259" i="4"/>
  <c r="BL260" i="4"/>
  <c r="BL261" i="4"/>
  <c r="BL262" i="4"/>
  <c r="BL263" i="4"/>
  <c r="BL264" i="4"/>
  <c r="BL265" i="4"/>
  <c r="BL267" i="4"/>
  <c r="BL268" i="4"/>
  <c r="BL269" i="4"/>
  <c r="BL270" i="4"/>
  <c r="BL271" i="4"/>
  <c r="BL272" i="4"/>
  <c r="BL273" i="4"/>
  <c r="BL274" i="4"/>
  <c r="BL275" i="4"/>
  <c r="BL276" i="4"/>
  <c r="BL277" i="4"/>
  <c r="BL278" i="4"/>
  <c r="BL279" i="4"/>
  <c r="BL280" i="4"/>
  <c r="BL281" i="4"/>
  <c r="BL282" i="4"/>
  <c r="BL283" i="4"/>
  <c r="BL284" i="4"/>
  <c r="BL285" i="4"/>
  <c r="BL286" i="4"/>
  <c r="BL287" i="4"/>
  <c r="BL288" i="4"/>
  <c r="BL289" i="4"/>
  <c r="BL290" i="4"/>
  <c r="BL291" i="4"/>
  <c r="BL292" i="4"/>
  <c r="BL293" i="4"/>
  <c r="BL294" i="4"/>
  <c r="BL295" i="4"/>
  <c r="BL296" i="4"/>
  <c r="BL297" i="4"/>
  <c r="BL298" i="4"/>
  <c r="BL299" i="4"/>
  <c r="BL300" i="4"/>
  <c r="BL301" i="4"/>
  <c r="BL302" i="4"/>
  <c r="BL303" i="4"/>
  <c r="BL304" i="4"/>
  <c r="BL305" i="4"/>
  <c r="BL306" i="4"/>
  <c r="BL307" i="4"/>
  <c r="BL308" i="4"/>
  <c r="BL309" i="4"/>
  <c r="BL310" i="4"/>
  <c r="BL311" i="4"/>
  <c r="BL312" i="4"/>
  <c r="BL313" i="4"/>
  <c r="BL314" i="4"/>
  <c r="BL315" i="4"/>
  <c r="BL316" i="4"/>
  <c r="BL317" i="4"/>
  <c r="BL318" i="4"/>
  <c r="BL319" i="4"/>
  <c r="BL320" i="4"/>
  <c r="BL321" i="4"/>
  <c r="BL322" i="4"/>
  <c r="BL323" i="4"/>
  <c r="BL324" i="4"/>
  <c r="BL325" i="4"/>
  <c r="BL326" i="4"/>
  <c r="BL327" i="4"/>
  <c r="BL328" i="4"/>
  <c r="BL329" i="4"/>
  <c r="BL330" i="4"/>
  <c r="BL331" i="4"/>
  <c r="BL332" i="4"/>
  <c r="BL333" i="4"/>
  <c r="BL334" i="4"/>
  <c r="BL335" i="4"/>
  <c r="BL336" i="4"/>
  <c r="BL337" i="4"/>
  <c r="BL338" i="4"/>
  <c r="BL339" i="4"/>
  <c r="BL340" i="4"/>
  <c r="BL341" i="4"/>
  <c r="BL342" i="4"/>
  <c r="BL344" i="4"/>
  <c r="BL345" i="4"/>
  <c r="BL346" i="4"/>
  <c r="BL347" i="4"/>
  <c r="BL348" i="4"/>
  <c r="BL349" i="4"/>
  <c r="BL350" i="4"/>
  <c r="BL351" i="4"/>
  <c r="BL352" i="4"/>
  <c r="BL353" i="4"/>
  <c r="BL354" i="4"/>
  <c r="BL355" i="4"/>
  <c r="BL356" i="4"/>
  <c r="BL357" i="4"/>
  <c r="BL358" i="4"/>
  <c r="BL359" i="4"/>
  <c r="BL360" i="4"/>
  <c r="BL361" i="4"/>
  <c r="BL362" i="4"/>
  <c r="BL363" i="4"/>
  <c r="BL364" i="4"/>
  <c r="BL365" i="4"/>
  <c r="BL366" i="4"/>
  <c r="BL367" i="4"/>
  <c r="BL368" i="4"/>
  <c r="BL369" i="4"/>
  <c r="BL370" i="4"/>
  <c r="BL371" i="4"/>
  <c r="BL372" i="4"/>
  <c r="BL373" i="4"/>
  <c r="BL374" i="4"/>
  <c r="BL376" i="4"/>
  <c r="BL377" i="4"/>
  <c r="BL378" i="4"/>
  <c r="BL379" i="4"/>
  <c r="BL380" i="4"/>
  <c r="BL381" i="4"/>
  <c r="BL382" i="4"/>
  <c r="BL383" i="4"/>
  <c r="BL384" i="4"/>
  <c r="BL385" i="4"/>
  <c r="BL386" i="4"/>
  <c r="BL387" i="4"/>
  <c r="BL388" i="4"/>
  <c r="BL389" i="4"/>
  <c r="BL390" i="4"/>
  <c r="BL391" i="4"/>
  <c r="BL392" i="4"/>
  <c r="BL393" i="4"/>
  <c r="BL394" i="4"/>
  <c r="BL395" i="4"/>
  <c r="BL396" i="4"/>
  <c r="BL397" i="4"/>
  <c r="BL398" i="4"/>
  <c r="BL399" i="4"/>
  <c r="BL400" i="4"/>
  <c r="BL401" i="4"/>
  <c r="BL402" i="4"/>
  <c r="BL403" i="4"/>
  <c r="BL404" i="4"/>
  <c r="BL405" i="4"/>
  <c r="BL406" i="4"/>
  <c r="BL407" i="4"/>
  <c r="BL408" i="4"/>
  <c r="BL409" i="4"/>
  <c r="BL410" i="4"/>
  <c r="BL411" i="4"/>
  <c r="BL412" i="4"/>
  <c r="BL413" i="4"/>
  <c r="BL414" i="4"/>
  <c r="BL415" i="4"/>
  <c r="BL416" i="4"/>
  <c r="BL417" i="4"/>
  <c r="BL418" i="4"/>
  <c r="BL419" i="4"/>
  <c r="BL420" i="4"/>
  <c r="BL421" i="4"/>
  <c r="BL422" i="4"/>
  <c r="BL423" i="4"/>
  <c r="BL424" i="4"/>
  <c r="BL425" i="4"/>
  <c r="BL426" i="4"/>
  <c r="BL427" i="4"/>
  <c r="BL428" i="4"/>
  <c r="BL429" i="4"/>
  <c r="BL430" i="4"/>
  <c r="BL431" i="4"/>
  <c r="BL432" i="4"/>
  <c r="BL433" i="4"/>
  <c r="BL434" i="4"/>
  <c r="BL435" i="4"/>
  <c r="BL436" i="4"/>
  <c r="BL437" i="4"/>
  <c r="BL438" i="4"/>
  <c r="BL439" i="4"/>
  <c r="BL440" i="4"/>
  <c r="BL441" i="4"/>
  <c r="BL442" i="4"/>
  <c r="BL443" i="4"/>
  <c r="BL444" i="4"/>
  <c r="BL445" i="4"/>
  <c r="BL446" i="4"/>
  <c r="BL447" i="4"/>
  <c r="BL448" i="4"/>
  <c r="BL449" i="4"/>
  <c r="BL450" i="4"/>
  <c r="BL452" i="4"/>
  <c r="BL453" i="4"/>
  <c r="BL454" i="4"/>
  <c r="BL455" i="4"/>
  <c r="BL456" i="4"/>
  <c r="BL457" i="4"/>
  <c r="BL458" i="4"/>
  <c r="BL459" i="4"/>
  <c r="BL460" i="4"/>
  <c r="BL461" i="4"/>
  <c r="BL462" i="4"/>
  <c r="BL463" i="4"/>
  <c r="BL464" i="4"/>
  <c r="BL465" i="4"/>
  <c r="BL466" i="4"/>
  <c r="BL467" i="4"/>
  <c r="BL468" i="4"/>
  <c r="BL469" i="4"/>
  <c r="BL470" i="4"/>
  <c r="BL471" i="4"/>
  <c r="BL472" i="4"/>
  <c r="BL473" i="4"/>
  <c r="BL474" i="4"/>
  <c r="BL475" i="4"/>
  <c r="BL476" i="4"/>
  <c r="BL477" i="4"/>
  <c r="BL478" i="4"/>
  <c r="BL479" i="4"/>
  <c r="BL480" i="4"/>
  <c r="BL481" i="4"/>
  <c r="BL482" i="4"/>
  <c r="BL483" i="4"/>
  <c r="BL484" i="4"/>
  <c r="BL485" i="4"/>
  <c r="BL486" i="4"/>
  <c r="BL487" i="4"/>
  <c r="BL488" i="4"/>
  <c r="BL489" i="4"/>
  <c r="BL490" i="4"/>
  <c r="BL491" i="4"/>
  <c r="BL492" i="4"/>
  <c r="BL493" i="4"/>
  <c r="BL494" i="4"/>
  <c r="BL495" i="4"/>
  <c r="BL496" i="4"/>
  <c r="BL497" i="4"/>
  <c r="BL498" i="4"/>
  <c r="BL499" i="4"/>
  <c r="BL500" i="4"/>
  <c r="BL501" i="4"/>
  <c r="BL502" i="4"/>
  <c r="BL503" i="4"/>
  <c r="BL504" i="4"/>
  <c r="BL505" i="4"/>
  <c r="BL506" i="4"/>
  <c r="BL507" i="4"/>
  <c r="BL508" i="4"/>
  <c r="BL509" i="4"/>
  <c r="BL510" i="4"/>
  <c r="BL511" i="4"/>
  <c r="BL512" i="4"/>
  <c r="BL513" i="4"/>
  <c r="BL514" i="4"/>
  <c r="BL515" i="4"/>
  <c r="BL516" i="4"/>
  <c r="BL517" i="4"/>
  <c r="BL518" i="4"/>
  <c r="BL519" i="4"/>
  <c r="BL520" i="4"/>
  <c r="BL521" i="4"/>
  <c r="BL522" i="4"/>
  <c r="BL523" i="4"/>
  <c r="BL524" i="4"/>
  <c r="BL525" i="4"/>
  <c r="BL526" i="4"/>
  <c r="BL527" i="4"/>
  <c r="BL528" i="4"/>
  <c r="BL529" i="4"/>
  <c r="BL530" i="4"/>
  <c r="BL531" i="4"/>
  <c r="BL532" i="4"/>
  <c r="BL533" i="4"/>
  <c r="BL534" i="4"/>
  <c r="BL535" i="4"/>
  <c r="BL536" i="4"/>
  <c r="BL537" i="4"/>
  <c r="BL538" i="4"/>
  <c r="BL539" i="4"/>
  <c r="BL540" i="4"/>
  <c r="BL541" i="4"/>
  <c r="BL542" i="4"/>
  <c r="BL543" i="4"/>
  <c r="BL544" i="4"/>
  <c r="BL545" i="4"/>
  <c r="BL546" i="4"/>
  <c r="BL547" i="4"/>
  <c r="BL548" i="4"/>
  <c r="BL549" i="4"/>
  <c r="BL550" i="4"/>
  <c r="BL551" i="4"/>
  <c r="BL552" i="4"/>
  <c r="BL553" i="4"/>
  <c r="BL554" i="4"/>
  <c r="BL555" i="4"/>
  <c r="BL556" i="4"/>
  <c r="BL557" i="4"/>
  <c r="BL558" i="4"/>
  <c r="BL559" i="4"/>
  <c r="BL560" i="4"/>
  <c r="BL561" i="4"/>
  <c r="BL562" i="4"/>
  <c r="BL563" i="4"/>
  <c r="BL564" i="4"/>
  <c r="BL565" i="4"/>
  <c r="BL566" i="4"/>
  <c r="BL567" i="4"/>
  <c r="BL568" i="4"/>
  <c r="BL569" i="4"/>
  <c r="BL570" i="4"/>
  <c r="BL571" i="4"/>
  <c r="BL572" i="4"/>
  <c r="BL573" i="4"/>
  <c r="BL574" i="4"/>
  <c r="BL575" i="4"/>
  <c r="BL576" i="4"/>
  <c r="BL577" i="4"/>
  <c r="BL578" i="4"/>
  <c r="BL579" i="4"/>
  <c r="BL580" i="4"/>
  <c r="BL581" i="4"/>
  <c r="BL582" i="4"/>
  <c r="BL583" i="4"/>
  <c r="BL584" i="4"/>
  <c r="BL585" i="4"/>
  <c r="BL586" i="4"/>
  <c r="BL587" i="4"/>
  <c r="BL588" i="4"/>
  <c r="BL589" i="4"/>
  <c r="BL590" i="4"/>
  <c r="BL591" i="4"/>
  <c r="BL592" i="4"/>
  <c r="BL593" i="4"/>
  <c r="BL594" i="4"/>
  <c r="BL595" i="4"/>
  <c r="BL596" i="4"/>
  <c r="BL597" i="4"/>
  <c r="BL598" i="4"/>
  <c r="BL599" i="4"/>
  <c r="BL600" i="4"/>
  <c r="BL601" i="4"/>
  <c r="BL602" i="4"/>
  <c r="BL603" i="4"/>
  <c r="BL604" i="4"/>
  <c r="BL605" i="4"/>
  <c r="BL606" i="4"/>
  <c r="BL607" i="4"/>
  <c r="BL608" i="4"/>
  <c r="BL609" i="4"/>
  <c r="BL610" i="4"/>
  <c r="BL611" i="4"/>
  <c r="BL612" i="4"/>
  <c r="BL613" i="4"/>
  <c r="BL614" i="4"/>
  <c r="BL615" i="4"/>
  <c r="BL616" i="4"/>
  <c r="BL617" i="4"/>
  <c r="BL618" i="4"/>
  <c r="BL619" i="4"/>
  <c r="BL620" i="4"/>
  <c r="BL621" i="4"/>
  <c r="BL622" i="4"/>
  <c r="BL623" i="4"/>
  <c r="BL624" i="4"/>
  <c r="BL625" i="4"/>
  <c r="BL626" i="4"/>
  <c r="BL627" i="4"/>
  <c r="BL628" i="4"/>
  <c r="BL629" i="4"/>
  <c r="BL630" i="4"/>
  <c r="BL631" i="4"/>
  <c r="BL632" i="4"/>
  <c r="BL633" i="4"/>
  <c r="BL634" i="4"/>
  <c r="BL635" i="4"/>
  <c r="BL636" i="4"/>
  <c r="BL637" i="4"/>
  <c r="BL638" i="4"/>
  <c r="BL639" i="4"/>
  <c r="BL640" i="4"/>
  <c r="BL641" i="4"/>
  <c r="BL642" i="4"/>
  <c r="BL643" i="4"/>
  <c r="BL644" i="4"/>
  <c r="BL645" i="4"/>
  <c r="BL646" i="4"/>
  <c r="BL647" i="4"/>
  <c r="BL648" i="4"/>
  <c r="BL649" i="4"/>
  <c r="BL650" i="4"/>
  <c r="BL651" i="4"/>
  <c r="BL652" i="4"/>
  <c r="BL653" i="4"/>
  <c r="BL654" i="4"/>
  <c r="BL655" i="4"/>
  <c r="BL656" i="4"/>
  <c r="BL657" i="4"/>
  <c r="BL658" i="4"/>
  <c r="BL659" i="4"/>
  <c r="BL660" i="4"/>
  <c r="BL661" i="4"/>
  <c r="BL662" i="4"/>
  <c r="BL663" i="4"/>
  <c r="BL665" i="4"/>
  <c r="BL666" i="4"/>
  <c r="BL667" i="4"/>
  <c r="BL668" i="4"/>
  <c r="BL669" i="4"/>
  <c r="BL670" i="4"/>
  <c r="BL671" i="4"/>
  <c r="BL672" i="4"/>
  <c r="BL673" i="4"/>
  <c r="BL674" i="4"/>
  <c r="BL675" i="4"/>
  <c r="BL676" i="4"/>
  <c r="BL677" i="4"/>
  <c r="BL678" i="4"/>
  <c r="BL679" i="4"/>
  <c r="BL680" i="4"/>
  <c r="BL681" i="4"/>
  <c r="BL682" i="4"/>
  <c r="BL683" i="4"/>
  <c r="BL684" i="4"/>
  <c r="BL685" i="4"/>
  <c r="BL686" i="4"/>
  <c r="BL687" i="4"/>
  <c r="BL688" i="4"/>
  <c r="BL689" i="4"/>
  <c r="BL690" i="4"/>
  <c r="BL691" i="4"/>
  <c r="BL692" i="4"/>
  <c r="BL693" i="4"/>
  <c r="BL694" i="4"/>
  <c r="BL695" i="4"/>
  <c r="BL696" i="4"/>
  <c r="BL697" i="4"/>
  <c r="BL698" i="4"/>
  <c r="BL699" i="4"/>
  <c r="BL700" i="4"/>
  <c r="BL701" i="4"/>
  <c r="BL702" i="4"/>
  <c r="BL703" i="4"/>
  <c r="BL704" i="4"/>
  <c r="BL705" i="4"/>
  <c r="BL706" i="4"/>
  <c r="BL707" i="4"/>
  <c r="BL708" i="4"/>
  <c r="BL709" i="4"/>
  <c r="BL710" i="4"/>
  <c r="BL711" i="4"/>
  <c r="BL712" i="4"/>
  <c r="BL713" i="4"/>
  <c r="BL714" i="4"/>
  <c r="BL715" i="4"/>
  <c r="BL716" i="4"/>
  <c r="BL717" i="4"/>
  <c r="BL718" i="4"/>
  <c r="BL719" i="4"/>
  <c r="BL720" i="4"/>
  <c r="BL721" i="4"/>
  <c r="BL722" i="4"/>
  <c r="BL723" i="4"/>
  <c r="BL724" i="4"/>
  <c r="BL725" i="4"/>
  <c r="BL726" i="4"/>
  <c r="BL727" i="4"/>
  <c r="BL728" i="4"/>
  <c r="BL729" i="4"/>
  <c r="BL730" i="4"/>
  <c r="BL731" i="4"/>
  <c r="BL732" i="4"/>
  <c r="BL733" i="4"/>
  <c r="BL734" i="4"/>
  <c r="BL735" i="4"/>
  <c r="BL736" i="4"/>
  <c r="BL737" i="4"/>
  <c r="BL738" i="4"/>
  <c r="BL739" i="4"/>
  <c r="BL740" i="4"/>
  <c r="BL741" i="4"/>
  <c r="BL742" i="4"/>
  <c r="BL743" i="4"/>
  <c r="BL744" i="4"/>
  <c r="BL745" i="4"/>
  <c r="BL746" i="4"/>
  <c r="BL747" i="4"/>
  <c r="BL748" i="4"/>
  <c r="BL749" i="4"/>
  <c r="BL750" i="4"/>
  <c r="BL751" i="4"/>
  <c r="BL752" i="4"/>
  <c r="BL753" i="4"/>
  <c r="BL754" i="4"/>
  <c r="BL755" i="4"/>
  <c r="BL756" i="4"/>
  <c r="BL757" i="4"/>
  <c r="BL758" i="4"/>
  <c r="BL759" i="4"/>
  <c r="BL760" i="4"/>
  <c r="BL761" i="4"/>
  <c r="BL762" i="4"/>
  <c r="BL763" i="4"/>
  <c r="BL764" i="4"/>
  <c r="BL765" i="4"/>
  <c r="BL766" i="4"/>
  <c r="BL767" i="4"/>
  <c r="BL768" i="4"/>
  <c r="BL769" i="4"/>
  <c r="BL770" i="4"/>
  <c r="BL771" i="4"/>
  <c r="BL772" i="4"/>
  <c r="BL773" i="4"/>
  <c r="BL774" i="4"/>
  <c r="BL775" i="4"/>
  <c r="BL776" i="4"/>
  <c r="BL777" i="4"/>
  <c r="BL778" i="4"/>
  <c r="BL779" i="4"/>
  <c r="BL780" i="4"/>
  <c r="BL781" i="4"/>
  <c r="BL782" i="4"/>
  <c r="BL783" i="4"/>
  <c r="BL784" i="4"/>
  <c r="BL785" i="4"/>
  <c r="BL786" i="4"/>
  <c r="BL787" i="4"/>
  <c r="BL788" i="4"/>
  <c r="BL789" i="4"/>
  <c r="BL790" i="4"/>
  <c r="BL791" i="4"/>
  <c r="BL792" i="4"/>
  <c r="BL793" i="4"/>
  <c r="BL794" i="4"/>
  <c r="BL795" i="4"/>
  <c r="BL796" i="4"/>
  <c r="BL797" i="4"/>
  <c r="BL798" i="4"/>
  <c r="BL799" i="4"/>
  <c r="BL800" i="4"/>
  <c r="BL801" i="4"/>
  <c r="BL802" i="4"/>
  <c r="BL803" i="4"/>
  <c r="BL804" i="4"/>
  <c r="BL805" i="4"/>
  <c r="BL806" i="4"/>
  <c r="BL807" i="4"/>
  <c r="BL808" i="4"/>
  <c r="BL809" i="4"/>
  <c r="BL810" i="4"/>
  <c r="BL811" i="4"/>
  <c r="BL812" i="4"/>
  <c r="BL813" i="4"/>
  <c r="BL814" i="4"/>
  <c r="BL815" i="4"/>
  <c r="BL816" i="4"/>
  <c r="BL817" i="4"/>
  <c r="BL818" i="4"/>
  <c r="BL819" i="4"/>
  <c r="BL820" i="4"/>
  <c r="BL821" i="4"/>
  <c r="BL822" i="4"/>
  <c r="BL823" i="4"/>
  <c r="BL824" i="4"/>
  <c r="BL825" i="4"/>
  <c r="BL826" i="4"/>
  <c r="BL827" i="4"/>
  <c r="BL828" i="4"/>
  <c r="BL829" i="4"/>
  <c r="BL830" i="4"/>
  <c r="BL831" i="4"/>
  <c r="BL832" i="4"/>
  <c r="BL833" i="4"/>
  <c r="BL834" i="4"/>
  <c r="BL835" i="4"/>
  <c r="BL836" i="4"/>
  <c r="BL837" i="4"/>
  <c r="BL838" i="4"/>
  <c r="BL839" i="4"/>
  <c r="BL840" i="4"/>
  <c r="BL841" i="4"/>
  <c r="BL842" i="4"/>
  <c r="BL843" i="4"/>
  <c r="BL844" i="4"/>
  <c r="BL845" i="4"/>
  <c r="BL846" i="4"/>
  <c r="BL847" i="4"/>
  <c r="BL848" i="4"/>
  <c r="BL849" i="4"/>
  <c r="BL850" i="4"/>
  <c r="BL851" i="4"/>
  <c r="BL852" i="4"/>
  <c r="BL853" i="4"/>
  <c r="BL854" i="4"/>
  <c r="BL855" i="4"/>
  <c r="BL856" i="4"/>
  <c r="BL857" i="4"/>
  <c r="BL858" i="4"/>
  <c r="BL859" i="4"/>
  <c r="BL860" i="4"/>
  <c r="BL861" i="4"/>
  <c r="BL862" i="4"/>
  <c r="BL863" i="4"/>
  <c r="BL864" i="4"/>
  <c r="BL865" i="4"/>
  <c r="BL866" i="4"/>
  <c r="BL867" i="4"/>
  <c r="BL868" i="4"/>
  <c r="BL869" i="4"/>
  <c r="BL870" i="4"/>
  <c r="BL871" i="4"/>
  <c r="BL872" i="4"/>
  <c r="BL873" i="4"/>
  <c r="BL874" i="4"/>
  <c r="BL875" i="4"/>
  <c r="BL876" i="4"/>
  <c r="BL877" i="4"/>
  <c r="BL878" i="4"/>
  <c r="BL879" i="4"/>
  <c r="BL880" i="4"/>
  <c r="BL881" i="4"/>
  <c r="BL882" i="4"/>
  <c r="BL883" i="4"/>
  <c r="BL884" i="4"/>
  <c r="BL885" i="4"/>
  <c r="BL886" i="4"/>
  <c r="BL887" i="4"/>
  <c r="BL888" i="4"/>
  <c r="BL889" i="4"/>
  <c r="BL890" i="4"/>
  <c r="BL891" i="4"/>
  <c r="BL892" i="4"/>
  <c r="BL893" i="4"/>
  <c r="BL894" i="4"/>
  <c r="BL895" i="4"/>
  <c r="BL896" i="4"/>
  <c r="BL897" i="4"/>
  <c r="BL898" i="4"/>
  <c r="BL899" i="4"/>
  <c r="BL900" i="4"/>
  <c r="BL901" i="4"/>
  <c r="BL902" i="4"/>
  <c r="BL903" i="4"/>
  <c r="BL904" i="4"/>
  <c r="BL905" i="4"/>
  <c r="BL906" i="4"/>
  <c r="BL907" i="4"/>
  <c r="BL908" i="4"/>
  <c r="BL909" i="4"/>
  <c r="BL910" i="4"/>
  <c r="BL911" i="4"/>
  <c r="BL912" i="4"/>
  <c r="BL913" i="4"/>
  <c r="BL914" i="4"/>
  <c r="BL915" i="4"/>
  <c r="BL916" i="4"/>
  <c r="BL917" i="4"/>
  <c r="BL918" i="4"/>
  <c r="BL919" i="4"/>
  <c r="BL920" i="4"/>
  <c r="BL921" i="4"/>
  <c r="BL922" i="4"/>
  <c r="BL923" i="4"/>
  <c r="BL924" i="4"/>
  <c r="BL925" i="4"/>
  <c r="BL926" i="4"/>
  <c r="BL927" i="4"/>
  <c r="BL928" i="4"/>
  <c r="BL929" i="4"/>
  <c r="BL930" i="4"/>
  <c r="BL931" i="4"/>
  <c r="BL932" i="4"/>
  <c r="BL933" i="4"/>
  <c r="BL934" i="4"/>
  <c r="BL935" i="4"/>
  <c r="BL936" i="4"/>
  <c r="BL937" i="4"/>
  <c r="BL938" i="4"/>
  <c r="BL939" i="4"/>
  <c r="BL940" i="4"/>
  <c r="BL941" i="4"/>
  <c r="BL942" i="4"/>
  <c r="BL943" i="4"/>
  <c r="BL944" i="4"/>
  <c r="BL945" i="4"/>
  <c r="BL946" i="4"/>
  <c r="BL947" i="4"/>
  <c r="BL948" i="4"/>
  <c r="BL949" i="4"/>
  <c r="BL950" i="4"/>
  <c r="BL951" i="4"/>
  <c r="BL952" i="4"/>
  <c r="BL953" i="4"/>
  <c r="BL954" i="4"/>
  <c r="BL955" i="4"/>
  <c r="BL956" i="4"/>
  <c r="BL957" i="4"/>
  <c r="BL958" i="4"/>
  <c r="BL959" i="4"/>
  <c r="BL960" i="4"/>
  <c r="BL961" i="4"/>
  <c r="BL962" i="4"/>
  <c r="BL963" i="4"/>
  <c r="BL964" i="4"/>
  <c r="BL965" i="4"/>
  <c r="BL966" i="4"/>
  <c r="BL967" i="4"/>
  <c r="BL968" i="4"/>
  <c r="BL969" i="4"/>
  <c r="BL970" i="4"/>
  <c r="BL971" i="4"/>
  <c r="BL972" i="4"/>
  <c r="BL973" i="4"/>
  <c r="BL974" i="4"/>
  <c r="BL975" i="4"/>
  <c r="BL976" i="4"/>
  <c r="BL977" i="4"/>
  <c r="BL978" i="4"/>
  <c r="BL979" i="4"/>
  <c r="BL980" i="4"/>
  <c r="BL981" i="4"/>
  <c r="BL982" i="4"/>
  <c r="BL983" i="4"/>
  <c r="BL984" i="4"/>
  <c r="BL985" i="4"/>
  <c r="BL986" i="4"/>
  <c r="BL987" i="4"/>
  <c r="BL988" i="4"/>
  <c r="BL989" i="4"/>
  <c r="BL990" i="4"/>
  <c r="BL991" i="4"/>
  <c r="BL992" i="4"/>
  <c r="BL993" i="4"/>
  <c r="BL994" i="4"/>
  <c r="BL995" i="4"/>
  <c r="BL996" i="4"/>
  <c r="BL997" i="4"/>
  <c r="BL998" i="4"/>
  <c r="BL999" i="4"/>
  <c r="BL1000" i="4"/>
  <c r="BL1001" i="4"/>
  <c r="BL1002" i="4"/>
  <c r="BL1003" i="4"/>
  <c r="BL1004" i="4"/>
  <c r="BL1005" i="4"/>
  <c r="BL1006" i="4"/>
  <c r="BL1007" i="4"/>
  <c r="BL1008" i="4"/>
  <c r="BL1009" i="4"/>
  <c r="BL1010" i="4"/>
  <c r="BL1011" i="4"/>
  <c r="BL1012" i="4"/>
  <c r="BL1013" i="4"/>
  <c r="BL1014" i="4"/>
  <c r="BL1015" i="4"/>
  <c r="BL1016" i="4"/>
  <c r="BL1017" i="4"/>
  <c r="BL1018" i="4"/>
  <c r="BL1019" i="4"/>
  <c r="BL1020" i="4"/>
  <c r="BL1021" i="4"/>
  <c r="BL1022" i="4"/>
  <c r="BL1023" i="4"/>
  <c r="BL1024" i="4"/>
  <c r="BL1025" i="4"/>
  <c r="BL1026" i="4"/>
  <c r="BL1027" i="4"/>
  <c r="BL1028" i="4"/>
  <c r="BL1029" i="4"/>
  <c r="BL1030" i="4"/>
  <c r="BL1031" i="4"/>
  <c r="BL1032" i="4"/>
  <c r="BL1033" i="4"/>
  <c r="BL1034" i="4"/>
  <c r="BL1035" i="4"/>
  <c r="BL1036" i="4"/>
  <c r="BL1037" i="4"/>
  <c r="BL1038" i="4"/>
  <c r="BL1039" i="4"/>
  <c r="BL1040" i="4"/>
  <c r="BL1041" i="4"/>
  <c r="BL1042" i="4"/>
  <c r="BL1043" i="4"/>
  <c r="BL1044" i="4"/>
  <c r="BL1045" i="4"/>
  <c r="BL1046" i="4"/>
  <c r="BL1047" i="4"/>
  <c r="BL1048" i="4"/>
  <c r="BL1049" i="4"/>
  <c r="BL1050" i="4"/>
  <c r="BL1051" i="4"/>
  <c r="BL1052" i="4"/>
  <c r="BL1053" i="4"/>
  <c r="BL1054" i="4"/>
  <c r="BL1055" i="4"/>
  <c r="BL1056" i="4"/>
  <c r="BL1057" i="4"/>
  <c r="BL1058" i="4"/>
  <c r="BL1059" i="4"/>
  <c r="BL1060" i="4"/>
  <c r="BL1061" i="4"/>
  <c r="BL1062" i="4"/>
  <c r="BL1063" i="4"/>
  <c r="BL1064" i="4"/>
  <c r="BL1065" i="4"/>
  <c r="BL1066" i="4"/>
  <c r="BL1067" i="4"/>
  <c r="BL1068" i="4"/>
  <c r="BL1069" i="4"/>
  <c r="BL1070" i="4"/>
  <c r="BL1071" i="4"/>
  <c r="BL1072" i="4"/>
  <c r="BL1073" i="4"/>
  <c r="BL1074" i="4"/>
  <c r="BL1075" i="4"/>
  <c r="BL1076" i="4"/>
  <c r="BL1077" i="4"/>
  <c r="BL1078" i="4"/>
  <c r="BL1079" i="4"/>
  <c r="BL1080" i="4"/>
  <c r="BL1081" i="4"/>
  <c r="BL1082" i="4"/>
  <c r="BL1083" i="4"/>
  <c r="BL1084" i="4"/>
  <c r="BL1085" i="4"/>
  <c r="BL1086" i="4"/>
  <c r="BL1087" i="4"/>
  <c r="BL1088" i="4"/>
  <c r="BL1089" i="4"/>
  <c r="BL1090" i="4"/>
  <c r="BL1091" i="4"/>
  <c r="BL1092" i="4"/>
  <c r="BL1093" i="4"/>
  <c r="BL1094" i="4"/>
  <c r="BL1095" i="4"/>
  <c r="BL1096" i="4"/>
  <c r="BL1097" i="4"/>
  <c r="BL1098" i="4"/>
  <c r="BL1099" i="4"/>
  <c r="BL1100" i="4"/>
  <c r="BL1101" i="4"/>
  <c r="BL1102" i="4"/>
  <c r="BL1103" i="4"/>
  <c r="BL1104" i="4"/>
  <c r="BL1105" i="4"/>
  <c r="BL1106" i="4"/>
  <c r="BL1107" i="4"/>
  <c r="BL1108" i="4"/>
  <c r="BL1109" i="4"/>
  <c r="BL1110" i="4"/>
  <c r="BL1111" i="4"/>
  <c r="BL1112" i="4"/>
  <c r="BL1113" i="4"/>
  <c r="BL1114" i="4"/>
  <c r="BL1115" i="4"/>
  <c r="BL1116" i="4"/>
  <c r="BL1117" i="4"/>
  <c r="BL1118" i="4"/>
  <c r="BL1119" i="4"/>
  <c r="BL1120" i="4"/>
  <c r="BL1121" i="4"/>
  <c r="BL1122" i="4"/>
  <c r="BL1123" i="4"/>
  <c r="BL1124" i="4"/>
  <c r="BL1125" i="4"/>
  <c r="BL1126" i="4"/>
  <c r="BL1127" i="4"/>
  <c r="BL1129" i="4"/>
  <c r="BL1130" i="4"/>
  <c r="BL1131" i="4"/>
  <c r="BL1132" i="4"/>
  <c r="BL1133" i="4"/>
  <c r="BL1134" i="4"/>
  <c r="BL1135" i="4"/>
  <c r="BL1136" i="4"/>
  <c r="BL1137" i="4"/>
  <c r="BL1138" i="4"/>
  <c r="BL1139" i="4"/>
  <c r="BL1140" i="4"/>
  <c r="BL1141" i="4"/>
  <c r="BL1143" i="4"/>
  <c r="BL1144" i="4"/>
  <c r="BL1145" i="4"/>
  <c r="BL1146" i="4"/>
  <c r="BL1148" i="4"/>
  <c r="BL1149" i="4"/>
  <c r="BL1150" i="4"/>
  <c r="BL1151" i="4"/>
  <c r="BL1152" i="4"/>
  <c r="BL1153" i="4"/>
  <c r="BL1154" i="4"/>
  <c r="BL1155" i="4"/>
  <c r="BL1156" i="4"/>
  <c r="BL1157" i="4"/>
  <c r="BL1158" i="4"/>
  <c r="BL1159" i="4"/>
  <c r="BL1160" i="4"/>
  <c r="BL1161" i="4"/>
  <c r="BL1162" i="4"/>
  <c r="BL1163" i="4"/>
  <c r="BL1164" i="4"/>
  <c r="BL1165" i="4"/>
  <c r="BL1166" i="4"/>
  <c r="BL1167" i="4"/>
  <c r="BL1168" i="4"/>
  <c r="BL1169" i="4"/>
  <c r="BL1170" i="4"/>
  <c r="BL1171" i="4"/>
  <c r="BL1172" i="4"/>
  <c r="BL1173" i="4"/>
  <c r="BL1174" i="4"/>
  <c r="BL1175" i="4"/>
  <c r="BL1176" i="4"/>
  <c r="BL1177" i="4"/>
  <c r="BL1178" i="4"/>
  <c r="BL1179" i="4"/>
  <c r="BL1180" i="4"/>
  <c r="BL1181" i="4"/>
  <c r="BL1183" i="4"/>
  <c r="BL1184" i="4"/>
  <c r="BL1185" i="4"/>
  <c r="BL1186" i="4"/>
  <c r="BL1187" i="4"/>
  <c r="BL1188" i="4"/>
  <c r="BL1189" i="4"/>
  <c r="BL1190" i="4"/>
  <c r="BL1191" i="4"/>
  <c r="BL1192" i="4"/>
  <c r="BL1193" i="4"/>
  <c r="BL1194" i="4"/>
  <c r="BL1195" i="4"/>
  <c r="BL1196" i="4"/>
  <c r="BL1197" i="4"/>
  <c r="BL1198" i="4"/>
  <c r="BL1199" i="4"/>
  <c r="BL1202" i="4"/>
  <c r="BL1203" i="4"/>
  <c r="BL1204" i="4"/>
  <c r="BL1205" i="4"/>
  <c r="BL1206" i="4"/>
  <c r="BL1207" i="4"/>
  <c r="BL1208" i="4"/>
  <c r="BL1209" i="4"/>
  <c r="BL1210" i="4"/>
  <c r="BL1211" i="4"/>
  <c r="BL1212" i="4"/>
  <c r="BL1213" i="4"/>
  <c r="BL1214" i="4"/>
  <c r="BL1215" i="4"/>
  <c r="BL1216" i="4"/>
  <c r="BL1217" i="4"/>
  <c r="BL1218" i="4"/>
  <c r="BL1219" i="4"/>
  <c r="BL1220" i="4"/>
  <c r="BL1221" i="4"/>
  <c r="BL1222" i="4"/>
  <c r="BL1223" i="4"/>
  <c r="BL1224" i="4"/>
  <c r="BL1225" i="4"/>
  <c r="BL1226" i="4"/>
  <c r="BL1227" i="4"/>
  <c r="BL1228" i="4"/>
  <c r="BL1229" i="4"/>
  <c r="BL1230" i="4"/>
  <c r="BL1231" i="4"/>
  <c r="BL1232" i="4"/>
  <c r="BL1233" i="4"/>
  <c r="BL1234" i="4"/>
  <c r="BL1235" i="4"/>
  <c r="BL1236" i="4"/>
  <c r="BL1237" i="4"/>
  <c r="BL1238" i="4"/>
  <c r="BL1239" i="4"/>
  <c r="BL1240" i="4"/>
  <c r="BL1241" i="4"/>
  <c r="BL1242" i="4"/>
  <c r="BL1243" i="4"/>
  <c r="BL1244" i="4"/>
  <c r="BL1245" i="4"/>
  <c r="BL1246" i="4"/>
  <c r="BL1247" i="4"/>
  <c r="BL1248" i="4"/>
  <c r="BL1249" i="4"/>
  <c r="BL1250" i="4"/>
  <c r="BL1251" i="4"/>
  <c r="BL1252" i="4"/>
  <c r="BL1253" i="4"/>
  <c r="BL1254" i="4"/>
  <c r="BL1255" i="4"/>
  <c r="BL1256" i="4"/>
  <c r="BL1257" i="4"/>
  <c r="BL1258" i="4"/>
  <c r="BL1259" i="4"/>
  <c r="BL1260" i="4"/>
  <c r="BL1261" i="4"/>
  <c r="BL1262" i="4"/>
  <c r="BL1263" i="4"/>
  <c r="BL1264" i="4"/>
  <c r="BL1265" i="4"/>
  <c r="BL1266" i="4"/>
  <c r="BL1267" i="4"/>
  <c r="BL1268" i="4"/>
  <c r="BL1269" i="4"/>
  <c r="BL1270" i="4"/>
  <c r="BL1271" i="4"/>
  <c r="BL1272" i="4"/>
  <c r="BL1273" i="4"/>
  <c r="BL1274" i="4"/>
  <c r="BL1275" i="4"/>
  <c r="BL1276" i="4"/>
  <c r="BL1277" i="4"/>
  <c r="BL1278" i="4"/>
  <c r="BL1279" i="4"/>
  <c r="BL1280" i="4"/>
  <c r="BL1281" i="4"/>
  <c r="BL1282" i="4"/>
  <c r="BL1283" i="4"/>
  <c r="BL1284" i="4"/>
  <c r="BL1285" i="4"/>
  <c r="BL1286" i="4"/>
  <c r="BL1287" i="4"/>
  <c r="BL1288" i="4"/>
  <c r="BL1289" i="4"/>
  <c r="BL1290" i="4"/>
  <c r="BL1291" i="4"/>
  <c r="BL1292" i="4"/>
  <c r="BL1293" i="4"/>
  <c r="BL1294" i="4"/>
  <c r="BJ2" i="4"/>
  <c r="BJ3" i="4"/>
  <c r="BJ4" i="4"/>
  <c r="BJ5" i="4"/>
  <c r="BJ6" i="4"/>
  <c r="BJ7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83" i="4"/>
  <c r="BJ84" i="4"/>
  <c r="BJ85" i="4"/>
  <c r="BJ86" i="4"/>
  <c r="BJ87" i="4"/>
  <c r="BJ88" i="4"/>
  <c r="BJ89" i="4"/>
  <c r="BJ90" i="4"/>
  <c r="BJ91" i="4"/>
  <c r="BJ92" i="4"/>
  <c r="BJ93" i="4"/>
  <c r="BJ94" i="4"/>
  <c r="BJ95" i="4"/>
  <c r="BJ96" i="4"/>
  <c r="BJ97" i="4"/>
  <c r="BJ98" i="4"/>
  <c r="BJ99" i="4"/>
  <c r="BJ100" i="4"/>
  <c r="BJ101" i="4"/>
  <c r="BJ102" i="4"/>
  <c r="BJ103" i="4"/>
  <c r="BJ104" i="4"/>
  <c r="BJ105" i="4"/>
  <c r="BJ106" i="4"/>
  <c r="BJ107" i="4"/>
  <c r="BJ108" i="4"/>
  <c r="BJ109" i="4"/>
  <c r="BJ110" i="4"/>
  <c r="BJ111" i="4"/>
  <c r="BJ112" i="4"/>
  <c r="BJ113" i="4"/>
  <c r="BJ114" i="4"/>
  <c r="BJ115" i="4"/>
  <c r="BJ116" i="4"/>
  <c r="BJ117" i="4"/>
  <c r="BJ118" i="4"/>
  <c r="BJ119" i="4"/>
  <c r="BJ120" i="4"/>
  <c r="BJ121" i="4"/>
  <c r="BJ122" i="4"/>
  <c r="BJ123" i="4"/>
  <c r="BJ124" i="4"/>
  <c r="BJ125" i="4"/>
  <c r="BJ126" i="4"/>
  <c r="BJ127" i="4"/>
  <c r="BJ128" i="4"/>
  <c r="BJ129" i="4"/>
  <c r="BJ130" i="4"/>
  <c r="BJ131" i="4"/>
  <c r="BJ132" i="4"/>
  <c r="BJ133" i="4"/>
  <c r="BJ134" i="4"/>
  <c r="BJ135" i="4"/>
  <c r="BJ136" i="4"/>
  <c r="BJ137" i="4"/>
  <c r="BJ138" i="4"/>
  <c r="BJ139" i="4"/>
  <c r="BJ140" i="4"/>
  <c r="BJ141" i="4"/>
  <c r="BJ142" i="4"/>
  <c r="BJ143" i="4"/>
  <c r="BJ144" i="4"/>
  <c r="BJ145" i="4"/>
  <c r="BJ146" i="4"/>
  <c r="BJ147" i="4"/>
  <c r="BJ148" i="4"/>
  <c r="BJ149" i="4"/>
  <c r="BJ150" i="4"/>
  <c r="BJ151" i="4"/>
  <c r="BJ152" i="4"/>
  <c r="BJ153" i="4"/>
  <c r="BJ154" i="4"/>
  <c r="BJ155" i="4"/>
  <c r="BJ156" i="4"/>
  <c r="BJ157" i="4"/>
  <c r="BJ158" i="4"/>
  <c r="BJ159" i="4"/>
  <c r="BJ160" i="4"/>
  <c r="BJ161" i="4"/>
  <c r="BJ162" i="4"/>
  <c r="BJ163" i="4"/>
  <c r="BJ164" i="4"/>
  <c r="BJ165" i="4"/>
  <c r="BJ166" i="4"/>
  <c r="BJ167" i="4"/>
  <c r="BJ168" i="4"/>
  <c r="BJ169" i="4"/>
  <c r="BJ170" i="4"/>
  <c r="BJ171" i="4"/>
  <c r="BJ172" i="4"/>
  <c r="BJ173" i="4"/>
  <c r="BJ174" i="4"/>
  <c r="BJ175" i="4"/>
  <c r="BJ176" i="4"/>
  <c r="BJ177" i="4"/>
  <c r="BJ178" i="4"/>
  <c r="BJ179" i="4"/>
  <c r="BJ180" i="4"/>
  <c r="BJ181" i="4"/>
  <c r="BJ182" i="4"/>
  <c r="BJ183" i="4"/>
  <c r="BJ184" i="4"/>
  <c r="BJ185" i="4"/>
  <c r="BJ186" i="4"/>
  <c r="BJ187" i="4"/>
  <c r="BJ188" i="4"/>
  <c r="BJ189" i="4"/>
  <c r="BJ190" i="4"/>
  <c r="BJ191" i="4"/>
  <c r="BJ192" i="4"/>
  <c r="BJ193" i="4"/>
  <c r="BJ194" i="4"/>
  <c r="BJ195" i="4"/>
  <c r="BJ196" i="4"/>
  <c r="BJ197" i="4"/>
  <c r="BJ198" i="4"/>
  <c r="BJ199" i="4"/>
  <c r="BJ200" i="4"/>
  <c r="BJ201" i="4"/>
  <c r="BJ202" i="4"/>
  <c r="BJ203" i="4"/>
  <c r="BJ204" i="4"/>
  <c r="BJ205" i="4"/>
  <c r="BJ206" i="4"/>
  <c r="BJ207" i="4"/>
  <c r="BJ208" i="4"/>
  <c r="BJ209" i="4"/>
  <c r="BJ210" i="4"/>
  <c r="BJ211" i="4"/>
  <c r="BJ212" i="4"/>
  <c r="BJ213" i="4"/>
  <c r="BJ214" i="4"/>
  <c r="BJ215" i="4"/>
  <c r="BJ216" i="4"/>
  <c r="BJ217" i="4"/>
  <c r="BJ218" i="4"/>
  <c r="BJ219" i="4"/>
  <c r="BJ220" i="4"/>
  <c r="BJ221" i="4"/>
  <c r="BJ222" i="4"/>
  <c r="BJ223" i="4"/>
  <c r="BJ224" i="4"/>
  <c r="BJ225" i="4"/>
  <c r="BJ226" i="4"/>
  <c r="BJ227" i="4"/>
  <c r="BJ228" i="4"/>
  <c r="BJ229" i="4"/>
  <c r="BJ230" i="4"/>
  <c r="BJ231" i="4"/>
  <c r="BJ232" i="4"/>
  <c r="BJ233" i="4"/>
  <c r="BJ234" i="4"/>
  <c r="BJ235" i="4"/>
  <c r="BJ236" i="4"/>
  <c r="BJ237" i="4"/>
  <c r="BJ238" i="4"/>
  <c r="BJ239" i="4"/>
  <c r="BJ240" i="4"/>
  <c r="BJ241" i="4"/>
  <c r="BJ242" i="4"/>
  <c r="BJ243" i="4"/>
  <c r="BJ244" i="4"/>
  <c r="BJ245" i="4"/>
  <c r="BJ246" i="4"/>
  <c r="BJ247" i="4"/>
  <c r="BJ248" i="4"/>
  <c r="BJ249" i="4"/>
  <c r="BJ250" i="4"/>
  <c r="BJ251" i="4"/>
  <c r="BJ252" i="4"/>
  <c r="BJ253" i="4"/>
  <c r="BJ254" i="4"/>
  <c r="BJ255" i="4"/>
  <c r="BJ256" i="4"/>
  <c r="BJ257" i="4"/>
  <c r="BJ258" i="4"/>
  <c r="BJ259" i="4"/>
  <c r="BJ260" i="4"/>
  <c r="BJ261" i="4"/>
  <c r="BJ262" i="4"/>
  <c r="BJ263" i="4"/>
  <c r="BJ264" i="4"/>
  <c r="BJ265" i="4"/>
  <c r="BJ266" i="4"/>
  <c r="BJ267" i="4"/>
  <c r="BJ268" i="4"/>
  <c r="BJ269" i="4"/>
  <c r="BJ270" i="4"/>
  <c r="BJ271" i="4"/>
  <c r="BJ272" i="4"/>
  <c r="BJ273" i="4"/>
  <c r="BJ274" i="4"/>
  <c r="BJ275" i="4"/>
  <c r="BJ276" i="4"/>
  <c r="BJ277" i="4"/>
  <c r="BJ278" i="4"/>
  <c r="BJ279" i="4"/>
  <c r="BJ280" i="4"/>
  <c r="BJ281" i="4"/>
  <c r="BJ282" i="4"/>
  <c r="BJ283" i="4"/>
  <c r="BJ284" i="4"/>
  <c r="BJ285" i="4"/>
  <c r="BJ286" i="4"/>
  <c r="BJ287" i="4"/>
  <c r="BJ288" i="4"/>
  <c r="BJ289" i="4"/>
  <c r="BJ290" i="4"/>
  <c r="BJ291" i="4"/>
  <c r="BJ292" i="4"/>
  <c r="BJ293" i="4"/>
  <c r="BJ294" i="4"/>
  <c r="BJ295" i="4"/>
  <c r="BJ296" i="4"/>
  <c r="BJ297" i="4"/>
  <c r="BJ298" i="4"/>
  <c r="BJ299" i="4"/>
  <c r="BJ300" i="4"/>
  <c r="BJ301" i="4"/>
  <c r="BJ302" i="4"/>
  <c r="BJ303" i="4"/>
  <c r="BJ304" i="4"/>
  <c r="BJ305" i="4"/>
  <c r="BJ306" i="4"/>
  <c r="BJ307" i="4"/>
  <c r="BJ308" i="4"/>
  <c r="BJ309" i="4"/>
  <c r="BJ310" i="4"/>
  <c r="BJ311" i="4"/>
  <c r="BJ312" i="4"/>
  <c r="BJ313" i="4"/>
  <c r="BJ314" i="4"/>
  <c r="BJ315" i="4"/>
  <c r="BJ316" i="4"/>
  <c r="BJ317" i="4"/>
  <c r="BJ318" i="4"/>
  <c r="BJ319" i="4"/>
  <c r="BJ320" i="4"/>
  <c r="BJ321" i="4"/>
  <c r="BJ322" i="4"/>
  <c r="BJ323" i="4"/>
  <c r="BJ324" i="4"/>
  <c r="BJ325" i="4"/>
  <c r="BJ326" i="4"/>
  <c r="BJ327" i="4"/>
  <c r="BJ328" i="4"/>
  <c r="BJ329" i="4"/>
  <c r="BJ330" i="4"/>
  <c r="BJ331" i="4"/>
  <c r="BJ332" i="4"/>
  <c r="BJ333" i="4"/>
  <c r="BJ334" i="4"/>
  <c r="BJ335" i="4"/>
  <c r="BJ336" i="4"/>
  <c r="BJ337" i="4"/>
  <c r="BJ338" i="4"/>
  <c r="BJ339" i="4"/>
  <c r="BJ340" i="4"/>
  <c r="BJ341" i="4"/>
  <c r="BJ342" i="4"/>
  <c r="BJ343" i="4"/>
  <c r="BJ344" i="4"/>
  <c r="BJ345" i="4"/>
  <c r="BJ346" i="4"/>
  <c r="BJ347" i="4"/>
  <c r="BJ348" i="4"/>
  <c r="BJ349" i="4"/>
  <c r="BJ350" i="4"/>
  <c r="BJ351" i="4"/>
  <c r="BJ352" i="4"/>
  <c r="BJ353" i="4"/>
  <c r="BJ354" i="4"/>
  <c r="BJ355" i="4"/>
  <c r="BJ356" i="4"/>
  <c r="BJ357" i="4"/>
  <c r="BJ358" i="4"/>
  <c r="BJ359" i="4"/>
  <c r="BJ360" i="4"/>
  <c r="BJ361" i="4"/>
  <c r="BJ362" i="4"/>
  <c r="BJ363" i="4"/>
  <c r="BJ364" i="4"/>
  <c r="BJ365" i="4"/>
  <c r="BJ366" i="4"/>
  <c r="BJ367" i="4"/>
  <c r="BJ368" i="4"/>
  <c r="BJ369" i="4"/>
  <c r="BJ370" i="4"/>
  <c r="BJ371" i="4"/>
  <c r="BJ372" i="4"/>
  <c r="BJ373" i="4"/>
  <c r="BJ374" i="4"/>
  <c r="BJ375" i="4"/>
  <c r="BJ376" i="4"/>
  <c r="BJ377" i="4"/>
  <c r="BJ378" i="4"/>
  <c r="BJ379" i="4"/>
  <c r="BJ380" i="4"/>
  <c r="BJ381" i="4"/>
  <c r="BJ382" i="4"/>
  <c r="BJ383" i="4"/>
  <c r="BJ384" i="4"/>
  <c r="BJ385" i="4"/>
  <c r="BJ386" i="4"/>
  <c r="BJ387" i="4"/>
  <c r="BJ388" i="4"/>
  <c r="BJ389" i="4"/>
  <c r="BJ390" i="4"/>
  <c r="BJ391" i="4"/>
  <c r="BJ392" i="4"/>
  <c r="BJ393" i="4"/>
  <c r="BJ394" i="4"/>
  <c r="BJ395" i="4"/>
  <c r="BJ396" i="4"/>
  <c r="BJ397" i="4"/>
  <c r="BJ398" i="4"/>
  <c r="BJ399" i="4"/>
  <c r="BJ400" i="4"/>
  <c r="BJ401" i="4"/>
  <c r="BJ402" i="4"/>
  <c r="BJ403" i="4"/>
  <c r="BJ404" i="4"/>
  <c r="BJ405" i="4"/>
  <c r="BJ406" i="4"/>
  <c r="BJ407" i="4"/>
  <c r="BJ408" i="4"/>
  <c r="BJ409" i="4"/>
  <c r="BJ410" i="4"/>
  <c r="BJ411" i="4"/>
  <c r="BJ412" i="4"/>
  <c r="BJ413" i="4"/>
  <c r="BJ414" i="4"/>
  <c r="BJ415" i="4"/>
  <c r="BJ416" i="4"/>
  <c r="BJ417" i="4"/>
  <c r="BJ418" i="4"/>
  <c r="BJ419" i="4"/>
  <c r="BJ420" i="4"/>
  <c r="BJ421" i="4"/>
  <c r="BJ422" i="4"/>
  <c r="BJ423" i="4"/>
  <c r="BJ424" i="4"/>
  <c r="BJ425" i="4"/>
  <c r="BJ426" i="4"/>
  <c r="BJ427" i="4"/>
  <c r="BJ428" i="4"/>
  <c r="BJ429" i="4"/>
  <c r="BJ430" i="4"/>
  <c r="BJ431" i="4"/>
  <c r="BJ432" i="4"/>
  <c r="BJ433" i="4"/>
  <c r="BJ434" i="4"/>
  <c r="BJ435" i="4"/>
  <c r="BJ436" i="4"/>
  <c r="BJ437" i="4"/>
  <c r="BJ438" i="4"/>
  <c r="BJ439" i="4"/>
  <c r="BJ440" i="4"/>
  <c r="BJ441" i="4"/>
  <c r="BJ442" i="4"/>
  <c r="BJ443" i="4"/>
  <c r="BJ444" i="4"/>
  <c r="BJ445" i="4"/>
  <c r="BJ446" i="4"/>
  <c r="BJ447" i="4"/>
  <c r="BJ448" i="4"/>
  <c r="BJ449" i="4"/>
  <c r="BJ450" i="4"/>
  <c r="BJ451" i="4"/>
  <c r="BJ452" i="4"/>
  <c r="BJ453" i="4"/>
  <c r="BJ454" i="4"/>
  <c r="BJ455" i="4"/>
  <c r="BJ456" i="4"/>
  <c r="BJ457" i="4"/>
  <c r="BJ458" i="4"/>
  <c r="BJ459" i="4"/>
  <c r="BJ460" i="4"/>
  <c r="BJ461" i="4"/>
  <c r="BJ462" i="4"/>
  <c r="BJ463" i="4"/>
  <c r="BJ464" i="4"/>
  <c r="BJ465" i="4"/>
  <c r="BJ466" i="4"/>
  <c r="BJ467" i="4"/>
  <c r="BJ468" i="4"/>
  <c r="BJ469" i="4"/>
  <c r="BJ470" i="4"/>
  <c r="BJ471" i="4"/>
  <c r="BJ472" i="4"/>
  <c r="BJ473" i="4"/>
  <c r="BJ474" i="4"/>
  <c r="BJ475" i="4"/>
  <c r="BJ476" i="4"/>
  <c r="BJ477" i="4"/>
  <c r="BJ478" i="4"/>
  <c r="BJ479" i="4"/>
  <c r="BJ480" i="4"/>
  <c r="BJ481" i="4"/>
  <c r="BJ482" i="4"/>
  <c r="BJ483" i="4"/>
  <c r="BJ484" i="4"/>
  <c r="BJ485" i="4"/>
  <c r="BJ486" i="4"/>
  <c r="BJ487" i="4"/>
  <c r="BJ488" i="4"/>
  <c r="BJ489" i="4"/>
  <c r="BJ490" i="4"/>
  <c r="BJ491" i="4"/>
  <c r="BJ492" i="4"/>
  <c r="BJ493" i="4"/>
  <c r="BJ494" i="4"/>
  <c r="BJ495" i="4"/>
  <c r="BJ496" i="4"/>
  <c r="BJ497" i="4"/>
  <c r="BJ498" i="4"/>
  <c r="BJ499" i="4"/>
  <c r="BJ500" i="4"/>
  <c r="BJ501" i="4"/>
  <c r="BJ502" i="4"/>
  <c r="BJ503" i="4"/>
  <c r="BJ504" i="4"/>
  <c r="BJ505" i="4"/>
  <c r="BJ506" i="4"/>
  <c r="BJ507" i="4"/>
  <c r="BJ508" i="4"/>
  <c r="BJ509" i="4"/>
  <c r="BJ510" i="4"/>
  <c r="BJ511" i="4"/>
  <c r="BJ512" i="4"/>
  <c r="BJ513" i="4"/>
  <c r="BJ514" i="4"/>
  <c r="BJ515" i="4"/>
  <c r="BJ516" i="4"/>
  <c r="BJ517" i="4"/>
  <c r="BJ518" i="4"/>
  <c r="BJ519" i="4"/>
  <c r="BJ520" i="4"/>
  <c r="BJ521" i="4"/>
  <c r="BJ522" i="4"/>
  <c r="BJ523" i="4"/>
  <c r="BJ524" i="4"/>
  <c r="BJ525" i="4"/>
  <c r="BJ526" i="4"/>
  <c r="BJ527" i="4"/>
  <c r="BJ528" i="4"/>
  <c r="BJ529" i="4"/>
  <c r="BJ530" i="4"/>
  <c r="BJ531" i="4"/>
  <c r="BJ532" i="4"/>
  <c r="BJ533" i="4"/>
  <c r="BJ534" i="4"/>
  <c r="BJ535" i="4"/>
  <c r="BJ536" i="4"/>
  <c r="BJ537" i="4"/>
  <c r="BJ538" i="4"/>
  <c r="BJ539" i="4"/>
  <c r="BJ540" i="4"/>
  <c r="BJ541" i="4"/>
  <c r="BJ542" i="4"/>
  <c r="BJ543" i="4"/>
  <c r="BJ544" i="4"/>
  <c r="BJ545" i="4"/>
  <c r="BJ546" i="4"/>
  <c r="BJ547" i="4"/>
  <c r="BJ548" i="4"/>
  <c r="BJ549" i="4"/>
  <c r="BJ550" i="4"/>
  <c r="BJ551" i="4"/>
  <c r="BJ552" i="4"/>
  <c r="BJ553" i="4"/>
  <c r="BJ554" i="4"/>
  <c r="BJ555" i="4"/>
  <c r="BJ556" i="4"/>
  <c r="BJ557" i="4"/>
  <c r="BJ558" i="4"/>
  <c r="BJ559" i="4"/>
  <c r="BJ560" i="4"/>
  <c r="BJ561" i="4"/>
  <c r="BJ562" i="4"/>
  <c r="BJ563" i="4"/>
  <c r="BJ564" i="4"/>
  <c r="BJ565" i="4"/>
  <c r="BJ566" i="4"/>
  <c r="BJ567" i="4"/>
  <c r="BJ568" i="4"/>
  <c r="BJ569" i="4"/>
  <c r="BJ570" i="4"/>
  <c r="BJ571" i="4"/>
  <c r="BJ572" i="4"/>
  <c r="BJ573" i="4"/>
  <c r="BJ574" i="4"/>
  <c r="BJ575" i="4"/>
  <c r="BJ576" i="4"/>
  <c r="BJ577" i="4"/>
  <c r="BJ578" i="4"/>
  <c r="BJ579" i="4"/>
  <c r="BJ580" i="4"/>
  <c r="BJ581" i="4"/>
  <c r="BJ582" i="4"/>
  <c r="BJ583" i="4"/>
  <c r="BJ584" i="4"/>
  <c r="BJ585" i="4"/>
  <c r="BJ586" i="4"/>
  <c r="BJ587" i="4"/>
  <c r="BJ588" i="4"/>
  <c r="BJ589" i="4"/>
  <c r="BJ590" i="4"/>
  <c r="BJ591" i="4"/>
  <c r="BJ592" i="4"/>
  <c r="BJ593" i="4"/>
  <c r="BJ594" i="4"/>
  <c r="BJ595" i="4"/>
  <c r="BJ596" i="4"/>
  <c r="BJ597" i="4"/>
  <c r="BJ598" i="4"/>
  <c r="BJ599" i="4"/>
  <c r="BJ600" i="4"/>
  <c r="BJ601" i="4"/>
  <c r="BJ602" i="4"/>
  <c r="BJ603" i="4"/>
  <c r="BJ604" i="4"/>
  <c r="BJ605" i="4"/>
  <c r="BJ606" i="4"/>
  <c r="BJ607" i="4"/>
  <c r="BJ608" i="4"/>
  <c r="BJ609" i="4"/>
  <c r="BJ610" i="4"/>
  <c r="BJ611" i="4"/>
  <c r="BJ612" i="4"/>
  <c r="BJ613" i="4"/>
  <c r="BJ614" i="4"/>
  <c r="BJ615" i="4"/>
  <c r="BJ616" i="4"/>
  <c r="BJ617" i="4"/>
  <c r="BJ618" i="4"/>
  <c r="BJ619" i="4"/>
  <c r="BJ620" i="4"/>
  <c r="BJ621" i="4"/>
  <c r="BJ622" i="4"/>
  <c r="BJ623" i="4"/>
  <c r="BJ624" i="4"/>
  <c r="BJ625" i="4"/>
  <c r="BJ626" i="4"/>
  <c r="BJ627" i="4"/>
  <c r="BJ628" i="4"/>
  <c r="BJ629" i="4"/>
  <c r="BJ630" i="4"/>
  <c r="BJ631" i="4"/>
  <c r="BJ632" i="4"/>
  <c r="BJ633" i="4"/>
  <c r="BJ634" i="4"/>
  <c r="BJ635" i="4"/>
  <c r="BJ636" i="4"/>
  <c r="BJ637" i="4"/>
  <c r="BJ638" i="4"/>
  <c r="BJ639" i="4"/>
  <c r="BJ640" i="4"/>
  <c r="BJ641" i="4"/>
  <c r="BJ642" i="4"/>
  <c r="BJ643" i="4"/>
  <c r="BJ644" i="4"/>
  <c r="BJ645" i="4"/>
  <c r="BJ646" i="4"/>
  <c r="BJ647" i="4"/>
  <c r="BJ648" i="4"/>
  <c r="BJ649" i="4"/>
  <c r="BJ650" i="4"/>
  <c r="BJ651" i="4"/>
  <c r="BJ652" i="4"/>
  <c r="BJ653" i="4"/>
  <c r="BJ654" i="4"/>
  <c r="BJ655" i="4"/>
  <c r="BJ656" i="4"/>
  <c r="BJ657" i="4"/>
  <c r="BJ658" i="4"/>
  <c r="BJ659" i="4"/>
  <c r="BJ660" i="4"/>
  <c r="BJ661" i="4"/>
  <c r="BJ662" i="4"/>
  <c r="BJ663" i="4"/>
  <c r="BJ664" i="4"/>
  <c r="BJ665" i="4"/>
  <c r="BJ666" i="4"/>
  <c r="BJ667" i="4"/>
  <c r="BJ668" i="4"/>
  <c r="BJ669" i="4"/>
  <c r="BJ670" i="4"/>
  <c r="BJ671" i="4"/>
  <c r="BJ672" i="4"/>
  <c r="BJ673" i="4"/>
  <c r="BJ674" i="4"/>
  <c r="BJ675" i="4"/>
  <c r="BJ676" i="4"/>
  <c r="BJ677" i="4"/>
  <c r="BJ678" i="4"/>
  <c r="BJ679" i="4"/>
  <c r="BJ680" i="4"/>
  <c r="BJ681" i="4"/>
  <c r="BJ682" i="4"/>
  <c r="BJ683" i="4"/>
  <c r="BJ684" i="4"/>
  <c r="BJ685" i="4"/>
  <c r="BJ686" i="4"/>
  <c r="BJ687" i="4"/>
  <c r="BJ688" i="4"/>
  <c r="BJ689" i="4"/>
  <c r="BJ690" i="4"/>
  <c r="BJ691" i="4"/>
  <c r="BJ692" i="4"/>
  <c r="BJ693" i="4"/>
  <c r="BJ694" i="4"/>
  <c r="BJ695" i="4"/>
  <c r="BJ696" i="4"/>
  <c r="BJ697" i="4"/>
  <c r="BJ698" i="4"/>
  <c r="BJ699" i="4"/>
  <c r="BJ700" i="4"/>
  <c r="BJ701" i="4"/>
  <c r="BJ702" i="4"/>
  <c r="BJ703" i="4"/>
  <c r="BJ704" i="4"/>
  <c r="BJ705" i="4"/>
  <c r="BJ706" i="4"/>
  <c r="BJ707" i="4"/>
  <c r="BJ708" i="4"/>
  <c r="BJ709" i="4"/>
  <c r="BJ710" i="4"/>
  <c r="BJ711" i="4"/>
  <c r="BJ712" i="4"/>
  <c r="BJ713" i="4"/>
  <c r="BJ714" i="4"/>
  <c r="BJ715" i="4"/>
  <c r="BJ716" i="4"/>
  <c r="BJ717" i="4"/>
  <c r="BJ718" i="4"/>
  <c r="BJ719" i="4"/>
  <c r="BJ720" i="4"/>
  <c r="BJ721" i="4"/>
  <c r="BJ722" i="4"/>
  <c r="BJ723" i="4"/>
  <c r="BJ724" i="4"/>
  <c r="BJ725" i="4"/>
  <c r="BJ726" i="4"/>
  <c r="BJ727" i="4"/>
  <c r="BJ728" i="4"/>
  <c r="BJ729" i="4"/>
  <c r="BJ730" i="4"/>
  <c r="BJ731" i="4"/>
  <c r="BJ732" i="4"/>
  <c r="BJ733" i="4"/>
  <c r="BJ734" i="4"/>
  <c r="BJ735" i="4"/>
  <c r="BJ736" i="4"/>
  <c r="BJ737" i="4"/>
  <c r="BJ738" i="4"/>
  <c r="BJ739" i="4"/>
  <c r="BJ740" i="4"/>
  <c r="BJ741" i="4"/>
  <c r="BJ742" i="4"/>
  <c r="BJ743" i="4"/>
  <c r="BJ744" i="4"/>
  <c r="BJ745" i="4"/>
  <c r="BJ746" i="4"/>
  <c r="BJ747" i="4"/>
  <c r="BJ748" i="4"/>
  <c r="BJ749" i="4"/>
  <c r="BJ750" i="4"/>
  <c r="BJ751" i="4"/>
  <c r="BJ752" i="4"/>
  <c r="BJ753" i="4"/>
  <c r="BJ754" i="4"/>
  <c r="BJ755" i="4"/>
  <c r="BJ756" i="4"/>
  <c r="BJ757" i="4"/>
  <c r="BJ758" i="4"/>
  <c r="BJ759" i="4"/>
  <c r="BJ760" i="4"/>
  <c r="BJ761" i="4"/>
  <c r="BJ762" i="4"/>
  <c r="BJ763" i="4"/>
  <c r="BJ764" i="4"/>
  <c r="BJ765" i="4"/>
  <c r="BJ766" i="4"/>
  <c r="BJ767" i="4"/>
  <c r="BJ768" i="4"/>
  <c r="BJ769" i="4"/>
  <c r="BJ770" i="4"/>
  <c r="BJ771" i="4"/>
  <c r="BJ772" i="4"/>
  <c r="BJ773" i="4"/>
  <c r="BJ774" i="4"/>
  <c r="BJ775" i="4"/>
  <c r="BJ776" i="4"/>
  <c r="BJ777" i="4"/>
  <c r="BJ778" i="4"/>
  <c r="BJ779" i="4"/>
  <c r="BJ780" i="4"/>
  <c r="BJ781" i="4"/>
  <c r="BJ782" i="4"/>
  <c r="BJ783" i="4"/>
  <c r="BJ784" i="4"/>
  <c r="BJ785" i="4"/>
  <c r="BJ786" i="4"/>
  <c r="BJ787" i="4"/>
  <c r="BJ788" i="4"/>
  <c r="BJ789" i="4"/>
  <c r="BJ790" i="4"/>
  <c r="BJ791" i="4"/>
  <c r="BJ792" i="4"/>
  <c r="BJ793" i="4"/>
  <c r="BJ794" i="4"/>
  <c r="BJ795" i="4"/>
  <c r="BJ796" i="4"/>
  <c r="BJ797" i="4"/>
  <c r="BJ798" i="4"/>
  <c r="BJ799" i="4"/>
  <c r="BJ800" i="4"/>
  <c r="BJ801" i="4"/>
  <c r="BJ802" i="4"/>
  <c r="BJ803" i="4"/>
  <c r="BJ804" i="4"/>
  <c r="BJ805" i="4"/>
  <c r="BJ806" i="4"/>
  <c r="BJ807" i="4"/>
  <c r="BJ808" i="4"/>
  <c r="BJ809" i="4"/>
  <c r="BJ810" i="4"/>
  <c r="BJ811" i="4"/>
  <c r="BJ812" i="4"/>
  <c r="BJ813" i="4"/>
  <c r="BJ814" i="4"/>
  <c r="BJ815" i="4"/>
  <c r="BJ816" i="4"/>
  <c r="BJ817" i="4"/>
  <c r="BJ818" i="4"/>
  <c r="BJ819" i="4"/>
  <c r="BJ820" i="4"/>
  <c r="BJ821" i="4"/>
  <c r="BJ822" i="4"/>
  <c r="BJ823" i="4"/>
  <c r="BJ824" i="4"/>
  <c r="BJ825" i="4"/>
  <c r="BJ826" i="4"/>
  <c r="BJ827" i="4"/>
  <c r="BJ828" i="4"/>
  <c r="BJ829" i="4"/>
  <c r="BJ830" i="4"/>
  <c r="BJ831" i="4"/>
  <c r="BJ832" i="4"/>
  <c r="BJ833" i="4"/>
  <c r="BJ834" i="4"/>
  <c r="BJ835" i="4"/>
  <c r="BJ836" i="4"/>
  <c r="BJ837" i="4"/>
  <c r="BJ838" i="4"/>
  <c r="BJ839" i="4"/>
  <c r="BJ840" i="4"/>
  <c r="BJ841" i="4"/>
  <c r="BJ842" i="4"/>
  <c r="BJ843" i="4"/>
  <c r="BJ844" i="4"/>
  <c r="BJ845" i="4"/>
  <c r="BJ846" i="4"/>
  <c r="BJ847" i="4"/>
  <c r="BJ848" i="4"/>
  <c r="BJ849" i="4"/>
  <c r="BJ850" i="4"/>
  <c r="BJ851" i="4"/>
  <c r="BJ852" i="4"/>
  <c r="BJ853" i="4"/>
  <c r="BJ854" i="4"/>
  <c r="BJ855" i="4"/>
  <c r="BJ856" i="4"/>
  <c r="BJ857" i="4"/>
  <c r="BJ858" i="4"/>
  <c r="BJ859" i="4"/>
  <c r="BJ860" i="4"/>
  <c r="BJ861" i="4"/>
  <c r="BJ862" i="4"/>
  <c r="BJ863" i="4"/>
  <c r="BJ864" i="4"/>
  <c r="BJ865" i="4"/>
  <c r="BJ866" i="4"/>
  <c r="BJ867" i="4"/>
  <c r="BJ868" i="4"/>
  <c r="BJ869" i="4"/>
  <c r="BJ870" i="4"/>
  <c r="BJ871" i="4"/>
  <c r="BJ872" i="4"/>
  <c r="BJ873" i="4"/>
  <c r="BJ874" i="4"/>
  <c r="BJ875" i="4"/>
  <c r="BJ876" i="4"/>
  <c r="BJ877" i="4"/>
  <c r="BJ878" i="4"/>
  <c r="BJ879" i="4"/>
  <c r="BJ880" i="4"/>
  <c r="BJ881" i="4"/>
  <c r="BJ882" i="4"/>
  <c r="BJ883" i="4"/>
  <c r="BJ884" i="4"/>
  <c r="BJ885" i="4"/>
  <c r="BJ886" i="4"/>
  <c r="BJ887" i="4"/>
  <c r="BJ888" i="4"/>
  <c r="BJ889" i="4"/>
  <c r="BJ890" i="4"/>
  <c r="BJ891" i="4"/>
  <c r="BJ892" i="4"/>
  <c r="BJ893" i="4"/>
  <c r="BJ894" i="4"/>
  <c r="BJ895" i="4"/>
  <c r="BJ896" i="4"/>
  <c r="BJ897" i="4"/>
  <c r="BJ898" i="4"/>
  <c r="BJ899" i="4"/>
  <c r="BJ900" i="4"/>
  <c r="BJ901" i="4"/>
  <c r="BJ902" i="4"/>
  <c r="BJ903" i="4"/>
  <c r="BJ904" i="4"/>
  <c r="BJ905" i="4"/>
  <c r="BJ906" i="4"/>
  <c r="BJ907" i="4"/>
  <c r="BJ908" i="4"/>
  <c r="BJ909" i="4"/>
  <c r="BJ910" i="4"/>
  <c r="BJ911" i="4"/>
  <c r="BJ912" i="4"/>
  <c r="BJ913" i="4"/>
  <c r="BJ914" i="4"/>
  <c r="BJ915" i="4"/>
  <c r="BJ916" i="4"/>
  <c r="BJ917" i="4"/>
  <c r="BJ918" i="4"/>
  <c r="BJ919" i="4"/>
  <c r="BJ920" i="4"/>
  <c r="BJ921" i="4"/>
  <c r="BJ922" i="4"/>
  <c r="BJ923" i="4"/>
  <c r="BJ924" i="4"/>
  <c r="BJ925" i="4"/>
  <c r="BJ926" i="4"/>
  <c r="BJ927" i="4"/>
  <c r="BJ928" i="4"/>
  <c r="BJ929" i="4"/>
  <c r="BJ930" i="4"/>
  <c r="BJ931" i="4"/>
  <c r="BJ932" i="4"/>
  <c r="BJ933" i="4"/>
  <c r="BJ934" i="4"/>
  <c r="BJ935" i="4"/>
  <c r="BJ936" i="4"/>
  <c r="BJ937" i="4"/>
  <c r="BJ938" i="4"/>
  <c r="BJ939" i="4"/>
  <c r="BJ940" i="4"/>
  <c r="BJ941" i="4"/>
  <c r="BJ942" i="4"/>
  <c r="BJ943" i="4"/>
  <c r="BJ944" i="4"/>
  <c r="BJ945" i="4"/>
  <c r="BJ946" i="4"/>
  <c r="BJ947" i="4"/>
  <c r="BJ948" i="4"/>
  <c r="BJ949" i="4"/>
  <c r="BJ950" i="4"/>
  <c r="BJ951" i="4"/>
  <c r="BJ952" i="4"/>
  <c r="BJ953" i="4"/>
  <c r="BJ954" i="4"/>
  <c r="BJ955" i="4"/>
  <c r="BJ956" i="4"/>
  <c r="BJ957" i="4"/>
  <c r="BJ958" i="4"/>
  <c r="BJ959" i="4"/>
  <c r="BJ960" i="4"/>
  <c r="BJ961" i="4"/>
  <c r="BJ962" i="4"/>
  <c r="BJ963" i="4"/>
  <c r="BJ964" i="4"/>
  <c r="BJ965" i="4"/>
  <c r="BJ966" i="4"/>
  <c r="BJ967" i="4"/>
  <c r="BJ968" i="4"/>
  <c r="BJ969" i="4"/>
  <c r="BJ970" i="4"/>
  <c r="BJ971" i="4"/>
  <c r="BJ972" i="4"/>
  <c r="BJ973" i="4"/>
  <c r="BJ974" i="4"/>
  <c r="BJ975" i="4"/>
  <c r="BJ976" i="4"/>
  <c r="BJ977" i="4"/>
  <c r="BJ978" i="4"/>
  <c r="BJ979" i="4"/>
  <c r="BJ980" i="4"/>
  <c r="BJ981" i="4"/>
  <c r="BJ982" i="4"/>
  <c r="BJ983" i="4"/>
  <c r="BJ984" i="4"/>
  <c r="BJ985" i="4"/>
  <c r="BJ986" i="4"/>
  <c r="BJ987" i="4"/>
  <c r="BJ988" i="4"/>
  <c r="BJ989" i="4"/>
  <c r="BJ990" i="4"/>
  <c r="BJ991" i="4"/>
  <c r="BJ992" i="4"/>
  <c r="BJ993" i="4"/>
  <c r="BJ994" i="4"/>
  <c r="BJ995" i="4"/>
  <c r="BJ996" i="4"/>
  <c r="BJ997" i="4"/>
  <c r="BJ998" i="4"/>
  <c r="BJ999" i="4"/>
  <c r="BJ1000" i="4"/>
  <c r="BJ1001" i="4"/>
  <c r="BJ1002" i="4"/>
  <c r="BJ1003" i="4"/>
  <c r="BJ1004" i="4"/>
  <c r="BJ1005" i="4"/>
  <c r="BJ1006" i="4"/>
  <c r="BJ1007" i="4"/>
  <c r="BJ1008" i="4"/>
  <c r="BJ1009" i="4"/>
  <c r="BJ1010" i="4"/>
  <c r="BJ1011" i="4"/>
  <c r="BJ1012" i="4"/>
  <c r="BJ1013" i="4"/>
  <c r="BJ1014" i="4"/>
  <c r="BJ1015" i="4"/>
  <c r="BJ1016" i="4"/>
  <c r="BJ1017" i="4"/>
  <c r="BJ1018" i="4"/>
  <c r="BJ1019" i="4"/>
  <c r="BJ1020" i="4"/>
  <c r="BJ1021" i="4"/>
  <c r="BJ1022" i="4"/>
  <c r="BJ1023" i="4"/>
  <c r="BJ1024" i="4"/>
  <c r="BJ1025" i="4"/>
  <c r="BJ1026" i="4"/>
  <c r="BJ1027" i="4"/>
  <c r="BJ1028" i="4"/>
  <c r="BJ1029" i="4"/>
  <c r="BJ1030" i="4"/>
  <c r="BJ1031" i="4"/>
  <c r="BJ1032" i="4"/>
  <c r="BJ1033" i="4"/>
  <c r="BJ1034" i="4"/>
  <c r="BJ1035" i="4"/>
  <c r="BJ1036" i="4"/>
  <c r="BJ1037" i="4"/>
  <c r="BJ1038" i="4"/>
  <c r="BJ1039" i="4"/>
  <c r="BJ1040" i="4"/>
  <c r="BJ1041" i="4"/>
  <c r="BJ1042" i="4"/>
  <c r="BJ1043" i="4"/>
  <c r="BJ1044" i="4"/>
  <c r="BJ1045" i="4"/>
  <c r="BJ1046" i="4"/>
  <c r="BJ1047" i="4"/>
  <c r="BJ1048" i="4"/>
  <c r="BJ1049" i="4"/>
  <c r="BJ1050" i="4"/>
  <c r="BJ1051" i="4"/>
  <c r="BJ1052" i="4"/>
  <c r="BJ1053" i="4"/>
  <c r="BJ1054" i="4"/>
  <c r="BJ1055" i="4"/>
  <c r="BJ1056" i="4"/>
  <c r="BJ1057" i="4"/>
  <c r="BJ1058" i="4"/>
  <c r="BJ1059" i="4"/>
  <c r="BJ1060" i="4"/>
  <c r="BJ1061" i="4"/>
  <c r="BJ1062" i="4"/>
  <c r="BJ1063" i="4"/>
  <c r="BJ1064" i="4"/>
  <c r="BJ1065" i="4"/>
  <c r="BJ1066" i="4"/>
  <c r="BJ1067" i="4"/>
  <c r="BJ1068" i="4"/>
  <c r="BJ1069" i="4"/>
  <c r="BJ1070" i="4"/>
  <c r="BJ1071" i="4"/>
  <c r="BJ1072" i="4"/>
  <c r="BJ1073" i="4"/>
  <c r="BJ1074" i="4"/>
  <c r="BJ1075" i="4"/>
  <c r="BJ1076" i="4"/>
  <c r="BJ1077" i="4"/>
  <c r="BJ1078" i="4"/>
  <c r="BJ1079" i="4"/>
  <c r="BJ1080" i="4"/>
  <c r="BJ1081" i="4"/>
  <c r="BJ1082" i="4"/>
  <c r="BJ1083" i="4"/>
  <c r="BJ1084" i="4"/>
  <c r="BJ1085" i="4"/>
  <c r="BJ1086" i="4"/>
  <c r="BJ1087" i="4"/>
  <c r="BJ1088" i="4"/>
  <c r="BJ1089" i="4"/>
  <c r="BJ1090" i="4"/>
  <c r="BJ1091" i="4"/>
  <c r="BJ1092" i="4"/>
  <c r="BJ1093" i="4"/>
  <c r="BJ1094" i="4"/>
  <c r="BJ1095" i="4"/>
  <c r="BJ1096" i="4"/>
  <c r="BJ1097" i="4"/>
  <c r="BJ1098" i="4"/>
  <c r="BJ1099" i="4"/>
  <c r="BJ1100" i="4"/>
  <c r="BJ1101" i="4"/>
  <c r="BJ1102" i="4"/>
  <c r="BJ1103" i="4"/>
  <c r="BJ1104" i="4"/>
  <c r="BJ1105" i="4"/>
  <c r="BJ1106" i="4"/>
  <c r="BJ1107" i="4"/>
  <c r="BJ1108" i="4"/>
  <c r="BJ1109" i="4"/>
  <c r="BJ1110" i="4"/>
  <c r="BJ1111" i="4"/>
  <c r="BJ1112" i="4"/>
  <c r="BJ1113" i="4"/>
  <c r="BJ1114" i="4"/>
  <c r="BJ1115" i="4"/>
  <c r="BJ1116" i="4"/>
  <c r="BJ1117" i="4"/>
  <c r="BJ1118" i="4"/>
  <c r="BJ1119" i="4"/>
  <c r="BJ1120" i="4"/>
  <c r="BJ1121" i="4"/>
  <c r="BJ1122" i="4"/>
  <c r="BJ1123" i="4"/>
  <c r="BJ1124" i="4"/>
  <c r="BJ1125" i="4"/>
  <c r="BJ1126" i="4"/>
  <c r="BJ1127" i="4"/>
  <c r="BJ1128" i="4"/>
  <c r="BJ1129" i="4"/>
  <c r="BJ1130" i="4"/>
  <c r="BJ1131" i="4"/>
  <c r="BJ1132" i="4"/>
  <c r="BJ1133" i="4"/>
  <c r="BJ1134" i="4"/>
  <c r="BJ1135" i="4"/>
  <c r="BJ1136" i="4"/>
  <c r="BJ1137" i="4"/>
  <c r="BJ1138" i="4"/>
  <c r="BJ1139" i="4"/>
  <c r="BJ1140" i="4"/>
  <c r="BJ1141" i="4"/>
  <c r="BJ1142" i="4"/>
  <c r="BJ1143" i="4"/>
  <c r="BJ1144" i="4"/>
  <c r="BJ1145" i="4"/>
  <c r="BJ1146" i="4"/>
  <c r="BJ1147" i="4"/>
  <c r="BJ1148" i="4"/>
  <c r="BJ1149" i="4"/>
  <c r="BJ1150" i="4"/>
  <c r="BJ1151" i="4"/>
  <c r="BJ1152" i="4"/>
  <c r="BJ1153" i="4"/>
  <c r="BJ1154" i="4"/>
  <c r="BJ1155" i="4"/>
  <c r="BJ1156" i="4"/>
  <c r="BJ1157" i="4"/>
  <c r="BJ1158" i="4"/>
  <c r="BJ1159" i="4"/>
  <c r="BJ1160" i="4"/>
  <c r="BJ1161" i="4"/>
  <c r="BJ1162" i="4"/>
  <c r="BJ1163" i="4"/>
  <c r="BJ1164" i="4"/>
  <c r="BJ1165" i="4"/>
  <c r="BJ1166" i="4"/>
  <c r="BJ1167" i="4"/>
  <c r="BJ1168" i="4"/>
  <c r="BJ1169" i="4"/>
  <c r="BJ1170" i="4"/>
  <c r="BJ1171" i="4"/>
  <c r="BJ1172" i="4"/>
  <c r="BJ1173" i="4"/>
  <c r="BJ1174" i="4"/>
  <c r="BJ1175" i="4"/>
  <c r="BJ1176" i="4"/>
  <c r="BJ1177" i="4"/>
  <c r="BJ1178" i="4"/>
  <c r="BJ1179" i="4"/>
  <c r="BJ1180" i="4"/>
  <c r="BJ1181" i="4"/>
  <c r="BJ1182" i="4"/>
  <c r="BJ1183" i="4"/>
  <c r="BJ1184" i="4"/>
  <c r="BJ1185" i="4"/>
  <c r="BJ1186" i="4"/>
  <c r="BJ1187" i="4"/>
  <c r="BJ1188" i="4"/>
  <c r="BJ1189" i="4"/>
  <c r="BJ1190" i="4"/>
  <c r="BJ1191" i="4"/>
  <c r="BJ1192" i="4"/>
  <c r="BJ1193" i="4"/>
  <c r="BJ1194" i="4"/>
  <c r="BJ1195" i="4"/>
  <c r="BJ1196" i="4"/>
  <c r="BJ1197" i="4"/>
  <c r="BJ1198" i="4"/>
  <c r="BJ1199" i="4"/>
  <c r="BJ1200" i="4"/>
  <c r="BJ1201" i="4"/>
  <c r="BJ1202" i="4"/>
  <c r="BJ1203" i="4"/>
  <c r="BJ1204" i="4"/>
  <c r="BJ1205" i="4"/>
  <c r="BJ1206" i="4"/>
  <c r="BJ1207" i="4"/>
  <c r="BJ1208" i="4"/>
  <c r="BJ1209" i="4"/>
  <c r="BJ1210" i="4"/>
  <c r="BJ1211" i="4"/>
  <c r="BJ1212" i="4"/>
  <c r="BJ1213" i="4"/>
  <c r="BJ1214" i="4"/>
  <c r="BJ1215" i="4"/>
  <c r="BJ1216" i="4"/>
  <c r="BJ1217" i="4"/>
  <c r="BJ1218" i="4"/>
  <c r="BJ1219" i="4"/>
  <c r="BJ1220" i="4"/>
  <c r="BJ1221" i="4"/>
  <c r="BJ1222" i="4"/>
  <c r="BJ1223" i="4"/>
  <c r="BJ1224" i="4"/>
  <c r="BJ1225" i="4"/>
  <c r="BJ1226" i="4"/>
  <c r="BJ1227" i="4"/>
  <c r="BJ1228" i="4"/>
  <c r="BJ1229" i="4"/>
  <c r="BJ1230" i="4"/>
  <c r="BJ1231" i="4"/>
  <c r="BJ1232" i="4"/>
  <c r="BJ1233" i="4"/>
  <c r="BJ1234" i="4"/>
  <c r="BJ1235" i="4"/>
  <c r="BJ1236" i="4"/>
  <c r="BJ1237" i="4"/>
  <c r="BJ1238" i="4"/>
  <c r="BJ1239" i="4"/>
  <c r="BJ1240" i="4"/>
  <c r="BJ1241" i="4"/>
  <c r="BJ1242" i="4"/>
  <c r="BJ1243" i="4"/>
  <c r="BJ1244" i="4"/>
  <c r="BJ1245" i="4"/>
  <c r="BJ1246" i="4"/>
  <c r="BJ1247" i="4"/>
  <c r="BJ1248" i="4"/>
  <c r="BJ1249" i="4"/>
  <c r="BJ1250" i="4"/>
  <c r="BJ1251" i="4"/>
  <c r="BJ1252" i="4"/>
  <c r="BJ1253" i="4"/>
  <c r="BJ1254" i="4"/>
  <c r="BJ1255" i="4"/>
  <c r="BJ1256" i="4"/>
  <c r="BJ1257" i="4"/>
  <c r="BJ1258" i="4"/>
  <c r="BJ1259" i="4"/>
  <c r="BJ1260" i="4"/>
  <c r="BJ1261" i="4"/>
  <c r="BJ1262" i="4"/>
  <c r="BJ1263" i="4"/>
  <c r="BJ1264" i="4"/>
  <c r="BJ1265" i="4"/>
  <c r="BJ1266" i="4"/>
  <c r="BJ1267" i="4"/>
  <c r="BJ1268" i="4"/>
  <c r="BJ1269" i="4"/>
  <c r="BJ1270" i="4"/>
  <c r="BJ1271" i="4"/>
  <c r="BJ1272" i="4"/>
  <c r="BJ1273" i="4"/>
  <c r="BJ1274" i="4"/>
  <c r="BJ1275" i="4"/>
  <c r="BJ1276" i="4"/>
  <c r="BJ1277" i="4"/>
  <c r="BJ1278" i="4"/>
  <c r="BJ1279" i="4"/>
  <c r="BJ1280" i="4"/>
  <c r="BJ1281" i="4"/>
  <c r="BJ1282" i="4"/>
  <c r="BJ1283" i="4"/>
  <c r="BJ1284" i="4"/>
  <c r="BJ1285" i="4"/>
  <c r="BJ1286" i="4"/>
  <c r="BJ1287" i="4"/>
  <c r="BJ1288" i="4"/>
  <c r="BJ1289" i="4"/>
  <c r="BJ1290" i="4"/>
  <c r="BJ1291" i="4"/>
  <c r="BJ1292" i="4"/>
  <c r="BJ1293" i="4"/>
  <c r="BJ1294" i="4"/>
  <c r="BI1294" i="4"/>
  <c r="BT1294" i="4" s="1"/>
  <c r="BI1293" i="4"/>
  <c r="BT1293" i="4" s="1"/>
  <c r="BI1292" i="4"/>
  <c r="BT1292" i="4" s="1"/>
  <c r="BI1291" i="4"/>
  <c r="BT1291" i="4" s="1"/>
  <c r="BI1290" i="4"/>
  <c r="BT1290" i="4" s="1"/>
  <c r="BI1289" i="4"/>
  <c r="BT1289" i="4" s="1"/>
  <c r="BI1288" i="4"/>
  <c r="BT1288" i="4" s="1"/>
  <c r="BI1287" i="4"/>
  <c r="BT1287" i="4" s="1"/>
  <c r="BI1286" i="4"/>
  <c r="BT1286" i="4" s="1"/>
  <c r="BI1285" i="4"/>
  <c r="BT1285" i="4" s="1"/>
  <c r="BI1284" i="4"/>
  <c r="BT1284" i="4" s="1"/>
  <c r="BI1283" i="4"/>
  <c r="BT1283" i="4" s="1"/>
  <c r="BI1282" i="4"/>
  <c r="BT1282" i="4" s="1"/>
  <c r="BI1281" i="4"/>
  <c r="BT1281" i="4" s="1"/>
  <c r="BI1280" i="4"/>
  <c r="BT1280" i="4" s="1"/>
  <c r="BI1279" i="4"/>
  <c r="BT1279" i="4" s="1"/>
  <c r="BI1278" i="4"/>
  <c r="BT1278" i="4" s="1"/>
  <c r="BI1277" i="4"/>
  <c r="BT1277" i="4" s="1"/>
  <c r="BI1276" i="4"/>
  <c r="BT1276" i="4" s="1"/>
  <c r="BI1275" i="4"/>
  <c r="BT1275" i="4" s="1"/>
  <c r="BI1274" i="4"/>
  <c r="BT1274" i="4" s="1"/>
  <c r="BI1273" i="4"/>
  <c r="BT1273" i="4" s="1"/>
  <c r="BI1272" i="4"/>
  <c r="BT1272" i="4" s="1"/>
  <c r="BI1271" i="4"/>
  <c r="BT1271" i="4" s="1"/>
  <c r="BI1270" i="4"/>
  <c r="BT1270" i="4" s="1"/>
  <c r="BI1269" i="4"/>
  <c r="BT1269" i="4" s="1"/>
  <c r="BI1268" i="4"/>
  <c r="BT1268" i="4" s="1"/>
  <c r="BI1267" i="4"/>
  <c r="BT1267" i="4" s="1"/>
  <c r="BI1266" i="4"/>
  <c r="BT1266" i="4" s="1"/>
  <c r="BI1265" i="4"/>
  <c r="BT1265" i="4" s="1"/>
  <c r="BI1264" i="4"/>
  <c r="BT1264" i="4" s="1"/>
  <c r="BI1263" i="4"/>
  <c r="BT1263" i="4" s="1"/>
  <c r="BI1262" i="4"/>
  <c r="BT1262" i="4" s="1"/>
  <c r="BI1261" i="4"/>
  <c r="BT1261" i="4" s="1"/>
  <c r="BI1260" i="4"/>
  <c r="BT1260" i="4" s="1"/>
  <c r="BI1259" i="4"/>
  <c r="BT1259" i="4" s="1"/>
  <c r="BI1258" i="4"/>
  <c r="BT1258" i="4" s="1"/>
  <c r="BI1257" i="4"/>
  <c r="BT1257" i="4" s="1"/>
  <c r="BI1256" i="4"/>
  <c r="BT1256" i="4" s="1"/>
  <c r="BI1255" i="4"/>
  <c r="BT1255" i="4" s="1"/>
  <c r="BI1254" i="4"/>
  <c r="BT1254" i="4" s="1"/>
  <c r="BI1253" i="4"/>
  <c r="BT1253" i="4" s="1"/>
  <c r="BI1252" i="4"/>
  <c r="BT1252" i="4" s="1"/>
  <c r="BI1251" i="4"/>
  <c r="BT1251" i="4" s="1"/>
  <c r="BI1250" i="4"/>
  <c r="BT1250" i="4" s="1"/>
  <c r="BI1249" i="4"/>
  <c r="BT1249" i="4" s="1"/>
  <c r="BI1248" i="4"/>
  <c r="BT1248" i="4" s="1"/>
  <c r="BI1247" i="4"/>
  <c r="BT1247" i="4" s="1"/>
  <c r="BI1246" i="4"/>
  <c r="BT1246" i="4" s="1"/>
  <c r="BI1245" i="4"/>
  <c r="BT1245" i="4" s="1"/>
  <c r="BI1244" i="4"/>
  <c r="BT1244" i="4" s="1"/>
  <c r="BI1243" i="4"/>
  <c r="BT1243" i="4" s="1"/>
  <c r="BI1242" i="4"/>
  <c r="BT1242" i="4" s="1"/>
  <c r="BI1241" i="4"/>
  <c r="BT1241" i="4" s="1"/>
  <c r="BI1240" i="4"/>
  <c r="BT1240" i="4" s="1"/>
  <c r="BI1239" i="4"/>
  <c r="BT1239" i="4" s="1"/>
  <c r="BI1238" i="4"/>
  <c r="BT1238" i="4" s="1"/>
  <c r="BI1237" i="4"/>
  <c r="BT1237" i="4" s="1"/>
  <c r="BI1236" i="4"/>
  <c r="BT1236" i="4" s="1"/>
  <c r="BI1235" i="4"/>
  <c r="BT1235" i="4" s="1"/>
  <c r="BI1234" i="4"/>
  <c r="BT1234" i="4" s="1"/>
  <c r="BI1233" i="4"/>
  <c r="BT1233" i="4" s="1"/>
  <c r="BI1232" i="4"/>
  <c r="BT1232" i="4" s="1"/>
  <c r="BI1231" i="4"/>
  <c r="BT1231" i="4" s="1"/>
  <c r="BI1230" i="4"/>
  <c r="BT1230" i="4" s="1"/>
  <c r="BI1229" i="4"/>
  <c r="BT1229" i="4" s="1"/>
  <c r="BI1228" i="4"/>
  <c r="BT1228" i="4" s="1"/>
  <c r="BI1227" i="4"/>
  <c r="BT1227" i="4" s="1"/>
  <c r="BI1226" i="4"/>
  <c r="BT1226" i="4" s="1"/>
  <c r="BI1225" i="4"/>
  <c r="BT1225" i="4" s="1"/>
  <c r="BI1224" i="4"/>
  <c r="BT1224" i="4" s="1"/>
  <c r="BI1223" i="4"/>
  <c r="BT1223" i="4" s="1"/>
  <c r="BI1222" i="4"/>
  <c r="BT1222" i="4" s="1"/>
  <c r="BI1221" i="4"/>
  <c r="BT1221" i="4" s="1"/>
  <c r="BI1220" i="4"/>
  <c r="BT1220" i="4" s="1"/>
  <c r="BI1219" i="4"/>
  <c r="BT1219" i="4" s="1"/>
  <c r="BI1218" i="4"/>
  <c r="BT1218" i="4" s="1"/>
  <c r="BI1217" i="4"/>
  <c r="BT1217" i="4" s="1"/>
  <c r="BI1216" i="4"/>
  <c r="BT1216" i="4" s="1"/>
  <c r="BI1215" i="4"/>
  <c r="BT1215" i="4" s="1"/>
  <c r="BI1214" i="4"/>
  <c r="BT1214" i="4" s="1"/>
  <c r="BI1213" i="4"/>
  <c r="BT1213" i="4" s="1"/>
  <c r="BI1212" i="4"/>
  <c r="BT1212" i="4" s="1"/>
  <c r="BI1211" i="4"/>
  <c r="BT1211" i="4" s="1"/>
  <c r="BI1210" i="4"/>
  <c r="BT1210" i="4" s="1"/>
  <c r="BI1209" i="4"/>
  <c r="BT1209" i="4" s="1"/>
  <c r="BI1208" i="4"/>
  <c r="BT1208" i="4" s="1"/>
  <c r="BI1207" i="4"/>
  <c r="BT1207" i="4" s="1"/>
  <c r="BI1206" i="4"/>
  <c r="BT1206" i="4" s="1"/>
  <c r="BH1206" i="4"/>
  <c r="CD1206" i="4" s="1"/>
  <c r="BH1207" i="4"/>
  <c r="CD1207" i="4" s="1"/>
  <c r="BH1208" i="4"/>
  <c r="CD1208" i="4" s="1"/>
  <c r="BH1209" i="4"/>
  <c r="CD1209" i="4" s="1"/>
  <c r="BH1210" i="4"/>
  <c r="CD1210" i="4" s="1"/>
  <c r="BH1211" i="4"/>
  <c r="CD1211" i="4" s="1"/>
  <c r="BH1212" i="4"/>
  <c r="CD1212" i="4" s="1"/>
  <c r="BH1213" i="4"/>
  <c r="CD1213" i="4" s="1"/>
  <c r="BH1214" i="4"/>
  <c r="CD1214" i="4" s="1"/>
  <c r="BH1215" i="4"/>
  <c r="CD1215" i="4" s="1"/>
  <c r="BH1216" i="4"/>
  <c r="CD1216" i="4" s="1"/>
  <c r="BH1217" i="4"/>
  <c r="CD1217" i="4" s="1"/>
  <c r="BH1218" i="4"/>
  <c r="CD1218" i="4" s="1"/>
  <c r="BH1219" i="4"/>
  <c r="CD1219" i="4" s="1"/>
  <c r="BH1220" i="4"/>
  <c r="CD1220" i="4" s="1"/>
  <c r="BH1221" i="4"/>
  <c r="CD1221" i="4" s="1"/>
  <c r="BH1222" i="4"/>
  <c r="CD1222" i="4" s="1"/>
  <c r="BH1223" i="4"/>
  <c r="CD1223" i="4" s="1"/>
  <c r="BH1224" i="4"/>
  <c r="CD1224" i="4" s="1"/>
  <c r="BH1225" i="4"/>
  <c r="CD1225" i="4" s="1"/>
  <c r="BH1226" i="4"/>
  <c r="CD1226" i="4" s="1"/>
  <c r="BH1227" i="4"/>
  <c r="CD1227" i="4" s="1"/>
  <c r="BH1228" i="4"/>
  <c r="CD1228" i="4" s="1"/>
  <c r="BH1229" i="4"/>
  <c r="CD1229" i="4" s="1"/>
  <c r="BH1230" i="4"/>
  <c r="CD1230" i="4" s="1"/>
  <c r="BH1231" i="4"/>
  <c r="CD1231" i="4" s="1"/>
  <c r="BH1232" i="4"/>
  <c r="CD1232" i="4" s="1"/>
  <c r="BH1233" i="4"/>
  <c r="CD1233" i="4" s="1"/>
  <c r="BH1234" i="4"/>
  <c r="CD1234" i="4" s="1"/>
  <c r="BH1235" i="4"/>
  <c r="CD1235" i="4" s="1"/>
  <c r="BH1236" i="4"/>
  <c r="CD1236" i="4" s="1"/>
  <c r="BH1237" i="4"/>
  <c r="CD1237" i="4" s="1"/>
  <c r="BH1238" i="4"/>
  <c r="CD1238" i="4" s="1"/>
  <c r="BH1239" i="4"/>
  <c r="CD1239" i="4" s="1"/>
  <c r="BH1240" i="4"/>
  <c r="CD1240" i="4" s="1"/>
  <c r="BH1241" i="4"/>
  <c r="CD1241" i="4" s="1"/>
  <c r="BH1242" i="4"/>
  <c r="CD1242" i="4" s="1"/>
  <c r="BH1243" i="4"/>
  <c r="CD1243" i="4" s="1"/>
  <c r="BH1244" i="4"/>
  <c r="CD1244" i="4" s="1"/>
  <c r="BH1245" i="4"/>
  <c r="CD1245" i="4" s="1"/>
  <c r="BH1246" i="4"/>
  <c r="CD1246" i="4" s="1"/>
  <c r="BH1247" i="4"/>
  <c r="CD1247" i="4" s="1"/>
  <c r="BH1248" i="4"/>
  <c r="CD1248" i="4" s="1"/>
  <c r="BH1249" i="4"/>
  <c r="CD1249" i="4" s="1"/>
  <c r="BH1250" i="4"/>
  <c r="CD1250" i="4" s="1"/>
  <c r="BH1251" i="4"/>
  <c r="CD1251" i="4" s="1"/>
  <c r="BH1252" i="4"/>
  <c r="CD1252" i="4" s="1"/>
  <c r="BH1253" i="4"/>
  <c r="CD1253" i="4" s="1"/>
  <c r="BH1254" i="4"/>
  <c r="CD1254" i="4" s="1"/>
  <c r="BH1255" i="4"/>
  <c r="CD1255" i="4" s="1"/>
  <c r="BH1256" i="4"/>
  <c r="CD1256" i="4" s="1"/>
  <c r="BH1257" i="4"/>
  <c r="CD1257" i="4" s="1"/>
  <c r="BH1258" i="4"/>
  <c r="CD1258" i="4" s="1"/>
  <c r="BH1259" i="4"/>
  <c r="CD1259" i="4" s="1"/>
  <c r="BH1260" i="4"/>
  <c r="CD1260" i="4" s="1"/>
  <c r="BH1261" i="4"/>
  <c r="CD1261" i="4" s="1"/>
  <c r="BH1262" i="4"/>
  <c r="CD1262" i="4" s="1"/>
  <c r="BH1263" i="4"/>
  <c r="CD1263" i="4" s="1"/>
  <c r="BH1264" i="4"/>
  <c r="CD1264" i="4" s="1"/>
  <c r="BH1265" i="4"/>
  <c r="CD1265" i="4" s="1"/>
  <c r="BH1266" i="4"/>
  <c r="CD1266" i="4" s="1"/>
  <c r="BH1267" i="4"/>
  <c r="CD1267" i="4" s="1"/>
  <c r="BH1268" i="4"/>
  <c r="CD1268" i="4" s="1"/>
  <c r="BH1269" i="4"/>
  <c r="CD1269" i="4" s="1"/>
  <c r="BH1270" i="4"/>
  <c r="CD1270" i="4" s="1"/>
  <c r="BH1271" i="4"/>
  <c r="CD1271" i="4" s="1"/>
  <c r="BH1272" i="4"/>
  <c r="CD1272" i="4" s="1"/>
  <c r="BH1273" i="4"/>
  <c r="CD1273" i="4" s="1"/>
  <c r="BH1274" i="4"/>
  <c r="CD1274" i="4" s="1"/>
  <c r="BH1275" i="4"/>
  <c r="CD1275" i="4" s="1"/>
  <c r="BH1276" i="4"/>
  <c r="CD1276" i="4" s="1"/>
  <c r="BH1277" i="4"/>
  <c r="CD1277" i="4" s="1"/>
  <c r="BH1278" i="4"/>
  <c r="CD1278" i="4" s="1"/>
  <c r="BH1279" i="4"/>
  <c r="CD1279" i="4" s="1"/>
  <c r="BH1280" i="4"/>
  <c r="CD1280" i="4" s="1"/>
  <c r="BH1281" i="4"/>
  <c r="CD1281" i="4" s="1"/>
  <c r="BH1282" i="4"/>
  <c r="CD1282" i="4" s="1"/>
  <c r="BH1283" i="4"/>
  <c r="CD1283" i="4" s="1"/>
  <c r="BH1284" i="4"/>
  <c r="CD1284" i="4" s="1"/>
  <c r="BH1285" i="4"/>
  <c r="CD1285" i="4" s="1"/>
  <c r="BH1286" i="4"/>
  <c r="CD1286" i="4" s="1"/>
  <c r="BH1287" i="4"/>
  <c r="CD1287" i="4" s="1"/>
  <c r="BH1288" i="4"/>
  <c r="CD1288" i="4" s="1"/>
  <c r="BH1289" i="4"/>
  <c r="CD1289" i="4" s="1"/>
  <c r="BH1290" i="4"/>
  <c r="CD1290" i="4" s="1"/>
  <c r="BH1291" i="4"/>
  <c r="CD1291" i="4" s="1"/>
  <c r="BH1292" i="4"/>
  <c r="CD1292" i="4" s="1"/>
  <c r="BH1293" i="4"/>
  <c r="CD1293" i="4" s="1"/>
  <c r="BH1294" i="4"/>
  <c r="CD1294" i="4" s="1"/>
  <c r="BM1206" i="4"/>
  <c r="BM1207" i="4"/>
  <c r="BM1208" i="4"/>
  <c r="BM1209" i="4"/>
  <c r="BM1210" i="4"/>
  <c r="BM1211" i="4"/>
  <c r="BM1212" i="4"/>
  <c r="BM1213" i="4"/>
  <c r="BM1214" i="4"/>
  <c r="BM1215" i="4"/>
  <c r="BM1216" i="4"/>
  <c r="BM1217" i="4"/>
  <c r="BM1218" i="4"/>
  <c r="BM1219" i="4"/>
  <c r="BM1220" i="4"/>
  <c r="BM1221" i="4"/>
  <c r="BM1222" i="4"/>
  <c r="BM1223" i="4"/>
  <c r="BM1224" i="4"/>
  <c r="BM1225" i="4"/>
  <c r="BM1226" i="4"/>
  <c r="BM1227" i="4"/>
  <c r="BM1228" i="4"/>
  <c r="BM1229" i="4"/>
  <c r="BM1230" i="4"/>
  <c r="BM1231" i="4"/>
  <c r="BM1232" i="4"/>
  <c r="BM1233" i="4"/>
  <c r="BM1234" i="4"/>
  <c r="BM1235" i="4"/>
  <c r="BM1236" i="4"/>
  <c r="BM1237" i="4"/>
  <c r="BM1238" i="4"/>
  <c r="BM1239" i="4"/>
  <c r="BM1240" i="4"/>
  <c r="BM1241" i="4"/>
  <c r="BM1242" i="4"/>
  <c r="BM1243" i="4"/>
  <c r="BM1244" i="4"/>
  <c r="BM1245" i="4"/>
  <c r="BM1246" i="4"/>
  <c r="BM1247" i="4"/>
  <c r="BM1248" i="4"/>
  <c r="BM1249" i="4"/>
  <c r="BM1250" i="4"/>
  <c r="BM1251" i="4"/>
  <c r="BM1252" i="4"/>
  <c r="BM1253" i="4"/>
  <c r="BM1254" i="4"/>
  <c r="BM1255" i="4"/>
  <c r="BM1256" i="4"/>
  <c r="BM1257" i="4"/>
  <c r="BM1258" i="4"/>
  <c r="BM1259" i="4"/>
  <c r="BM1260" i="4"/>
  <c r="BM1261" i="4"/>
  <c r="BM1262" i="4"/>
  <c r="BM1263" i="4"/>
  <c r="BM1264" i="4"/>
  <c r="BM1265" i="4"/>
  <c r="BM1266" i="4"/>
  <c r="BM1267" i="4"/>
  <c r="BM1268" i="4"/>
  <c r="BM1269" i="4"/>
  <c r="BM1270" i="4"/>
  <c r="BM1271" i="4"/>
  <c r="BM1272" i="4"/>
  <c r="BM1273" i="4"/>
  <c r="BM1274" i="4"/>
  <c r="BM1275" i="4"/>
  <c r="BM1276" i="4"/>
  <c r="BM1277" i="4"/>
  <c r="BM1278" i="4"/>
  <c r="BM1279" i="4"/>
  <c r="BM1280" i="4"/>
  <c r="BM1281" i="4"/>
  <c r="BM1282" i="4"/>
  <c r="BM1283" i="4"/>
  <c r="BM1284" i="4"/>
  <c r="BM1285" i="4"/>
  <c r="BM1286" i="4"/>
  <c r="BM1287" i="4"/>
  <c r="BM1288" i="4"/>
  <c r="BM1289" i="4"/>
  <c r="BM1290" i="4"/>
  <c r="BM1291" i="4"/>
  <c r="BM1292" i="4"/>
  <c r="BM1293" i="4"/>
  <c r="BM1294" i="4"/>
  <c r="BN1206" i="4"/>
  <c r="BN1207" i="4"/>
  <c r="BN1208" i="4"/>
  <c r="BN1209" i="4"/>
  <c r="BN1210" i="4"/>
  <c r="BN1211" i="4"/>
  <c r="BN1212" i="4"/>
  <c r="BN1213" i="4"/>
  <c r="BN1214" i="4"/>
  <c r="BN1215" i="4"/>
  <c r="BN1216" i="4"/>
  <c r="BN1217" i="4"/>
  <c r="BN1218" i="4"/>
  <c r="BN1219" i="4"/>
  <c r="BN1220" i="4"/>
  <c r="BN1221" i="4"/>
  <c r="BN1222" i="4"/>
  <c r="BN1223" i="4"/>
  <c r="BN1224" i="4"/>
  <c r="BN1225" i="4"/>
  <c r="BN1226" i="4"/>
  <c r="BN1227" i="4"/>
  <c r="BN1228" i="4"/>
  <c r="BN1229" i="4"/>
  <c r="BN1230" i="4"/>
  <c r="BN1231" i="4"/>
  <c r="BN1232" i="4"/>
  <c r="BN1233" i="4"/>
  <c r="BN1234" i="4"/>
  <c r="BN1235" i="4"/>
  <c r="BN1236" i="4"/>
  <c r="BN1237" i="4"/>
  <c r="BN1238" i="4"/>
  <c r="BN1239" i="4"/>
  <c r="BN1240" i="4"/>
  <c r="BN1241" i="4"/>
  <c r="BN1242" i="4"/>
  <c r="BN1243" i="4"/>
  <c r="BN1244" i="4"/>
  <c r="BN1245" i="4"/>
  <c r="BN1246" i="4"/>
  <c r="BN1247" i="4"/>
  <c r="BN1248" i="4"/>
  <c r="BN1249" i="4"/>
  <c r="BN1250" i="4"/>
  <c r="BN1251" i="4"/>
  <c r="BN1252" i="4"/>
  <c r="BN1253" i="4"/>
  <c r="BN1254" i="4"/>
  <c r="BN1255" i="4"/>
  <c r="BN1256" i="4"/>
  <c r="BN1257" i="4"/>
  <c r="BN1258" i="4"/>
  <c r="BN1259" i="4"/>
  <c r="BN1260" i="4"/>
  <c r="BN1261" i="4"/>
  <c r="BN1262" i="4"/>
  <c r="BN1263" i="4"/>
  <c r="BN1264" i="4"/>
  <c r="BN1265" i="4"/>
  <c r="BN1266" i="4"/>
  <c r="BN1267" i="4"/>
  <c r="BN1268" i="4"/>
  <c r="BN1269" i="4"/>
  <c r="BN1270" i="4"/>
  <c r="BN1271" i="4"/>
  <c r="BN1272" i="4"/>
  <c r="BN1273" i="4"/>
  <c r="BN1274" i="4"/>
  <c r="BN1275" i="4"/>
  <c r="BN1276" i="4"/>
  <c r="BN1277" i="4"/>
  <c r="BN1278" i="4"/>
  <c r="BN1279" i="4"/>
  <c r="BN1280" i="4"/>
  <c r="BN1281" i="4"/>
  <c r="BN1282" i="4"/>
  <c r="BN1283" i="4"/>
  <c r="BN1284" i="4"/>
  <c r="BN1285" i="4"/>
  <c r="BN1286" i="4"/>
  <c r="BN1287" i="4"/>
  <c r="BN1288" i="4"/>
  <c r="BN1289" i="4"/>
  <c r="BN1290" i="4"/>
  <c r="BN1291" i="4"/>
  <c r="BN1292" i="4"/>
  <c r="BN1293" i="4"/>
  <c r="BN1294" i="4"/>
  <c r="BO1206" i="4"/>
  <c r="BO1207" i="4"/>
  <c r="BO1208" i="4"/>
  <c r="BO1209" i="4"/>
  <c r="BO1210" i="4"/>
  <c r="BO1211" i="4"/>
  <c r="BO1212" i="4"/>
  <c r="BO1213" i="4"/>
  <c r="BO1214" i="4"/>
  <c r="BO1215" i="4"/>
  <c r="BO1216" i="4"/>
  <c r="BO1217" i="4"/>
  <c r="BO1218" i="4"/>
  <c r="BO1219" i="4"/>
  <c r="BO1220" i="4"/>
  <c r="BO1221" i="4"/>
  <c r="BO1222" i="4"/>
  <c r="BO1223" i="4"/>
  <c r="BO1224" i="4"/>
  <c r="BO1225" i="4"/>
  <c r="BO1226" i="4"/>
  <c r="BO1227" i="4"/>
  <c r="BO1228" i="4"/>
  <c r="BO1229" i="4"/>
  <c r="BO1230" i="4"/>
  <c r="BO1231" i="4"/>
  <c r="BO1232" i="4"/>
  <c r="BO1233" i="4"/>
  <c r="BO1234" i="4"/>
  <c r="BO1235" i="4"/>
  <c r="BO1236" i="4"/>
  <c r="BO1237" i="4"/>
  <c r="BO1238" i="4"/>
  <c r="BO1239" i="4"/>
  <c r="BO1240" i="4"/>
  <c r="BO1241" i="4"/>
  <c r="BO1242" i="4"/>
  <c r="BO1243" i="4"/>
  <c r="BO1244" i="4"/>
  <c r="BO1245" i="4"/>
  <c r="BO1246" i="4"/>
  <c r="BO1247" i="4"/>
  <c r="BO1248" i="4"/>
  <c r="BO1249" i="4"/>
  <c r="BO1250" i="4"/>
  <c r="BO1251" i="4"/>
  <c r="BO1252" i="4"/>
  <c r="BO1253" i="4"/>
  <c r="BO1254" i="4"/>
  <c r="BO1255" i="4"/>
  <c r="BO1256" i="4"/>
  <c r="BO1257" i="4"/>
  <c r="BO1258" i="4"/>
  <c r="BO1259" i="4"/>
  <c r="BO1260" i="4"/>
  <c r="BO1261" i="4"/>
  <c r="BO1262" i="4"/>
  <c r="BO1263" i="4"/>
  <c r="BO1264" i="4"/>
  <c r="BO1265" i="4"/>
  <c r="BO1266" i="4"/>
  <c r="BO1267" i="4"/>
  <c r="BO1268" i="4"/>
  <c r="BO1269" i="4"/>
  <c r="BO1270" i="4"/>
  <c r="BO1271" i="4"/>
  <c r="BO1272" i="4"/>
  <c r="BO1273" i="4"/>
  <c r="BO1274" i="4"/>
  <c r="BO1275" i="4"/>
  <c r="BO1276" i="4"/>
  <c r="BO1277" i="4"/>
  <c r="BO1278" i="4"/>
  <c r="BO1279" i="4"/>
  <c r="BO1280" i="4"/>
  <c r="BO1281" i="4"/>
  <c r="BO1282" i="4"/>
  <c r="BO1283" i="4"/>
  <c r="BO1284" i="4"/>
  <c r="BO1285" i="4"/>
  <c r="BO1286" i="4"/>
  <c r="BO1287" i="4"/>
  <c r="BO1288" i="4"/>
  <c r="BO1289" i="4"/>
  <c r="BO1290" i="4"/>
  <c r="BO1291" i="4"/>
  <c r="BO1292" i="4"/>
  <c r="BO1293" i="4"/>
  <c r="BO1294" i="4"/>
  <c r="BP1206" i="4"/>
  <c r="BP1207" i="4"/>
  <c r="BP1208" i="4"/>
  <c r="BP1209" i="4"/>
  <c r="BP1210" i="4"/>
  <c r="BP1211" i="4"/>
  <c r="BP1212" i="4"/>
  <c r="BP1213" i="4"/>
  <c r="BP1214" i="4"/>
  <c r="BP1215" i="4"/>
  <c r="BP1216" i="4"/>
  <c r="BP1217" i="4"/>
  <c r="BP1218" i="4"/>
  <c r="BP1219" i="4"/>
  <c r="BP1220" i="4"/>
  <c r="BP1221" i="4"/>
  <c r="BP1222" i="4"/>
  <c r="BP1223" i="4"/>
  <c r="BP1224" i="4"/>
  <c r="BP1225" i="4"/>
  <c r="BP1226" i="4"/>
  <c r="BP1227" i="4"/>
  <c r="BP1228" i="4"/>
  <c r="BP1229" i="4"/>
  <c r="BP1230" i="4"/>
  <c r="BP1231" i="4"/>
  <c r="BP1232" i="4"/>
  <c r="BP1233" i="4"/>
  <c r="BP1234" i="4"/>
  <c r="BP1235" i="4"/>
  <c r="BP1236" i="4"/>
  <c r="BP1237" i="4"/>
  <c r="BP1238" i="4"/>
  <c r="BP1239" i="4"/>
  <c r="BP1240" i="4"/>
  <c r="BP1241" i="4"/>
  <c r="BP1242" i="4"/>
  <c r="BP1243" i="4"/>
  <c r="BP1244" i="4"/>
  <c r="BP1245" i="4"/>
  <c r="BP1246" i="4"/>
  <c r="BP1247" i="4"/>
  <c r="BP1248" i="4"/>
  <c r="BP1249" i="4"/>
  <c r="BP1250" i="4"/>
  <c r="BP1251" i="4"/>
  <c r="BP1252" i="4"/>
  <c r="BP1253" i="4"/>
  <c r="BP1254" i="4"/>
  <c r="BP1255" i="4"/>
  <c r="BP1256" i="4"/>
  <c r="BP1257" i="4"/>
  <c r="BP1258" i="4"/>
  <c r="BP1259" i="4"/>
  <c r="BP1260" i="4"/>
  <c r="BP1261" i="4"/>
  <c r="BP1262" i="4"/>
  <c r="BP1263" i="4"/>
  <c r="BP1264" i="4"/>
  <c r="BP1265" i="4"/>
  <c r="BP1266" i="4"/>
  <c r="BP1267" i="4"/>
  <c r="BP1268" i="4"/>
  <c r="BP1269" i="4"/>
  <c r="BP1270" i="4"/>
  <c r="BP1271" i="4"/>
  <c r="BP1272" i="4"/>
  <c r="BP1273" i="4"/>
  <c r="BP1274" i="4"/>
  <c r="BP1275" i="4"/>
  <c r="BP1276" i="4"/>
  <c r="BP1277" i="4"/>
  <c r="BP1278" i="4"/>
  <c r="BP1279" i="4"/>
  <c r="BP1280" i="4"/>
  <c r="BP1281" i="4"/>
  <c r="BP1282" i="4"/>
  <c r="BP1283" i="4"/>
  <c r="BP1284" i="4"/>
  <c r="BP1285" i="4"/>
  <c r="BP1286" i="4"/>
  <c r="BP1287" i="4"/>
  <c r="BP1288" i="4"/>
  <c r="BP1289" i="4"/>
  <c r="BP1290" i="4"/>
  <c r="BP1291" i="4"/>
  <c r="BP1292" i="4"/>
  <c r="BP1293" i="4"/>
  <c r="BP1294" i="4"/>
  <c r="BR1206" i="4"/>
  <c r="BR1207" i="4"/>
  <c r="BR1208" i="4"/>
  <c r="BR1209" i="4"/>
  <c r="BR1210" i="4"/>
  <c r="BR1211" i="4"/>
  <c r="BR1212" i="4"/>
  <c r="BR1213" i="4"/>
  <c r="BR1214" i="4"/>
  <c r="BR1215" i="4"/>
  <c r="BR1216" i="4"/>
  <c r="BR1217" i="4"/>
  <c r="BR1218" i="4"/>
  <c r="BR1219" i="4"/>
  <c r="BR1220" i="4"/>
  <c r="BR1221" i="4"/>
  <c r="BR1222" i="4"/>
  <c r="BR1223" i="4"/>
  <c r="BR1224" i="4"/>
  <c r="BR1225" i="4"/>
  <c r="BR1226" i="4"/>
  <c r="BR1227" i="4"/>
  <c r="BR1228" i="4"/>
  <c r="BR1229" i="4"/>
  <c r="BR1230" i="4"/>
  <c r="BR1231" i="4"/>
  <c r="BR1232" i="4"/>
  <c r="BR1233" i="4"/>
  <c r="BR1234" i="4"/>
  <c r="BR1235" i="4"/>
  <c r="BR1236" i="4"/>
  <c r="BR1237" i="4"/>
  <c r="BR1238" i="4"/>
  <c r="BR1239" i="4"/>
  <c r="BR1240" i="4"/>
  <c r="BR1241" i="4"/>
  <c r="BR1242" i="4"/>
  <c r="BR1243" i="4"/>
  <c r="BR1244" i="4"/>
  <c r="BR1245" i="4"/>
  <c r="BR1246" i="4"/>
  <c r="BR1247" i="4"/>
  <c r="BR1248" i="4"/>
  <c r="BR1249" i="4"/>
  <c r="BR1250" i="4"/>
  <c r="BR1251" i="4"/>
  <c r="BR1252" i="4"/>
  <c r="BR1253" i="4"/>
  <c r="BR1254" i="4"/>
  <c r="BR1255" i="4"/>
  <c r="BR1256" i="4"/>
  <c r="BR1257" i="4"/>
  <c r="BR1258" i="4"/>
  <c r="BR1259" i="4"/>
  <c r="BR1260" i="4"/>
  <c r="BR1261" i="4"/>
  <c r="BR1262" i="4"/>
  <c r="BR1263" i="4"/>
  <c r="BR1264" i="4"/>
  <c r="BR1265" i="4"/>
  <c r="BR1266" i="4"/>
  <c r="BR1267" i="4"/>
  <c r="BR1268" i="4"/>
  <c r="BR1269" i="4"/>
  <c r="BR1270" i="4"/>
  <c r="BR1271" i="4"/>
  <c r="BR1272" i="4"/>
  <c r="BR1273" i="4"/>
  <c r="BR1274" i="4"/>
  <c r="BR1275" i="4"/>
  <c r="BR1276" i="4"/>
  <c r="BR1277" i="4"/>
  <c r="BR1278" i="4"/>
  <c r="BR1279" i="4"/>
  <c r="BR1280" i="4"/>
  <c r="BR1281" i="4"/>
  <c r="BR1282" i="4"/>
  <c r="BR1283" i="4"/>
  <c r="BR1284" i="4"/>
  <c r="BR1285" i="4"/>
  <c r="BR1286" i="4"/>
  <c r="BR1287" i="4"/>
  <c r="BR1288" i="4"/>
  <c r="BR1289" i="4"/>
  <c r="BR1290" i="4"/>
  <c r="BR1291" i="4"/>
  <c r="BR1292" i="4"/>
  <c r="BR1293" i="4"/>
  <c r="BR1294" i="4"/>
  <c r="BI694" i="4"/>
  <c r="BT694" i="4" s="1"/>
  <c r="CH1328" i="4" l="1"/>
  <c r="CH1320" i="4"/>
  <c r="BY1239" i="4"/>
  <c r="BY1293" i="4"/>
  <c r="CH1322" i="4"/>
  <c r="CH1344" i="4"/>
  <c r="CH1338" i="4"/>
  <c r="CH1318" i="4"/>
  <c r="CH1326" i="4"/>
  <c r="CH1327" i="4"/>
  <c r="CH1342" i="4"/>
  <c r="CH1339" i="4"/>
  <c r="CH1334" i="4"/>
  <c r="CH1332" i="4"/>
  <c r="CH1331" i="4"/>
  <c r="CH1321" i="4"/>
  <c r="CH1333" i="4"/>
  <c r="CH1345" i="4"/>
  <c r="CH1319" i="4"/>
  <c r="CH1324" i="4"/>
  <c r="CF1325" i="4"/>
  <c r="CH1325" i="4" s="1"/>
  <c r="CH1296" i="4"/>
  <c r="CH1304" i="4"/>
  <c r="CF1305" i="4"/>
  <c r="CH1305" i="4" s="1"/>
  <c r="CF1312" i="4"/>
  <c r="CH1312" i="4" s="1"/>
  <c r="CF1314" i="4"/>
  <c r="CH1314" i="4" s="1"/>
  <c r="CH1317" i="4"/>
  <c r="CH1295" i="4"/>
  <c r="CH1298" i="4"/>
  <c r="CH1315" i="4"/>
  <c r="CH1299" i="4"/>
  <c r="CF1307" i="4"/>
  <c r="CH1307" i="4" s="1"/>
  <c r="CF1311" i="4"/>
  <c r="CH1311" i="4" s="1"/>
  <c r="CH1313" i="4"/>
  <c r="CH1300" i="4"/>
  <c r="CF1306" i="4"/>
  <c r="CH1306" i="4" s="1"/>
  <c r="CF1337" i="4"/>
  <c r="CH1337" i="4" s="1"/>
  <c r="BY1286" i="4"/>
  <c r="CF1303" i="4"/>
  <c r="CH1303" i="4" s="1"/>
  <c r="BY1294" i="4"/>
  <c r="BY1282" i="4"/>
  <c r="BY1270" i="4"/>
  <c r="BY1258" i="4"/>
  <c r="BY1246" i="4"/>
  <c r="BY1234" i="4"/>
  <c r="BY1222" i="4"/>
  <c r="BY1210" i="4"/>
  <c r="BY1269" i="4"/>
  <c r="BY1257" i="4"/>
  <c r="BY1233" i="4"/>
  <c r="BY1221" i="4"/>
  <c r="BY1278" i="4"/>
  <c r="BY1254" i="4"/>
  <c r="BY1242" i="4"/>
  <c r="BY1218" i="4"/>
  <c r="BY1206" i="4"/>
  <c r="BY1287" i="4"/>
  <c r="BY1275" i="4"/>
  <c r="BY1263" i="4"/>
  <c r="BY1227" i="4"/>
  <c r="BY1284" i="4"/>
  <c r="BY1272" i="4"/>
  <c r="BY1248" i="4"/>
  <c r="BY1236" i="4"/>
  <c r="BY1212" i="4"/>
  <c r="CC1297" i="4"/>
  <c r="CE1297" i="4" s="1"/>
  <c r="CC1301" i="4"/>
  <c r="CE1301" i="4" s="1"/>
  <c r="CC1302" i="4"/>
  <c r="CE1302" i="4" s="1"/>
  <c r="BS1293" i="4"/>
  <c r="BS1281" i="4"/>
  <c r="BS1269" i="4"/>
  <c r="BS1257" i="4"/>
  <c r="BS1245" i="4"/>
  <c r="BS1233" i="4"/>
  <c r="CA1233" i="4" s="1"/>
  <c r="BS1221" i="4"/>
  <c r="BS1209" i="4"/>
  <c r="BZ1214" i="4"/>
  <c r="CB1214" i="4" s="1"/>
  <c r="BZ1226" i="4"/>
  <c r="CB1226" i="4" s="1"/>
  <c r="BZ1238" i="4"/>
  <c r="CB1238" i="4" s="1"/>
  <c r="BZ1250" i="4"/>
  <c r="CB1250" i="4" s="1"/>
  <c r="BZ1262" i="4"/>
  <c r="CB1262" i="4" s="1"/>
  <c r="BZ1274" i="4"/>
  <c r="CB1274" i="4" s="1"/>
  <c r="BZ1286" i="4"/>
  <c r="CB1286" i="4" s="1"/>
  <c r="BS1291" i="4"/>
  <c r="BS1279" i="4"/>
  <c r="BS1267" i="4"/>
  <c r="BS1255" i="4"/>
  <c r="BS1243" i="4"/>
  <c r="BS1231" i="4"/>
  <c r="BS1219" i="4"/>
  <c r="BS1207" i="4"/>
  <c r="BZ1215" i="4"/>
  <c r="CB1215" i="4" s="1"/>
  <c r="BZ1227" i="4"/>
  <c r="CB1227" i="4" s="1"/>
  <c r="BZ1239" i="4"/>
  <c r="CB1239" i="4" s="1"/>
  <c r="BZ1251" i="4"/>
  <c r="CB1251" i="4" s="1"/>
  <c r="BZ1263" i="4"/>
  <c r="CB1263" i="4" s="1"/>
  <c r="BZ1275" i="4"/>
  <c r="CB1275" i="4" s="1"/>
  <c r="BZ1287" i="4"/>
  <c r="CB1287" i="4" s="1"/>
  <c r="BS1290" i="4"/>
  <c r="BS1278" i="4"/>
  <c r="CA1278" i="4" s="1"/>
  <c r="BS1266" i="4"/>
  <c r="BS1254" i="4"/>
  <c r="BS1242" i="4"/>
  <c r="BS1230" i="4"/>
  <c r="BS1218" i="4"/>
  <c r="BS1206" i="4"/>
  <c r="BZ694" i="4"/>
  <c r="CB694" i="4" s="1"/>
  <c r="BZ1216" i="4"/>
  <c r="CB1216" i="4" s="1"/>
  <c r="BZ1228" i="4"/>
  <c r="CB1228" i="4" s="1"/>
  <c r="BZ1240" i="4"/>
  <c r="CB1240" i="4" s="1"/>
  <c r="BZ1252" i="4"/>
  <c r="CB1252" i="4" s="1"/>
  <c r="BZ1264" i="4"/>
  <c r="CB1264" i="4" s="1"/>
  <c r="BZ1276" i="4"/>
  <c r="CB1276" i="4" s="1"/>
  <c r="BZ1288" i="4"/>
  <c r="CB1288" i="4" s="1"/>
  <c r="BS1289" i="4"/>
  <c r="BS1277" i="4"/>
  <c r="BS1265" i="4"/>
  <c r="BS1253" i="4"/>
  <c r="BS1241" i="4"/>
  <c r="BS1229" i="4"/>
  <c r="BS1217" i="4"/>
  <c r="BZ1217" i="4"/>
  <c r="CB1217" i="4" s="1"/>
  <c r="BZ1229" i="4"/>
  <c r="CB1229" i="4" s="1"/>
  <c r="BZ1241" i="4"/>
  <c r="CB1241" i="4" s="1"/>
  <c r="BZ1253" i="4"/>
  <c r="CB1253" i="4" s="1"/>
  <c r="BZ1265" i="4"/>
  <c r="CB1265" i="4" s="1"/>
  <c r="BZ1277" i="4"/>
  <c r="CB1277" i="4" s="1"/>
  <c r="BZ1289" i="4"/>
  <c r="CB1289" i="4" s="1"/>
  <c r="BS1288" i="4"/>
  <c r="BS1276" i="4"/>
  <c r="BS1264" i="4"/>
  <c r="BS1252" i="4"/>
  <c r="BS1240" i="4"/>
  <c r="BS1228" i="4"/>
  <c r="BS1216" i="4"/>
  <c r="BZ1272" i="4"/>
  <c r="CB1272" i="4" s="1"/>
  <c r="BZ1206" i="4"/>
  <c r="CB1206" i="4" s="1"/>
  <c r="BZ1218" i="4"/>
  <c r="CB1218" i="4" s="1"/>
  <c r="BZ1230" i="4"/>
  <c r="CB1230" i="4" s="1"/>
  <c r="BZ1242" i="4"/>
  <c r="CB1242" i="4" s="1"/>
  <c r="BZ1254" i="4"/>
  <c r="CB1254" i="4" s="1"/>
  <c r="BZ1266" i="4"/>
  <c r="CB1266" i="4" s="1"/>
  <c r="BZ1278" i="4"/>
  <c r="CB1278" i="4" s="1"/>
  <c r="BZ1290" i="4"/>
  <c r="CB1290" i="4" s="1"/>
  <c r="BS1287" i="4"/>
  <c r="BS1275" i="4"/>
  <c r="BS1263" i="4"/>
  <c r="BS1251" i="4"/>
  <c r="BS1239" i="4"/>
  <c r="CA1239" i="4" s="1"/>
  <c r="BS1227" i="4"/>
  <c r="BS1215" i="4"/>
  <c r="BZ1284" i="4"/>
  <c r="CB1284" i="4" s="1"/>
  <c r="BZ1207" i="4"/>
  <c r="CB1207" i="4" s="1"/>
  <c r="BZ1219" i="4"/>
  <c r="CB1219" i="4" s="1"/>
  <c r="BZ1231" i="4"/>
  <c r="CB1231" i="4" s="1"/>
  <c r="BZ1243" i="4"/>
  <c r="CB1243" i="4" s="1"/>
  <c r="BZ1255" i="4"/>
  <c r="CB1255" i="4" s="1"/>
  <c r="BZ1267" i="4"/>
  <c r="CB1267" i="4" s="1"/>
  <c r="BZ1279" i="4"/>
  <c r="CB1279" i="4" s="1"/>
  <c r="BZ1291" i="4"/>
  <c r="CB1291" i="4" s="1"/>
  <c r="BS1286" i="4"/>
  <c r="BS1274" i="4"/>
  <c r="BS1262" i="4"/>
  <c r="BS1250" i="4"/>
  <c r="BS1238" i="4"/>
  <c r="BS1226" i="4"/>
  <c r="BS1214" i="4"/>
  <c r="BZ1208" i="4"/>
  <c r="CB1208" i="4" s="1"/>
  <c r="BZ1220" i="4"/>
  <c r="CB1220" i="4" s="1"/>
  <c r="BZ1232" i="4"/>
  <c r="CB1232" i="4" s="1"/>
  <c r="BZ1244" i="4"/>
  <c r="CB1244" i="4" s="1"/>
  <c r="BZ1256" i="4"/>
  <c r="CB1256" i="4" s="1"/>
  <c r="BZ1268" i="4"/>
  <c r="CB1268" i="4" s="1"/>
  <c r="BZ1280" i="4"/>
  <c r="CB1280" i="4" s="1"/>
  <c r="BZ1292" i="4"/>
  <c r="CB1292" i="4" s="1"/>
  <c r="BS1285" i="4"/>
  <c r="BS1273" i="4"/>
  <c r="BS1261" i="4"/>
  <c r="BS1249" i="4"/>
  <c r="BS1237" i="4"/>
  <c r="BS1225" i="4"/>
  <c r="BS1213" i="4"/>
  <c r="BZ1260" i="4"/>
  <c r="CB1260" i="4" s="1"/>
  <c r="BZ1209" i="4"/>
  <c r="CB1209" i="4" s="1"/>
  <c r="BZ1221" i="4"/>
  <c r="CB1221" i="4" s="1"/>
  <c r="BZ1233" i="4"/>
  <c r="CB1233" i="4" s="1"/>
  <c r="BZ1245" i="4"/>
  <c r="CB1245" i="4" s="1"/>
  <c r="BZ1257" i="4"/>
  <c r="CB1257" i="4" s="1"/>
  <c r="BZ1269" i="4"/>
  <c r="CB1269" i="4" s="1"/>
  <c r="BZ1281" i="4"/>
  <c r="CB1281" i="4" s="1"/>
  <c r="BZ1293" i="4"/>
  <c r="CB1293" i="4" s="1"/>
  <c r="BS1284" i="4"/>
  <c r="BS1272" i="4"/>
  <c r="BS1260" i="4"/>
  <c r="BS1248" i="4"/>
  <c r="BS1236" i="4"/>
  <c r="BS1224" i="4"/>
  <c r="BS1212" i="4"/>
  <c r="BZ1210" i="4"/>
  <c r="CB1210" i="4" s="1"/>
  <c r="BZ1222" i="4"/>
  <c r="CB1222" i="4" s="1"/>
  <c r="BZ1234" i="4"/>
  <c r="CB1234" i="4" s="1"/>
  <c r="BZ1246" i="4"/>
  <c r="CB1246" i="4" s="1"/>
  <c r="BZ1258" i="4"/>
  <c r="CB1258" i="4" s="1"/>
  <c r="BZ1270" i="4"/>
  <c r="CB1270" i="4" s="1"/>
  <c r="BZ1282" i="4"/>
  <c r="CB1282" i="4" s="1"/>
  <c r="BZ1294" i="4"/>
  <c r="CB1294" i="4" s="1"/>
  <c r="BS1283" i="4"/>
  <c r="BS1271" i="4"/>
  <c r="BS1259" i="4"/>
  <c r="BS1247" i="4"/>
  <c r="BS1235" i="4"/>
  <c r="BS1223" i="4"/>
  <c r="BS1211" i="4"/>
  <c r="BZ1211" i="4"/>
  <c r="CB1211" i="4" s="1"/>
  <c r="BZ1223" i="4"/>
  <c r="CB1223" i="4" s="1"/>
  <c r="BZ1235" i="4"/>
  <c r="CB1235" i="4" s="1"/>
  <c r="BZ1247" i="4"/>
  <c r="CB1247" i="4" s="1"/>
  <c r="BZ1259" i="4"/>
  <c r="CB1259" i="4" s="1"/>
  <c r="BZ1271" i="4"/>
  <c r="CB1271" i="4" s="1"/>
  <c r="BZ1283" i="4"/>
  <c r="CB1283" i="4" s="1"/>
  <c r="BS1294" i="4"/>
  <c r="BS1282" i="4"/>
  <c r="BS1270" i="4"/>
  <c r="BS1258" i="4"/>
  <c r="BS1246" i="4"/>
  <c r="BS1234" i="4"/>
  <c r="BS1222" i="4"/>
  <c r="BS1210" i="4"/>
  <c r="BZ1212" i="4"/>
  <c r="CB1212" i="4" s="1"/>
  <c r="BZ1224" i="4"/>
  <c r="CB1224" i="4" s="1"/>
  <c r="BZ1236" i="4"/>
  <c r="CB1236" i="4" s="1"/>
  <c r="BZ1248" i="4"/>
  <c r="CB1248" i="4" s="1"/>
  <c r="BZ1213" i="4"/>
  <c r="CB1213" i="4" s="1"/>
  <c r="BZ1225" i="4"/>
  <c r="CB1225" i="4" s="1"/>
  <c r="BZ1237" i="4"/>
  <c r="CB1237" i="4" s="1"/>
  <c r="BZ1249" i="4"/>
  <c r="CB1249" i="4" s="1"/>
  <c r="BZ1261" i="4"/>
  <c r="CB1261" i="4" s="1"/>
  <c r="BZ1273" i="4"/>
  <c r="CB1273" i="4" s="1"/>
  <c r="BZ1285" i="4"/>
  <c r="CB1285" i="4" s="1"/>
  <c r="BS1292" i="4"/>
  <c r="BS1280" i="4"/>
  <c r="BS1268" i="4"/>
  <c r="BS1256" i="4"/>
  <c r="BS1244" i="4"/>
  <c r="BS1232" i="4"/>
  <c r="BS1220" i="4"/>
  <c r="BS1208" i="4"/>
  <c r="BY1291" i="4"/>
  <c r="BY1279" i="4"/>
  <c r="BY1267" i="4"/>
  <c r="BY1255" i="4"/>
  <c r="BY1243" i="4"/>
  <c r="BY1231" i="4"/>
  <c r="BY1219" i="4"/>
  <c r="BY1207" i="4"/>
  <c r="BY1288" i="4"/>
  <c r="BY1276" i="4"/>
  <c r="BY1264" i="4"/>
  <c r="BY1252" i="4"/>
  <c r="BY1240" i="4"/>
  <c r="BY1228" i="4"/>
  <c r="BY1216" i="4"/>
  <c r="BY1285" i="4"/>
  <c r="BY1283" i="4"/>
  <c r="BY1271" i="4"/>
  <c r="BY1247" i="4"/>
  <c r="BY1235" i="4"/>
  <c r="BY1223" i="4"/>
  <c r="BY1211" i="4"/>
  <c r="BY1292" i="4"/>
  <c r="BY1280" i="4"/>
  <c r="BY1268" i="4"/>
  <c r="BY1256" i="4"/>
  <c r="BY1244" i="4"/>
  <c r="BY1232" i="4"/>
  <c r="BY1220" i="4"/>
  <c r="BY1208" i="4"/>
  <c r="BY1289" i="4"/>
  <c r="BY1265" i="4"/>
  <c r="BY1253" i="4"/>
  <c r="BY1229" i="4"/>
  <c r="BY1217" i="4"/>
  <c r="BY1274" i="4"/>
  <c r="BY1262" i="4"/>
  <c r="BY1250" i="4"/>
  <c r="BY1238" i="4"/>
  <c r="BY1226" i="4"/>
  <c r="BY1214" i="4"/>
  <c r="BY1273" i="4"/>
  <c r="BY1261" i="4"/>
  <c r="BY1249" i="4"/>
  <c r="BY1237" i="4"/>
  <c r="BY1225" i="4"/>
  <c r="BY1213" i="4"/>
  <c r="BY1290" i="4"/>
  <c r="BY1266" i="4"/>
  <c r="BY1230" i="4"/>
  <c r="BY1260" i="4"/>
  <c r="BY1224" i="4"/>
  <c r="BY1281" i="4"/>
  <c r="BY1245" i="4"/>
  <c r="BY1209" i="4"/>
  <c r="BY1251" i="4"/>
  <c r="BY1215" i="4"/>
  <c r="BY1259" i="4"/>
  <c r="BY1277" i="4"/>
  <c r="BY1241" i="4"/>
  <c r="BH595" i="4"/>
  <c r="CD595" i="4" s="1"/>
  <c r="BH960" i="4"/>
  <c r="CD960" i="4" s="1"/>
  <c r="BH466" i="4"/>
  <c r="CD466" i="4" s="1"/>
  <c r="BH467" i="4"/>
  <c r="CD467" i="4" s="1"/>
  <c r="BH221" i="4"/>
  <c r="CD221" i="4" s="1"/>
  <c r="BH41" i="4"/>
  <c r="CD41" i="4" s="1"/>
  <c r="BH756" i="4"/>
  <c r="CD756" i="4" s="1"/>
  <c r="BH468" i="4"/>
  <c r="CD468" i="4" s="1"/>
  <c r="BH596" i="4"/>
  <c r="CD596" i="4" s="1"/>
  <c r="BH469" i="4"/>
  <c r="CD469" i="4" s="1"/>
  <c r="BH470" i="4"/>
  <c r="CD470" i="4" s="1"/>
  <c r="BH222" i="4"/>
  <c r="CD222" i="4" s="1"/>
  <c r="BH943" i="4"/>
  <c r="CD943" i="4" s="1"/>
  <c r="BH223" i="4"/>
  <c r="CD223" i="4" s="1"/>
  <c r="BH224" i="4"/>
  <c r="CD224" i="4" s="1"/>
  <c r="BH225" i="4"/>
  <c r="CD225" i="4" s="1"/>
  <c r="BH226" i="4"/>
  <c r="CD226" i="4" s="1"/>
  <c r="BH934" i="4"/>
  <c r="CD934" i="4" s="1"/>
  <c r="BH108" i="4"/>
  <c r="CD108" i="4" s="1"/>
  <c r="BH471" i="4"/>
  <c r="CD471" i="4" s="1"/>
  <c r="BH227" i="4"/>
  <c r="CD227" i="4" s="1"/>
  <c r="BH42" i="4"/>
  <c r="CD42" i="4" s="1"/>
  <c r="BH7" i="4"/>
  <c r="CD7" i="4" s="1"/>
  <c r="BH635" i="4"/>
  <c r="CD635" i="4" s="1"/>
  <c r="BH109" i="4"/>
  <c r="CD109" i="4" s="1"/>
  <c r="BH907" i="4"/>
  <c r="CD907" i="4" s="1"/>
  <c r="BH850" i="4"/>
  <c r="CD850" i="4" s="1"/>
  <c r="BH472" i="4"/>
  <c r="CD472" i="4" s="1"/>
  <c r="BH1023" i="4"/>
  <c r="CD1023" i="4" s="1"/>
  <c r="BH964" i="4"/>
  <c r="CD964" i="4" s="1"/>
  <c r="BH473" i="4"/>
  <c r="CD473" i="4" s="1"/>
  <c r="BH955" i="4"/>
  <c r="CD955" i="4" s="1"/>
  <c r="BH692" i="4"/>
  <c r="CD692" i="4" s="1"/>
  <c r="BH474" i="4"/>
  <c r="CD474" i="4" s="1"/>
  <c r="BH110" i="4"/>
  <c r="CD110" i="4" s="1"/>
  <c r="BH693" i="4"/>
  <c r="CD693" i="4" s="1"/>
  <c r="BI595" i="4"/>
  <c r="BT595" i="4" s="1"/>
  <c r="BI960" i="4"/>
  <c r="BT960" i="4" s="1"/>
  <c r="BI466" i="4"/>
  <c r="BT466" i="4" s="1"/>
  <c r="BI467" i="4"/>
  <c r="BT467" i="4" s="1"/>
  <c r="BI221" i="4"/>
  <c r="BT221" i="4" s="1"/>
  <c r="BI41" i="4"/>
  <c r="BT41" i="4" s="1"/>
  <c r="BI756" i="4"/>
  <c r="BT756" i="4" s="1"/>
  <c r="BI468" i="4"/>
  <c r="BT468" i="4" s="1"/>
  <c r="BI596" i="4"/>
  <c r="BT596" i="4" s="1"/>
  <c r="BI469" i="4"/>
  <c r="BT469" i="4" s="1"/>
  <c r="BI470" i="4"/>
  <c r="BT470" i="4" s="1"/>
  <c r="BI222" i="4"/>
  <c r="BT222" i="4" s="1"/>
  <c r="BI943" i="4"/>
  <c r="BT943" i="4" s="1"/>
  <c r="BI223" i="4"/>
  <c r="BT223" i="4" s="1"/>
  <c r="BI224" i="4"/>
  <c r="BT224" i="4" s="1"/>
  <c r="BI225" i="4"/>
  <c r="BT225" i="4" s="1"/>
  <c r="BI226" i="4"/>
  <c r="BT226" i="4" s="1"/>
  <c r="BI934" i="4"/>
  <c r="BT934" i="4" s="1"/>
  <c r="BI108" i="4"/>
  <c r="BT108" i="4" s="1"/>
  <c r="BI471" i="4"/>
  <c r="BT471" i="4" s="1"/>
  <c r="BI227" i="4"/>
  <c r="BT227" i="4" s="1"/>
  <c r="BI42" i="4"/>
  <c r="BT42" i="4" s="1"/>
  <c r="BI7" i="4"/>
  <c r="BT7" i="4" s="1"/>
  <c r="BI635" i="4"/>
  <c r="BT635" i="4" s="1"/>
  <c r="BI109" i="4"/>
  <c r="BT109" i="4" s="1"/>
  <c r="BI907" i="4"/>
  <c r="BT907" i="4" s="1"/>
  <c r="BI850" i="4"/>
  <c r="BT850" i="4" s="1"/>
  <c r="BI472" i="4"/>
  <c r="BT472" i="4" s="1"/>
  <c r="BI1023" i="4"/>
  <c r="BT1023" i="4" s="1"/>
  <c r="BI964" i="4"/>
  <c r="BT964" i="4" s="1"/>
  <c r="BI473" i="4"/>
  <c r="BT473" i="4" s="1"/>
  <c r="BI955" i="4"/>
  <c r="BT955" i="4" s="1"/>
  <c r="BI692" i="4"/>
  <c r="BT692" i="4" s="1"/>
  <c r="BI474" i="4"/>
  <c r="BT474" i="4" s="1"/>
  <c r="BI110" i="4"/>
  <c r="BT110" i="4" s="1"/>
  <c r="BI693" i="4"/>
  <c r="BT693" i="4" s="1"/>
  <c r="BM595" i="4"/>
  <c r="BM960" i="4"/>
  <c r="BM466" i="4"/>
  <c r="BM467" i="4"/>
  <c r="BM221" i="4"/>
  <c r="BM41" i="4"/>
  <c r="BM756" i="4"/>
  <c r="BM468" i="4"/>
  <c r="BM596" i="4"/>
  <c r="BM469" i="4"/>
  <c r="BM470" i="4"/>
  <c r="BM222" i="4"/>
  <c r="BM943" i="4"/>
  <c r="BM223" i="4"/>
  <c r="BM224" i="4"/>
  <c r="BM225" i="4"/>
  <c r="BM226" i="4"/>
  <c r="BM934" i="4"/>
  <c r="BM108" i="4"/>
  <c r="BM471" i="4"/>
  <c r="BM227" i="4"/>
  <c r="BM42" i="4"/>
  <c r="BM7" i="4"/>
  <c r="BM635" i="4"/>
  <c r="BM109" i="4"/>
  <c r="BM907" i="4"/>
  <c r="BM850" i="4"/>
  <c r="BM472" i="4"/>
  <c r="BM1023" i="4"/>
  <c r="BM964" i="4"/>
  <c r="BM473" i="4"/>
  <c r="BM955" i="4"/>
  <c r="BM692" i="4"/>
  <c r="BM474" i="4"/>
  <c r="BM110" i="4"/>
  <c r="BM693" i="4"/>
  <c r="BN595" i="4"/>
  <c r="BN960" i="4"/>
  <c r="BN466" i="4"/>
  <c r="BN467" i="4"/>
  <c r="BN221" i="4"/>
  <c r="BN41" i="4"/>
  <c r="BN756" i="4"/>
  <c r="BN468" i="4"/>
  <c r="BN596" i="4"/>
  <c r="BN469" i="4"/>
  <c r="BN470" i="4"/>
  <c r="BN222" i="4"/>
  <c r="BN943" i="4"/>
  <c r="BN223" i="4"/>
  <c r="BN224" i="4"/>
  <c r="BN225" i="4"/>
  <c r="BN226" i="4"/>
  <c r="BN934" i="4"/>
  <c r="BN108" i="4"/>
  <c r="BN471" i="4"/>
  <c r="BN227" i="4"/>
  <c r="BN42" i="4"/>
  <c r="BN7" i="4"/>
  <c r="BN635" i="4"/>
  <c r="BN109" i="4"/>
  <c r="BN907" i="4"/>
  <c r="BN850" i="4"/>
  <c r="BN472" i="4"/>
  <c r="BN1023" i="4"/>
  <c r="BN964" i="4"/>
  <c r="BN473" i="4"/>
  <c r="BN955" i="4"/>
  <c r="BN692" i="4"/>
  <c r="BN474" i="4"/>
  <c r="BN110" i="4"/>
  <c r="BN693" i="4"/>
  <c r="BO595" i="4"/>
  <c r="BO960" i="4"/>
  <c r="BO466" i="4"/>
  <c r="BO467" i="4"/>
  <c r="BO221" i="4"/>
  <c r="BO41" i="4"/>
  <c r="BO756" i="4"/>
  <c r="BO468" i="4"/>
  <c r="BO596" i="4"/>
  <c r="BO469" i="4"/>
  <c r="BO470" i="4"/>
  <c r="BO222" i="4"/>
  <c r="BO943" i="4"/>
  <c r="BO223" i="4"/>
  <c r="BO224" i="4"/>
  <c r="BO225" i="4"/>
  <c r="BO226" i="4"/>
  <c r="BO934" i="4"/>
  <c r="BO108" i="4"/>
  <c r="BO471" i="4"/>
  <c r="BO227" i="4"/>
  <c r="BO42" i="4"/>
  <c r="BO7" i="4"/>
  <c r="BO635" i="4"/>
  <c r="BO109" i="4"/>
  <c r="BO907" i="4"/>
  <c r="BO850" i="4"/>
  <c r="BO472" i="4"/>
  <c r="BO1023" i="4"/>
  <c r="BO964" i="4"/>
  <c r="BO473" i="4"/>
  <c r="BO955" i="4"/>
  <c r="BO692" i="4"/>
  <c r="BO474" i="4"/>
  <c r="BO110" i="4"/>
  <c r="BO693" i="4"/>
  <c r="BP595" i="4"/>
  <c r="BP960" i="4"/>
  <c r="BP466" i="4"/>
  <c r="BP467" i="4"/>
  <c r="BP221" i="4"/>
  <c r="BP41" i="4"/>
  <c r="BP756" i="4"/>
  <c r="BP468" i="4"/>
  <c r="BP596" i="4"/>
  <c r="BP469" i="4"/>
  <c r="BP470" i="4"/>
  <c r="BP222" i="4"/>
  <c r="BP943" i="4"/>
  <c r="BP223" i="4"/>
  <c r="BP224" i="4"/>
  <c r="BP225" i="4"/>
  <c r="BP226" i="4"/>
  <c r="BP934" i="4"/>
  <c r="BP108" i="4"/>
  <c r="BP471" i="4"/>
  <c r="BP227" i="4"/>
  <c r="BP42" i="4"/>
  <c r="BP7" i="4"/>
  <c r="BP635" i="4"/>
  <c r="BP109" i="4"/>
  <c r="BP907" i="4"/>
  <c r="BP850" i="4"/>
  <c r="BP472" i="4"/>
  <c r="BP1023" i="4"/>
  <c r="BP964" i="4"/>
  <c r="BP473" i="4"/>
  <c r="BP955" i="4"/>
  <c r="BP692" i="4"/>
  <c r="BP474" i="4"/>
  <c r="BP110" i="4"/>
  <c r="BP693" i="4"/>
  <c r="BR595" i="4"/>
  <c r="BR960" i="4"/>
  <c r="BR466" i="4"/>
  <c r="BR467" i="4"/>
  <c r="BR221" i="4"/>
  <c r="BR41" i="4"/>
  <c r="BR756" i="4"/>
  <c r="BR468" i="4"/>
  <c r="BR596" i="4"/>
  <c r="BR469" i="4"/>
  <c r="BR470" i="4"/>
  <c r="BR222" i="4"/>
  <c r="BR943" i="4"/>
  <c r="BR223" i="4"/>
  <c r="BR224" i="4"/>
  <c r="BR225" i="4"/>
  <c r="BR226" i="4"/>
  <c r="BR934" i="4"/>
  <c r="BR108" i="4"/>
  <c r="BR471" i="4"/>
  <c r="BR227" i="4"/>
  <c r="BR42" i="4"/>
  <c r="BR7" i="4"/>
  <c r="BR635" i="4"/>
  <c r="BR109" i="4"/>
  <c r="BR907" i="4"/>
  <c r="BR850" i="4"/>
  <c r="BR472" i="4"/>
  <c r="BR1023" i="4"/>
  <c r="BR964" i="4"/>
  <c r="BR473" i="4"/>
  <c r="BR955" i="4"/>
  <c r="BR692" i="4"/>
  <c r="BR474" i="4"/>
  <c r="BR110" i="4"/>
  <c r="BR693" i="4"/>
  <c r="BY468" i="4"/>
  <c r="BR695" i="4"/>
  <c r="BR908" i="4"/>
  <c r="BR696" i="4"/>
  <c r="BR909" i="4"/>
  <c r="BR228" i="4"/>
  <c r="BR638" i="4"/>
  <c r="BR639" i="4"/>
  <c r="BR229" i="4"/>
  <c r="BR851" i="4"/>
  <c r="BR230" i="4"/>
  <c r="BR697" i="4"/>
  <c r="BR554" i="4"/>
  <c r="BR1093" i="4"/>
  <c r="BR1073" i="4"/>
  <c r="BR111" i="4"/>
  <c r="BR112" i="4"/>
  <c r="BR113" i="4"/>
  <c r="BR114" i="4"/>
  <c r="BR1161" i="4"/>
  <c r="BR885" i="4"/>
  <c r="BR475" i="4"/>
  <c r="BR935" i="4"/>
  <c r="BR640" i="4"/>
  <c r="BR785" i="4"/>
  <c r="BR1162" i="4"/>
  <c r="BR231" i="4"/>
  <c r="BR1185" i="4"/>
  <c r="BR910" i="4"/>
  <c r="BR150" i="4"/>
  <c r="BR43" i="4"/>
  <c r="BR1203" i="4"/>
  <c r="BR1097" i="4"/>
  <c r="BR151" i="4"/>
  <c r="BR1002" i="4"/>
  <c r="BR911" i="4"/>
  <c r="BR1117" i="4"/>
  <c r="BR81" i="4"/>
  <c r="BR1046" i="4"/>
  <c r="BR912" i="4"/>
  <c r="BR476" i="4"/>
  <c r="BR1047" i="4"/>
  <c r="BR913" i="4"/>
  <c r="BR886" i="4"/>
  <c r="BR44" i="4"/>
  <c r="BR983" i="4"/>
  <c r="BR990" i="4"/>
  <c r="BR1009" i="4"/>
  <c r="BR1193" i="4"/>
  <c r="BR232" i="4"/>
  <c r="BR61" i="4"/>
  <c r="BR1121" i="4"/>
  <c r="BR477" i="4"/>
  <c r="BR152" i="4"/>
  <c r="BR1119" i="4"/>
  <c r="BR1048" i="4"/>
  <c r="BR956" i="4"/>
  <c r="BR1062" i="4"/>
  <c r="BR478" i="4"/>
  <c r="BR233" i="4"/>
  <c r="BR555" i="4"/>
  <c r="BR698" i="4"/>
  <c r="BR757" i="4"/>
  <c r="BR82" i="4"/>
  <c r="BR887" i="4"/>
  <c r="BR83" i="4"/>
  <c r="BR1205" i="4"/>
  <c r="BR1063" i="4"/>
  <c r="BR153" i="4"/>
  <c r="BR1155" i="4"/>
  <c r="BR1144" i="4"/>
  <c r="BR1181" i="4"/>
  <c r="BR234" i="4"/>
  <c r="BR235" i="4"/>
  <c r="BR1178" i="4"/>
  <c r="BR115" i="4"/>
  <c r="BR236" i="4"/>
  <c r="BR154" i="4"/>
  <c r="BR1010" i="4"/>
  <c r="BR479" i="4"/>
  <c r="BR480" i="4"/>
  <c r="BR116" i="4"/>
  <c r="BR786" i="4"/>
  <c r="BR117" i="4"/>
  <c r="BR237" i="4"/>
  <c r="BR968" i="4"/>
  <c r="BR8" i="4"/>
  <c r="BR481" i="4"/>
  <c r="BR9" i="4"/>
  <c r="BR1147" i="4"/>
  <c r="BR1204" i="4"/>
  <c r="BR1190" i="4"/>
  <c r="BR482" i="4"/>
  <c r="BR1166" i="4"/>
  <c r="BR1042" i="4"/>
  <c r="BR787" i="4"/>
  <c r="BR1049" i="4"/>
  <c r="BR238" i="4"/>
  <c r="BR699" i="4"/>
  <c r="BR239" i="4"/>
  <c r="BR888" i="4"/>
  <c r="BR27" i="4"/>
  <c r="BR597" i="4"/>
  <c r="BR788" i="4"/>
  <c r="BR10" i="4"/>
  <c r="BR556" i="4"/>
  <c r="BR11" i="4"/>
  <c r="BR240" i="4"/>
  <c r="BR1122" i="4"/>
  <c r="BR865" i="4"/>
  <c r="BR1110" i="4"/>
  <c r="BR155" i="4"/>
  <c r="BR1043" i="4"/>
  <c r="BR700" i="4"/>
  <c r="BR1153" i="4"/>
  <c r="BR483" i="4"/>
  <c r="BR784" i="4"/>
  <c r="BR62" i="4"/>
  <c r="BR241" i="4"/>
  <c r="BR156" i="4"/>
  <c r="BR45" i="4"/>
  <c r="BR1170" i="4"/>
  <c r="BR63" i="4"/>
  <c r="BR641" i="4"/>
  <c r="BR157" i="4"/>
  <c r="BR242" i="4"/>
  <c r="BR978" i="4"/>
  <c r="BR701" i="4"/>
  <c r="BR1120" i="4"/>
  <c r="BR243" i="4"/>
  <c r="BR1024" i="4"/>
  <c r="BR889" i="4"/>
  <c r="BR789" i="4"/>
  <c r="BR880" i="4"/>
  <c r="BR118" i="4"/>
  <c r="BR890" i="4"/>
  <c r="BR642" i="4"/>
  <c r="BR1067" i="4"/>
  <c r="BR643" i="4"/>
  <c r="BR244" i="4"/>
  <c r="BR1050" i="4"/>
  <c r="BR158" i="4"/>
  <c r="BR557" i="4"/>
  <c r="BR891" i="4"/>
  <c r="BR1084" i="4"/>
  <c r="BR892" i="4"/>
  <c r="BR245" i="4"/>
  <c r="BR893" i="4"/>
  <c r="BR1173" i="4"/>
  <c r="BR1123" i="4"/>
  <c r="BR702" i="4"/>
  <c r="BR703" i="4"/>
  <c r="BR1029" i="4"/>
  <c r="BR644" i="4"/>
  <c r="BR944" i="4"/>
  <c r="BR704" i="4"/>
  <c r="BR645" i="4"/>
  <c r="BR705" i="4"/>
  <c r="BR706" i="4"/>
  <c r="BR969" i="4"/>
  <c r="BR246" i="4"/>
  <c r="BR1051" i="4"/>
  <c r="BR1183" i="4"/>
  <c r="BR247" i="4"/>
  <c r="BR1030" i="4"/>
  <c r="BR646" i="4"/>
  <c r="BR984" i="4"/>
  <c r="BR985" i="4"/>
  <c r="BR707" i="4"/>
  <c r="BR1031" i="4"/>
  <c r="BR248" i="4"/>
  <c r="BR484" i="4"/>
  <c r="BR881" i="4"/>
  <c r="BR1032" i="4"/>
  <c r="BR1003" i="4"/>
  <c r="BR1033" i="4"/>
  <c r="BR249" i="4"/>
  <c r="BR914" i="4"/>
  <c r="BR1034" i="4"/>
  <c r="BR647" i="4"/>
  <c r="BR1052" i="4"/>
  <c r="BR915" i="4"/>
  <c r="BR1105" i="4"/>
  <c r="BR159" i="4"/>
  <c r="BR648" i="4"/>
  <c r="BR1089" i="4"/>
  <c r="BR1035" i="4"/>
  <c r="BR894" i="4"/>
  <c r="BR250" i="4"/>
  <c r="BR251" i="4"/>
  <c r="BR1053" i="4"/>
  <c r="BR485" i="4"/>
  <c r="BR1036" i="4"/>
  <c r="BR486" i="4"/>
  <c r="BR12" i="4"/>
  <c r="BR1004" i="4"/>
  <c r="BR1079" i="4"/>
  <c r="BR160" i="4"/>
  <c r="BR895" i="4"/>
  <c r="BR252" i="4"/>
  <c r="BR649" i="4"/>
  <c r="BR487" i="4"/>
  <c r="BR84" i="4"/>
  <c r="BR965" i="4"/>
  <c r="BR1068" i="4"/>
  <c r="BR488" i="4"/>
  <c r="BR970" i="4"/>
  <c r="BR896" i="4"/>
  <c r="BR650" i="4"/>
  <c r="BR46" i="4"/>
  <c r="BR897" i="4"/>
  <c r="BR708" i="4"/>
  <c r="BR253" i="4"/>
  <c r="BR927" i="4"/>
  <c r="BR1005" i="4"/>
  <c r="BR1165" i="4"/>
  <c r="BR1006" i="4"/>
  <c r="BR1011" i="4"/>
  <c r="BR916" i="4"/>
  <c r="BR1182" i="4"/>
  <c r="BR254" i="4"/>
  <c r="BR898" i="4"/>
  <c r="BR971" i="4"/>
  <c r="BR161" i="4"/>
  <c r="BR991" i="4"/>
  <c r="BR1164" i="4"/>
  <c r="BR47" i="4"/>
  <c r="BR709" i="4"/>
  <c r="BR1187" i="4"/>
  <c r="BR255" i="4"/>
  <c r="BR866" i="4"/>
  <c r="BR1012" i="4"/>
  <c r="BR992" i="4"/>
  <c r="BR945" i="4"/>
  <c r="BR758" i="4"/>
  <c r="BR993" i="4"/>
  <c r="BR598" i="4"/>
  <c r="BR1197" i="4"/>
  <c r="BR256" i="4"/>
  <c r="BR1140" i="4"/>
  <c r="BR28" i="4"/>
  <c r="BR946" i="4"/>
  <c r="BR1054" i="4"/>
  <c r="BR994" i="4"/>
  <c r="BR1094" i="4"/>
  <c r="BR257" i="4"/>
  <c r="BR995" i="4"/>
  <c r="BR759" i="4"/>
  <c r="BR258" i="4"/>
  <c r="BR1071" i="4"/>
  <c r="BR1085" i="4"/>
  <c r="BR852" i="4"/>
  <c r="BR853" i="4"/>
  <c r="BR867" i="4"/>
  <c r="BR558" i="4"/>
  <c r="BR1025" i="4"/>
  <c r="BR1174" i="4"/>
  <c r="BR917" i="4"/>
  <c r="BR1194" i="4"/>
  <c r="BR1191" i="4"/>
  <c r="BR559" i="4"/>
  <c r="BR947" i="4"/>
  <c r="BR259" i="4"/>
  <c r="BR918" i="4"/>
  <c r="BR489" i="4"/>
  <c r="BR1039" i="4"/>
  <c r="BR919" i="4"/>
  <c r="BR1124" i="4"/>
  <c r="BR868" i="4"/>
  <c r="BR1152" i="4"/>
  <c r="BR790" i="4"/>
  <c r="BR85" i="4"/>
  <c r="BR972" i="4"/>
  <c r="BR957" i="4"/>
  <c r="BR869" i="4"/>
  <c r="BR760" i="4"/>
  <c r="BR1192" i="4"/>
  <c r="BR560" i="4"/>
  <c r="BR1090" i="4"/>
  <c r="BR920" i="4"/>
  <c r="BR1037" i="4"/>
  <c r="BR1074" i="4"/>
  <c r="BR64" i="4"/>
  <c r="BR996" i="4"/>
  <c r="BR966" i="4"/>
  <c r="BR997" i="4"/>
  <c r="BR1115" i="4"/>
  <c r="BR1184" i="4"/>
  <c r="BR1141" i="4"/>
  <c r="BR936" i="4"/>
  <c r="BR1100" i="4"/>
  <c r="BR1013" i="4"/>
  <c r="BR791" i="4"/>
  <c r="BR1026" i="4"/>
  <c r="BR1098" i="4"/>
  <c r="BR694" i="4"/>
  <c r="BR651" i="4"/>
  <c r="BR792" i="4"/>
  <c r="BR1014" i="4"/>
  <c r="BR652" i="4"/>
  <c r="BR653" i="4"/>
  <c r="BR1095" i="4"/>
  <c r="BR1069" i="4"/>
  <c r="BR260" i="4"/>
  <c r="BR1179" i="4"/>
  <c r="BR1099" i="4"/>
  <c r="BR1027" i="4"/>
  <c r="BR86" i="4"/>
  <c r="BR1125" i="4"/>
  <c r="BR599" i="4"/>
  <c r="BR710" i="4"/>
  <c r="BR1064" i="4"/>
  <c r="BR793" i="4"/>
  <c r="BR899" i="4"/>
  <c r="BR162" i="4"/>
  <c r="BR921" i="4"/>
  <c r="BR1171" i="4"/>
  <c r="BR794" i="4"/>
  <c r="BR600" i="4"/>
  <c r="BR561" i="4"/>
  <c r="BR795" i="4"/>
  <c r="BR761" i="4"/>
  <c r="BR654" i="4"/>
  <c r="BR711" i="4"/>
  <c r="BR796" i="4"/>
  <c r="BR87" i="4"/>
  <c r="BR261" i="4"/>
  <c r="BR262" i="4"/>
  <c r="BR797" i="4"/>
  <c r="BR712" i="4"/>
  <c r="BR980" i="4"/>
  <c r="BR798" i="4"/>
  <c r="BR973" i="4"/>
  <c r="BR981" i="4"/>
  <c r="BR601" i="4"/>
  <c r="BR263" i="4"/>
  <c r="BR602" i="4"/>
  <c r="BR762" i="4"/>
  <c r="BR490" i="4"/>
  <c r="BR922" i="4"/>
  <c r="BR655" i="4"/>
  <c r="BR928" i="4"/>
  <c r="BR713" i="4"/>
  <c r="BR603" i="4"/>
  <c r="BR163" i="4"/>
  <c r="BR264" i="4"/>
  <c r="BR854" i="4"/>
  <c r="BR799" i="4"/>
  <c r="BR714" i="4"/>
  <c r="BR656" i="4"/>
  <c r="BR657" i="4"/>
  <c r="BR800" i="4"/>
  <c r="BR491" i="4"/>
  <c r="BR658" i="4"/>
  <c r="BR801" i="4"/>
  <c r="BR604" i="4"/>
  <c r="BR265" i="4"/>
  <c r="BR1072" i="4"/>
  <c r="BR802" i="4"/>
  <c r="BR659" i="4"/>
  <c r="BR492" i="4"/>
  <c r="BR266" i="4"/>
  <c r="BR119" i="4"/>
  <c r="BR1126" i="4"/>
  <c r="BR870" i="4"/>
  <c r="BR493" i="4"/>
  <c r="BR803" i="4"/>
  <c r="BR605" i="4"/>
  <c r="BR929" i="4"/>
  <c r="BR660" i="4"/>
  <c r="BR1055" i="4"/>
  <c r="BR606" i="4"/>
  <c r="BR804" i="4"/>
  <c r="BR494" i="4"/>
  <c r="BR715" i="4"/>
  <c r="BR267" i="4"/>
  <c r="BR805" i="4"/>
  <c r="BR164" i="4"/>
  <c r="BR716" i="4"/>
  <c r="BR268" i="4"/>
  <c r="BR930" i="4"/>
  <c r="BR495" i="4"/>
  <c r="BR763" i="4"/>
  <c r="BR120" i="4"/>
  <c r="BR806" i="4"/>
  <c r="BR65" i="4"/>
  <c r="BR29" i="4"/>
  <c r="BR717" i="4"/>
  <c r="BR269" i="4"/>
  <c r="BR923" i="4"/>
  <c r="BR562" i="4"/>
  <c r="BR270" i="4"/>
  <c r="BR718" i="4"/>
  <c r="BR986" i="4"/>
  <c r="BR961" i="4"/>
  <c r="BR165" i="4"/>
  <c r="BR496" i="4"/>
  <c r="BR764" i="4"/>
  <c r="BR807" i="4"/>
  <c r="BR1149" i="4"/>
  <c r="BR636" i="4"/>
  <c r="BR166" i="4"/>
  <c r="BR13" i="4"/>
  <c r="BR974" i="4"/>
  <c r="BR719" i="4"/>
  <c r="BR563" i="4"/>
  <c r="BR88" i="4"/>
  <c r="BR271" i="4"/>
  <c r="BR272" i="4"/>
  <c r="BR765" i="4"/>
  <c r="BR808" i="4"/>
  <c r="BR661" i="4"/>
  <c r="BR662" i="4"/>
  <c r="BR809" i="4"/>
  <c r="BR1148" i="4"/>
  <c r="BR810" i="4"/>
  <c r="BR766" i="4"/>
  <c r="BR958" i="4"/>
  <c r="BR167" i="4"/>
  <c r="BR720" i="4"/>
  <c r="BR811" i="4"/>
  <c r="BR767" i="4"/>
  <c r="BR89" i="4"/>
  <c r="BR564" i="4"/>
  <c r="BR768" i="4"/>
  <c r="BR1056" i="4"/>
  <c r="BR812" i="4"/>
  <c r="BR663" i="4"/>
  <c r="BR813" i="4"/>
  <c r="BR273" i="4"/>
  <c r="BR121" i="4"/>
  <c r="BR721" i="4"/>
  <c r="BR122" i="4"/>
  <c r="BR123" i="4"/>
  <c r="BR814" i="4"/>
  <c r="BR815" i="4"/>
  <c r="BR274" i="4"/>
  <c r="BR900" i="4"/>
  <c r="BR1080" i="4"/>
  <c r="BR124" i="4"/>
  <c r="BR975" i="4"/>
  <c r="BR275" i="4"/>
  <c r="BR664" i="4"/>
  <c r="BR722" i="4"/>
  <c r="BR1142" i="4"/>
  <c r="BR497" i="4"/>
  <c r="BR276" i="4"/>
  <c r="BR277" i="4"/>
  <c r="BR665" i="4"/>
  <c r="BR1127" i="4"/>
  <c r="BR125" i="4"/>
  <c r="BR498" i="4"/>
  <c r="BR168" i="4"/>
  <c r="BR499" i="4"/>
  <c r="BR90" i="4"/>
  <c r="BR565" i="4"/>
  <c r="BR1128" i="4"/>
  <c r="BR278" i="4"/>
  <c r="BR279" i="4"/>
  <c r="BR280" i="4"/>
  <c r="BR91" i="4"/>
  <c r="BR1106" i="4"/>
  <c r="BR987" i="4"/>
  <c r="BR723" i="4"/>
  <c r="BR769" i="4"/>
  <c r="BR816" i="4"/>
  <c r="BR126" i="4"/>
  <c r="BR998" i="4"/>
  <c r="BR1118" i="4"/>
  <c r="BR127" i="4"/>
  <c r="BR882" i="4"/>
  <c r="BR92" i="4"/>
  <c r="BR1129" i="4"/>
  <c r="BR724" i="4"/>
  <c r="BR725" i="4"/>
  <c r="BR666" i="4"/>
  <c r="BR128" i="4"/>
  <c r="BR1130" i="4"/>
  <c r="BR281" i="4"/>
  <c r="BR817" i="4"/>
  <c r="BR726" i="4"/>
  <c r="BR282" i="4"/>
  <c r="BR727" i="4"/>
  <c r="BR1086" i="4"/>
  <c r="BR48" i="4"/>
  <c r="BR283" i="4"/>
  <c r="BR818" i="4"/>
  <c r="BR1087" i="4"/>
  <c r="BR819" i="4"/>
  <c r="BR901" i="4"/>
  <c r="BR93" i="4"/>
  <c r="BR94" i="4"/>
  <c r="BR1057" i="4"/>
  <c r="BR1007" i="4"/>
  <c r="BR284" i="4"/>
  <c r="BR1201" i="4"/>
  <c r="BR1070" i="4"/>
  <c r="BR820" i="4"/>
  <c r="BR566" i="4"/>
  <c r="BR607" i="4"/>
  <c r="BR1167" i="4"/>
  <c r="BR821" i="4"/>
  <c r="BR822" i="4"/>
  <c r="BR823" i="4"/>
  <c r="BR976" i="4"/>
  <c r="BR1131" i="4"/>
  <c r="BR871" i="4"/>
  <c r="BR49" i="4"/>
  <c r="BR931" i="4"/>
  <c r="BR824" i="4"/>
  <c r="BR1132" i="4"/>
  <c r="BR285" i="4"/>
  <c r="BR169" i="4"/>
  <c r="BR66" i="4"/>
  <c r="BR286" i="4"/>
  <c r="BR567" i="4"/>
  <c r="BR287" i="4"/>
  <c r="BR288" i="4"/>
  <c r="BR728" i="4"/>
  <c r="BR1154" i="4"/>
  <c r="BR289" i="4"/>
  <c r="BR50" i="4"/>
  <c r="BR962" i="4"/>
  <c r="BR932" i="4"/>
  <c r="BR51" i="4"/>
  <c r="BR1075" i="4"/>
  <c r="BR170" i="4"/>
  <c r="BR1133" i="4"/>
  <c r="BR129" i="4"/>
  <c r="BR1015" i="4"/>
  <c r="BR67" i="4"/>
  <c r="BR95" i="4"/>
  <c r="BR937" i="4"/>
  <c r="BR500" i="4"/>
  <c r="BR948" i="4"/>
  <c r="BR568" i="4"/>
  <c r="BR130" i="4"/>
  <c r="BR290" i="4"/>
  <c r="BR825" i="4"/>
  <c r="BR291" i="4"/>
  <c r="BR569" i="4"/>
  <c r="BR171" i="4"/>
  <c r="BR292" i="4"/>
  <c r="BR30" i="4"/>
  <c r="BR872" i="4"/>
  <c r="BR967" i="4"/>
  <c r="BR293" i="4"/>
  <c r="BR172" i="4"/>
  <c r="BR173" i="4"/>
  <c r="BR131" i="4"/>
  <c r="BR1088" i="4"/>
  <c r="BR2" i="4"/>
  <c r="BR294" i="4"/>
  <c r="BR174" i="4"/>
  <c r="BR501" i="4"/>
  <c r="BR14" i="4"/>
  <c r="BR1168" i="4"/>
  <c r="BR1188" i="4"/>
  <c r="BR1065" i="4"/>
  <c r="BR502" i="4"/>
  <c r="BR295" i="4"/>
  <c r="BR608" i="4"/>
  <c r="BR503" i="4"/>
  <c r="BR175" i="4"/>
  <c r="BR296" i="4"/>
  <c r="BR132" i="4"/>
  <c r="BR902" i="4"/>
  <c r="BR176" i="4"/>
  <c r="BR570" i="4"/>
  <c r="BR297" i="4"/>
  <c r="BR826" i="4"/>
  <c r="BR1116" i="4"/>
  <c r="BR571" i="4"/>
  <c r="BR729" i="4"/>
  <c r="BR298" i="4"/>
  <c r="BR924" i="4"/>
  <c r="BR299" i="4"/>
  <c r="BR977" i="4"/>
  <c r="BR572" i="4"/>
  <c r="BR300" i="4"/>
  <c r="BR999" i="4"/>
  <c r="BR730" i="4"/>
  <c r="BR15" i="4"/>
  <c r="BR1081" i="4"/>
  <c r="BR827" i="4"/>
  <c r="BR1145" i="4"/>
  <c r="BR96" i="4"/>
  <c r="BR1058" i="4"/>
  <c r="BR1016" i="4"/>
  <c r="BR903" i="4"/>
  <c r="BR1200" i="4"/>
  <c r="BR731" i="4"/>
  <c r="BR1109" i="4"/>
  <c r="BR1045" i="4"/>
  <c r="BR133" i="4"/>
  <c r="BR301" i="4"/>
  <c r="BR1017" i="4"/>
  <c r="BR302" i="4"/>
  <c r="BR303" i="4"/>
  <c r="BR1018" i="4"/>
  <c r="BR1169" i="4"/>
  <c r="BR304" i="4"/>
  <c r="BR305" i="4"/>
  <c r="BR504" i="4"/>
  <c r="BR306" i="4"/>
  <c r="BR3" i="4"/>
  <c r="BR307" i="4"/>
  <c r="BR68" i="4"/>
  <c r="BR177" i="4"/>
  <c r="BR573" i="4"/>
  <c r="BR1156" i="4"/>
  <c r="BR308" i="4"/>
  <c r="BR97" i="4"/>
  <c r="BR505" i="4"/>
  <c r="BR1177" i="4"/>
  <c r="BR988" i="4"/>
  <c r="BR309" i="4"/>
  <c r="BR69" i="4"/>
  <c r="BR1040" i="4"/>
  <c r="BR938" i="4"/>
  <c r="BR70" i="4"/>
  <c r="BR637" i="4"/>
  <c r="BR310" i="4"/>
  <c r="BR1134" i="4"/>
  <c r="BR311" i="4"/>
  <c r="BR1202" i="4"/>
  <c r="BR770" i="4"/>
  <c r="BR1101" i="4"/>
  <c r="BR732" i="4"/>
  <c r="BR1143" i="4"/>
  <c r="BR98" i="4"/>
  <c r="BR1135" i="4"/>
  <c r="BR828" i="4"/>
  <c r="BR506" i="4"/>
  <c r="BR667" i="4"/>
  <c r="BR99" i="4"/>
  <c r="BR609" i="4"/>
  <c r="BR507" i="4"/>
  <c r="BR100" i="4"/>
  <c r="BR1102" i="4"/>
  <c r="BR312" i="4"/>
  <c r="BR313" i="4"/>
  <c r="BR314" i="4"/>
  <c r="BR668" i="4"/>
  <c r="BR315" i="4"/>
  <c r="BR733" i="4"/>
  <c r="BR316" i="4"/>
  <c r="BR1103" i="4"/>
  <c r="BR734" i="4"/>
  <c r="BR1150" i="4"/>
  <c r="BR574" i="4"/>
  <c r="BR1111" i="4"/>
  <c r="BR1076" i="4"/>
  <c r="BR317" i="4"/>
  <c r="BR904" i="4"/>
  <c r="BR829" i="4"/>
  <c r="BR1136" i="4"/>
  <c r="BR830" i="4"/>
  <c r="BR1019" i="4"/>
  <c r="BR1195" i="4"/>
  <c r="BR318" i="4"/>
  <c r="BR735" i="4"/>
  <c r="BR178" i="4"/>
  <c r="BR669" i="4"/>
  <c r="BR134" i="4"/>
  <c r="BR319" i="4"/>
  <c r="BR883" i="4"/>
  <c r="BR320" i="4"/>
  <c r="BR321" i="4"/>
  <c r="BR322" i="4"/>
  <c r="BR16" i="4"/>
  <c r="BR323" i="4"/>
  <c r="BR508" i="4"/>
  <c r="BR324" i="4"/>
  <c r="BR831" i="4"/>
  <c r="BR509" i="4"/>
  <c r="BR325" i="4"/>
  <c r="BR1028" i="4"/>
  <c r="BR71" i="4"/>
  <c r="BR179" i="4"/>
  <c r="BR670" i="4"/>
  <c r="BR873" i="4"/>
  <c r="BR31" i="4"/>
  <c r="BR874" i="4"/>
  <c r="BR326" i="4"/>
  <c r="BR1008" i="4"/>
  <c r="BR736" i="4"/>
  <c r="BR982" i="4"/>
  <c r="BR979" i="4"/>
  <c r="BR925" i="4"/>
  <c r="BR510" i="4"/>
  <c r="BR327" i="4"/>
  <c r="BR875" i="4"/>
  <c r="BR511" i="4"/>
  <c r="BR328" i="4"/>
  <c r="BR876" i="4"/>
  <c r="BR329" i="4"/>
  <c r="BR1059" i="4"/>
  <c r="BR330" i="4"/>
  <c r="BR1175" i="4"/>
  <c r="BR1060" i="4"/>
  <c r="BR610" i="4"/>
  <c r="BR32" i="4"/>
  <c r="BR671" i="4"/>
  <c r="BR180" i="4"/>
  <c r="BR331" i="4"/>
  <c r="BR855" i="4"/>
  <c r="BR1038" i="4"/>
  <c r="BR856" i="4"/>
  <c r="BR611" i="4"/>
  <c r="BR1077" i="4"/>
  <c r="BR1044" i="4"/>
  <c r="BR1066" i="4"/>
  <c r="BR1107" i="4"/>
  <c r="BR1104" i="4"/>
  <c r="BR832" i="4"/>
  <c r="BR332" i="4"/>
  <c r="BR33" i="4"/>
  <c r="BR672" i="4"/>
  <c r="BR673" i="4"/>
  <c r="BR1196" i="4"/>
  <c r="BR833" i="4"/>
  <c r="BR52" i="4"/>
  <c r="BR512" i="4"/>
  <c r="BR834" i="4"/>
  <c r="BR857" i="4"/>
  <c r="BR53" i="4"/>
  <c r="BR1020" i="4"/>
  <c r="BR674" i="4"/>
  <c r="BR333" i="4"/>
  <c r="BR334" i="4"/>
  <c r="BR101" i="4"/>
  <c r="BR675" i="4"/>
  <c r="BR335" i="4"/>
  <c r="BR949" i="4"/>
  <c r="BR336" i="4"/>
  <c r="BR1160" i="4"/>
  <c r="BR676" i="4"/>
  <c r="BR337" i="4"/>
  <c r="BR181" i="4"/>
  <c r="BR182" i="4"/>
  <c r="BR513" i="4"/>
  <c r="BR72" i="4"/>
  <c r="BR135" i="4"/>
  <c r="BR612" i="4"/>
  <c r="BR575" i="4"/>
  <c r="BR576" i="4"/>
  <c r="BR771" i="4"/>
  <c r="BR1108" i="4"/>
  <c r="BR677" i="4"/>
  <c r="BR338" i="4"/>
  <c r="BR577" i="4"/>
  <c r="BR578" i="4"/>
  <c r="BR772" i="4"/>
  <c r="BR339" i="4"/>
  <c r="BR737" i="4"/>
  <c r="BR773" i="4"/>
  <c r="BR835" i="4"/>
  <c r="BR774" i="4"/>
  <c r="BR836" i="4"/>
  <c r="BR1000" i="4"/>
  <c r="BR340" i="4"/>
  <c r="BR1061" i="4"/>
  <c r="BR1198" i="4"/>
  <c r="BR950" i="4"/>
  <c r="BR933" i="4"/>
  <c r="BR1186" i="4"/>
  <c r="BR678" i="4"/>
  <c r="BR341" i="4"/>
  <c r="BR342" i="4"/>
  <c r="BR837" i="4"/>
  <c r="BR838" i="4"/>
  <c r="BR183" i="4"/>
  <c r="BR343" i="4"/>
  <c r="BR344" i="4"/>
  <c r="BR184" i="4"/>
  <c r="BR989" i="4"/>
  <c r="BR136" i="4"/>
  <c r="BR73" i="4"/>
  <c r="BR775" i="4"/>
  <c r="BR345" i="4"/>
  <c r="BR613" i="4"/>
  <c r="BR738" i="4"/>
  <c r="BR185" i="4"/>
  <c r="BR346" i="4"/>
  <c r="BR1041" i="4"/>
  <c r="BR186" i="4"/>
  <c r="BR347" i="4"/>
  <c r="BR54" i="4"/>
  <c r="BR514" i="4"/>
  <c r="BR739" i="4"/>
  <c r="BR348" i="4"/>
  <c r="BR877" i="4"/>
  <c r="BR74" i="4"/>
  <c r="BR614" i="4"/>
  <c r="BR884" i="4"/>
  <c r="BR75" i="4"/>
  <c r="BR1176" i="4"/>
  <c r="BR349" i="4"/>
  <c r="BR350" i="4"/>
  <c r="BR740" i="4"/>
  <c r="BR839" i="4"/>
  <c r="BR17" i="4"/>
  <c r="BR515" i="4"/>
  <c r="BR878" i="4"/>
  <c r="BR351" i="4"/>
  <c r="BR34" i="4"/>
  <c r="BR35" i="4"/>
  <c r="BR352" i="4"/>
  <c r="BR516" i="4"/>
  <c r="BR776" i="4"/>
  <c r="BR1137" i="4"/>
  <c r="BR55" i="4"/>
  <c r="BR1189" i="4"/>
  <c r="BR187" i="4"/>
  <c r="BR741" i="4"/>
  <c r="BR353" i="4"/>
  <c r="BR517" i="4"/>
  <c r="BR102" i="4"/>
  <c r="BR36" i="4"/>
  <c r="BR615" i="4"/>
  <c r="BR679" i="4"/>
  <c r="BR840" i="4"/>
  <c r="BR742" i="4"/>
  <c r="BR1096" i="4"/>
  <c r="BR18" i="4"/>
  <c r="BR188" i="4"/>
  <c r="BR354" i="4"/>
  <c r="BR355" i="4"/>
  <c r="BR356" i="4"/>
  <c r="BR939" i="4"/>
  <c r="BR56" i="4"/>
  <c r="BR1001" i="4"/>
  <c r="BR616" i="4"/>
  <c r="BR518" i="4"/>
  <c r="BR189" i="4"/>
  <c r="BR357" i="4"/>
  <c r="BR358" i="4"/>
  <c r="BR359" i="4"/>
  <c r="BR1021" i="4"/>
  <c r="BR360" i="4"/>
  <c r="BR905" i="4"/>
  <c r="BR743" i="4"/>
  <c r="BR1158" i="4"/>
  <c r="BR1078" i="4"/>
  <c r="BR361" i="4"/>
  <c r="BR519" i="4"/>
  <c r="BR520" i="4"/>
  <c r="BR680" i="4"/>
  <c r="BR777" i="4"/>
  <c r="BR362" i="4"/>
  <c r="BR190" i="4"/>
  <c r="BR191" i="4"/>
  <c r="BR841" i="4"/>
  <c r="BR617" i="4"/>
  <c r="BR521" i="4"/>
  <c r="BR363" i="4"/>
  <c r="BR618" i="4"/>
  <c r="BR926" i="4"/>
  <c r="BR364" i="4"/>
  <c r="BR858" i="4"/>
  <c r="BR859" i="4"/>
  <c r="BR137" i="4"/>
  <c r="BR365" i="4"/>
  <c r="BR744" i="4"/>
  <c r="BR579" i="4"/>
  <c r="BR522" i="4"/>
  <c r="BR778" i="4"/>
  <c r="BR842" i="4"/>
  <c r="BR951" i="4"/>
  <c r="BR366" i="4"/>
  <c r="BR619" i="4"/>
  <c r="BR367" i="4"/>
  <c r="BR779" i="4"/>
  <c r="BR580" i="4"/>
  <c r="BR368" i="4"/>
  <c r="BR681" i="4"/>
  <c r="BR369" i="4"/>
  <c r="BR370" i="4"/>
  <c r="BR371" i="4"/>
  <c r="BR1138" i="4"/>
  <c r="BR581" i="4"/>
  <c r="BR57" i="4"/>
  <c r="BR192" i="4"/>
  <c r="BR582" i="4"/>
  <c r="BR372" i="4"/>
  <c r="BR4" i="4"/>
  <c r="BR373" i="4"/>
  <c r="BR523" i="4"/>
  <c r="BR103" i="4"/>
  <c r="BR1172" i="4"/>
  <c r="BR374" i="4"/>
  <c r="BR375" i="4"/>
  <c r="BR376" i="4"/>
  <c r="BR377" i="4"/>
  <c r="BR682" i="4"/>
  <c r="BR378" i="4"/>
  <c r="BR524" i="4"/>
  <c r="BR525" i="4"/>
  <c r="BR843" i="4"/>
  <c r="BR379" i="4"/>
  <c r="BR583" i="4"/>
  <c r="BR780" i="4"/>
  <c r="BR193" i="4"/>
  <c r="BR620" i="4"/>
  <c r="BR380" i="4"/>
  <c r="BR194" i="4"/>
  <c r="BR526" i="4"/>
  <c r="BR195" i="4"/>
  <c r="BR527" i="4"/>
  <c r="BR196" i="4"/>
  <c r="BR381" i="4"/>
  <c r="BR138" i="4"/>
  <c r="BR621" i="4"/>
  <c r="BR745" i="4"/>
  <c r="BR584" i="4"/>
  <c r="BR197" i="4"/>
  <c r="BR382" i="4"/>
  <c r="BR76" i="4"/>
  <c r="BR383" i="4"/>
  <c r="BR683" i="4"/>
  <c r="BR585" i="4"/>
  <c r="BR384" i="4"/>
  <c r="BR19" i="4"/>
  <c r="BR385" i="4"/>
  <c r="BR684" i="4"/>
  <c r="BR198" i="4"/>
  <c r="BR781" i="4"/>
  <c r="BR20" i="4"/>
  <c r="BR952" i="4"/>
  <c r="BR746" i="4"/>
  <c r="BR685" i="4"/>
  <c r="BR686" i="4"/>
  <c r="BR199" i="4"/>
  <c r="BR963" i="4"/>
  <c r="BR200" i="4"/>
  <c r="BR201" i="4"/>
  <c r="BR844" i="4"/>
  <c r="BR687" i="4"/>
  <c r="BR386" i="4"/>
  <c r="BR387" i="4"/>
  <c r="BR388" i="4"/>
  <c r="BR528" i="4"/>
  <c r="BR389" i="4"/>
  <c r="BR390" i="4"/>
  <c r="BR391" i="4"/>
  <c r="BR782" i="4"/>
  <c r="BR139" i="4"/>
  <c r="BR688" i="4"/>
  <c r="BR392" i="4"/>
  <c r="BR37" i="4"/>
  <c r="BR906" i="4"/>
  <c r="BR393" i="4"/>
  <c r="BR104" i="4"/>
  <c r="BR747" i="4"/>
  <c r="BR622" i="4"/>
  <c r="BR394" i="4"/>
  <c r="BR395" i="4"/>
  <c r="BR396" i="4"/>
  <c r="BR586" i="4"/>
  <c r="BR397" i="4"/>
  <c r="BR529" i="4"/>
  <c r="BR398" i="4"/>
  <c r="BR1082" i="4"/>
  <c r="BR58" i="4"/>
  <c r="BR623" i="4"/>
  <c r="BR748" i="4"/>
  <c r="BR399" i="4"/>
  <c r="BR202" i="4"/>
  <c r="BR400" i="4"/>
  <c r="BR749" i="4"/>
  <c r="BR401" i="4"/>
  <c r="BR530" i="4"/>
  <c r="BR140" i="4"/>
  <c r="BR860" i="4"/>
  <c r="BR402" i="4"/>
  <c r="BR403" i="4"/>
  <c r="BR689" i="4"/>
  <c r="BR1091" i="4"/>
  <c r="BR531" i="4"/>
  <c r="BR624" i="4"/>
  <c r="BR532" i="4"/>
  <c r="BR404" i="4"/>
  <c r="BR845" i="4"/>
  <c r="BR846" i="4"/>
  <c r="BR405" i="4"/>
  <c r="BR750" i="4"/>
  <c r="BR533" i="4"/>
  <c r="BR203" i="4"/>
  <c r="BR406" i="4"/>
  <c r="BR625" i="4"/>
  <c r="BR141" i="4"/>
  <c r="BR1163" i="4"/>
  <c r="BR204" i="4"/>
  <c r="BR1159" i="4"/>
  <c r="BR407" i="4"/>
  <c r="BR587" i="4"/>
  <c r="BR588" i="4"/>
  <c r="BR408" i="4"/>
  <c r="BR953" i="4"/>
  <c r="BR409" i="4"/>
  <c r="BR205" i="4"/>
  <c r="BR751" i="4"/>
  <c r="BR534" i="4"/>
  <c r="BR847" i="4"/>
  <c r="BR206" i="4"/>
  <c r="BR207" i="4"/>
  <c r="BR410" i="4"/>
  <c r="BR21" i="4"/>
  <c r="BR411" i="4"/>
  <c r="BR5" i="4"/>
  <c r="BR412" i="4"/>
  <c r="BR752" i="4"/>
  <c r="BR413" i="4"/>
  <c r="BR77" i="4"/>
  <c r="BR414" i="4"/>
  <c r="BR415" i="4"/>
  <c r="BR416" i="4"/>
  <c r="BR417" i="4"/>
  <c r="BR954" i="4"/>
  <c r="BR418" i="4"/>
  <c r="BR690" i="4"/>
  <c r="BR419" i="4"/>
  <c r="BR535" i="4"/>
  <c r="BR420" i="4"/>
  <c r="BR22" i="4"/>
  <c r="BR421" i="4"/>
  <c r="BR422" i="4"/>
  <c r="BR423" i="4"/>
  <c r="BR1146" i="4"/>
  <c r="BR424" i="4"/>
  <c r="BR626" i="4"/>
  <c r="BR861" i="4"/>
  <c r="BR1022" i="4"/>
  <c r="BR1112" i="4"/>
  <c r="BR425" i="4"/>
  <c r="BR426" i="4"/>
  <c r="BR427" i="4"/>
  <c r="BR536" i="4"/>
  <c r="BR1083" i="4"/>
  <c r="BR428" i="4"/>
  <c r="BR23" i="4"/>
  <c r="BR537" i="4"/>
  <c r="BR429" i="4"/>
  <c r="BR78" i="4"/>
  <c r="BR208" i="4"/>
  <c r="BR430" i="4"/>
  <c r="BR862" i="4"/>
  <c r="BR627" i="4"/>
  <c r="BR105" i="4"/>
  <c r="BR142" i="4"/>
  <c r="BR1092" i="4"/>
  <c r="BR431" i="4"/>
  <c r="BR1157" i="4"/>
  <c r="BR432" i="4"/>
  <c r="BR143" i="4"/>
  <c r="BR433" i="4"/>
  <c r="BR209" i="4"/>
  <c r="BR538" i="4"/>
  <c r="BR434" i="4"/>
  <c r="BR589" i="4"/>
  <c r="BR863" i="4"/>
  <c r="BR539" i="4"/>
  <c r="BR590" i="4"/>
  <c r="BR210" i="4"/>
  <c r="BR540" i="4"/>
  <c r="BR435" i="4"/>
  <c r="BR436" i="4"/>
  <c r="BR848" i="4"/>
  <c r="BR940" i="4"/>
  <c r="BR864" i="4"/>
  <c r="BR211" i="4"/>
  <c r="BR941" i="4"/>
  <c r="BR691" i="4"/>
  <c r="BR628" i="4"/>
  <c r="BR144" i="4"/>
  <c r="BR437" i="4"/>
  <c r="BR38" i="4"/>
  <c r="BR212" i="4"/>
  <c r="BR591" i="4"/>
  <c r="BR783" i="4"/>
  <c r="BR438" i="4"/>
  <c r="BR439" i="4"/>
  <c r="BR79" i="4"/>
  <c r="BR145" i="4"/>
  <c r="BR440" i="4"/>
  <c r="BR213" i="4"/>
  <c r="BR441" i="4"/>
  <c r="BR442" i="4"/>
  <c r="BR443" i="4"/>
  <c r="BR106" i="4"/>
  <c r="BR629" i="4"/>
  <c r="BR444" i="4"/>
  <c r="BR445" i="4"/>
  <c r="BR753" i="4"/>
  <c r="BR541" i="4"/>
  <c r="BR446" i="4"/>
  <c r="BR879" i="4"/>
  <c r="BR447" i="4"/>
  <c r="BR448" i="4"/>
  <c r="BR1139" i="4"/>
  <c r="BR24" i="4"/>
  <c r="BR1113" i="4"/>
  <c r="BR630" i="4"/>
  <c r="BR754" i="4"/>
  <c r="BR107" i="4"/>
  <c r="BR449" i="4"/>
  <c r="BR1180" i="4"/>
  <c r="BR542" i="4"/>
  <c r="BR25" i="4"/>
  <c r="BR450" i="4"/>
  <c r="BR451" i="4"/>
  <c r="BR631" i="4"/>
  <c r="BR146" i="4"/>
  <c r="BR147" i="4"/>
  <c r="BR452" i="4"/>
  <c r="BR214" i="4"/>
  <c r="BR592" i="4"/>
  <c r="BR632" i="4"/>
  <c r="BR215" i="4"/>
  <c r="BR593" i="4"/>
  <c r="BR216" i="4"/>
  <c r="BR453" i="4"/>
  <c r="BR942" i="4"/>
  <c r="BR543" i="4"/>
  <c r="BR755" i="4"/>
  <c r="BR217" i="4"/>
  <c r="BR849" i="4"/>
  <c r="BR454" i="4"/>
  <c r="BR80" i="4"/>
  <c r="BR455" i="4"/>
  <c r="BR544" i="4"/>
  <c r="BR456" i="4"/>
  <c r="BR1199" i="4"/>
  <c r="BR457" i="4"/>
  <c r="BR545" i="4"/>
  <c r="BR1151" i="4"/>
  <c r="BR218" i="4"/>
  <c r="BR458" i="4"/>
  <c r="BR546" i="4"/>
  <c r="BR459" i="4"/>
  <c r="BR460" i="4"/>
  <c r="BR39" i="4"/>
  <c r="BR547" i="4"/>
  <c r="BR59" i="4"/>
  <c r="BR548" i="4"/>
  <c r="BR461" i="4"/>
  <c r="BR40" i="4"/>
  <c r="BR549" i="4"/>
  <c r="BR959" i="4"/>
  <c r="BR462" i="4"/>
  <c r="BR550" i="4"/>
  <c r="BR60" i="4"/>
  <c r="BR633" i="4"/>
  <c r="BR219" i="4"/>
  <c r="BR463" i="4"/>
  <c r="BR6" i="4"/>
  <c r="BR551" i="4"/>
  <c r="BR552" i="4"/>
  <c r="BR553" i="4"/>
  <c r="BR148" i="4"/>
  <c r="BR220" i="4"/>
  <c r="BR26" i="4"/>
  <c r="BR464" i="4"/>
  <c r="BR149" i="4"/>
  <c r="BR1114" i="4"/>
  <c r="BR465" i="4"/>
  <c r="BR634" i="4"/>
  <c r="BR594" i="4"/>
  <c r="BP695" i="4"/>
  <c r="BP908" i="4"/>
  <c r="BP696" i="4"/>
  <c r="BP909" i="4"/>
  <c r="BP228" i="4"/>
  <c r="BP638" i="4"/>
  <c r="BP639" i="4"/>
  <c r="BP229" i="4"/>
  <c r="BP851" i="4"/>
  <c r="BP230" i="4"/>
  <c r="BP697" i="4"/>
  <c r="BP554" i="4"/>
  <c r="BP1093" i="4"/>
  <c r="BP1073" i="4"/>
  <c r="BP111" i="4"/>
  <c r="BP112" i="4"/>
  <c r="BP113" i="4"/>
  <c r="BP114" i="4"/>
  <c r="BP1161" i="4"/>
  <c r="BP885" i="4"/>
  <c r="BP475" i="4"/>
  <c r="BP935" i="4"/>
  <c r="BP640" i="4"/>
  <c r="BP785" i="4"/>
  <c r="BP1162" i="4"/>
  <c r="BP231" i="4"/>
  <c r="BP1185" i="4"/>
  <c r="BP910" i="4"/>
  <c r="BP150" i="4"/>
  <c r="BP43" i="4"/>
  <c r="BP1203" i="4"/>
  <c r="BP1097" i="4"/>
  <c r="BP151" i="4"/>
  <c r="BP1002" i="4"/>
  <c r="BP911" i="4"/>
  <c r="BP1117" i="4"/>
  <c r="BP81" i="4"/>
  <c r="BP1046" i="4"/>
  <c r="BP912" i="4"/>
  <c r="BP476" i="4"/>
  <c r="BP1047" i="4"/>
  <c r="BP913" i="4"/>
  <c r="BP886" i="4"/>
  <c r="BP44" i="4"/>
  <c r="BP983" i="4"/>
  <c r="BP990" i="4"/>
  <c r="BP1009" i="4"/>
  <c r="BP1193" i="4"/>
  <c r="BP232" i="4"/>
  <c r="BP61" i="4"/>
  <c r="BP1121" i="4"/>
  <c r="BP477" i="4"/>
  <c r="BP152" i="4"/>
  <c r="BP1119" i="4"/>
  <c r="BP1048" i="4"/>
  <c r="BP956" i="4"/>
  <c r="BP1062" i="4"/>
  <c r="BP478" i="4"/>
  <c r="BP233" i="4"/>
  <c r="BP555" i="4"/>
  <c r="BP698" i="4"/>
  <c r="BP757" i="4"/>
  <c r="BP82" i="4"/>
  <c r="BP887" i="4"/>
  <c r="BP83" i="4"/>
  <c r="BP1205" i="4"/>
  <c r="BP1063" i="4"/>
  <c r="BP153" i="4"/>
  <c r="BP1155" i="4"/>
  <c r="BP1144" i="4"/>
  <c r="BP1181" i="4"/>
  <c r="BP234" i="4"/>
  <c r="BP235" i="4"/>
  <c r="BP1178" i="4"/>
  <c r="BP115" i="4"/>
  <c r="BP236" i="4"/>
  <c r="BP154" i="4"/>
  <c r="BP1010" i="4"/>
  <c r="BP479" i="4"/>
  <c r="BP480" i="4"/>
  <c r="BP116" i="4"/>
  <c r="BP786" i="4"/>
  <c r="BP117" i="4"/>
  <c r="BP237" i="4"/>
  <c r="BP968" i="4"/>
  <c r="BP8" i="4"/>
  <c r="BP481" i="4"/>
  <c r="BP9" i="4"/>
  <c r="BP1147" i="4"/>
  <c r="BP1204" i="4"/>
  <c r="BP1190" i="4"/>
  <c r="BP482" i="4"/>
  <c r="BP1166" i="4"/>
  <c r="BP1042" i="4"/>
  <c r="BP787" i="4"/>
  <c r="BP1049" i="4"/>
  <c r="BP238" i="4"/>
  <c r="BP699" i="4"/>
  <c r="BP239" i="4"/>
  <c r="BP888" i="4"/>
  <c r="BP27" i="4"/>
  <c r="BP597" i="4"/>
  <c r="BP788" i="4"/>
  <c r="BP10" i="4"/>
  <c r="BP556" i="4"/>
  <c r="BP11" i="4"/>
  <c r="BP240" i="4"/>
  <c r="BP1122" i="4"/>
  <c r="BP865" i="4"/>
  <c r="BP1110" i="4"/>
  <c r="BP155" i="4"/>
  <c r="BP1043" i="4"/>
  <c r="BP700" i="4"/>
  <c r="BP1153" i="4"/>
  <c r="BP483" i="4"/>
  <c r="BP784" i="4"/>
  <c r="BP62" i="4"/>
  <c r="BP241" i="4"/>
  <c r="BP156" i="4"/>
  <c r="BP45" i="4"/>
  <c r="BP1170" i="4"/>
  <c r="BP63" i="4"/>
  <c r="BP641" i="4"/>
  <c r="BP157" i="4"/>
  <c r="BP242" i="4"/>
  <c r="BP978" i="4"/>
  <c r="BP701" i="4"/>
  <c r="BP1120" i="4"/>
  <c r="BP243" i="4"/>
  <c r="BP1024" i="4"/>
  <c r="BP889" i="4"/>
  <c r="BP789" i="4"/>
  <c r="BP880" i="4"/>
  <c r="BP118" i="4"/>
  <c r="BP890" i="4"/>
  <c r="BP642" i="4"/>
  <c r="BP1067" i="4"/>
  <c r="BP643" i="4"/>
  <c r="BP244" i="4"/>
  <c r="BP1050" i="4"/>
  <c r="BP158" i="4"/>
  <c r="BP557" i="4"/>
  <c r="BP891" i="4"/>
  <c r="BP1084" i="4"/>
  <c r="BP892" i="4"/>
  <c r="BP245" i="4"/>
  <c r="BP893" i="4"/>
  <c r="BP1173" i="4"/>
  <c r="BP1123" i="4"/>
  <c r="BP702" i="4"/>
  <c r="BP703" i="4"/>
  <c r="BP1029" i="4"/>
  <c r="BP644" i="4"/>
  <c r="BP944" i="4"/>
  <c r="BP704" i="4"/>
  <c r="BP645" i="4"/>
  <c r="BP705" i="4"/>
  <c r="BP706" i="4"/>
  <c r="BP969" i="4"/>
  <c r="BP246" i="4"/>
  <c r="BP1051" i="4"/>
  <c r="BP1183" i="4"/>
  <c r="BP247" i="4"/>
  <c r="BP1030" i="4"/>
  <c r="BP646" i="4"/>
  <c r="BP984" i="4"/>
  <c r="BP985" i="4"/>
  <c r="BP707" i="4"/>
  <c r="BP1031" i="4"/>
  <c r="BP248" i="4"/>
  <c r="BP484" i="4"/>
  <c r="BP881" i="4"/>
  <c r="BP1032" i="4"/>
  <c r="BP1003" i="4"/>
  <c r="BP1033" i="4"/>
  <c r="BP249" i="4"/>
  <c r="BP914" i="4"/>
  <c r="BP1034" i="4"/>
  <c r="BP647" i="4"/>
  <c r="BP1052" i="4"/>
  <c r="BP915" i="4"/>
  <c r="BP1105" i="4"/>
  <c r="BP159" i="4"/>
  <c r="BP648" i="4"/>
  <c r="BP1089" i="4"/>
  <c r="BP1035" i="4"/>
  <c r="BP894" i="4"/>
  <c r="BP250" i="4"/>
  <c r="BP251" i="4"/>
  <c r="BP1053" i="4"/>
  <c r="BP485" i="4"/>
  <c r="BP1036" i="4"/>
  <c r="BP486" i="4"/>
  <c r="BP12" i="4"/>
  <c r="BP1004" i="4"/>
  <c r="BP1079" i="4"/>
  <c r="BP160" i="4"/>
  <c r="BP895" i="4"/>
  <c r="BP252" i="4"/>
  <c r="BP649" i="4"/>
  <c r="BP487" i="4"/>
  <c r="BP84" i="4"/>
  <c r="BP965" i="4"/>
  <c r="BP1068" i="4"/>
  <c r="BP488" i="4"/>
  <c r="BP970" i="4"/>
  <c r="BP896" i="4"/>
  <c r="BP650" i="4"/>
  <c r="BP46" i="4"/>
  <c r="BP897" i="4"/>
  <c r="BP708" i="4"/>
  <c r="BP253" i="4"/>
  <c r="BP927" i="4"/>
  <c r="BP1005" i="4"/>
  <c r="BP1165" i="4"/>
  <c r="BP1006" i="4"/>
  <c r="BP1011" i="4"/>
  <c r="BP916" i="4"/>
  <c r="BP1182" i="4"/>
  <c r="BP254" i="4"/>
  <c r="BP898" i="4"/>
  <c r="BP971" i="4"/>
  <c r="BP161" i="4"/>
  <c r="BP991" i="4"/>
  <c r="BP1164" i="4"/>
  <c r="BP47" i="4"/>
  <c r="BP709" i="4"/>
  <c r="BP1187" i="4"/>
  <c r="BP255" i="4"/>
  <c r="BP866" i="4"/>
  <c r="BP1012" i="4"/>
  <c r="BP992" i="4"/>
  <c r="BP945" i="4"/>
  <c r="BP758" i="4"/>
  <c r="BP993" i="4"/>
  <c r="BP598" i="4"/>
  <c r="BP1197" i="4"/>
  <c r="BP256" i="4"/>
  <c r="BP1140" i="4"/>
  <c r="BP28" i="4"/>
  <c r="BP946" i="4"/>
  <c r="BP1054" i="4"/>
  <c r="BP994" i="4"/>
  <c r="BP1094" i="4"/>
  <c r="BP257" i="4"/>
  <c r="BP995" i="4"/>
  <c r="BP759" i="4"/>
  <c r="BP258" i="4"/>
  <c r="BP1071" i="4"/>
  <c r="BP1085" i="4"/>
  <c r="BP852" i="4"/>
  <c r="BP853" i="4"/>
  <c r="BP867" i="4"/>
  <c r="BP558" i="4"/>
  <c r="BP1025" i="4"/>
  <c r="BP1174" i="4"/>
  <c r="BP917" i="4"/>
  <c r="BP1194" i="4"/>
  <c r="BP1191" i="4"/>
  <c r="BP559" i="4"/>
  <c r="BP947" i="4"/>
  <c r="BP259" i="4"/>
  <c r="BP918" i="4"/>
  <c r="BP489" i="4"/>
  <c r="BP1039" i="4"/>
  <c r="BP919" i="4"/>
  <c r="BP1124" i="4"/>
  <c r="BP868" i="4"/>
  <c r="BP1152" i="4"/>
  <c r="BP790" i="4"/>
  <c r="BP85" i="4"/>
  <c r="BP972" i="4"/>
  <c r="BP957" i="4"/>
  <c r="BP869" i="4"/>
  <c r="BP760" i="4"/>
  <c r="BP1192" i="4"/>
  <c r="BP560" i="4"/>
  <c r="BP1090" i="4"/>
  <c r="BP920" i="4"/>
  <c r="BP1037" i="4"/>
  <c r="BP1074" i="4"/>
  <c r="BP64" i="4"/>
  <c r="BP996" i="4"/>
  <c r="BP966" i="4"/>
  <c r="BP997" i="4"/>
  <c r="BP1115" i="4"/>
  <c r="BP1184" i="4"/>
  <c r="BP1141" i="4"/>
  <c r="BP936" i="4"/>
  <c r="BP1100" i="4"/>
  <c r="BP1013" i="4"/>
  <c r="BP791" i="4"/>
  <c r="BP1026" i="4"/>
  <c r="BP1098" i="4"/>
  <c r="BP694" i="4"/>
  <c r="BP651" i="4"/>
  <c r="BP792" i="4"/>
  <c r="BP1014" i="4"/>
  <c r="BP652" i="4"/>
  <c r="BP653" i="4"/>
  <c r="BP1095" i="4"/>
  <c r="BP1069" i="4"/>
  <c r="BP260" i="4"/>
  <c r="BP1179" i="4"/>
  <c r="BP1099" i="4"/>
  <c r="BP1027" i="4"/>
  <c r="BP86" i="4"/>
  <c r="BP1125" i="4"/>
  <c r="BP599" i="4"/>
  <c r="BP710" i="4"/>
  <c r="BP1064" i="4"/>
  <c r="BP793" i="4"/>
  <c r="BP899" i="4"/>
  <c r="BP162" i="4"/>
  <c r="BP921" i="4"/>
  <c r="BP1171" i="4"/>
  <c r="BP794" i="4"/>
  <c r="BP600" i="4"/>
  <c r="BP561" i="4"/>
  <c r="BP795" i="4"/>
  <c r="BP761" i="4"/>
  <c r="BP654" i="4"/>
  <c r="BP711" i="4"/>
  <c r="BP796" i="4"/>
  <c r="BP87" i="4"/>
  <c r="BP261" i="4"/>
  <c r="BP262" i="4"/>
  <c r="BP797" i="4"/>
  <c r="BP712" i="4"/>
  <c r="BP980" i="4"/>
  <c r="BP798" i="4"/>
  <c r="BP973" i="4"/>
  <c r="BP981" i="4"/>
  <c r="BP601" i="4"/>
  <c r="BP263" i="4"/>
  <c r="BP602" i="4"/>
  <c r="BP762" i="4"/>
  <c r="BP490" i="4"/>
  <c r="BP922" i="4"/>
  <c r="BP655" i="4"/>
  <c r="BP928" i="4"/>
  <c r="BP713" i="4"/>
  <c r="BP603" i="4"/>
  <c r="BP163" i="4"/>
  <c r="BP264" i="4"/>
  <c r="BP854" i="4"/>
  <c r="BP799" i="4"/>
  <c r="BP714" i="4"/>
  <c r="BP656" i="4"/>
  <c r="BP657" i="4"/>
  <c r="BP800" i="4"/>
  <c r="BP491" i="4"/>
  <c r="BP658" i="4"/>
  <c r="BP801" i="4"/>
  <c r="BP604" i="4"/>
  <c r="BP265" i="4"/>
  <c r="BP1072" i="4"/>
  <c r="BP802" i="4"/>
  <c r="BP659" i="4"/>
  <c r="BP492" i="4"/>
  <c r="BP266" i="4"/>
  <c r="BP119" i="4"/>
  <c r="BP1126" i="4"/>
  <c r="BP870" i="4"/>
  <c r="BP493" i="4"/>
  <c r="BP803" i="4"/>
  <c r="BP605" i="4"/>
  <c r="BP929" i="4"/>
  <c r="BP660" i="4"/>
  <c r="BP1055" i="4"/>
  <c r="BP606" i="4"/>
  <c r="BP804" i="4"/>
  <c r="BP494" i="4"/>
  <c r="BP715" i="4"/>
  <c r="BP267" i="4"/>
  <c r="BP805" i="4"/>
  <c r="BP164" i="4"/>
  <c r="BP716" i="4"/>
  <c r="BP268" i="4"/>
  <c r="BP930" i="4"/>
  <c r="BP495" i="4"/>
  <c r="BP763" i="4"/>
  <c r="BP120" i="4"/>
  <c r="BP806" i="4"/>
  <c r="BP65" i="4"/>
  <c r="BP29" i="4"/>
  <c r="BP717" i="4"/>
  <c r="BP269" i="4"/>
  <c r="BP923" i="4"/>
  <c r="BP562" i="4"/>
  <c r="BP270" i="4"/>
  <c r="BP718" i="4"/>
  <c r="BP986" i="4"/>
  <c r="BP961" i="4"/>
  <c r="BP165" i="4"/>
  <c r="BP496" i="4"/>
  <c r="BP764" i="4"/>
  <c r="BP807" i="4"/>
  <c r="BP1149" i="4"/>
  <c r="BP636" i="4"/>
  <c r="BP166" i="4"/>
  <c r="BP13" i="4"/>
  <c r="BP974" i="4"/>
  <c r="BP719" i="4"/>
  <c r="BP563" i="4"/>
  <c r="BP88" i="4"/>
  <c r="BP271" i="4"/>
  <c r="BP272" i="4"/>
  <c r="BP765" i="4"/>
  <c r="BP808" i="4"/>
  <c r="BP661" i="4"/>
  <c r="BP662" i="4"/>
  <c r="BP809" i="4"/>
  <c r="BP1148" i="4"/>
  <c r="BP810" i="4"/>
  <c r="BP766" i="4"/>
  <c r="BP958" i="4"/>
  <c r="BP167" i="4"/>
  <c r="BP720" i="4"/>
  <c r="BP811" i="4"/>
  <c r="BP767" i="4"/>
  <c r="BP89" i="4"/>
  <c r="BP564" i="4"/>
  <c r="BP768" i="4"/>
  <c r="BP1056" i="4"/>
  <c r="BP812" i="4"/>
  <c r="BP663" i="4"/>
  <c r="BP813" i="4"/>
  <c r="BP273" i="4"/>
  <c r="BP121" i="4"/>
  <c r="BP721" i="4"/>
  <c r="BP122" i="4"/>
  <c r="BP123" i="4"/>
  <c r="BP814" i="4"/>
  <c r="BP815" i="4"/>
  <c r="BP274" i="4"/>
  <c r="BP900" i="4"/>
  <c r="BP1080" i="4"/>
  <c r="BP124" i="4"/>
  <c r="BP975" i="4"/>
  <c r="BP275" i="4"/>
  <c r="BP664" i="4"/>
  <c r="BP722" i="4"/>
  <c r="BP1142" i="4"/>
  <c r="BP497" i="4"/>
  <c r="BP276" i="4"/>
  <c r="BP277" i="4"/>
  <c r="BP665" i="4"/>
  <c r="BP1127" i="4"/>
  <c r="BP125" i="4"/>
  <c r="BP498" i="4"/>
  <c r="BP168" i="4"/>
  <c r="BP499" i="4"/>
  <c r="BP90" i="4"/>
  <c r="BP565" i="4"/>
  <c r="BP1128" i="4"/>
  <c r="BP278" i="4"/>
  <c r="BP279" i="4"/>
  <c r="BP280" i="4"/>
  <c r="BP91" i="4"/>
  <c r="BP1106" i="4"/>
  <c r="BP987" i="4"/>
  <c r="BP723" i="4"/>
  <c r="BP769" i="4"/>
  <c r="BP816" i="4"/>
  <c r="BP126" i="4"/>
  <c r="BP998" i="4"/>
  <c r="BP1118" i="4"/>
  <c r="BP127" i="4"/>
  <c r="BP882" i="4"/>
  <c r="BP92" i="4"/>
  <c r="BP1129" i="4"/>
  <c r="BP724" i="4"/>
  <c r="BP725" i="4"/>
  <c r="BP666" i="4"/>
  <c r="BP128" i="4"/>
  <c r="BP1130" i="4"/>
  <c r="BP281" i="4"/>
  <c r="BP817" i="4"/>
  <c r="BP726" i="4"/>
  <c r="BP282" i="4"/>
  <c r="BP727" i="4"/>
  <c r="BP1086" i="4"/>
  <c r="BP48" i="4"/>
  <c r="BP283" i="4"/>
  <c r="BP818" i="4"/>
  <c r="BP1087" i="4"/>
  <c r="BP819" i="4"/>
  <c r="BP901" i="4"/>
  <c r="BP93" i="4"/>
  <c r="BP94" i="4"/>
  <c r="BP1057" i="4"/>
  <c r="BP1007" i="4"/>
  <c r="BP284" i="4"/>
  <c r="BP1201" i="4"/>
  <c r="BP1070" i="4"/>
  <c r="BP820" i="4"/>
  <c r="BP566" i="4"/>
  <c r="BP607" i="4"/>
  <c r="BP1167" i="4"/>
  <c r="BP821" i="4"/>
  <c r="BP822" i="4"/>
  <c r="BP823" i="4"/>
  <c r="BP976" i="4"/>
  <c r="BP1131" i="4"/>
  <c r="BP871" i="4"/>
  <c r="BP49" i="4"/>
  <c r="BP931" i="4"/>
  <c r="BP824" i="4"/>
  <c r="BP1132" i="4"/>
  <c r="BP285" i="4"/>
  <c r="BP169" i="4"/>
  <c r="BP66" i="4"/>
  <c r="BP286" i="4"/>
  <c r="BP567" i="4"/>
  <c r="BP287" i="4"/>
  <c r="BP288" i="4"/>
  <c r="BP728" i="4"/>
  <c r="BP1154" i="4"/>
  <c r="BP289" i="4"/>
  <c r="BP50" i="4"/>
  <c r="BP962" i="4"/>
  <c r="BP932" i="4"/>
  <c r="BP51" i="4"/>
  <c r="BP1075" i="4"/>
  <c r="BP170" i="4"/>
  <c r="BP1133" i="4"/>
  <c r="BP129" i="4"/>
  <c r="BP1015" i="4"/>
  <c r="BP67" i="4"/>
  <c r="BP95" i="4"/>
  <c r="BP937" i="4"/>
  <c r="BP500" i="4"/>
  <c r="BP948" i="4"/>
  <c r="BP568" i="4"/>
  <c r="BP130" i="4"/>
  <c r="BP290" i="4"/>
  <c r="BP825" i="4"/>
  <c r="BP291" i="4"/>
  <c r="BP569" i="4"/>
  <c r="BP171" i="4"/>
  <c r="BP292" i="4"/>
  <c r="BP30" i="4"/>
  <c r="BP872" i="4"/>
  <c r="BP967" i="4"/>
  <c r="BP293" i="4"/>
  <c r="BP172" i="4"/>
  <c r="BP173" i="4"/>
  <c r="BP131" i="4"/>
  <c r="BP1088" i="4"/>
  <c r="BP2" i="4"/>
  <c r="BP294" i="4"/>
  <c r="BP174" i="4"/>
  <c r="BP501" i="4"/>
  <c r="BP14" i="4"/>
  <c r="BP1168" i="4"/>
  <c r="BP1188" i="4"/>
  <c r="BP1065" i="4"/>
  <c r="BP502" i="4"/>
  <c r="BP295" i="4"/>
  <c r="BP608" i="4"/>
  <c r="BP503" i="4"/>
  <c r="BP175" i="4"/>
  <c r="BP296" i="4"/>
  <c r="BP132" i="4"/>
  <c r="BP902" i="4"/>
  <c r="BP176" i="4"/>
  <c r="BP570" i="4"/>
  <c r="BP297" i="4"/>
  <c r="BP826" i="4"/>
  <c r="BP1116" i="4"/>
  <c r="BP571" i="4"/>
  <c r="BP729" i="4"/>
  <c r="BP298" i="4"/>
  <c r="BP924" i="4"/>
  <c r="BP299" i="4"/>
  <c r="BP977" i="4"/>
  <c r="BP572" i="4"/>
  <c r="BP300" i="4"/>
  <c r="BP999" i="4"/>
  <c r="BP730" i="4"/>
  <c r="BP15" i="4"/>
  <c r="BP1081" i="4"/>
  <c r="BP827" i="4"/>
  <c r="BP1145" i="4"/>
  <c r="BP96" i="4"/>
  <c r="BP1058" i="4"/>
  <c r="BP1016" i="4"/>
  <c r="BP903" i="4"/>
  <c r="BP1200" i="4"/>
  <c r="BP731" i="4"/>
  <c r="BP1109" i="4"/>
  <c r="BP1045" i="4"/>
  <c r="BP133" i="4"/>
  <c r="BP301" i="4"/>
  <c r="BP1017" i="4"/>
  <c r="BP302" i="4"/>
  <c r="BP303" i="4"/>
  <c r="BP1018" i="4"/>
  <c r="BP1169" i="4"/>
  <c r="BP304" i="4"/>
  <c r="BP305" i="4"/>
  <c r="BP504" i="4"/>
  <c r="BP306" i="4"/>
  <c r="BP3" i="4"/>
  <c r="BP307" i="4"/>
  <c r="BP68" i="4"/>
  <c r="BP177" i="4"/>
  <c r="BP573" i="4"/>
  <c r="BP1156" i="4"/>
  <c r="BP308" i="4"/>
  <c r="BP97" i="4"/>
  <c r="BP505" i="4"/>
  <c r="BP1177" i="4"/>
  <c r="BP988" i="4"/>
  <c r="BP309" i="4"/>
  <c r="BP69" i="4"/>
  <c r="BP1040" i="4"/>
  <c r="BP938" i="4"/>
  <c r="BP70" i="4"/>
  <c r="BP637" i="4"/>
  <c r="BP310" i="4"/>
  <c r="BP1134" i="4"/>
  <c r="BP311" i="4"/>
  <c r="BP1202" i="4"/>
  <c r="BP770" i="4"/>
  <c r="BP1101" i="4"/>
  <c r="BP732" i="4"/>
  <c r="BP1143" i="4"/>
  <c r="BP98" i="4"/>
  <c r="BP1135" i="4"/>
  <c r="BP828" i="4"/>
  <c r="BP506" i="4"/>
  <c r="BP667" i="4"/>
  <c r="BP99" i="4"/>
  <c r="BP609" i="4"/>
  <c r="BP507" i="4"/>
  <c r="BP100" i="4"/>
  <c r="BP1102" i="4"/>
  <c r="BP312" i="4"/>
  <c r="BP313" i="4"/>
  <c r="BP314" i="4"/>
  <c r="BP668" i="4"/>
  <c r="BP315" i="4"/>
  <c r="BP733" i="4"/>
  <c r="BP316" i="4"/>
  <c r="BP1103" i="4"/>
  <c r="BP734" i="4"/>
  <c r="BP1150" i="4"/>
  <c r="BP574" i="4"/>
  <c r="BP1111" i="4"/>
  <c r="BP1076" i="4"/>
  <c r="BP317" i="4"/>
  <c r="BP904" i="4"/>
  <c r="BP829" i="4"/>
  <c r="BP1136" i="4"/>
  <c r="BP830" i="4"/>
  <c r="BP1019" i="4"/>
  <c r="BP1195" i="4"/>
  <c r="BP318" i="4"/>
  <c r="BP735" i="4"/>
  <c r="BP178" i="4"/>
  <c r="BP669" i="4"/>
  <c r="BP134" i="4"/>
  <c r="BP319" i="4"/>
  <c r="BP883" i="4"/>
  <c r="BP320" i="4"/>
  <c r="BP321" i="4"/>
  <c r="BP322" i="4"/>
  <c r="BP16" i="4"/>
  <c r="BP323" i="4"/>
  <c r="BP508" i="4"/>
  <c r="BP324" i="4"/>
  <c r="BP831" i="4"/>
  <c r="BP509" i="4"/>
  <c r="BP325" i="4"/>
  <c r="BP1028" i="4"/>
  <c r="BP71" i="4"/>
  <c r="BP179" i="4"/>
  <c r="BP670" i="4"/>
  <c r="BP873" i="4"/>
  <c r="BP31" i="4"/>
  <c r="BP874" i="4"/>
  <c r="BP326" i="4"/>
  <c r="BP1008" i="4"/>
  <c r="BP736" i="4"/>
  <c r="BP982" i="4"/>
  <c r="BP979" i="4"/>
  <c r="BP925" i="4"/>
  <c r="BP510" i="4"/>
  <c r="BP327" i="4"/>
  <c r="BP875" i="4"/>
  <c r="BP511" i="4"/>
  <c r="BP328" i="4"/>
  <c r="BP876" i="4"/>
  <c r="BP329" i="4"/>
  <c r="BP1059" i="4"/>
  <c r="BP330" i="4"/>
  <c r="BP1175" i="4"/>
  <c r="BP1060" i="4"/>
  <c r="BP610" i="4"/>
  <c r="BP32" i="4"/>
  <c r="BP671" i="4"/>
  <c r="BP180" i="4"/>
  <c r="BP331" i="4"/>
  <c r="BP855" i="4"/>
  <c r="BP1038" i="4"/>
  <c r="BP856" i="4"/>
  <c r="BP611" i="4"/>
  <c r="BP1077" i="4"/>
  <c r="BP1044" i="4"/>
  <c r="BP1066" i="4"/>
  <c r="BP1107" i="4"/>
  <c r="BP1104" i="4"/>
  <c r="BP832" i="4"/>
  <c r="BP332" i="4"/>
  <c r="BP33" i="4"/>
  <c r="BP672" i="4"/>
  <c r="BP673" i="4"/>
  <c r="BP1196" i="4"/>
  <c r="BP833" i="4"/>
  <c r="BP52" i="4"/>
  <c r="BP512" i="4"/>
  <c r="BP834" i="4"/>
  <c r="BP857" i="4"/>
  <c r="BP53" i="4"/>
  <c r="BP1020" i="4"/>
  <c r="BP674" i="4"/>
  <c r="BP333" i="4"/>
  <c r="BP334" i="4"/>
  <c r="BP101" i="4"/>
  <c r="BP675" i="4"/>
  <c r="BP335" i="4"/>
  <c r="BP949" i="4"/>
  <c r="BP336" i="4"/>
  <c r="BP1160" i="4"/>
  <c r="BP676" i="4"/>
  <c r="BP337" i="4"/>
  <c r="BP181" i="4"/>
  <c r="BP182" i="4"/>
  <c r="BP513" i="4"/>
  <c r="BP72" i="4"/>
  <c r="BP135" i="4"/>
  <c r="BP612" i="4"/>
  <c r="BP575" i="4"/>
  <c r="BP576" i="4"/>
  <c r="BP771" i="4"/>
  <c r="BP1108" i="4"/>
  <c r="BP677" i="4"/>
  <c r="BP338" i="4"/>
  <c r="BP577" i="4"/>
  <c r="BP578" i="4"/>
  <c r="BP772" i="4"/>
  <c r="BP339" i="4"/>
  <c r="BP737" i="4"/>
  <c r="BP773" i="4"/>
  <c r="BP835" i="4"/>
  <c r="BP774" i="4"/>
  <c r="BP836" i="4"/>
  <c r="BP1000" i="4"/>
  <c r="BP340" i="4"/>
  <c r="BP1061" i="4"/>
  <c r="BP1198" i="4"/>
  <c r="BP950" i="4"/>
  <c r="BP933" i="4"/>
  <c r="BP1186" i="4"/>
  <c r="BP678" i="4"/>
  <c r="BP341" i="4"/>
  <c r="BP342" i="4"/>
  <c r="BP837" i="4"/>
  <c r="BP838" i="4"/>
  <c r="BP183" i="4"/>
  <c r="BP343" i="4"/>
  <c r="BP344" i="4"/>
  <c r="BP184" i="4"/>
  <c r="BP989" i="4"/>
  <c r="BP136" i="4"/>
  <c r="BP73" i="4"/>
  <c r="BP775" i="4"/>
  <c r="BP345" i="4"/>
  <c r="BP613" i="4"/>
  <c r="BP738" i="4"/>
  <c r="BP185" i="4"/>
  <c r="BP346" i="4"/>
  <c r="BP1041" i="4"/>
  <c r="BP186" i="4"/>
  <c r="BP347" i="4"/>
  <c r="BP54" i="4"/>
  <c r="BP514" i="4"/>
  <c r="BP739" i="4"/>
  <c r="BP348" i="4"/>
  <c r="BP877" i="4"/>
  <c r="BP74" i="4"/>
  <c r="BP614" i="4"/>
  <c r="BP884" i="4"/>
  <c r="BP75" i="4"/>
  <c r="BP1176" i="4"/>
  <c r="BP349" i="4"/>
  <c r="BP350" i="4"/>
  <c r="BP740" i="4"/>
  <c r="BP839" i="4"/>
  <c r="BP17" i="4"/>
  <c r="BP515" i="4"/>
  <c r="BP878" i="4"/>
  <c r="BP351" i="4"/>
  <c r="BP34" i="4"/>
  <c r="BP35" i="4"/>
  <c r="BP352" i="4"/>
  <c r="BP516" i="4"/>
  <c r="BP776" i="4"/>
  <c r="BP1137" i="4"/>
  <c r="BP55" i="4"/>
  <c r="BP1189" i="4"/>
  <c r="BP187" i="4"/>
  <c r="BP741" i="4"/>
  <c r="BP353" i="4"/>
  <c r="BP517" i="4"/>
  <c r="BP102" i="4"/>
  <c r="BP36" i="4"/>
  <c r="BP615" i="4"/>
  <c r="BP679" i="4"/>
  <c r="BP840" i="4"/>
  <c r="BP742" i="4"/>
  <c r="BP1096" i="4"/>
  <c r="BP18" i="4"/>
  <c r="BP188" i="4"/>
  <c r="BP354" i="4"/>
  <c r="BP355" i="4"/>
  <c r="BP356" i="4"/>
  <c r="BP939" i="4"/>
  <c r="BP56" i="4"/>
  <c r="BP1001" i="4"/>
  <c r="BP616" i="4"/>
  <c r="BP518" i="4"/>
  <c r="BP189" i="4"/>
  <c r="BP357" i="4"/>
  <c r="BP358" i="4"/>
  <c r="BP359" i="4"/>
  <c r="BP1021" i="4"/>
  <c r="BP360" i="4"/>
  <c r="BP905" i="4"/>
  <c r="BP743" i="4"/>
  <c r="BP1158" i="4"/>
  <c r="BP1078" i="4"/>
  <c r="BP361" i="4"/>
  <c r="BP519" i="4"/>
  <c r="BP520" i="4"/>
  <c r="BP680" i="4"/>
  <c r="BP777" i="4"/>
  <c r="BP362" i="4"/>
  <c r="BP190" i="4"/>
  <c r="BP191" i="4"/>
  <c r="BP841" i="4"/>
  <c r="BP617" i="4"/>
  <c r="BP521" i="4"/>
  <c r="BP363" i="4"/>
  <c r="BP618" i="4"/>
  <c r="BP926" i="4"/>
  <c r="BP364" i="4"/>
  <c r="BP858" i="4"/>
  <c r="BP859" i="4"/>
  <c r="BP137" i="4"/>
  <c r="BP365" i="4"/>
  <c r="BP744" i="4"/>
  <c r="BP579" i="4"/>
  <c r="BP522" i="4"/>
  <c r="BP778" i="4"/>
  <c r="BP842" i="4"/>
  <c r="BP951" i="4"/>
  <c r="BP366" i="4"/>
  <c r="BP619" i="4"/>
  <c r="BP367" i="4"/>
  <c r="BP779" i="4"/>
  <c r="BP580" i="4"/>
  <c r="BP368" i="4"/>
  <c r="BP681" i="4"/>
  <c r="BP369" i="4"/>
  <c r="BP370" i="4"/>
  <c r="BP371" i="4"/>
  <c r="BP1138" i="4"/>
  <c r="BP581" i="4"/>
  <c r="BP57" i="4"/>
  <c r="BP192" i="4"/>
  <c r="BP582" i="4"/>
  <c r="BP372" i="4"/>
  <c r="BP4" i="4"/>
  <c r="BP373" i="4"/>
  <c r="BP523" i="4"/>
  <c r="BP103" i="4"/>
  <c r="BP1172" i="4"/>
  <c r="BP374" i="4"/>
  <c r="BP375" i="4"/>
  <c r="BP376" i="4"/>
  <c r="BP377" i="4"/>
  <c r="BP682" i="4"/>
  <c r="BP378" i="4"/>
  <c r="BP524" i="4"/>
  <c r="BP525" i="4"/>
  <c r="BP843" i="4"/>
  <c r="BP379" i="4"/>
  <c r="BP583" i="4"/>
  <c r="BP780" i="4"/>
  <c r="BP193" i="4"/>
  <c r="BP620" i="4"/>
  <c r="BP380" i="4"/>
  <c r="BP194" i="4"/>
  <c r="BP526" i="4"/>
  <c r="BP195" i="4"/>
  <c r="BP527" i="4"/>
  <c r="BP196" i="4"/>
  <c r="BP381" i="4"/>
  <c r="BP138" i="4"/>
  <c r="BP621" i="4"/>
  <c r="BP745" i="4"/>
  <c r="BP584" i="4"/>
  <c r="BP197" i="4"/>
  <c r="BP382" i="4"/>
  <c r="BP76" i="4"/>
  <c r="BP383" i="4"/>
  <c r="BP683" i="4"/>
  <c r="BP585" i="4"/>
  <c r="BP384" i="4"/>
  <c r="BP19" i="4"/>
  <c r="BP385" i="4"/>
  <c r="BP684" i="4"/>
  <c r="BP198" i="4"/>
  <c r="BP781" i="4"/>
  <c r="BP20" i="4"/>
  <c r="BP952" i="4"/>
  <c r="BP746" i="4"/>
  <c r="BP685" i="4"/>
  <c r="BP686" i="4"/>
  <c r="BP199" i="4"/>
  <c r="BP963" i="4"/>
  <c r="BP200" i="4"/>
  <c r="BP201" i="4"/>
  <c r="BP844" i="4"/>
  <c r="BP687" i="4"/>
  <c r="BP386" i="4"/>
  <c r="BP387" i="4"/>
  <c r="BP388" i="4"/>
  <c r="BP528" i="4"/>
  <c r="BP389" i="4"/>
  <c r="BP390" i="4"/>
  <c r="BP391" i="4"/>
  <c r="BP782" i="4"/>
  <c r="BP139" i="4"/>
  <c r="BP688" i="4"/>
  <c r="BP392" i="4"/>
  <c r="BP37" i="4"/>
  <c r="BP906" i="4"/>
  <c r="BP393" i="4"/>
  <c r="BP104" i="4"/>
  <c r="BP747" i="4"/>
  <c r="BP622" i="4"/>
  <c r="BP394" i="4"/>
  <c r="BP395" i="4"/>
  <c r="BP396" i="4"/>
  <c r="BP586" i="4"/>
  <c r="BP397" i="4"/>
  <c r="BP529" i="4"/>
  <c r="BP398" i="4"/>
  <c r="BP1082" i="4"/>
  <c r="BP58" i="4"/>
  <c r="BP623" i="4"/>
  <c r="BP748" i="4"/>
  <c r="BP399" i="4"/>
  <c r="BP202" i="4"/>
  <c r="BP400" i="4"/>
  <c r="BP749" i="4"/>
  <c r="BP401" i="4"/>
  <c r="BP530" i="4"/>
  <c r="BP140" i="4"/>
  <c r="BP860" i="4"/>
  <c r="BP402" i="4"/>
  <c r="BP403" i="4"/>
  <c r="BP689" i="4"/>
  <c r="BP1091" i="4"/>
  <c r="BP531" i="4"/>
  <c r="BP624" i="4"/>
  <c r="BP532" i="4"/>
  <c r="BP404" i="4"/>
  <c r="BP845" i="4"/>
  <c r="BP846" i="4"/>
  <c r="BP405" i="4"/>
  <c r="BP750" i="4"/>
  <c r="BP533" i="4"/>
  <c r="BP203" i="4"/>
  <c r="BP406" i="4"/>
  <c r="BP625" i="4"/>
  <c r="BP141" i="4"/>
  <c r="BP1163" i="4"/>
  <c r="BP204" i="4"/>
  <c r="BP1159" i="4"/>
  <c r="BP407" i="4"/>
  <c r="BP587" i="4"/>
  <c r="BP588" i="4"/>
  <c r="BP408" i="4"/>
  <c r="BP953" i="4"/>
  <c r="BP409" i="4"/>
  <c r="BP205" i="4"/>
  <c r="BP751" i="4"/>
  <c r="BP534" i="4"/>
  <c r="BP847" i="4"/>
  <c r="BP206" i="4"/>
  <c r="BP207" i="4"/>
  <c r="BP410" i="4"/>
  <c r="BP21" i="4"/>
  <c r="BP411" i="4"/>
  <c r="BP5" i="4"/>
  <c r="BP412" i="4"/>
  <c r="BP752" i="4"/>
  <c r="BP413" i="4"/>
  <c r="BP77" i="4"/>
  <c r="BP414" i="4"/>
  <c r="BP415" i="4"/>
  <c r="BP416" i="4"/>
  <c r="BP417" i="4"/>
  <c r="BP954" i="4"/>
  <c r="BP418" i="4"/>
  <c r="BP690" i="4"/>
  <c r="BP419" i="4"/>
  <c r="BP535" i="4"/>
  <c r="BP420" i="4"/>
  <c r="BP22" i="4"/>
  <c r="BP421" i="4"/>
  <c r="BP422" i="4"/>
  <c r="BP423" i="4"/>
  <c r="BP1146" i="4"/>
  <c r="BP424" i="4"/>
  <c r="BP626" i="4"/>
  <c r="BP861" i="4"/>
  <c r="BP1022" i="4"/>
  <c r="BP1112" i="4"/>
  <c r="BP425" i="4"/>
  <c r="BP426" i="4"/>
  <c r="BP427" i="4"/>
  <c r="BP536" i="4"/>
  <c r="BP1083" i="4"/>
  <c r="BP428" i="4"/>
  <c r="BP23" i="4"/>
  <c r="BP537" i="4"/>
  <c r="BP429" i="4"/>
  <c r="BP78" i="4"/>
  <c r="BP208" i="4"/>
  <c r="BP430" i="4"/>
  <c r="BP862" i="4"/>
  <c r="BP627" i="4"/>
  <c r="BP105" i="4"/>
  <c r="BP142" i="4"/>
  <c r="BP1092" i="4"/>
  <c r="BP431" i="4"/>
  <c r="BP1157" i="4"/>
  <c r="BP432" i="4"/>
  <c r="BP143" i="4"/>
  <c r="BP433" i="4"/>
  <c r="BP209" i="4"/>
  <c r="BP538" i="4"/>
  <c r="BP434" i="4"/>
  <c r="BP589" i="4"/>
  <c r="BP863" i="4"/>
  <c r="BP539" i="4"/>
  <c r="BP590" i="4"/>
  <c r="BP210" i="4"/>
  <c r="BP540" i="4"/>
  <c r="BP435" i="4"/>
  <c r="BP436" i="4"/>
  <c r="BP848" i="4"/>
  <c r="BP940" i="4"/>
  <c r="BP864" i="4"/>
  <c r="BP211" i="4"/>
  <c r="BP941" i="4"/>
  <c r="BP691" i="4"/>
  <c r="BP628" i="4"/>
  <c r="BP144" i="4"/>
  <c r="BP437" i="4"/>
  <c r="BP38" i="4"/>
  <c r="BP212" i="4"/>
  <c r="BP591" i="4"/>
  <c r="BP783" i="4"/>
  <c r="BP438" i="4"/>
  <c r="BP439" i="4"/>
  <c r="BP79" i="4"/>
  <c r="BP145" i="4"/>
  <c r="BP440" i="4"/>
  <c r="BP213" i="4"/>
  <c r="BP441" i="4"/>
  <c r="BP442" i="4"/>
  <c r="BP443" i="4"/>
  <c r="BP106" i="4"/>
  <c r="BP629" i="4"/>
  <c r="BP444" i="4"/>
  <c r="BP445" i="4"/>
  <c r="BP753" i="4"/>
  <c r="BP541" i="4"/>
  <c r="BP446" i="4"/>
  <c r="BP879" i="4"/>
  <c r="BP447" i="4"/>
  <c r="BP448" i="4"/>
  <c r="BP1139" i="4"/>
  <c r="BP24" i="4"/>
  <c r="BP1113" i="4"/>
  <c r="BP630" i="4"/>
  <c r="BP754" i="4"/>
  <c r="BP107" i="4"/>
  <c r="BP449" i="4"/>
  <c r="BP1180" i="4"/>
  <c r="BP542" i="4"/>
  <c r="BP25" i="4"/>
  <c r="BP450" i="4"/>
  <c r="BP451" i="4"/>
  <c r="BP631" i="4"/>
  <c r="BP146" i="4"/>
  <c r="BP147" i="4"/>
  <c r="BP452" i="4"/>
  <c r="BP214" i="4"/>
  <c r="BP592" i="4"/>
  <c r="BP632" i="4"/>
  <c r="BP215" i="4"/>
  <c r="BP593" i="4"/>
  <c r="BP216" i="4"/>
  <c r="BP453" i="4"/>
  <c r="BP942" i="4"/>
  <c r="BP543" i="4"/>
  <c r="BP755" i="4"/>
  <c r="BP217" i="4"/>
  <c r="BP849" i="4"/>
  <c r="BP454" i="4"/>
  <c r="BP80" i="4"/>
  <c r="BP455" i="4"/>
  <c r="BP544" i="4"/>
  <c r="BP456" i="4"/>
  <c r="BP1199" i="4"/>
  <c r="BP457" i="4"/>
  <c r="BP545" i="4"/>
  <c r="BP1151" i="4"/>
  <c r="BP218" i="4"/>
  <c r="BP458" i="4"/>
  <c r="BP546" i="4"/>
  <c r="BP459" i="4"/>
  <c r="BP460" i="4"/>
  <c r="BP39" i="4"/>
  <c r="BP547" i="4"/>
  <c r="BP59" i="4"/>
  <c r="BP548" i="4"/>
  <c r="BP461" i="4"/>
  <c r="BP40" i="4"/>
  <c r="BP549" i="4"/>
  <c r="BP959" i="4"/>
  <c r="BP462" i="4"/>
  <c r="BP550" i="4"/>
  <c r="BP60" i="4"/>
  <c r="BP633" i="4"/>
  <c r="BP219" i="4"/>
  <c r="BP463" i="4"/>
  <c r="BP6" i="4"/>
  <c r="BP551" i="4"/>
  <c r="BP552" i="4"/>
  <c r="BP553" i="4"/>
  <c r="BP148" i="4"/>
  <c r="BP220" i="4"/>
  <c r="BP26" i="4"/>
  <c r="BP464" i="4"/>
  <c r="BP149" i="4"/>
  <c r="BP1114" i="4"/>
  <c r="BP465" i="4"/>
  <c r="BP634" i="4"/>
  <c r="BP594" i="4"/>
  <c r="BO695" i="4"/>
  <c r="BO908" i="4"/>
  <c r="BO696" i="4"/>
  <c r="BO909" i="4"/>
  <c r="BO228" i="4"/>
  <c r="BO638" i="4"/>
  <c r="BO639" i="4"/>
  <c r="BO229" i="4"/>
  <c r="BO851" i="4"/>
  <c r="BO230" i="4"/>
  <c r="BO697" i="4"/>
  <c r="BO554" i="4"/>
  <c r="BO1093" i="4"/>
  <c r="BO1073" i="4"/>
  <c r="BO111" i="4"/>
  <c r="BO112" i="4"/>
  <c r="BO113" i="4"/>
  <c r="BO114" i="4"/>
  <c r="BO1161" i="4"/>
  <c r="BO885" i="4"/>
  <c r="BO475" i="4"/>
  <c r="BO935" i="4"/>
  <c r="BO640" i="4"/>
  <c r="BO785" i="4"/>
  <c r="BO1162" i="4"/>
  <c r="BO231" i="4"/>
  <c r="BO1185" i="4"/>
  <c r="BO910" i="4"/>
  <c r="BO150" i="4"/>
  <c r="BO43" i="4"/>
  <c r="BO1203" i="4"/>
  <c r="BO1097" i="4"/>
  <c r="BO151" i="4"/>
  <c r="BO1002" i="4"/>
  <c r="BO911" i="4"/>
  <c r="BO1117" i="4"/>
  <c r="BO81" i="4"/>
  <c r="BO1046" i="4"/>
  <c r="BO912" i="4"/>
  <c r="BO476" i="4"/>
  <c r="BO1047" i="4"/>
  <c r="BO913" i="4"/>
  <c r="BO886" i="4"/>
  <c r="BO44" i="4"/>
  <c r="BO983" i="4"/>
  <c r="BO990" i="4"/>
  <c r="BO1009" i="4"/>
  <c r="BO1193" i="4"/>
  <c r="BO232" i="4"/>
  <c r="BO61" i="4"/>
  <c r="BO1121" i="4"/>
  <c r="BO477" i="4"/>
  <c r="BO152" i="4"/>
  <c r="BO1119" i="4"/>
  <c r="BO1048" i="4"/>
  <c r="BO956" i="4"/>
  <c r="BO1062" i="4"/>
  <c r="BO478" i="4"/>
  <c r="BO233" i="4"/>
  <c r="BO555" i="4"/>
  <c r="BO698" i="4"/>
  <c r="BO757" i="4"/>
  <c r="BO82" i="4"/>
  <c r="BO887" i="4"/>
  <c r="BO83" i="4"/>
  <c r="BO1205" i="4"/>
  <c r="BO1063" i="4"/>
  <c r="BO153" i="4"/>
  <c r="BO1155" i="4"/>
  <c r="BO1144" i="4"/>
  <c r="BO1181" i="4"/>
  <c r="BO234" i="4"/>
  <c r="BO235" i="4"/>
  <c r="BO1178" i="4"/>
  <c r="BO115" i="4"/>
  <c r="BO236" i="4"/>
  <c r="BO154" i="4"/>
  <c r="BO1010" i="4"/>
  <c r="BO479" i="4"/>
  <c r="BO480" i="4"/>
  <c r="BO116" i="4"/>
  <c r="BO786" i="4"/>
  <c r="BO117" i="4"/>
  <c r="BO237" i="4"/>
  <c r="BO968" i="4"/>
  <c r="BO8" i="4"/>
  <c r="BO481" i="4"/>
  <c r="BO9" i="4"/>
  <c r="BO1147" i="4"/>
  <c r="BO1204" i="4"/>
  <c r="BO1190" i="4"/>
  <c r="BO482" i="4"/>
  <c r="BO1166" i="4"/>
  <c r="BO1042" i="4"/>
  <c r="BO787" i="4"/>
  <c r="BO1049" i="4"/>
  <c r="BO238" i="4"/>
  <c r="BO699" i="4"/>
  <c r="BO239" i="4"/>
  <c r="BO888" i="4"/>
  <c r="BO27" i="4"/>
  <c r="BO597" i="4"/>
  <c r="BO788" i="4"/>
  <c r="BO10" i="4"/>
  <c r="BO556" i="4"/>
  <c r="BO11" i="4"/>
  <c r="BO240" i="4"/>
  <c r="BO1122" i="4"/>
  <c r="BO865" i="4"/>
  <c r="BO1110" i="4"/>
  <c r="BO155" i="4"/>
  <c r="BO1043" i="4"/>
  <c r="BO700" i="4"/>
  <c r="BO1153" i="4"/>
  <c r="BO483" i="4"/>
  <c r="BO784" i="4"/>
  <c r="BO62" i="4"/>
  <c r="BO241" i="4"/>
  <c r="BO156" i="4"/>
  <c r="BO45" i="4"/>
  <c r="BO1170" i="4"/>
  <c r="BO63" i="4"/>
  <c r="BO641" i="4"/>
  <c r="BO157" i="4"/>
  <c r="BO242" i="4"/>
  <c r="BO978" i="4"/>
  <c r="BO701" i="4"/>
  <c r="BO1120" i="4"/>
  <c r="BO243" i="4"/>
  <c r="BO1024" i="4"/>
  <c r="BO889" i="4"/>
  <c r="BO789" i="4"/>
  <c r="BO880" i="4"/>
  <c r="BO118" i="4"/>
  <c r="BO890" i="4"/>
  <c r="BO642" i="4"/>
  <c r="BO1067" i="4"/>
  <c r="BO643" i="4"/>
  <c r="BO244" i="4"/>
  <c r="BO1050" i="4"/>
  <c r="BO158" i="4"/>
  <c r="BO557" i="4"/>
  <c r="BO891" i="4"/>
  <c r="BO1084" i="4"/>
  <c r="BO892" i="4"/>
  <c r="BO245" i="4"/>
  <c r="BO893" i="4"/>
  <c r="BO1173" i="4"/>
  <c r="BO1123" i="4"/>
  <c r="BO702" i="4"/>
  <c r="BO703" i="4"/>
  <c r="BO1029" i="4"/>
  <c r="BO644" i="4"/>
  <c r="BO944" i="4"/>
  <c r="BO704" i="4"/>
  <c r="BO645" i="4"/>
  <c r="BO705" i="4"/>
  <c r="BO706" i="4"/>
  <c r="BO969" i="4"/>
  <c r="BO246" i="4"/>
  <c r="BO1051" i="4"/>
  <c r="BO1183" i="4"/>
  <c r="BO247" i="4"/>
  <c r="BO1030" i="4"/>
  <c r="BO646" i="4"/>
  <c r="BO984" i="4"/>
  <c r="BO985" i="4"/>
  <c r="BO707" i="4"/>
  <c r="BO1031" i="4"/>
  <c r="BO248" i="4"/>
  <c r="BO484" i="4"/>
  <c r="BO881" i="4"/>
  <c r="BO1032" i="4"/>
  <c r="BO1003" i="4"/>
  <c r="BO1033" i="4"/>
  <c r="BO249" i="4"/>
  <c r="BO914" i="4"/>
  <c r="BO1034" i="4"/>
  <c r="BO647" i="4"/>
  <c r="BO1052" i="4"/>
  <c r="BO915" i="4"/>
  <c r="BO1105" i="4"/>
  <c r="BO159" i="4"/>
  <c r="BO648" i="4"/>
  <c r="BO1089" i="4"/>
  <c r="BO1035" i="4"/>
  <c r="BO894" i="4"/>
  <c r="BO250" i="4"/>
  <c r="BO251" i="4"/>
  <c r="BO1053" i="4"/>
  <c r="BO485" i="4"/>
  <c r="BO1036" i="4"/>
  <c r="BO486" i="4"/>
  <c r="BO12" i="4"/>
  <c r="BO1004" i="4"/>
  <c r="BO1079" i="4"/>
  <c r="BO160" i="4"/>
  <c r="BO895" i="4"/>
  <c r="BO252" i="4"/>
  <c r="BO649" i="4"/>
  <c r="BO487" i="4"/>
  <c r="BO84" i="4"/>
  <c r="BO965" i="4"/>
  <c r="BO1068" i="4"/>
  <c r="BO488" i="4"/>
  <c r="BO970" i="4"/>
  <c r="BO896" i="4"/>
  <c r="BO650" i="4"/>
  <c r="BO46" i="4"/>
  <c r="BO897" i="4"/>
  <c r="BO708" i="4"/>
  <c r="BO253" i="4"/>
  <c r="BO927" i="4"/>
  <c r="BO1005" i="4"/>
  <c r="BO1165" i="4"/>
  <c r="BO1006" i="4"/>
  <c r="BO1011" i="4"/>
  <c r="BO916" i="4"/>
  <c r="BO1182" i="4"/>
  <c r="BO254" i="4"/>
  <c r="BO898" i="4"/>
  <c r="BO971" i="4"/>
  <c r="BO161" i="4"/>
  <c r="BO991" i="4"/>
  <c r="BO1164" i="4"/>
  <c r="BO47" i="4"/>
  <c r="BO709" i="4"/>
  <c r="BO1187" i="4"/>
  <c r="BO255" i="4"/>
  <c r="BO866" i="4"/>
  <c r="BO1012" i="4"/>
  <c r="BO992" i="4"/>
  <c r="BO945" i="4"/>
  <c r="BO758" i="4"/>
  <c r="BO993" i="4"/>
  <c r="BO598" i="4"/>
  <c r="BO1197" i="4"/>
  <c r="BO256" i="4"/>
  <c r="BO1140" i="4"/>
  <c r="BO28" i="4"/>
  <c r="BO946" i="4"/>
  <c r="BO1054" i="4"/>
  <c r="BO994" i="4"/>
  <c r="BO1094" i="4"/>
  <c r="BO257" i="4"/>
  <c r="BO995" i="4"/>
  <c r="BO759" i="4"/>
  <c r="BO258" i="4"/>
  <c r="BO1071" i="4"/>
  <c r="BO1085" i="4"/>
  <c r="BO852" i="4"/>
  <c r="BO853" i="4"/>
  <c r="BO867" i="4"/>
  <c r="BO558" i="4"/>
  <c r="BO1025" i="4"/>
  <c r="BO1174" i="4"/>
  <c r="BO917" i="4"/>
  <c r="BO1194" i="4"/>
  <c r="BO1191" i="4"/>
  <c r="BO559" i="4"/>
  <c r="BO947" i="4"/>
  <c r="BO259" i="4"/>
  <c r="BO918" i="4"/>
  <c r="BO489" i="4"/>
  <c r="BO1039" i="4"/>
  <c r="BO919" i="4"/>
  <c r="BO1124" i="4"/>
  <c r="BO868" i="4"/>
  <c r="BO1152" i="4"/>
  <c r="BO790" i="4"/>
  <c r="BO85" i="4"/>
  <c r="BO972" i="4"/>
  <c r="BO957" i="4"/>
  <c r="BO869" i="4"/>
  <c r="BO760" i="4"/>
  <c r="BO1192" i="4"/>
  <c r="BO560" i="4"/>
  <c r="BO1090" i="4"/>
  <c r="BO920" i="4"/>
  <c r="BO1037" i="4"/>
  <c r="BO1074" i="4"/>
  <c r="BO64" i="4"/>
  <c r="BO996" i="4"/>
  <c r="BO966" i="4"/>
  <c r="BO997" i="4"/>
  <c r="BO1115" i="4"/>
  <c r="BO1184" i="4"/>
  <c r="BO1141" i="4"/>
  <c r="BO936" i="4"/>
  <c r="BO1100" i="4"/>
  <c r="BO1013" i="4"/>
  <c r="BO791" i="4"/>
  <c r="BO1026" i="4"/>
  <c r="BO1098" i="4"/>
  <c r="BO694" i="4"/>
  <c r="BO651" i="4"/>
  <c r="BO792" i="4"/>
  <c r="BO1014" i="4"/>
  <c r="BO652" i="4"/>
  <c r="BO653" i="4"/>
  <c r="BO1095" i="4"/>
  <c r="BO1069" i="4"/>
  <c r="BO260" i="4"/>
  <c r="BO1179" i="4"/>
  <c r="BO1099" i="4"/>
  <c r="BO1027" i="4"/>
  <c r="BO86" i="4"/>
  <c r="BO1125" i="4"/>
  <c r="BO599" i="4"/>
  <c r="BO710" i="4"/>
  <c r="BO1064" i="4"/>
  <c r="BO793" i="4"/>
  <c r="BO899" i="4"/>
  <c r="BO162" i="4"/>
  <c r="BO921" i="4"/>
  <c r="BO1171" i="4"/>
  <c r="BO794" i="4"/>
  <c r="BO600" i="4"/>
  <c r="BO561" i="4"/>
  <c r="BO795" i="4"/>
  <c r="BO761" i="4"/>
  <c r="BO654" i="4"/>
  <c r="BO711" i="4"/>
  <c r="BO796" i="4"/>
  <c r="BO87" i="4"/>
  <c r="BO261" i="4"/>
  <c r="BO262" i="4"/>
  <c r="BO797" i="4"/>
  <c r="BO712" i="4"/>
  <c r="BO980" i="4"/>
  <c r="BO798" i="4"/>
  <c r="BO973" i="4"/>
  <c r="BO981" i="4"/>
  <c r="BO601" i="4"/>
  <c r="BO263" i="4"/>
  <c r="BO602" i="4"/>
  <c r="BO762" i="4"/>
  <c r="BO490" i="4"/>
  <c r="BO922" i="4"/>
  <c r="BO655" i="4"/>
  <c r="BO928" i="4"/>
  <c r="BO713" i="4"/>
  <c r="BO603" i="4"/>
  <c r="BO163" i="4"/>
  <c r="BO264" i="4"/>
  <c r="BO854" i="4"/>
  <c r="BO799" i="4"/>
  <c r="BO714" i="4"/>
  <c r="BO656" i="4"/>
  <c r="BO657" i="4"/>
  <c r="BO800" i="4"/>
  <c r="BO491" i="4"/>
  <c r="BO658" i="4"/>
  <c r="BO801" i="4"/>
  <c r="BO604" i="4"/>
  <c r="BO265" i="4"/>
  <c r="BO1072" i="4"/>
  <c r="BO802" i="4"/>
  <c r="BO659" i="4"/>
  <c r="BO492" i="4"/>
  <c r="BO266" i="4"/>
  <c r="BO119" i="4"/>
  <c r="BO1126" i="4"/>
  <c r="BO870" i="4"/>
  <c r="BO493" i="4"/>
  <c r="BO803" i="4"/>
  <c r="BO605" i="4"/>
  <c r="BO929" i="4"/>
  <c r="BO660" i="4"/>
  <c r="BO1055" i="4"/>
  <c r="BO606" i="4"/>
  <c r="BO804" i="4"/>
  <c r="BO494" i="4"/>
  <c r="BO715" i="4"/>
  <c r="BO267" i="4"/>
  <c r="BO805" i="4"/>
  <c r="BO164" i="4"/>
  <c r="BO716" i="4"/>
  <c r="BO268" i="4"/>
  <c r="BO930" i="4"/>
  <c r="BO495" i="4"/>
  <c r="BO763" i="4"/>
  <c r="BO120" i="4"/>
  <c r="BO806" i="4"/>
  <c r="BO65" i="4"/>
  <c r="BO29" i="4"/>
  <c r="BO717" i="4"/>
  <c r="BO269" i="4"/>
  <c r="BO923" i="4"/>
  <c r="BO562" i="4"/>
  <c r="BO270" i="4"/>
  <c r="BO718" i="4"/>
  <c r="BO986" i="4"/>
  <c r="BO961" i="4"/>
  <c r="BO165" i="4"/>
  <c r="BO496" i="4"/>
  <c r="BO764" i="4"/>
  <c r="BO807" i="4"/>
  <c r="BO1149" i="4"/>
  <c r="BO636" i="4"/>
  <c r="BO166" i="4"/>
  <c r="BO13" i="4"/>
  <c r="BO974" i="4"/>
  <c r="BO719" i="4"/>
  <c r="BO563" i="4"/>
  <c r="BO88" i="4"/>
  <c r="BO271" i="4"/>
  <c r="BO272" i="4"/>
  <c r="BO765" i="4"/>
  <c r="BO808" i="4"/>
  <c r="BO661" i="4"/>
  <c r="BO662" i="4"/>
  <c r="BO809" i="4"/>
  <c r="BO1148" i="4"/>
  <c r="BO810" i="4"/>
  <c r="BO766" i="4"/>
  <c r="BO958" i="4"/>
  <c r="BO167" i="4"/>
  <c r="BO720" i="4"/>
  <c r="BO811" i="4"/>
  <c r="BO767" i="4"/>
  <c r="BO89" i="4"/>
  <c r="BO564" i="4"/>
  <c r="BO768" i="4"/>
  <c r="BO1056" i="4"/>
  <c r="BO812" i="4"/>
  <c r="BO663" i="4"/>
  <c r="BO813" i="4"/>
  <c r="BO273" i="4"/>
  <c r="BO121" i="4"/>
  <c r="BO721" i="4"/>
  <c r="BO122" i="4"/>
  <c r="BO123" i="4"/>
  <c r="BO814" i="4"/>
  <c r="BO815" i="4"/>
  <c r="BO274" i="4"/>
  <c r="BO900" i="4"/>
  <c r="BO1080" i="4"/>
  <c r="BO124" i="4"/>
  <c r="BO975" i="4"/>
  <c r="BO275" i="4"/>
  <c r="BO664" i="4"/>
  <c r="BO722" i="4"/>
  <c r="BO1142" i="4"/>
  <c r="BO497" i="4"/>
  <c r="BO276" i="4"/>
  <c r="BO277" i="4"/>
  <c r="BO665" i="4"/>
  <c r="BO1127" i="4"/>
  <c r="BO125" i="4"/>
  <c r="BO498" i="4"/>
  <c r="BO168" i="4"/>
  <c r="BO499" i="4"/>
  <c r="BO90" i="4"/>
  <c r="BO565" i="4"/>
  <c r="BO1128" i="4"/>
  <c r="BO278" i="4"/>
  <c r="BO279" i="4"/>
  <c r="BO280" i="4"/>
  <c r="BO91" i="4"/>
  <c r="BO1106" i="4"/>
  <c r="BO987" i="4"/>
  <c r="BO723" i="4"/>
  <c r="BO769" i="4"/>
  <c r="BO816" i="4"/>
  <c r="BO126" i="4"/>
  <c r="BO998" i="4"/>
  <c r="BO1118" i="4"/>
  <c r="BO127" i="4"/>
  <c r="BO882" i="4"/>
  <c r="BO92" i="4"/>
  <c r="BO1129" i="4"/>
  <c r="BO724" i="4"/>
  <c r="BO725" i="4"/>
  <c r="BO666" i="4"/>
  <c r="BO128" i="4"/>
  <c r="BO1130" i="4"/>
  <c r="BO281" i="4"/>
  <c r="BO817" i="4"/>
  <c r="BO726" i="4"/>
  <c r="BO282" i="4"/>
  <c r="BO727" i="4"/>
  <c r="BO1086" i="4"/>
  <c r="BO48" i="4"/>
  <c r="BO283" i="4"/>
  <c r="BO818" i="4"/>
  <c r="BO1087" i="4"/>
  <c r="BO819" i="4"/>
  <c r="BO901" i="4"/>
  <c r="BO93" i="4"/>
  <c r="BO94" i="4"/>
  <c r="BO1057" i="4"/>
  <c r="BO1007" i="4"/>
  <c r="BO284" i="4"/>
  <c r="BO1201" i="4"/>
  <c r="BO1070" i="4"/>
  <c r="BO820" i="4"/>
  <c r="BO566" i="4"/>
  <c r="BO607" i="4"/>
  <c r="BO1167" i="4"/>
  <c r="BO821" i="4"/>
  <c r="BO822" i="4"/>
  <c r="BO823" i="4"/>
  <c r="BO976" i="4"/>
  <c r="BO1131" i="4"/>
  <c r="BO871" i="4"/>
  <c r="BO49" i="4"/>
  <c r="BO931" i="4"/>
  <c r="BO824" i="4"/>
  <c r="BO1132" i="4"/>
  <c r="BO285" i="4"/>
  <c r="BO169" i="4"/>
  <c r="BO66" i="4"/>
  <c r="BO286" i="4"/>
  <c r="BO567" i="4"/>
  <c r="BO287" i="4"/>
  <c r="BO288" i="4"/>
  <c r="BO728" i="4"/>
  <c r="BO1154" i="4"/>
  <c r="BO289" i="4"/>
  <c r="BO50" i="4"/>
  <c r="BO962" i="4"/>
  <c r="BO932" i="4"/>
  <c r="BO51" i="4"/>
  <c r="BO1075" i="4"/>
  <c r="BO170" i="4"/>
  <c r="BO1133" i="4"/>
  <c r="BO129" i="4"/>
  <c r="BO1015" i="4"/>
  <c r="BO67" i="4"/>
  <c r="BO95" i="4"/>
  <c r="BO937" i="4"/>
  <c r="BO500" i="4"/>
  <c r="BO948" i="4"/>
  <c r="BO568" i="4"/>
  <c r="BO130" i="4"/>
  <c r="BO290" i="4"/>
  <c r="BO825" i="4"/>
  <c r="BO291" i="4"/>
  <c r="BO569" i="4"/>
  <c r="BO171" i="4"/>
  <c r="BO292" i="4"/>
  <c r="BO30" i="4"/>
  <c r="BO872" i="4"/>
  <c r="BO967" i="4"/>
  <c r="BO293" i="4"/>
  <c r="BO172" i="4"/>
  <c r="BO173" i="4"/>
  <c r="BO131" i="4"/>
  <c r="BO1088" i="4"/>
  <c r="BO2" i="4"/>
  <c r="BO294" i="4"/>
  <c r="BO174" i="4"/>
  <c r="BO501" i="4"/>
  <c r="BO14" i="4"/>
  <c r="BO1168" i="4"/>
  <c r="BO1188" i="4"/>
  <c r="BO1065" i="4"/>
  <c r="BO502" i="4"/>
  <c r="BO295" i="4"/>
  <c r="BO608" i="4"/>
  <c r="BO503" i="4"/>
  <c r="BO175" i="4"/>
  <c r="BO296" i="4"/>
  <c r="BO132" i="4"/>
  <c r="BO902" i="4"/>
  <c r="BO176" i="4"/>
  <c r="BO570" i="4"/>
  <c r="BO297" i="4"/>
  <c r="BO826" i="4"/>
  <c r="BO1116" i="4"/>
  <c r="BO571" i="4"/>
  <c r="BO729" i="4"/>
  <c r="BO298" i="4"/>
  <c r="BO924" i="4"/>
  <c r="BO299" i="4"/>
  <c r="BO977" i="4"/>
  <c r="BO572" i="4"/>
  <c r="BO300" i="4"/>
  <c r="BO999" i="4"/>
  <c r="BO730" i="4"/>
  <c r="BO15" i="4"/>
  <c r="BO1081" i="4"/>
  <c r="BO827" i="4"/>
  <c r="BO1145" i="4"/>
  <c r="BO96" i="4"/>
  <c r="BO1058" i="4"/>
  <c r="BO1016" i="4"/>
  <c r="BO903" i="4"/>
  <c r="BO1200" i="4"/>
  <c r="BO731" i="4"/>
  <c r="BO1109" i="4"/>
  <c r="BO1045" i="4"/>
  <c r="BO133" i="4"/>
  <c r="BO301" i="4"/>
  <c r="BO1017" i="4"/>
  <c r="BO302" i="4"/>
  <c r="BO303" i="4"/>
  <c r="BO1018" i="4"/>
  <c r="BO1169" i="4"/>
  <c r="BO304" i="4"/>
  <c r="BO305" i="4"/>
  <c r="BO504" i="4"/>
  <c r="BO306" i="4"/>
  <c r="BO3" i="4"/>
  <c r="BO307" i="4"/>
  <c r="BO68" i="4"/>
  <c r="BO177" i="4"/>
  <c r="BO573" i="4"/>
  <c r="BO1156" i="4"/>
  <c r="BO308" i="4"/>
  <c r="BO97" i="4"/>
  <c r="BO505" i="4"/>
  <c r="BO1177" i="4"/>
  <c r="BO988" i="4"/>
  <c r="BO309" i="4"/>
  <c r="BO69" i="4"/>
  <c r="BO1040" i="4"/>
  <c r="BO938" i="4"/>
  <c r="BO70" i="4"/>
  <c r="BO637" i="4"/>
  <c r="BO310" i="4"/>
  <c r="BO1134" i="4"/>
  <c r="BO311" i="4"/>
  <c r="BO1202" i="4"/>
  <c r="BO770" i="4"/>
  <c r="BO1101" i="4"/>
  <c r="BO732" i="4"/>
  <c r="BO1143" i="4"/>
  <c r="BO98" i="4"/>
  <c r="BO1135" i="4"/>
  <c r="BO828" i="4"/>
  <c r="BO506" i="4"/>
  <c r="BO667" i="4"/>
  <c r="BO99" i="4"/>
  <c r="BO609" i="4"/>
  <c r="BO507" i="4"/>
  <c r="BO100" i="4"/>
  <c r="BO1102" i="4"/>
  <c r="BO312" i="4"/>
  <c r="BO313" i="4"/>
  <c r="BO314" i="4"/>
  <c r="BO668" i="4"/>
  <c r="BO315" i="4"/>
  <c r="BO733" i="4"/>
  <c r="BO316" i="4"/>
  <c r="BO1103" i="4"/>
  <c r="BO734" i="4"/>
  <c r="BO1150" i="4"/>
  <c r="BO574" i="4"/>
  <c r="BO1111" i="4"/>
  <c r="BO1076" i="4"/>
  <c r="BO317" i="4"/>
  <c r="BO904" i="4"/>
  <c r="BO829" i="4"/>
  <c r="BO1136" i="4"/>
  <c r="BO830" i="4"/>
  <c r="BO1019" i="4"/>
  <c r="BO1195" i="4"/>
  <c r="BO318" i="4"/>
  <c r="BO735" i="4"/>
  <c r="BO178" i="4"/>
  <c r="BO669" i="4"/>
  <c r="BO134" i="4"/>
  <c r="BO319" i="4"/>
  <c r="BO883" i="4"/>
  <c r="BO320" i="4"/>
  <c r="BO321" i="4"/>
  <c r="BO322" i="4"/>
  <c r="BO16" i="4"/>
  <c r="BO323" i="4"/>
  <c r="BO508" i="4"/>
  <c r="BO324" i="4"/>
  <c r="BO831" i="4"/>
  <c r="BO509" i="4"/>
  <c r="BO325" i="4"/>
  <c r="BO1028" i="4"/>
  <c r="BO71" i="4"/>
  <c r="BO179" i="4"/>
  <c r="BO670" i="4"/>
  <c r="BO873" i="4"/>
  <c r="BO31" i="4"/>
  <c r="BO874" i="4"/>
  <c r="BO326" i="4"/>
  <c r="BO1008" i="4"/>
  <c r="BO736" i="4"/>
  <c r="BO982" i="4"/>
  <c r="BO979" i="4"/>
  <c r="BO925" i="4"/>
  <c r="BO510" i="4"/>
  <c r="BO327" i="4"/>
  <c r="BO875" i="4"/>
  <c r="BO511" i="4"/>
  <c r="BO328" i="4"/>
  <c r="BO876" i="4"/>
  <c r="BO329" i="4"/>
  <c r="BO1059" i="4"/>
  <c r="BO330" i="4"/>
  <c r="BO1175" i="4"/>
  <c r="BO1060" i="4"/>
  <c r="BO610" i="4"/>
  <c r="BO32" i="4"/>
  <c r="BO671" i="4"/>
  <c r="BO180" i="4"/>
  <c r="BO331" i="4"/>
  <c r="BO855" i="4"/>
  <c r="BO1038" i="4"/>
  <c r="BO856" i="4"/>
  <c r="BO611" i="4"/>
  <c r="BO1077" i="4"/>
  <c r="BO1044" i="4"/>
  <c r="BO1066" i="4"/>
  <c r="BO1107" i="4"/>
  <c r="BO1104" i="4"/>
  <c r="BO832" i="4"/>
  <c r="BO332" i="4"/>
  <c r="BO33" i="4"/>
  <c r="BO672" i="4"/>
  <c r="BO673" i="4"/>
  <c r="BO1196" i="4"/>
  <c r="BO833" i="4"/>
  <c r="BO52" i="4"/>
  <c r="BO512" i="4"/>
  <c r="BO834" i="4"/>
  <c r="BO857" i="4"/>
  <c r="BO53" i="4"/>
  <c r="BO1020" i="4"/>
  <c r="BO674" i="4"/>
  <c r="BO333" i="4"/>
  <c r="BO334" i="4"/>
  <c r="BO101" i="4"/>
  <c r="BO675" i="4"/>
  <c r="BO335" i="4"/>
  <c r="BO949" i="4"/>
  <c r="BO336" i="4"/>
  <c r="BO1160" i="4"/>
  <c r="BO676" i="4"/>
  <c r="BO337" i="4"/>
  <c r="BO181" i="4"/>
  <c r="BO182" i="4"/>
  <c r="BO513" i="4"/>
  <c r="BO72" i="4"/>
  <c r="BO135" i="4"/>
  <c r="BO612" i="4"/>
  <c r="BO575" i="4"/>
  <c r="BO576" i="4"/>
  <c r="BO771" i="4"/>
  <c r="BO1108" i="4"/>
  <c r="BO677" i="4"/>
  <c r="BO338" i="4"/>
  <c r="BO577" i="4"/>
  <c r="BO578" i="4"/>
  <c r="BO772" i="4"/>
  <c r="BO339" i="4"/>
  <c r="BO737" i="4"/>
  <c r="BO773" i="4"/>
  <c r="BO835" i="4"/>
  <c r="BO774" i="4"/>
  <c r="BO836" i="4"/>
  <c r="BO1000" i="4"/>
  <c r="BO340" i="4"/>
  <c r="BO1061" i="4"/>
  <c r="BO1198" i="4"/>
  <c r="BO950" i="4"/>
  <c r="BO933" i="4"/>
  <c r="BO1186" i="4"/>
  <c r="BO678" i="4"/>
  <c r="BO341" i="4"/>
  <c r="BO342" i="4"/>
  <c r="BO837" i="4"/>
  <c r="BO838" i="4"/>
  <c r="BO183" i="4"/>
  <c r="BO343" i="4"/>
  <c r="BO344" i="4"/>
  <c r="BO184" i="4"/>
  <c r="BO989" i="4"/>
  <c r="BO136" i="4"/>
  <c r="BO73" i="4"/>
  <c r="BO775" i="4"/>
  <c r="BO345" i="4"/>
  <c r="BO613" i="4"/>
  <c r="BO738" i="4"/>
  <c r="BO185" i="4"/>
  <c r="BO346" i="4"/>
  <c r="BO1041" i="4"/>
  <c r="BO186" i="4"/>
  <c r="BO347" i="4"/>
  <c r="BO54" i="4"/>
  <c r="BO514" i="4"/>
  <c r="BO739" i="4"/>
  <c r="BO348" i="4"/>
  <c r="BO877" i="4"/>
  <c r="BO74" i="4"/>
  <c r="BO614" i="4"/>
  <c r="BO884" i="4"/>
  <c r="BO75" i="4"/>
  <c r="BO1176" i="4"/>
  <c r="BO349" i="4"/>
  <c r="BO350" i="4"/>
  <c r="BO740" i="4"/>
  <c r="BO839" i="4"/>
  <c r="BO17" i="4"/>
  <c r="BO515" i="4"/>
  <c r="BO878" i="4"/>
  <c r="BO351" i="4"/>
  <c r="BO34" i="4"/>
  <c r="BO35" i="4"/>
  <c r="BO352" i="4"/>
  <c r="BO516" i="4"/>
  <c r="BO776" i="4"/>
  <c r="BO1137" i="4"/>
  <c r="BO55" i="4"/>
  <c r="BO1189" i="4"/>
  <c r="BO187" i="4"/>
  <c r="BO741" i="4"/>
  <c r="BO353" i="4"/>
  <c r="BO517" i="4"/>
  <c r="BO102" i="4"/>
  <c r="BO36" i="4"/>
  <c r="BO615" i="4"/>
  <c r="BO679" i="4"/>
  <c r="BO840" i="4"/>
  <c r="BO742" i="4"/>
  <c r="BO1096" i="4"/>
  <c r="BO18" i="4"/>
  <c r="BO188" i="4"/>
  <c r="BO354" i="4"/>
  <c r="BO355" i="4"/>
  <c r="BO356" i="4"/>
  <c r="BO939" i="4"/>
  <c r="BO56" i="4"/>
  <c r="BO1001" i="4"/>
  <c r="BO616" i="4"/>
  <c r="BO518" i="4"/>
  <c r="BO189" i="4"/>
  <c r="BO357" i="4"/>
  <c r="BO358" i="4"/>
  <c r="BO359" i="4"/>
  <c r="BO1021" i="4"/>
  <c r="BO360" i="4"/>
  <c r="BO905" i="4"/>
  <c r="BO743" i="4"/>
  <c r="BO1158" i="4"/>
  <c r="BO1078" i="4"/>
  <c r="BO361" i="4"/>
  <c r="BO519" i="4"/>
  <c r="BO520" i="4"/>
  <c r="BO680" i="4"/>
  <c r="BO777" i="4"/>
  <c r="BO362" i="4"/>
  <c r="BO190" i="4"/>
  <c r="BO191" i="4"/>
  <c r="BO841" i="4"/>
  <c r="BO617" i="4"/>
  <c r="BO521" i="4"/>
  <c r="BO363" i="4"/>
  <c r="BO618" i="4"/>
  <c r="BO926" i="4"/>
  <c r="BO364" i="4"/>
  <c r="BO858" i="4"/>
  <c r="BO859" i="4"/>
  <c r="BO137" i="4"/>
  <c r="BO365" i="4"/>
  <c r="BO744" i="4"/>
  <c r="BO579" i="4"/>
  <c r="BO522" i="4"/>
  <c r="BO778" i="4"/>
  <c r="BO842" i="4"/>
  <c r="BO951" i="4"/>
  <c r="BO366" i="4"/>
  <c r="BO619" i="4"/>
  <c r="BO367" i="4"/>
  <c r="BO779" i="4"/>
  <c r="BO580" i="4"/>
  <c r="BO368" i="4"/>
  <c r="BO681" i="4"/>
  <c r="BO369" i="4"/>
  <c r="BO370" i="4"/>
  <c r="BO371" i="4"/>
  <c r="BO1138" i="4"/>
  <c r="BO581" i="4"/>
  <c r="BO57" i="4"/>
  <c r="BO192" i="4"/>
  <c r="BO582" i="4"/>
  <c r="BO372" i="4"/>
  <c r="BO4" i="4"/>
  <c r="BO373" i="4"/>
  <c r="BO523" i="4"/>
  <c r="BO103" i="4"/>
  <c r="BO1172" i="4"/>
  <c r="BO374" i="4"/>
  <c r="BO375" i="4"/>
  <c r="BO376" i="4"/>
  <c r="BO377" i="4"/>
  <c r="BO682" i="4"/>
  <c r="BO378" i="4"/>
  <c r="BO524" i="4"/>
  <c r="BO525" i="4"/>
  <c r="BO843" i="4"/>
  <c r="BO379" i="4"/>
  <c r="BO583" i="4"/>
  <c r="BO780" i="4"/>
  <c r="BO193" i="4"/>
  <c r="BO620" i="4"/>
  <c r="BO380" i="4"/>
  <c r="BO194" i="4"/>
  <c r="BO526" i="4"/>
  <c r="BO195" i="4"/>
  <c r="BO527" i="4"/>
  <c r="BO196" i="4"/>
  <c r="BO381" i="4"/>
  <c r="BO138" i="4"/>
  <c r="BO621" i="4"/>
  <c r="BO745" i="4"/>
  <c r="BO584" i="4"/>
  <c r="BO197" i="4"/>
  <c r="BO382" i="4"/>
  <c r="BO76" i="4"/>
  <c r="BO383" i="4"/>
  <c r="BO683" i="4"/>
  <c r="BO585" i="4"/>
  <c r="BO384" i="4"/>
  <c r="BO19" i="4"/>
  <c r="BO385" i="4"/>
  <c r="BO684" i="4"/>
  <c r="BO198" i="4"/>
  <c r="BO781" i="4"/>
  <c r="BO20" i="4"/>
  <c r="BO952" i="4"/>
  <c r="BO746" i="4"/>
  <c r="BO685" i="4"/>
  <c r="BO686" i="4"/>
  <c r="BO199" i="4"/>
  <c r="BO963" i="4"/>
  <c r="BO200" i="4"/>
  <c r="BO201" i="4"/>
  <c r="BO844" i="4"/>
  <c r="BO687" i="4"/>
  <c r="BO386" i="4"/>
  <c r="BO387" i="4"/>
  <c r="BO388" i="4"/>
  <c r="BO528" i="4"/>
  <c r="BO389" i="4"/>
  <c r="BO390" i="4"/>
  <c r="BO391" i="4"/>
  <c r="BO782" i="4"/>
  <c r="BO139" i="4"/>
  <c r="BO688" i="4"/>
  <c r="BO392" i="4"/>
  <c r="BO37" i="4"/>
  <c r="BO906" i="4"/>
  <c r="BO393" i="4"/>
  <c r="BO104" i="4"/>
  <c r="BO747" i="4"/>
  <c r="BO622" i="4"/>
  <c r="BO394" i="4"/>
  <c r="BO395" i="4"/>
  <c r="BO396" i="4"/>
  <c r="BO586" i="4"/>
  <c r="BO397" i="4"/>
  <c r="BO529" i="4"/>
  <c r="BO398" i="4"/>
  <c r="BO1082" i="4"/>
  <c r="BO58" i="4"/>
  <c r="BO623" i="4"/>
  <c r="BO748" i="4"/>
  <c r="BO399" i="4"/>
  <c r="BO202" i="4"/>
  <c r="BO400" i="4"/>
  <c r="BO749" i="4"/>
  <c r="BO401" i="4"/>
  <c r="BO530" i="4"/>
  <c r="BO140" i="4"/>
  <c r="BO860" i="4"/>
  <c r="BO402" i="4"/>
  <c r="BO403" i="4"/>
  <c r="BO689" i="4"/>
  <c r="BO1091" i="4"/>
  <c r="BO531" i="4"/>
  <c r="BO624" i="4"/>
  <c r="BO532" i="4"/>
  <c r="BO404" i="4"/>
  <c r="BO845" i="4"/>
  <c r="BO846" i="4"/>
  <c r="BO405" i="4"/>
  <c r="BO750" i="4"/>
  <c r="BO533" i="4"/>
  <c r="BO203" i="4"/>
  <c r="BO406" i="4"/>
  <c r="BO625" i="4"/>
  <c r="BO141" i="4"/>
  <c r="BO1163" i="4"/>
  <c r="BO204" i="4"/>
  <c r="BO1159" i="4"/>
  <c r="BO407" i="4"/>
  <c r="BO587" i="4"/>
  <c r="BO588" i="4"/>
  <c r="BO408" i="4"/>
  <c r="BO953" i="4"/>
  <c r="BO409" i="4"/>
  <c r="BO205" i="4"/>
  <c r="BO751" i="4"/>
  <c r="BO534" i="4"/>
  <c r="BO847" i="4"/>
  <c r="BO206" i="4"/>
  <c r="BO207" i="4"/>
  <c r="BO410" i="4"/>
  <c r="BO21" i="4"/>
  <c r="BO411" i="4"/>
  <c r="BO5" i="4"/>
  <c r="BO412" i="4"/>
  <c r="BO752" i="4"/>
  <c r="BO413" i="4"/>
  <c r="BO77" i="4"/>
  <c r="BO414" i="4"/>
  <c r="BO415" i="4"/>
  <c r="BO416" i="4"/>
  <c r="BO417" i="4"/>
  <c r="BO954" i="4"/>
  <c r="BO418" i="4"/>
  <c r="BO690" i="4"/>
  <c r="BO419" i="4"/>
  <c r="BO535" i="4"/>
  <c r="BO420" i="4"/>
  <c r="BO22" i="4"/>
  <c r="BO421" i="4"/>
  <c r="BO422" i="4"/>
  <c r="BO423" i="4"/>
  <c r="BO1146" i="4"/>
  <c r="BO424" i="4"/>
  <c r="BO626" i="4"/>
  <c r="BO861" i="4"/>
  <c r="BO1022" i="4"/>
  <c r="BO1112" i="4"/>
  <c r="BO425" i="4"/>
  <c r="BO426" i="4"/>
  <c r="BO427" i="4"/>
  <c r="BO536" i="4"/>
  <c r="BO1083" i="4"/>
  <c r="BO428" i="4"/>
  <c r="BO23" i="4"/>
  <c r="BO537" i="4"/>
  <c r="BO429" i="4"/>
  <c r="BO78" i="4"/>
  <c r="BO208" i="4"/>
  <c r="BO430" i="4"/>
  <c r="BO862" i="4"/>
  <c r="BO627" i="4"/>
  <c r="BO105" i="4"/>
  <c r="BO142" i="4"/>
  <c r="BO1092" i="4"/>
  <c r="BO431" i="4"/>
  <c r="BO1157" i="4"/>
  <c r="BO432" i="4"/>
  <c r="BO143" i="4"/>
  <c r="BO433" i="4"/>
  <c r="BO209" i="4"/>
  <c r="BO538" i="4"/>
  <c r="BO434" i="4"/>
  <c r="BO589" i="4"/>
  <c r="BO863" i="4"/>
  <c r="BO539" i="4"/>
  <c r="BO590" i="4"/>
  <c r="BO210" i="4"/>
  <c r="BO540" i="4"/>
  <c r="BO435" i="4"/>
  <c r="BO436" i="4"/>
  <c r="BO848" i="4"/>
  <c r="BO940" i="4"/>
  <c r="BO864" i="4"/>
  <c r="BO211" i="4"/>
  <c r="BO941" i="4"/>
  <c r="BO691" i="4"/>
  <c r="BO628" i="4"/>
  <c r="BO144" i="4"/>
  <c r="BO437" i="4"/>
  <c r="BO38" i="4"/>
  <c r="BO212" i="4"/>
  <c r="BO591" i="4"/>
  <c r="BO783" i="4"/>
  <c r="BO438" i="4"/>
  <c r="BO439" i="4"/>
  <c r="BO79" i="4"/>
  <c r="BO145" i="4"/>
  <c r="BO440" i="4"/>
  <c r="BO213" i="4"/>
  <c r="BO441" i="4"/>
  <c r="BO442" i="4"/>
  <c r="BO443" i="4"/>
  <c r="BO106" i="4"/>
  <c r="BO629" i="4"/>
  <c r="BO444" i="4"/>
  <c r="BO445" i="4"/>
  <c r="BO753" i="4"/>
  <c r="BO541" i="4"/>
  <c r="BO446" i="4"/>
  <c r="BO879" i="4"/>
  <c r="BO447" i="4"/>
  <c r="BO448" i="4"/>
  <c r="BO1139" i="4"/>
  <c r="BO24" i="4"/>
  <c r="BO1113" i="4"/>
  <c r="BO630" i="4"/>
  <c r="BO754" i="4"/>
  <c r="BO107" i="4"/>
  <c r="BO449" i="4"/>
  <c r="BO1180" i="4"/>
  <c r="BO542" i="4"/>
  <c r="BO25" i="4"/>
  <c r="BO450" i="4"/>
  <c r="BO451" i="4"/>
  <c r="BO631" i="4"/>
  <c r="BO146" i="4"/>
  <c r="BO147" i="4"/>
  <c r="BO452" i="4"/>
  <c r="BO214" i="4"/>
  <c r="BO592" i="4"/>
  <c r="BO632" i="4"/>
  <c r="BO215" i="4"/>
  <c r="BO593" i="4"/>
  <c r="BO216" i="4"/>
  <c r="BO453" i="4"/>
  <c r="BO942" i="4"/>
  <c r="BO543" i="4"/>
  <c r="BO755" i="4"/>
  <c r="BO217" i="4"/>
  <c r="BO849" i="4"/>
  <c r="BO454" i="4"/>
  <c r="BO80" i="4"/>
  <c r="BO455" i="4"/>
  <c r="BO544" i="4"/>
  <c r="BO456" i="4"/>
  <c r="BO1199" i="4"/>
  <c r="BO457" i="4"/>
  <c r="BO545" i="4"/>
  <c r="BO1151" i="4"/>
  <c r="BO218" i="4"/>
  <c r="BO458" i="4"/>
  <c r="BO546" i="4"/>
  <c r="BO459" i="4"/>
  <c r="BO460" i="4"/>
  <c r="BO39" i="4"/>
  <c r="BO547" i="4"/>
  <c r="BO59" i="4"/>
  <c r="BO548" i="4"/>
  <c r="BO461" i="4"/>
  <c r="BO40" i="4"/>
  <c r="BO549" i="4"/>
  <c r="BO959" i="4"/>
  <c r="BO462" i="4"/>
  <c r="BO550" i="4"/>
  <c r="BO60" i="4"/>
  <c r="BO633" i="4"/>
  <c r="BO219" i="4"/>
  <c r="BO463" i="4"/>
  <c r="BO6" i="4"/>
  <c r="BO551" i="4"/>
  <c r="BO552" i="4"/>
  <c r="BO553" i="4"/>
  <c r="BO148" i="4"/>
  <c r="BO220" i="4"/>
  <c r="BO26" i="4"/>
  <c r="BO464" i="4"/>
  <c r="BO149" i="4"/>
  <c r="BO1114" i="4"/>
  <c r="BO465" i="4"/>
  <c r="BO634" i="4"/>
  <c r="BO594" i="4"/>
  <c r="BN695" i="4"/>
  <c r="BN908" i="4"/>
  <c r="BN696" i="4"/>
  <c r="BN909" i="4"/>
  <c r="BN228" i="4"/>
  <c r="BN638" i="4"/>
  <c r="BN639" i="4"/>
  <c r="BN229" i="4"/>
  <c r="BN851" i="4"/>
  <c r="BN230" i="4"/>
  <c r="BN697" i="4"/>
  <c r="BN554" i="4"/>
  <c r="BN1093" i="4"/>
  <c r="BN1073" i="4"/>
  <c r="BN111" i="4"/>
  <c r="BN112" i="4"/>
  <c r="BN113" i="4"/>
  <c r="BN114" i="4"/>
  <c r="BN1161" i="4"/>
  <c r="BN885" i="4"/>
  <c r="BN475" i="4"/>
  <c r="BN935" i="4"/>
  <c r="BN640" i="4"/>
  <c r="BN785" i="4"/>
  <c r="BN1162" i="4"/>
  <c r="BN231" i="4"/>
  <c r="BN1185" i="4"/>
  <c r="BN910" i="4"/>
  <c r="BN150" i="4"/>
  <c r="BN43" i="4"/>
  <c r="BN1203" i="4"/>
  <c r="BN1097" i="4"/>
  <c r="BN151" i="4"/>
  <c r="BN1002" i="4"/>
  <c r="BN911" i="4"/>
  <c r="BN1117" i="4"/>
  <c r="BN81" i="4"/>
  <c r="BN1046" i="4"/>
  <c r="BN912" i="4"/>
  <c r="BN476" i="4"/>
  <c r="BN1047" i="4"/>
  <c r="BN913" i="4"/>
  <c r="BN886" i="4"/>
  <c r="BN44" i="4"/>
  <c r="BN983" i="4"/>
  <c r="BN990" i="4"/>
  <c r="BN1009" i="4"/>
  <c r="BN1193" i="4"/>
  <c r="BN232" i="4"/>
  <c r="BN61" i="4"/>
  <c r="BN1121" i="4"/>
  <c r="BN477" i="4"/>
  <c r="BN152" i="4"/>
  <c r="BN1119" i="4"/>
  <c r="BN1048" i="4"/>
  <c r="BN956" i="4"/>
  <c r="BN1062" i="4"/>
  <c r="BN478" i="4"/>
  <c r="BN233" i="4"/>
  <c r="BN555" i="4"/>
  <c r="BN698" i="4"/>
  <c r="BN757" i="4"/>
  <c r="BN82" i="4"/>
  <c r="BN887" i="4"/>
  <c r="BN83" i="4"/>
  <c r="BN1205" i="4"/>
  <c r="BN1063" i="4"/>
  <c r="BN153" i="4"/>
  <c r="BN1155" i="4"/>
  <c r="BN1144" i="4"/>
  <c r="BN1181" i="4"/>
  <c r="BN234" i="4"/>
  <c r="BN235" i="4"/>
  <c r="BN1178" i="4"/>
  <c r="BN115" i="4"/>
  <c r="BN236" i="4"/>
  <c r="BN154" i="4"/>
  <c r="BN1010" i="4"/>
  <c r="BN479" i="4"/>
  <c r="BN480" i="4"/>
  <c r="BN116" i="4"/>
  <c r="BN786" i="4"/>
  <c r="BN117" i="4"/>
  <c r="BN237" i="4"/>
  <c r="BN968" i="4"/>
  <c r="BN8" i="4"/>
  <c r="BN481" i="4"/>
  <c r="BN9" i="4"/>
  <c r="BN1147" i="4"/>
  <c r="BN1204" i="4"/>
  <c r="BN1190" i="4"/>
  <c r="BN482" i="4"/>
  <c r="BN1166" i="4"/>
  <c r="BN1042" i="4"/>
  <c r="BN787" i="4"/>
  <c r="BN1049" i="4"/>
  <c r="BN238" i="4"/>
  <c r="BN699" i="4"/>
  <c r="BN239" i="4"/>
  <c r="BN888" i="4"/>
  <c r="BN27" i="4"/>
  <c r="BN597" i="4"/>
  <c r="BN788" i="4"/>
  <c r="BN10" i="4"/>
  <c r="BN556" i="4"/>
  <c r="BN11" i="4"/>
  <c r="BN240" i="4"/>
  <c r="BN1122" i="4"/>
  <c r="BN865" i="4"/>
  <c r="BN1110" i="4"/>
  <c r="BN155" i="4"/>
  <c r="BN1043" i="4"/>
  <c r="BN700" i="4"/>
  <c r="BN1153" i="4"/>
  <c r="BN483" i="4"/>
  <c r="BN784" i="4"/>
  <c r="BN62" i="4"/>
  <c r="BN241" i="4"/>
  <c r="BN156" i="4"/>
  <c r="BN45" i="4"/>
  <c r="BN1170" i="4"/>
  <c r="BN63" i="4"/>
  <c r="BN641" i="4"/>
  <c r="BN157" i="4"/>
  <c r="BN242" i="4"/>
  <c r="BN978" i="4"/>
  <c r="BN701" i="4"/>
  <c r="BN1120" i="4"/>
  <c r="BN243" i="4"/>
  <c r="BN1024" i="4"/>
  <c r="BN889" i="4"/>
  <c r="BN789" i="4"/>
  <c r="BN880" i="4"/>
  <c r="BN118" i="4"/>
  <c r="BN890" i="4"/>
  <c r="BN642" i="4"/>
  <c r="BN1067" i="4"/>
  <c r="BN643" i="4"/>
  <c r="BN244" i="4"/>
  <c r="BN1050" i="4"/>
  <c r="BN158" i="4"/>
  <c r="BN557" i="4"/>
  <c r="BN891" i="4"/>
  <c r="BN1084" i="4"/>
  <c r="BN892" i="4"/>
  <c r="BN245" i="4"/>
  <c r="BN893" i="4"/>
  <c r="BN1173" i="4"/>
  <c r="BN1123" i="4"/>
  <c r="BN702" i="4"/>
  <c r="BN703" i="4"/>
  <c r="BN1029" i="4"/>
  <c r="BN644" i="4"/>
  <c r="BN944" i="4"/>
  <c r="BN704" i="4"/>
  <c r="BN645" i="4"/>
  <c r="BN705" i="4"/>
  <c r="BN706" i="4"/>
  <c r="BN969" i="4"/>
  <c r="BN246" i="4"/>
  <c r="BN1051" i="4"/>
  <c r="BN1183" i="4"/>
  <c r="BN247" i="4"/>
  <c r="BN1030" i="4"/>
  <c r="BN646" i="4"/>
  <c r="BN984" i="4"/>
  <c r="BN985" i="4"/>
  <c r="BN707" i="4"/>
  <c r="BN1031" i="4"/>
  <c r="BN248" i="4"/>
  <c r="BN484" i="4"/>
  <c r="BN881" i="4"/>
  <c r="BN1032" i="4"/>
  <c r="BN1003" i="4"/>
  <c r="BN1033" i="4"/>
  <c r="BN249" i="4"/>
  <c r="BN914" i="4"/>
  <c r="BN1034" i="4"/>
  <c r="BN647" i="4"/>
  <c r="BN1052" i="4"/>
  <c r="BN915" i="4"/>
  <c r="BN1105" i="4"/>
  <c r="BN159" i="4"/>
  <c r="BN648" i="4"/>
  <c r="BN1089" i="4"/>
  <c r="BN1035" i="4"/>
  <c r="BN894" i="4"/>
  <c r="BN250" i="4"/>
  <c r="BN251" i="4"/>
  <c r="BN1053" i="4"/>
  <c r="BN485" i="4"/>
  <c r="BN1036" i="4"/>
  <c r="BN486" i="4"/>
  <c r="BN12" i="4"/>
  <c r="BN1004" i="4"/>
  <c r="BN1079" i="4"/>
  <c r="BN160" i="4"/>
  <c r="BN895" i="4"/>
  <c r="BN252" i="4"/>
  <c r="BN649" i="4"/>
  <c r="BN487" i="4"/>
  <c r="BN84" i="4"/>
  <c r="BN965" i="4"/>
  <c r="BN1068" i="4"/>
  <c r="BN488" i="4"/>
  <c r="BN970" i="4"/>
  <c r="BN896" i="4"/>
  <c r="BN650" i="4"/>
  <c r="BN46" i="4"/>
  <c r="BN897" i="4"/>
  <c r="BN708" i="4"/>
  <c r="BN253" i="4"/>
  <c r="BN927" i="4"/>
  <c r="BN1005" i="4"/>
  <c r="BN1165" i="4"/>
  <c r="BN1006" i="4"/>
  <c r="BN1011" i="4"/>
  <c r="BN916" i="4"/>
  <c r="BN1182" i="4"/>
  <c r="BN254" i="4"/>
  <c r="BN898" i="4"/>
  <c r="BN971" i="4"/>
  <c r="BN161" i="4"/>
  <c r="BN991" i="4"/>
  <c r="BN1164" i="4"/>
  <c r="BN47" i="4"/>
  <c r="BN709" i="4"/>
  <c r="BN1187" i="4"/>
  <c r="BN255" i="4"/>
  <c r="BN866" i="4"/>
  <c r="BN1012" i="4"/>
  <c r="BN992" i="4"/>
  <c r="BN945" i="4"/>
  <c r="BN758" i="4"/>
  <c r="BN993" i="4"/>
  <c r="BN598" i="4"/>
  <c r="BN1197" i="4"/>
  <c r="BN256" i="4"/>
  <c r="BN1140" i="4"/>
  <c r="BN28" i="4"/>
  <c r="BN946" i="4"/>
  <c r="BN1054" i="4"/>
  <c r="BN994" i="4"/>
  <c r="BN1094" i="4"/>
  <c r="BN257" i="4"/>
  <c r="BN995" i="4"/>
  <c r="BN759" i="4"/>
  <c r="BN258" i="4"/>
  <c r="BN1071" i="4"/>
  <c r="BN1085" i="4"/>
  <c r="BN852" i="4"/>
  <c r="BN853" i="4"/>
  <c r="BN867" i="4"/>
  <c r="BN558" i="4"/>
  <c r="BN1025" i="4"/>
  <c r="BN1174" i="4"/>
  <c r="BN917" i="4"/>
  <c r="BN1194" i="4"/>
  <c r="BN1191" i="4"/>
  <c r="BN559" i="4"/>
  <c r="BN947" i="4"/>
  <c r="BN259" i="4"/>
  <c r="BN918" i="4"/>
  <c r="BN489" i="4"/>
  <c r="BN1039" i="4"/>
  <c r="BN919" i="4"/>
  <c r="BN1124" i="4"/>
  <c r="BN868" i="4"/>
  <c r="BN1152" i="4"/>
  <c r="BN790" i="4"/>
  <c r="BN85" i="4"/>
  <c r="BN972" i="4"/>
  <c r="BN957" i="4"/>
  <c r="BN869" i="4"/>
  <c r="BN760" i="4"/>
  <c r="BN1192" i="4"/>
  <c r="BN560" i="4"/>
  <c r="BN1090" i="4"/>
  <c r="BN920" i="4"/>
  <c r="BN1037" i="4"/>
  <c r="BN1074" i="4"/>
  <c r="BN64" i="4"/>
  <c r="BN996" i="4"/>
  <c r="BN966" i="4"/>
  <c r="BN997" i="4"/>
  <c r="BN1115" i="4"/>
  <c r="BN1184" i="4"/>
  <c r="BN1141" i="4"/>
  <c r="BN936" i="4"/>
  <c r="BN1100" i="4"/>
  <c r="BN1013" i="4"/>
  <c r="BN791" i="4"/>
  <c r="BN1026" i="4"/>
  <c r="BN1098" i="4"/>
  <c r="BN694" i="4"/>
  <c r="BN651" i="4"/>
  <c r="BN792" i="4"/>
  <c r="BN1014" i="4"/>
  <c r="BN652" i="4"/>
  <c r="BN653" i="4"/>
  <c r="BN1095" i="4"/>
  <c r="BN1069" i="4"/>
  <c r="BN260" i="4"/>
  <c r="BN1179" i="4"/>
  <c r="BN1099" i="4"/>
  <c r="BN1027" i="4"/>
  <c r="BN86" i="4"/>
  <c r="BN1125" i="4"/>
  <c r="BN599" i="4"/>
  <c r="BN710" i="4"/>
  <c r="BN1064" i="4"/>
  <c r="BN793" i="4"/>
  <c r="BN899" i="4"/>
  <c r="BN162" i="4"/>
  <c r="BN921" i="4"/>
  <c r="BN1171" i="4"/>
  <c r="BN794" i="4"/>
  <c r="BN600" i="4"/>
  <c r="BN561" i="4"/>
  <c r="BN795" i="4"/>
  <c r="BN761" i="4"/>
  <c r="BN654" i="4"/>
  <c r="BN711" i="4"/>
  <c r="BN796" i="4"/>
  <c r="BN87" i="4"/>
  <c r="BN261" i="4"/>
  <c r="BN262" i="4"/>
  <c r="BN797" i="4"/>
  <c r="BN712" i="4"/>
  <c r="BN980" i="4"/>
  <c r="BN798" i="4"/>
  <c r="BN973" i="4"/>
  <c r="BN981" i="4"/>
  <c r="BN601" i="4"/>
  <c r="BN263" i="4"/>
  <c r="BN602" i="4"/>
  <c r="BN762" i="4"/>
  <c r="BN490" i="4"/>
  <c r="BN922" i="4"/>
  <c r="BN655" i="4"/>
  <c r="BN928" i="4"/>
  <c r="BN713" i="4"/>
  <c r="BN603" i="4"/>
  <c r="BN163" i="4"/>
  <c r="BN264" i="4"/>
  <c r="BN854" i="4"/>
  <c r="BN799" i="4"/>
  <c r="BN714" i="4"/>
  <c r="BN656" i="4"/>
  <c r="BN657" i="4"/>
  <c r="BN800" i="4"/>
  <c r="BN491" i="4"/>
  <c r="BN658" i="4"/>
  <c r="BN801" i="4"/>
  <c r="BN604" i="4"/>
  <c r="BN265" i="4"/>
  <c r="BN1072" i="4"/>
  <c r="BN802" i="4"/>
  <c r="BN659" i="4"/>
  <c r="BN492" i="4"/>
  <c r="BN266" i="4"/>
  <c r="BN119" i="4"/>
  <c r="BN1126" i="4"/>
  <c r="BN870" i="4"/>
  <c r="BN493" i="4"/>
  <c r="BN803" i="4"/>
  <c r="BN605" i="4"/>
  <c r="BN929" i="4"/>
  <c r="BN660" i="4"/>
  <c r="BN1055" i="4"/>
  <c r="BN606" i="4"/>
  <c r="BN804" i="4"/>
  <c r="BN494" i="4"/>
  <c r="BN715" i="4"/>
  <c r="BN267" i="4"/>
  <c r="BN805" i="4"/>
  <c r="BN164" i="4"/>
  <c r="BN716" i="4"/>
  <c r="BN268" i="4"/>
  <c r="BN930" i="4"/>
  <c r="BN495" i="4"/>
  <c r="BN763" i="4"/>
  <c r="BN120" i="4"/>
  <c r="BN806" i="4"/>
  <c r="BN65" i="4"/>
  <c r="BN29" i="4"/>
  <c r="BN717" i="4"/>
  <c r="BN269" i="4"/>
  <c r="BN923" i="4"/>
  <c r="BN562" i="4"/>
  <c r="BN270" i="4"/>
  <c r="BN718" i="4"/>
  <c r="BN986" i="4"/>
  <c r="BN961" i="4"/>
  <c r="BN165" i="4"/>
  <c r="BN496" i="4"/>
  <c r="BN764" i="4"/>
  <c r="BN807" i="4"/>
  <c r="BN1149" i="4"/>
  <c r="BN636" i="4"/>
  <c r="BN166" i="4"/>
  <c r="BN13" i="4"/>
  <c r="BN974" i="4"/>
  <c r="BN719" i="4"/>
  <c r="BN563" i="4"/>
  <c r="BN88" i="4"/>
  <c r="BN271" i="4"/>
  <c r="BN272" i="4"/>
  <c r="BN765" i="4"/>
  <c r="BN808" i="4"/>
  <c r="BN661" i="4"/>
  <c r="BN662" i="4"/>
  <c r="BN809" i="4"/>
  <c r="BN1148" i="4"/>
  <c r="BN810" i="4"/>
  <c r="BN766" i="4"/>
  <c r="BN958" i="4"/>
  <c r="BN167" i="4"/>
  <c r="BN720" i="4"/>
  <c r="BN811" i="4"/>
  <c r="BN767" i="4"/>
  <c r="BN89" i="4"/>
  <c r="BN564" i="4"/>
  <c r="BN768" i="4"/>
  <c r="BN1056" i="4"/>
  <c r="BN812" i="4"/>
  <c r="BN663" i="4"/>
  <c r="BN813" i="4"/>
  <c r="BN273" i="4"/>
  <c r="BN121" i="4"/>
  <c r="BN721" i="4"/>
  <c r="BN122" i="4"/>
  <c r="BN123" i="4"/>
  <c r="BN814" i="4"/>
  <c r="BN815" i="4"/>
  <c r="BN274" i="4"/>
  <c r="BN900" i="4"/>
  <c r="BN1080" i="4"/>
  <c r="BN124" i="4"/>
  <c r="BN975" i="4"/>
  <c r="BN275" i="4"/>
  <c r="BN664" i="4"/>
  <c r="BN722" i="4"/>
  <c r="BN1142" i="4"/>
  <c r="BN497" i="4"/>
  <c r="BN276" i="4"/>
  <c r="BN277" i="4"/>
  <c r="BN665" i="4"/>
  <c r="BN1127" i="4"/>
  <c r="BN125" i="4"/>
  <c r="BN498" i="4"/>
  <c r="BN168" i="4"/>
  <c r="BN499" i="4"/>
  <c r="BN90" i="4"/>
  <c r="BN565" i="4"/>
  <c r="BN1128" i="4"/>
  <c r="BN278" i="4"/>
  <c r="BN279" i="4"/>
  <c r="BN280" i="4"/>
  <c r="BN91" i="4"/>
  <c r="BN1106" i="4"/>
  <c r="BN987" i="4"/>
  <c r="BN723" i="4"/>
  <c r="BN769" i="4"/>
  <c r="BN816" i="4"/>
  <c r="BN126" i="4"/>
  <c r="BN998" i="4"/>
  <c r="BN1118" i="4"/>
  <c r="BN127" i="4"/>
  <c r="BN882" i="4"/>
  <c r="BN92" i="4"/>
  <c r="BN1129" i="4"/>
  <c r="BN724" i="4"/>
  <c r="BN725" i="4"/>
  <c r="BN666" i="4"/>
  <c r="BN128" i="4"/>
  <c r="BN1130" i="4"/>
  <c r="BN281" i="4"/>
  <c r="BN817" i="4"/>
  <c r="BN726" i="4"/>
  <c r="BN282" i="4"/>
  <c r="BN727" i="4"/>
  <c r="BN1086" i="4"/>
  <c r="BN48" i="4"/>
  <c r="BN283" i="4"/>
  <c r="BN818" i="4"/>
  <c r="BN1087" i="4"/>
  <c r="BN819" i="4"/>
  <c r="BN901" i="4"/>
  <c r="BN93" i="4"/>
  <c r="BN94" i="4"/>
  <c r="BN1057" i="4"/>
  <c r="BN1007" i="4"/>
  <c r="BN284" i="4"/>
  <c r="BN1201" i="4"/>
  <c r="BN1070" i="4"/>
  <c r="BN820" i="4"/>
  <c r="BN566" i="4"/>
  <c r="BN607" i="4"/>
  <c r="BN1167" i="4"/>
  <c r="BN821" i="4"/>
  <c r="BN822" i="4"/>
  <c r="BN823" i="4"/>
  <c r="BN976" i="4"/>
  <c r="BN1131" i="4"/>
  <c r="BN871" i="4"/>
  <c r="BN49" i="4"/>
  <c r="BN931" i="4"/>
  <c r="BN824" i="4"/>
  <c r="BN1132" i="4"/>
  <c r="BN285" i="4"/>
  <c r="BN169" i="4"/>
  <c r="BN66" i="4"/>
  <c r="BN286" i="4"/>
  <c r="BN567" i="4"/>
  <c r="BN287" i="4"/>
  <c r="BN288" i="4"/>
  <c r="BN728" i="4"/>
  <c r="BN1154" i="4"/>
  <c r="BN289" i="4"/>
  <c r="BN50" i="4"/>
  <c r="BN962" i="4"/>
  <c r="BN932" i="4"/>
  <c r="BN51" i="4"/>
  <c r="BN1075" i="4"/>
  <c r="BN170" i="4"/>
  <c r="BN1133" i="4"/>
  <c r="BN129" i="4"/>
  <c r="BN1015" i="4"/>
  <c r="BN67" i="4"/>
  <c r="BN95" i="4"/>
  <c r="BN937" i="4"/>
  <c r="BN500" i="4"/>
  <c r="BN948" i="4"/>
  <c r="BN568" i="4"/>
  <c r="BN130" i="4"/>
  <c r="BN290" i="4"/>
  <c r="BN825" i="4"/>
  <c r="BN291" i="4"/>
  <c r="BN569" i="4"/>
  <c r="BN171" i="4"/>
  <c r="BN292" i="4"/>
  <c r="BN30" i="4"/>
  <c r="BN872" i="4"/>
  <c r="BN967" i="4"/>
  <c r="BN293" i="4"/>
  <c r="BN172" i="4"/>
  <c r="BN173" i="4"/>
  <c r="BN131" i="4"/>
  <c r="BN1088" i="4"/>
  <c r="BN2" i="4"/>
  <c r="BN294" i="4"/>
  <c r="BN174" i="4"/>
  <c r="BN501" i="4"/>
  <c r="BN14" i="4"/>
  <c r="BN1168" i="4"/>
  <c r="BN1188" i="4"/>
  <c r="BN1065" i="4"/>
  <c r="BN502" i="4"/>
  <c r="BN295" i="4"/>
  <c r="BN608" i="4"/>
  <c r="BN503" i="4"/>
  <c r="BN175" i="4"/>
  <c r="BN296" i="4"/>
  <c r="BN132" i="4"/>
  <c r="BN902" i="4"/>
  <c r="BN176" i="4"/>
  <c r="BN570" i="4"/>
  <c r="BN297" i="4"/>
  <c r="BN826" i="4"/>
  <c r="BN1116" i="4"/>
  <c r="BN571" i="4"/>
  <c r="BN729" i="4"/>
  <c r="BN298" i="4"/>
  <c r="BN924" i="4"/>
  <c r="BN299" i="4"/>
  <c r="BN977" i="4"/>
  <c r="BN572" i="4"/>
  <c r="BN300" i="4"/>
  <c r="BN999" i="4"/>
  <c r="BN730" i="4"/>
  <c r="BN15" i="4"/>
  <c r="BN1081" i="4"/>
  <c r="BN827" i="4"/>
  <c r="BN1145" i="4"/>
  <c r="BN96" i="4"/>
  <c r="BN1058" i="4"/>
  <c r="BN1016" i="4"/>
  <c r="BN903" i="4"/>
  <c r="BN1200" i="4"/>
  <c r="BN731" i="4"/>
  <c r="BN1109" i="4"/>
  <c r="BN1045" i="4"/>
  <c r="BN133" i="4"/>
  <c r="BN301" i="4"/>
  <c r="BN1017" i="4"/>
  <c r="BN302" i="4"/>
  <c r="BN303" i="4"/>
  <c r="BN1018" i="4"/>
  <c r="BN1169" i="4"/>
  <c r="BN304" i="4"/>
  <c r="BN305" i="4"/>
  <c r="BN504" i="4"/>
  <c r="BN306" i="4"/>
  <c r="BN3" i="4"/>
  <c r="BN307" i="4"/>
  <c r="BN68" i="4"/>
  <c r="BN177" i="4"/>
  <c r="BN573" i="4"/>
  <c r="BN1156" i="4"/>
  <c r="BN308" i="4"/>
  <c r="BN97" i="4"/>
  <c r="BN505" i="4"/>
  <c r="BN1177" i="4"/>
  <c r="BN988" i="4"/>
  <c r="BN309" i="4"/>
  <c r="BN69" i="4"/>
  <c r="BN1040" i="4"/>
  <c r="BN938" i="4"/>
  <c r="BN70" i="4"/>
  <c r="BN637" i="4"/>
  <c r="BN310" i="4"/>
  <c r="BN1134" i="4"/>
  <c r="BN311" i="4"/>
  <c r="BN1202" i="4"/>
  <c r="BN770" i="4"/>
  <c r="BN1101" i="4"/>
  <c r="BN732" i="4"/>
  <c r="BN1143" i="4"/>
  <c r="BN98" i="4"/>
  <c r="BN1135" i="4"/>
  <c r="BN828" i="4"/>
  <c r="BN506" i="4"/>
  <c r="BN667" i="4"/>
  <c r="BN99" i="4"/>
  <c r="BN609" i="4"/>
  <c r="BN507" i="4"/>
  <c r="BN100" i="4"/>
  <c r="BN1102" i="4"/>
  <c r="BN312" i="4"/>
  <c r="BN313" i="4"/>
  <c r="BN314" i="4"/>
  <c r="BN668" i="4"/>
  <c r="BN315" i="4"/>
  <c r="BN733" i="4"/>
  <c r="BN316" i="4"/>
  <c r="BN1103" i="4"/>
  <c r="BN734" i="4"/>
  <c r="BN1150" i="4"/>
  <c r="BN574" i="4"/>
  <c r="BN1111" i="4"/>
  <c r="BN1076" i="4"/>
  <c r="BN317" i="4"/>
  <c r="BN904" i="4"/>
  <c r="BN829" i="4"/>
  <c r="BN1136" i="4"/>
  <c r="BN830" i="4"/>
  <c r="BN1019" i="4"/>
  <c r="BN1195" i="4"/>
  <c r="BN318" i="4"/>
  <c r="BN735" i="4"/>
  <c r="BN178" i="4"/>
  <c r="BN669" i="4"/>
  <c r="BN134" i="4"/>
  <c r="BN319" i="4"/>
  <c r="BN883" i="4"/>
  <c r="BN320" i="4"/>
  <c r="BN321" i="4"/>
  <c r="BN322" i="4"/>
  <c r="BN16" i="4"/>
  <c r="BN323" i="4"/>
  <c r="BN508" i="4"/>
  <c r="BN324" i="4"/>
  <c r="BN831" i="4"/>
  <c r="BN509" i="4"/>
  <c r="BN325" i="4"/>
  <c r="BN1028" i="4"/>
  <c r="BN71" i="4"/>
  <c r="BN179" i="4"/>
  <c r="BN670" i="4"/>
  <c r="BN873" i="4"/>
  <c r="BN31" i="4"/>
  <c r="BN874" i="4"/>
  <c r="BN326" i="4"/>
  <c r="BN1008" i="4"/>
  <c r="BN736" i="4"/>
  <c r="BN982" i="4"/>
  <c r="BN979" i="4"/>
  <c r="BN925" i="4"/>
  <c r="BN510" i="4"/>
  <c r="BN327" i="4"/>
  <c r="BN875" i="4"/>
  <c r="BN511" i="4"/>
  <c r="BN328" i="4"/>
  <c r="BN876" i="4"/>
  <c r="BN329" i="4"/>
  <c r="BN1059" i="4"/>
  <c r="BN330" i="4"/>
  <c r="BN1175" i="4"/>
  <c r="BN1060" i="4"/>
  <c r="BN610" i="4"/>
  <c r="BN32" i="4"/>
  <c r="BN671" i="4"/>
  <c r="BN180" i="4"/>
  <c r="BN331" i="4"/>
  <c r="BN855" i="4"/>
  <c r="BN1038" i="4"/>
  <c r="BN856" i="4"/>
  <c r="BN611" i="4"/>
  <c r="BN1077" i="4"/>
  <c r="BN1044" i="4"/>
  <c r="BN1066" i="4"/>
  <c r="BN1107" i="4"/>
  <c r="BN1104" i="4"/>
  <c r="BN832" i="4"/>
  <c r="BN332" i="4"/>
  <c r="BN33" i="4"/>
  <c r="BN672" i="4"/>
  <c r="BN673" i="4"/>
  <c r="BN1196" i="4"/>
  <c r="BN833" i="4"/>
  <c r="BN52" i="4"/>
  <c r="BN512" i="4"/>
  <c r="BN834" i="4"/>
  <c r="BN857" i="4"/>
  <c r="BN53" i="4"/>
  <c r="BN1020" i="4"/>
  <c r="BN674" i="4"/>
  <c r="BN333" i="4"/>
  <c r="BN334" i="4"/>
  <c r="BN101" i="4"/>
  <c r="BN675" i="4"/>
  <c r="BN335" i="4"/>
  <c r="BN949" i="4"/>
  <c r="BN336" i="4"/>
  <c r="BN1160" i="4"/>
  <c r="BN676" i="4"/>
  <c r="BN337" i="4"/>
  <c r="BN181" i="4"/>
  <c r="BN182" i="4"/>
  <c r="BN513" i="4"/>
  <c r="BN72" i="4"/>
  <c r="BN135" i="4"/>
  <c r="BN612" i="4"/>
  <c r="BN575" i="4"/>
  <c r="BN576" i="4"/>
  <c r="BN771" i="4"/>
  <c r="BN1108" i="4"/>
  <c r="BN677" i="4"/>
  <c r="BN338" i="4"/>
  <c r="BN577" i="4"/>
  <c r="BN578" i="4"/>
  <c r="BN772" i="4"/>
  <c r="BN339" i="4"/>
  <c r="BN737" i="4"/>
  <c r="BN773" i="4"/>
  <c r="BN835" i="4"/>
  <c r="BN774" i="4"/>
  <c r="BN836" i="4"/>
  <c r="BN1000" i="4"/>
  <c r="BN340" i="4"/>
  <c r="BN1061" i="4"/>
  <c r="BN1198" i="4"/>
  <c r="BN950" i="4"/>
  <c r="BN933" i="4"/>
  <c r="BN1186" i="4"/>
  <c r="BN678" i="4"/>
  <c r="BN341" i="4"/>
  <c r="BN342" i="4"/>
  <c r="BN837" i="4"/>
  <c r="BN838" i="4"/>
  <c r="BN183" i="4"/>
  <c r="BN343" i="4"/>
  <c r="BN344" i="4"/>
  <c r="BN184" i="4"/>
  <c r="BN989" i="4"/>
  <c r="BN136" i="4"/>
  <c r="BN73" i="4"/>
  <c r="BN775" i="4"/>
  <c r="BN345" i="4"/>
  <c r="BN613" i="4"/>
  <c r="BN738" i="4"/>
  <c r="BN185" i="4"/>
  <c r="BN346" i="4"/>
  <c r="BN1041" i="4"/>
  <c r="BN186" i="4"/>
  <c r="BN347" i="4"/>
  <c r="BN54" i="4"/>
  <c r="BN514" i="4"/>
  <c r="BN739" i="4"/>
  <c r="BN348" i="4"/>
  <c r="BN877" i="4"/>
  <c r="BN74" i="4"/>
  <c r="BN614" i="4"/>
  <c r="BN884" i="4"/>
  <c r="BN75" i="4"/>
  <c r="BN1176" i="4"/>
  <c r="BN349" i="4"/>
  <c r="BN350" i="4"/>
  <c r="BN740" i="4"/>
  <c r="BN839" i="4"/>
  <c r="BN17" i="4"/>
  <c r="BN515" i="4"/>
  <c r="BN878" i="4"/>
  <c r="BN351" i="4"/>
  <c r="BN34" i="4"/>
  <c r="BN35" i="4"/>
  <c r="BN352" i="4"/>
  <c r="BN516" i="4"/>
  <c r="BN776" i="4"/>
  <c r="BN1137" i="4"/>
  <c r="BN55" i="4"/>
  <c r="BN1189" i="4"/>
  <c r="BN187" i="4"/>
  <c r="BN741" i="4"/>
  <c r="BN353" i="4"/>
  <c r="BN517" i="4"/>
  <c r="BN102" i="4"/>
  <c r="BN36" i="4"/>
  <c r="BN615" i="4"/>
  <c r="BN679" i="4"/>
  <c r="BN840" i="4"/>
  <c r="BN742" i="4"/>
  <c r="BN1096" i="4"/>
  <c r="BN18" i="4"/>
  <c r="BN188" i="4"/>
  <c r="BN354" i="4"/>
  <c r="BN355" i="4"/>
  <c r="BN356" i="4"/>
  <c r="BN939" i="4"/>
  <c r="BN56" i="4"/>
  <c r="BN1001" i="4"/>
  <c r="BN616" i="4"/>
  <c r="BN518" i="4"/>
  <c r="BN189" i="4"/>
  <c r="BN357" i="4"/>
  <c r="BN358" i="4"/>
  <c r="BN359" i="4"/>
  <c r="BN1021" i="4"/>
  <c r="BN360" i="4"/>
  <c r="BN905" i="4"/>
  <c r="BN743" i="4"/>
  <c r="BN1158" i="4"/>
  <c r="BN1078" i="4"/>
  <c r="BN361" i="4"/>
  <c r="BN519" i="4"/>
  <c r="BN520" i="4"/>
  <c r="BN680" i="4"/>
  <c r="BN777" i="4"/>
  <c r="BN362" i="4"/>
  <c r="BN190" i="4"/>
  <c r="BN191" i="4"/>
  <c r="BN841" i="4"/>
  <c r="BN617" i="4"/>
  <c r="BN521" i="4"/>
  <c r="BN363" i="4"/>
  <c r="BN618" i="4"/>
  <c r="BN926" i="4"/>
  <c r="BN364" i="4"/>
  <c r="BN858" i="4"/>
  <c r="BN859" i="4"/>
  <c r="BN137" i="4"/>
  <c r="BN365" i="4"/>
  <c r="BN744" i="4"/>
  <c r="BN579" i="4"/>
  <c r="BN522" i="4"/>
  <c r="BN778" i="4"/>
  <c r="BN842" i="4"/>
  <c r="BN951" i="4"/>
  <c r="BN366" i="4"/>
  <c r="BN619" i="4"/>
  <c r="BN367" i="4"/>
  <c r="BN779" i="4"/>
  <c r="BN580" i="4"/>
  <c r="BN368" i="4"/>
  <c r="BN681" i="4"/>
  <c r="BN369" i="4"/>
  <c r="BN370" i="4"/>
  <c r="BN371" i="4"/>
  <c r="BN1138" i="4"/>
  <c r="BN581" i="4"/>
  <c r="BN57" i="4"/>
  <c r="BN192" i="4"/>
  <c r="BN582" i="4"/>
  <c r="BN372" i="4"/>
  <c r="BN4" i="4"/>
  <c r="BN373" i="4"/>
  <c r="BN523" i="4"/>
  <c r="BN103" i="4"/>
  <c r="BN1172" i="4"/>
  <c r="BN374" i="4"/>
  <c r="BN375" i="4"/>
  <c r="BN376" i="4"/>
  <c r="BN377" i="4"/>
  <c r="BN682" i="4"/>
  <c r="BN378" i="4"/>
  <c r="BN524" i="4"/>
  <c r="BN525" i="4"/>
  <c r="BN843" i="4"/>
  <c r="BN379" i="4"/>
  <c r="BN583" i="4"/>
  <c r="BN780" i="4"/>
  <c r="BN193" i="4"/>
  <c r="BN620" i="4"/>
  <c r="BN380" i="4"/>
  <c r="BN194" i="4"/>
  <c r="BN526" i="4"/>
  <c r="BN195" i="4"/>
  <c r="BN527" i="4"/>
  <c r="BN196" i="4"/>
  <c r="BN381" i="4"/>
  <c r="BN138" i="4"/>
  <c r="BN621" i="4"/>
  <c r="BN745" i="4"/>
  <c r="BN584" i="4"/>
  <c r="BN197" i="4"/>
  <c r="BN382" i="4"/>
  <c r="BN76" i="4"/>
  <c r="BN383" i="4"/>
  <c r="BN683" i="4"/>
  <c r="BN585" i="4"/>
  <c r="BN384" i="4"/>
  <c r="BN19" i="4"/>
  <c r="BN385" i="4"/>
  <c r="BN684" i="4"/>
  <c r="BN198" i="4"/>
  <c r="BN781" i="4"/>
  <c r="BN20" i="4"/>
  <c r="BN952" i="4"/>
  <c r="BN746" i="4"/>
  <c r="BN685" i="4"/>
  <c r="BN686" i="4"/>
  <c r="BN199" i="4"/>
  <c r="BN963" i="4"/>
  <c r="BN200" i="4"/>
  <c r="BN201" i="4"/>
  <c r="BN844" i="4"/>
  <c r="BN687" i="4"/>
  <c r="BN386" i="4"/>
  <c r="BN387" i="4"/>
  <c r="BN388" i="4"/>
  <c r="BN528" i="4"/>
  <c r="BN389" i="4"/>
  <c r="BN390" i="4"/>
  <c r="BN391" i="4"/>
  <c r="BN782" i="4"/>
  <c r="BN139" i="4"/>
  <c r="BN688" i="4"/>
  <c r="BN392" i="4"/>
  <c r="BN37" i="4"/>
  <c r="BN906" i="4"/>
  <c r="BN393" i="4"/>
  <c r="BN104" i="4"/>
  <c r="BN747" i="4"/>
  <c r="BN622" i="4"/>
  <c r="BN394" i="4"/>
  <c r="BN395" i="4"/>
  <c r="BN396" i="4"/>
  <c r="BN586" i="4"/>
  <c r="BN397" i="4"/>
  <c r="BN529" i="4"/>
  <c r="BN398" i="4"/>
  <c r="BN1082" i="4"/>
  <c r="BN58" i="4"/>
  <c r="BN623" i="4"/>
  <c r="BN748" i="4"/>
  <c r="BN399" i="4"/>
  <c r="BN202" i="4"/>
  <c r="BN400" i="4"/>
  <c r="BN749" i="4"/>
  <c r="BN401" i="4"/>
  <c r="BN530" i="4"/>
  <c r="BN140" i="4"/>
  <c r="BN860" i="4"/>
  <c r="BN402" i="4"/>
  <c r="BN403" i="4"/>
  <c r="BN689" i="4"/>
  <c r="BN1091" i="4"/>
  <c r="BN531" i="4"/>
  <c r="BN624" i="4"/>
  <c r="BN532" i="4"/>
  <c r="BN404" i="4"/>
  <c r="BN845" i="4"/>
  <c r="BN846" i="4"/>
  <c r="BN405" i="4"/>
  <c r="BN750" i="4"/>
  <c r="BN533" i="4"/>
  <c r="BN203" i="4"/>
  <c r="BN406" i="4"/>
  <c r="BN625" i="4"/>
  <c r="BN141" i="4"/>
  <c r="BN1163" i="4"/>
  <c r="BN204" i="4"/>
  <c r="BN1159" i="4"/>
  <c r="BN407" i="4"/>
  <c r="BN587" i="4"/>
  <c r="BN588" i="4"/>
  <c r="BN408" i="4"/>
  <c r="BN953" i="4"/>
  <c r="BN409" i="4"/>
  <c r="BN205" i="4"/>
  <c r="BN751" i="4"/>
  <c r="BN534" i="4"/>
  <c r="BN847" i="4"/>
  <c r="BN206" i="4"/>
  <c r="BN207" i="4"/>
  <c r="BN410" i="4"/>
  <c r="BN21" i="4"/>
  <c r="BN411" i="4"/>
  <c r="BN5" i="4"/>
  <c r="BN412" i="4"/>
  <c r="BN752" i="4"/>
  <c r="BN413" i="4"/>
  <c r="BN77" i="4"/>
  <c r="BN414" i="4"/>
  <c r="BN415" i="4"/>
  <c r="BN416" i="4"/>
  <c r="BN417" i="4"/>
  <c r="BN954" i="4"/>
  <c r="BN418" i="4"/>
  <c r="BN690" i="4"/>
  <c r="BN419" i="4"/>
  <c r="BN535" i="4"/>
  <c r="BN420" i="4"/>
  <c r="BN22" i="4"/>
  <c r="BN421" i="4"/>
  <c r="BN422" i="4"/>
  <c r="BN423" i="4"/>
  <c r="BN1146" i="4"/>
  <c r="BN424" i="4"/>
  <c r="BN626" i="4"/>
  <c r="BN861" i="4"/>
  <c r="BN1022" i="4"/>
  <c r="BN1112" i="4"/>
  <c r="BN425" i="4"/>
  <c r="BN426" i="4"/>
  <c r="BN427" i="4"/>
  <c r="BN536" i="4"/>
  <c r="BN1083" i="4"/>
  <c r="BN428" i="4"/>
  <c r="BN23" i="4"/>
  <c r="BN537" i="4"/>
  <c r="BN429" i="4"/>
  <c r="BN78" i="4"/>
  <c r="BN208" i="4"/>
  <c r="BN430" i="4"/>
  <c r="BN862" i="4"/>
  <c r="BN627" i="4"/>
  <c r="BN105" i="4"/>
  <c r="BN142" i="4"/>
  <c r="BN1092" i="4"/>
  <c r="BN431" i="4"/>
  <c r="BN1157" i="4"/>
  <c r="BN432" i="4"/>
  <c r="BN143" i="4"/>
  <c r="BN433" i="4"/>
  <c r="BN209" i="4"/>
  <c r="BN538" i="4"/>
  <c r="BN434" i="4"/>
  <c r="BN589" i="4"/>
  <c r="BN863" i="4"/>
  <c r="BN539" i="4"/>
  <c r="BN590" i="4"/>
  <c r="BN210" i="4"/>
  <c r="BN540" i="4"/>
  <c r="BN435" i="4"/>
  <c r="BN436" i="4"/>
  <c r="BN848" i="4"/>
  <c r="BN940" i="4"/>
  <c r="BN864" i="4"/>
  <c r="BN211" i="4"/>
  <c r="BN941" i="4"/>
  <c r="BN691" i="4"/>
  <c r="BN628" i="4"/>
  <c r="BN144" i="4"/>
  <c r="BN437" i="4"/>
  <c r="BN38" i="4"/>
  <c r="BN212" i="4"/>
  <c r="BN591" i="4"/>
  <c r="BN783" i="4"/>
  <c r="BN438" i="4"/>
  <c r="BN439" i="4"/>
  <c r="BN79" i="4"/>
  <c r="BN145" i="4"/>
  <c r="BN440" i="4"/>
  <c r="BN213" i="4"/>
  <c r="BN441" i="4"/>
  <c r="BN442" i="4"/>
  <c r="BN443" i="4"/>
  <c r="BN106" i="4"/>
  <c r="BN629" i="4"/>
  <c r="BN444" i="4"/>
  <c r="BN445" i="4"/>
  <c r="BN753" i="4"/>
  <c r="BN541" i="4"/>
  <c r="BN446" i="4"/>
  <c r="BN879" i="4"/>
  <c r="BN447" i="4"/>
  <c r="BN448" i="4"/>
  <c r="BN1139" i="4"/>
  <c r="BN24" i="4"/>
  <c r="BN1113" i="4"/>
  <c r="BN630" i="4"/>
  <c r="BN754" i="4"/>
  <c r="BN107" i="4"/>
  <c r="BN449" i="4"/>
  <c r="BN1180" i="4"/>
  <c r="BN542" i="4"/>
  <c r="BN25" i="4"/>
  <c r="BN450" i="4"/>
  <c r="BN451" i="4"/>
  <c r="BN631" i="4"/>
  <c r="BN146" i="4"/>
  <c r="BN147" i="4"/>
  <c r="BN452" i="4"/>
  <c r="BN214" i="4"/>
  <c r="BN592" i="4"/>
  <c r="BN632" i="4"/>
  <c r="BN215" i="4"/>
  <c r="BN593" i="4"/>
  <c r="BN216" i="4"/>
  <c r="BN453" i="4"/>
  <c r="BN942" i="4"/>
  <c r="BN543" i="4"/>
  <c r="BN755" i="4"/>
  <c r="BN217" i="4"/>
  <c r="BN849" i="4"/>
  <c r="BN454" i="4"/>
  <c r="BN80" i="4"/>
  <c r="BN455" i="4"/>
  <c r="BN544" i="4"/>
  <c r="BN456" i="4"/>
  <c r="BN1199" i="4"/>
  <c r="BN457" i="4"/>
  <c r="BN545" i="4"/>
  <c r="BN1151" i="4"/>
  <c r="BN218" i="4"/>
  <c r="BN458" i="4"/>
  <c r="BN546" i="4"/>
  <c r="BN459" i="4"/>
  <c r="BN460" i="4"/>
  <c r="BN39" i="4"/>
  <c r="BN547" i="4"/>
  <c r="BN59" i="4"/>
  <c r="BN548" i="4"/>
  <c r="BN461" i="4"/>
  <c r="BN40" i="4"/>
  <c r="BN549" i="4"/>
  <c r="BN959" i="4"/>
  <c r="BN462" i="4"/>
  <c r="BN550" i="4"/>
  <c r="BN60" i="4"/>
  <c r="BN633" i="4"/>
  <c r="BN219" i="4"/>
  <c r="BN463" i="4"/>
  <c r="BN6" i="4"/>
  <c r="BN551" i="4"/>
  <c r="BN552" i="4"/>
  <c r="BN553" i="4"/>
  <c r="BN148" i="4"/>
  <c r="BN220" i="4"/>
  <c r="BN26" i="4"/>
  <c r="BN464" i="4"/>
  <c r="BN149" i="4"/>
  <c r="BN1114" i="4"/>
  <c r="BN465" i="4"/>
  <c r="BN634" i="4"/>
  <c r="BN594" i="4"/>
  <c r="BM695" i="4"/>
  <c r="BM908" i="4"/>
  <c r="BM696" i="4"/>
  <c r="BM909" i="4"/>
  <c r="BM228" i="4"/>
  <c r="BM638" i="4"/>
  <c r="BM639" i="4"/>
  <c r="BM229" i="4"/>
  <c r="BM851" i="4"/>
  <c r="BM230" i="4"/>
  <c r="BM697" i="4"/>
  <c r="BM554" i="4"/>
  <c r="BM1093" i="4"/>
  <c r="BM1073" i="4"/>
  <c r="BM111" i="4"/>
  <c r="BM112" i="4"/>
  <c r="BM113" i="4"/>
  <c r="BM114" i="4"/>
  <c r="BM1161" i="4"/>
  <c r="BM885" i="4"/>
  <c r="BM475" i="4"/>
  <c r="BM935" i="4"/>
  <c r="BM640" i="4"/>
  <c r="BM785" i="4"/>
  <c r="BM1162" i="4"/>
  <c r="BM231" i="4"/>
  <c r="BM1185" i="4"/>
  <c r="BM910" i="4"/>
  <c r="BM150" i="4"/>
  <c r="BM43" i="4"/>
  <c r="BM1203" i="4"/>
  <c r="BM1097" i="4"/>
  <c r="BM151" i="4"/>
  <c r="BM1002" i="4"/>
  <c r="BM911" i="4"/>
  <c r="BM1117" i="4"/>
  <c r="BM81" i="4"/>
  <c r="BM1046" i="4"/>
  <c r="BM912" i="4"/>
  <c r="BM476" i="4"/>
  <c r="BM1047" i="4"/>
  <c r="BM913" i="4"/>
  <c r="BM886" i="4"/>
  <c r="BM44" i="4"/>
  <c r="BM983" i="4"/>
  <c r="BM990" i="4"/>
  <c r="BM1009" i="4"/>
  <c r="BM1193" i="4"/>
  <c r="BM232" i="4"/>
  <c r="BM61" i="4"/>
  <c r="BM1121" i="4"/>
  <c r="BM477" i="4"/>
  <c r="BM152" i="4"/>
  <c r="BM1119" i="4"/>
  <c r="BM1048" i="4"/>
  <c r="BM956" i="4"/>
  <c r="BM1062" i="4"/>
  <c r="BM478" i="4"/>
  <c r="BM233" i="4"/>
  <c r="BM555" i="4"/>
  <c r="BM698" i="4"/>
  <c r="BM757" i="4"/>
  <c r="BM82" i="4"/>
  <c r="BM887" i="4"/>
  <c r="BM83" i="4"/>
  <c r="BM1205" i="4"/>
  <c r="BM1063" i="4"/>
  <c r="BM153" i="4"/>
  <c r="BM1155" i="4"/>
  <c r="BM1144" i="4"/>
  <c r="BM1181" i="4"/>
  <c r="BM234" i="4"/>
  <c r="BM235" i="4"/>
  <c r="BM1178" i="4"/>
  <c r="BM115" i="4"/>
  <c r="BM236" i="4"/>
  <c r="BM154" i="4"/>
  <c r="BM1010" i="4"/>
  <c r="BM479" i="4"/>
  <c r="BM480" i="4"/>
  <c r="BM116" i="4"/>
  <c r="BM786" i="4"/>
  <c r="BM117" i="4"/>
  <c r="BM237" i="4"/>
  <c r="BM968" i="4"/>
  <c r="BM8" i="4"/>
  <c r="BM481" i="4"/>
  <c r="BM9" i="4"/>
  <c r="BM1147" i="4"/>
  <c r="BM1204" i="4"/>
  <c r="BM1190" i="4"/>
  <c r="BM482" i="4"/>
  <c r="BM1166" i="4"/>
  <c r="BM1042" i="4"/>
  <c r="BM787" i="4"/>
  <c r="BM1049" i="4"/>
  <c r="BM238" i="4"/>
  <c r="BM699" i="4"/>
  <c r="BM239" i="4"/>
  <c r="BM888" i="4"/>
  <c r="BM27" i="4"/>
  <c r="BM597" i="4"/>
  <c r="BM788" i="4"/>
  <c r="BM10" i="4"/>
  <c r="BM556" i="4"/>
  <c r="BM11" i="4"/>
  <c r="BM240" i="4"/>
  <c r="BM1122" i="4"/>
  <c r="BM865" i="4"/>
  <c r="BM1110" i="4"/>
  <c r="BM155" i="4"/>
  <c r="BM1043" i="4"/>
  <c r="BM700" i="4"/>
  <c r="BM1153" i="4"/>
  <c r="BM483" i="4"/>
  <c r="BM784" i="4"/>
  <c r="BM62" i="4"/>
  <c r="BM241" i="4"/>
  <c r="BM156" i="4"/>
  <c r="BM45" i="4"/>
  <c r="BM1170" i="4"/>
  <c r="BM63" i="4"/>
  <c r="BM641" i="4"/>
  <c r="BM157" i="4"/>
  <c r="BM242" i="4"/>
  <c r="BM978" i="4"/>
  <c r="BM701" i="4"/>
  <c r="BM1120" i="4"/>
  <c r="BM243" i="4"/>
  <c r="BM1024" i="4"/>
  <c r="BM889" i="4"/>
  <c r="BM789" i="4"/>
  <c r="BM880" i="4"/>
  <c r="BM118" i="4"/>
  <c r="BM890" i="4"/>
  <c r="BM642" i="4"/>
  <c r="BM1067" i="4"/>
  <c r="BM643" i="4"/>
  <c r="BM244" i="4"/>
  <c r="BM1050" i="4"/>
  <c r="BM158" i="4"/>
  <c r="BM557" i="4"/>
  <c r="BM891" i="4"/>
  <c r="BM1084" i="4"/>
  <c r="BM892" i="4"/>
  <c r="BM245" i="4"/>
  <c r="BM893" i="4"/>
  <c r="BM1173" i="4"/>
  <c r="BM1123" i="4"/>
  <c r="BM702" i="4"/>
  <c r="BM703" i="4"/>
  <c r="BM1029" i="4"/>
  <c r="BM644" i="4"/>
  <c r="BM944" i="4"/>
  <c r="BM704" i="4"/>
  <c r="BM645" i="4"/>
  <c r="BM705" i="4"/>
  <c r="BM706" i="4"/>
  <c r="BM969" i="4"/>
  <c r="BM246" i="4"/>
  <c r="BM1051" i="4"/>
  <c r="BM1183" i="4"/>
  <c r="BM247" i="4"/>
  <c r="BM1030" i="4"/>
  <c r="BM646" i="4"/>
  <c r="BM984" i="4"/>
  <c r="BM985" i="4"/>
  <c r="BM707" i="4"/>
  <c r="BM1031" i="4"/>
  <c r="BM248" i="4"/>
  <c r="BM484" i="4"/>
  <c r="BM881" i="4"/>
  <c r="BM1032" i="4"/>
  <c r="BM1003" i="4"/>
  <c r="BM1033" i="4"/>
  <c r="BM249" i="4"/>
  <c r="BM914" i="4"/>
  <c r="BM1034" i="4"/>
  <c r="BM647" i="4"/>
  <c r="BM1052" i="4"/>
  <c r="BM915" i="4"/>
  <c r="BM1105" i="4"/>
  <c r="BM159" i="4"/>
  <c r="BM648" i="4"/>
  <c r="BM1089" i="4"/>
  <c r="BM1035" i="4"/>
  <c r="BM894" i="4"/>
  <c r="BM250" i="4"/>
  <c r="BM251" i="4"/>
  <c r="BM1053" i="4"/>
  <c r="BM485" i="4"/>
  <c r="BM1036" i="4"/>
  <c r="BM486" i="4"/>
  <c r="BM12" i="4"/>
  <c r="BM1004" i="4"/>
  <c r="BM1079" i="4"/>
  <c r="BM160" i="4"/>
  <c r="BM895" i="4"/>
  <c r="BM252" i="4"/>
  <c r="BM649" i="4"/>
  <c r="BM487" i="4"/>
  <c r="BM84" i="4"/>
  <c r="BM965" i="4"/>
  <c r="BM1068" i="4"/>
  <c r="BM488" i="4"/>
  <c r="BM970" i="4"/>
  <c r="BM896" i="4"/>
  <c r="BM650" i="4"/>
  <c r="BM46" i="4"/>
  <c r="BM897" i="4"/>
  <c r="BM708" i="4"/>
  <c r="BM253" i="4"/>
  <c r="BM927" i="4"/>
  <c r="BM1005" i="4"/>
  <c r="BM1165" i="4"/>
  <c r="BM1006" i="4"/>
  <c r="BM1011" i="4"/>
  <c r="BM916" i="4"/>
  <c r="BM1182" i="4"/>
  <c r="BM254" i="4"/>
  <c r="BM898" i="4"/>
  <c r="BM971" i="4"/>
  <c r="BM161" i="4"/>
  <c r="BM991" i="4"/>
  <c r="BM1164" i="4"/>
  <c r="BM47" i="4"/>
  <c r="BM709" i="4"/>
  <c r="BM1187" i="4"/>
  <c r="BM255" i="4"/>
  <c r="BM866" i="4"/>
  <c r="BM1012" i="4"/>
  <c r="BM992" i="4"/>
  <c r="BM945" i="4"/>
  <c r="BM758" i="4"/>
  <c r="BM993" i="4"/>
  <c r="BM598" i="4"/>
  <c r="BM1197" i="4"/>
  <c r="BM256" i="4"/>
  <c r="BM1140" i="4"/>
  <c r="BM28" i="4"/>
  <c r="BM946" i="4"/>
  <c r="BM1054" i="4"/>
  <c r="BM994" i="4"/>
  <c r="BM1094" i="4"/>
  <c r="BM257" i="4"/>
  <c r="BM995" i="4"/>
  <c r="BM759" i="4"/>
  <c r="BM258" i="4"/>
  <c r="BM1071" i="4"/>
  <c r="BM1085" i="4"/>
  <c r="BM852" i="4"/>
  <c r="BM853" i="4"/>
  <c r="BM867" i="4"/>
  <c r="BM558" i="4"/>
  <c r="BM1025" i="4"/>
  <c r="BM1174" i="4"/>
  <c r="BM917" i="4"/>
  <c r="BM1194" i="4"/>
  <c r="BM1191" i="4"/>
  <c r="BM559" i="4"/>
  <c r="BM947" i="4"/>
  <c r="BM259" i="4"/>
  <c r="BM918" i="4"/>
  <c r="BM489" i="4"/>
  <c r="BM1039" i="4"/>
  <c r="BM919" i="4"/>
  <c r="BM1124" i="4"/>
  <c r="BM868" i="4"/>
  <c r="BM1152" i="4"/>
  <c r="BM790" i="4"/>
  <c r="BM85" i="4"/>
  <c r="BM972" i="4"/>
  <c r="BM957" i="4"/>
  <c r="BM869" i="4"/>
  <c r="BM760" i="4"/>
  <c r="BM1192" i="4"/>
  <c r="BM560" i="4"/>
  <c r="BM1090" i="4"/>
  <c r="BM920" i="4"/>
  <c r="BM1037" i="4"/>
  <c r="BM1074" i="4"/>
  <c r="BM64" i="4"/>
  <c r="BM996" i="4"/>
  <c r="BM966" i="4"/>
  <c r="BM997" i="4"/>
  <c r="BM1115" i="4"/>
  <c r="BM1184" i="4"/>
  <c r="BM1141" i="4"/>
  <c r="BM936" i="4"/>
  <c r="BM1100" i="4"/>
  <c r="BM1013" i="4"/>
  <c r="BM791" i="4"/>
  <c r="BM1026" i="4"/>
  <c r="BM1098" i="4"/>
  <c r="BM694" i="4"/>
  <c r="BM651" i="4"/>
  <c r="BM792" i="4"/>
  <c r="BM1014" i="4"/>
  <c r="BM652" i="4"/>
  <c r="BM653" i="4"/>
  <c r="BM1095" i="4"/>
  <c r="BM1069" i="4"/>
  <c r="BM260" i="4"/>
  <c r="BM1179" i="4"/>
  <c r="BM1099" i="4"/>
  <c r="BM1027" i="4"/>
  <c r="BM86" i="4"/>
  <c r="BM1125" i="4"/>
  <c r="BM599" i="4"/>
  <c r="BM710" i="4"/>
  <c r="BM1064" i="4"/>
  <c r="BM793" i="4"/>
  <c r="BM899" i="4"/>
  <c r="BM162" i="4"/>
  <c r="BM921" i="4"/>
  <c r="BM1171" i="4"/>
  <c r="BM794" i="4"/>
  <c r="BM600" i="4"/>
  <c r="BM561" i="4"/>
  <c r="BM795" i="4"/>
  <c r="BM761" i="4"/>
  <c r="BM654" i="4"/>
  <c r="BM711" i="4"/>
  <c r="BM796" i="4"/>
  <c r="BM87" i="4"/>
  <c r="BM261" i="4"/>
  <c r="BM262" i="4"/>
  <c r="BM797" i="4"/>
  <c r="BM712" i="4"/>
  <c r="BM980" i="4"/>
  <c r="BM798" i="4"/>
  <c r="BM973" i="4"/>
  <c r="BM981" i="4"/>
  <c r="BM601" i="4"/>
  <c r="BM263" i="4"/>
  <c r="BM602" i="4"/>
  <c r="BM762" i="4"/>
  <c r="BM490" i="4"/>
  <c r="BM922" i="4"/>
  <c r="BM655" i="4"/>
  <c r="BM928" i="4"/>
  <c r="BM713" i="4"/>
  <c r="BM603" i="4"/>
  <c r="BM163" i="4"/>
  <c r="BM264" i="4"/>
  <c r="BM854" i="4"/>
  <c r="BM799" i="4"/>
  <c r="BM714" i="4"/>
  <c r="BM656" i="4"/>
  <c r="BM657" i="4"/>
  <c r="BM800" i="4"/>
  <c r="BM491" i="4"/>
  <c r="BM658" i="4"/>
  <c r="BM801" i="4"/>
  <c r="BM604" i="4"/>
  <c r="BM265" i="4"/>
  <c r="BM1072" i="4"/>
  <c r="BM802" i="4"/>
  <c r="BM659" i="4"/>
  <c r="BM492" i="4"/>
  <c r="BM266" i="4"/>
  <c r="BM119" i="4"/>
  <c r="BM1126" i="4"/>
  <c r="BM870" i="4"/>
  <c r="BM493" i="4"/>
  <c r="BM803" i="4"/>
  <c r="BM605" i="4"/>
  <c r="BM929" i="4"/>
  <c r="BM660" i="4"/>
  <c r="BM1055" i="4"/>
  <c r="BM606" i="4"/>
  <c r="BM804" i="4"/>
  <c r="BM494" i="4"/>
  <c r="BM715" i="4"/>
  <c r="BM267" i="4"/>
  <c r="BM805" i="4"/>
  <c r="BM164" i="4"/>
  <c r="BM716" i="4"/>
  <c r="BM268" i="4"/>
  <c r="BM930" i="4"/>
  <c r="BM495" i="4"/>
  <c r="BM763" i="4"/>
  <c r="BM120" i="4"/>
  <c r="BM806" i="4"/>
  <c r="BM65" i="4"/>
  <c r="BM29" i="4"/>
  <c r="BM717" i="4"/>
  <c r="BM269" i="4"/>
  <c r="BM923" i="4"/>
  <c r="BM562" i="4"/>
  <c r="BM270" i="4"/>
  <c r="BM718" i="4"/>
  <c r="BM986" i="4"/>
  <c r="BM961" i="4"/>
  <c r="BM165" i="4"/>
  <c r="BM496" i="4"/>
  <c r="BM764" i="4"/>
  <c r="BM807" i="4"/>
  <c r="BM1149" i="4"/>
  <c r="BM636" i="4"/>
  <c r="BM166" i="4"/>
  <c r="BM13" i="4"/>
  <c r="BM974" i="4"/>
  <c r="BM719" i="4"/>
  <c r="BM563" i="4"/>
  <c r="BM88" i="4"/>
  <c r="BM271" i="4"/>
  <c r="BM272" i="4"/>
  <c r="BM765" i="4"/>
  <c r="BM808" i="4"/>
  <c r="BM661" i="4"/>
  <c r="BM662" i="4"/>
  <c r="BM809" i="4"/>
  <c r="BM1148" i="4"/>
  <c r="BM810" i="4"/>
  <c r="BM766" i="4"/>
  <c r="BM958" i="4"/>
  <c r="BM167" i="4"/>
  <c r="BM720" i="4"/>
  <c r="BM811" i="4"/>
  <c r="BM767" i="4"/>
  <c r="BM89" i="4"/>
  <c r="BM564" i="4"/>
  <c r="BM768" i="4"/>
  <c r="BM1056" i="4"/>
  <c r="BM812" i="4"/>
  <c r="BM663" i="4"/>
  <c r="BM813" i="4"/>
  <c r="BM273" i="4"/>
  <c r="BM121" i="4"/>
  <c r="BM721" i="4"/>
  <c r="BM122" i="4"/>
  <c r="BM123" i="4"/>
  <c r="BM814" i="4"/>
  <c r="BM815" i="4"/>
  <c r="BM274" i="4"/>
  <c r="BM900" i="4"/>
  <c r="BM1080" i="4"/>
  <c r="BM124" i="4"/>
  <c r="BM975" i="4"/>
  <c r="BM275" i="4"/>
  <c r="BM664" i="4"/>
  <c r="BM722" i="4"/>
  <c r="BM1142" i="4"/>
  <c r="BM497" i="4"/>
  <c r="BM276" i="4"/>
  <c r="BM277" i="4"/>
  <c r="BM665" i="4"/>
  <c r="BM1127" i="4"/>
  <c r="BM125" i="4"/>
  <c r="BM498" i="4"/>
  <c r="BM168" i="4"/>
  <c r="BM499" i="4"/>
  <c r="BM90" i="4"/>
  <c r="BM565" i="4"/>
  <c r="BM1128" i="4"/>
  <c r="BM278" i="4"/>
  <c r="BM279" i="4"/>
  <c r="BM280" i="4"/>
  <c r="BM91" i="4"/>
  <c r="BM1106" i="4"/>
  <c r="BM987" i="4"/>
  <c r="BM723" i="4"/>
  <c r="BM769" i="4"/>
  <c r="BM816" i="4"/>
  <c r="BM126" i="4"/>
  <c r="BM998" i="4"/>
  <c r="BM1118" i="4"/>
  <c r="BM127" i="4"/>
  <c r="BM882" i="4"/>
  <c r="BM92" i="4"/>
  <c r="BM1129" i="4"/>
  <c r="BM724" i="4"/>
  <c r="BM725" i="4"/>
  <c r="BM666" i="4"/>
  <c r="BM128" i="4"/>
  <c r="BM1130" i="4"/>
  <c r="BM281" i="4"/>
  <c r="BM817" i="4"/>
  <c r="BM726" i="4"/>
  <c r="BM282" i="4"/>
  <c r="BM727" i="4"/>
  <c r="BM1086" i="4"/>
  <c r="BM48" i="4"/>
  <c r="BM283" i="4"/>
  <c r="BM818" i="4"/>
  <c r="BM1087" i="4"/>
  <c r="BM819" i="4"/>
  <c r="BM901" i="4"/>
  <c r="BM93" i="4"/>
  <c r="BM94" i="4"/>
  <c r="BM1057" i="4"/>
  <c r="BM1007" i="4"/>
  <c r="BM284" i="4"/>
  <c r="BM1201" i="4"/>
  <c r="BM1070" i="4"/>
  <c r="BM820" i="4"/>
  <c r="BM566" i="4"/>
  <c r="BM607" i="4"/>
  <c r="BM1167" i="4"/>
  <c r="BM821" i="4"/>
  <c r="BM822" i="4"/>
  <c r="BM823" i="4"/>
  <c r="BM976" i="4"/>
  <c r="BM1131" i="4"/>
  <c r="BM871" i="4"/>
  <c r="BM49" i="4"/>
  <c r="BM931" i="4"/>
  <c r="BM824" i="4"/>
  <c r="BM1132" i="4"/>
  <c r="BM285" i="4"/>
  <c r="BM169" i="4"/>
  <c r="BM66" i="4"/>
  <c r="BM286" i="4"/>
  <c r="BM567" i="4"/>
  <c r="BM287" i="4"/>
  <c r="BM288" i="4"/>
  <c r="BM728" i="4"/>
  <c r="BM1154" i="4"/>
  <c r="BM289" i="4"/>
  <c r="BM50" i="4"/>
  <c r="BM962" i="4"/>
  <c r="BM932" i="4"/>
  <c r="BM51" i="4"/>
  <c r="BM1075" i="4"/>
  <c r="BM170" i="4"/>
  <c r="BM1133" i="4"/>
  <c r="BM129" i="4"/>
  <c r="BM1015" i="4"/>
  <c r="BM67" i="4"/>
  <c r="BM95" i="4"/>
  <c r="BM937" i="4"/>
  <c r="BM500" i="4"/>
  <c r="BM948" i="4"/>
  <c r="BM568" i="4"/>
  <c r="BM130" i="4"/>
  <c r="BM290" i="4"/>
  <c r="BM825" i="4"/>
  <c r="BM291" i="4"/>
  <c r="BM569" i="4"/>
  <c r="BM171" i="4"/>
  <c r="BM292" i="4"/>
  <c r="BM30" i="4"/>
  <c r="BM872" i="4"/>
  <c r="BM967" i="4"/>
  <c r="BM293" i="4"/>
  <c r="BM172" i="4"/>
  <c r="BM173" i="4"/>
  <c r="BM131" i="4"/>
  <c r="BM1088" i="4"/>
  <c r="BM2" i="4"/>
  <c r="BM294" i="4"/>
  <c r="BM174" i="4"/>
  <c r="BM501" i="4"/>
  <c r="BM14" i="4"/>
  <c r="BM1168" i="4"/>
  <c r="BM1188" i="4"/>
  <c r="BM1065" i="4"/>
  <c r="BM502" i="4"/>
  <c r="BM295" i="4"/>
  <c r="BM608" i="4"/>
  <c r="BM503" i="4"/>
  <c r="BM175" i="4"/>
  <c r="BM296" i="4"/>
  <c r="BM132" i="4"/>
  <c r="BM902" i="4"/>
  <c r="BM176" i="4"/>
  <c r="BM570" i="4"/>
  <c r="BM297" i="4"/>
  <c r="BM826" i="4"/>
  <c r="BM1116" i="4"/>
  <c r="BM571" i="4"/>
  <c r="BM729" i="4"/>
  <c r="BM298" i="4"/>
  <c r="BM924" i="4"/>
  <c r="BM299" i="4"/>
  <c r="BM977" i="4"/>
  <c r="BM572" i="4"/>
  <c r="BM300" i="4"/>
  <c r="BM999" i="4"/>
  <c r="BM730" i="4"/>
  <c r="BM15" i="4"/>
  <c r="BM1081" i="4"/>
  <c r="BM827" i="4"/>
  <c r="BM1145" i="4"/>
  <c r="BM96" i="4"/>
  <c r="BM1058" i="4"/>
  <c r="BM1016" i="4"/>
  <c r="BM903" i="4"/>
  <c r="BM1200" i="4"/>
  <c r="BM731" i="4"/>
  <c r="BM1109" i="4"/>
  <c r="BM1045" i="4"/>
  <c r="BM133" i="4"/>
  <c r="BM301" i="4"/>
  <c r="BM1017" i="4"/>
  <c r="BM302" i="4"/>
  <c r="BM303" i="4"/>
  <c r="BM1018" i="4"/>
  <c r="BM1169" i="4"/>
  <c r="BM304" i="4"/>
  <c r="BM305" i="4"/>
  <c r="BM504" i="4"/>
  <c r="BM306" i="4"/>
  <c r="BM3" i="4"/>
  <c r="BM307" i="4"/>
  <c r="BM68" i="4"/>
  <c r="BM177" i="4"/>
  <c r="BM573" i="4"/>
  <c r="BM1156" i="4"/>
  <c r="BM308" i="4"/>
  <c r="BM97" i="4"/>
  <c r="BM505" i="4"/>
  <c r="BM1177" i="4"/>
  <c r="BM988" i="4"/>
  <c r="BM309" i="4"/>
  <c r="BM69" i="4"/>
  <c r="BM1040" i="4"/>
  <c r="BM938" i="4"/>
  <c r="BM70" i="4"/>
  <c r="BM637" i="4"/>
  <c r="BM310" i="4"/>
  <c r="BM1134" i="4"/>
  <c r="BM311" i="4"/>
  <c r="BM1202" i="4"/>
  <c r="BM770" i="4"/>
  <c r="BM1101" i="4"/>
  <c r="BM732" i="4"/>
  <c r="BM1143" i="4"/>
  <c r="BM98" i="4"/>
  <c r="BM1135" i="4"/>
  <c r="BM828" i="4"/>
  <c r="BM506" i="4"/>
  <c r="BM667" i="4"/>
  <c r="BM99" i="4"/>
  <c r="BM609" i="4"/>
  <c r="BM507" i="4"/>
  <c r="BM100" i="4"/>
  <c r="BM1102" i="4"/>
  <c r="BM312" i="4"/>
  <c r="BM313" i="4"/>
  <c r="BM314" i="4"/>
  <c r="BM668" i="4"/>
  <c r="BM315" i="4"/>
  <c r="BM733" i="4"/>
  <c r="BM316" i="4"/>
  <c r="BM1103" i="4"/>
  <c r="BM734" i="4"/>
  <c r="BM1150" i="4"/>
  <c r="BM574" i="4"/>
  <c r="BM1111" i="4"/>
  <c r="BM1076" i="4"/>
  <c r="BM317" i="4"/>
  <c r="BM904" i="4"/>
  <c r="BM829" i="4"/>
  <c r="BM1136" i="4"/>
  <c r="BM830" i="4"/>
  <c r="BM1019" i="4"/>
  <c r="BM1195" i="4"/>
  <c r="BM318" i="4"/>
  <c r="BM735" i="4"/>
  <c r="BM178" i="4"/>
  <c r="BM669" i="4"/>
  <c r="BM134" i="4"/>
  <c r="BM319" i="4"/>
  <c r="BM883" i="4"/>
  <c r="BM320" i="4"/>
  <c r="BM321" i="4"/>
  <c r="BM322" i="4"/>
  <c r="BM16" i="4"/>
  <c r="BM323" i="4"/>
  <c r="BM508" i="4"/>
  <c r="BM324" i="4"/>
  <c r="BM831" i="4"/>
  <c r="BM509" i="4"/>
  <c r="BM325" i="4"/>
  <c r="BM1028" i="4"/>
  <c r="BM71" i="4"/>
  <c r="BM179" i="4"/>
  <c r="BM670" i="4"/>
  <c r="BM873" i="4"/>
  <c r="BM31" i="4"/>
  <c r="BM874" i="4"/>
  <c r="BM326" i="4"/>
  <c r="BM1008" i="4"/>
  <c r="BM736" i="4"/>
  <c r="BM982" i="4"/>
  <c r="BM979" i="4"/>
  <c r="BM925" i="4"/>
  <c r="BM510" i="4"/>
  <c r="BM327" i="4"/>
  <c r="BM875" i="4"/>
  <c r="BM511" i="4"/>
  <c r="BM328" i="4"/>
  <c r="BM876" i="4"/>
  <c r="BM329" i="4"/>
  <c r="BM1059" i="4"/>
  <c r="BM330" i="4"/>
  <c r="BM1175" i="4"/>
  <c r="BM1060" i="4"/>
  <c r="BM610" i="4"/>
  <c r="BM32" i="4"/>
  <c r="BM671" i="4"/>
  <c r="BM180" i="4"/>
  <c r="BM331" i="4"/>
  <c r="BM855" i="4"/>
  <c r="BM1038" i="4"/>
  <c r="BM856" i="4"/>
  <c r="BM611" i="4"/>
  <c r="BM1077" i="4"/>
  <c r="BM1044" i="4"/>
  <c r="BM1066" i="4"/>
  <c r="BM1107" i="4"/>
  <c r="BM1104" i="4"/>
  <c r="BM832" i="4"/>
  <c r="BM332" i="4"/>
  <c r="BM33" i="4"/>
  <c r="BM672" i="4"/>
  <c r="BM673" i="4"/>
  <c r="BM1196" i="4"/>
  <c r="BM833" i="4"/>
  <c r="BM52" i="4"/>
  <c r="BM512" i="4"/>
  <c r="BM834" i="4"/>
  <c r="BM857" i="4"/>
  <c r="BM53" i="4"/>
  <c r="BM1020" i="4"/>
  <c r="BM674" i="4"/>
  <c r="BM333" i="4"/>
  <c r="BM334" i="4"/>
  <c r="BM101" i="4"/>
  <c r="BM675" i="4"/>
  <c r="BM335" i="4"/>
  <c r="BM949" i="4"/>
  <c r="BM336" i="4"/>
  <c r="BM1160" i="4"/>
  <c r="BM676" i="4"/>
  <c r="BM337" i="4"/>
  <c r="BM181" i="4"/>
  <c r="BM182" i="4"/>
  <c r="BM513" i="4"/>
  <c r="BM72" i="4"/>
  <c r="BM135" i="4"/>
  <c r="BM612" i="4"/>
  <c r="BM575" i="4"/>
  <c r="BM576" i="4"/>
  <c r="BM771" i="4"/>
  <c r="BM1108" i="4"/>
  <c r="BM677" i="4"/>
  <c r="BM338" i="4"/>
  <c r="BM577" i="4"/>
  <c r="BM578" i="4"/>
  <c r="BM772" i="4"/>
  <c r="BM339" i="4"/>
  <c r="BM737" i="4"/>
  <c r="BM773" i="4"/>
  <c r="BM835" i="4"/>
  <c r="BM774" i="4"/>
  <c r="BM836" i="4"/>
  <c r="BM1000" i="4"/>
  <c r="BM340" i="4"/>
  <c r="BM1061" i="4"/>
  <c r="BM1198" i="4"/>
  <c r="BM950" i="4"/>
  <c r="BM933" i="4"/>
  <c r="BM1186" i="4"/>
  <c r="BM678" i="4"/>
  <c r="BM341" i="4"/>
  <c r="BM342" i="4"/>
  <c r="BM837" i="4"/>
  <c r="BM838" i="4"/>
  <c r="BM183" i="4"/>
  <c r="BM343" i="4"/>
  <c r="BM344" i="4"/>
  <c r="BM184" i="4"/>
  <c r="BM989" i="4"/>
  <c r="BM136" i="4"/>
  <c r="BM73" i="4"/>
  <c r="BM775" i="4"/>
  <c r="BM345" i="4"/>
  <c r="BM613" i="4"/>
  <c r="BM738" i="4"/>
  <c r="BM185" i="4"/>
  <c r="BM346" i="4"/>
  <c r="BM1041" i="4"/>
  <c r="BM186" i="4"/>
  <c r="BM347" i="4"/>
  <c r="BM54" i="4"/>
  <c r="BM514" i="4"/>
  <c r="BM739" i="4"/>
  <c r="BM348" i="4"/>
  <c r="BM877" i="4"/>
  <c r="BM74" i="4"/>
  <c r="BM614" i="4"/>
  <c r="BM884" i="4"/>
  <c r="BM75" i="4"/>
  <c r="BM1176" i="4"/>
  <c r="BM349" i="4"/>
  <c r="BM350" i="4"/>
  <c r="BM740" i="4"/>
  <c r="BM839" i="4"/>
  <c r="BM17" i="4"/>
  <c r="BM515" i="4"/>
  <c r="BM878" i="4"/>
  <c r="BM351" i="4"/>
  <c r="BM34" i="4"/>
  <c r="BM35" i="4"/>
  <c r="BM352" i="4"/>
  <c r="BM516" i="4"/>
  <c r="BM776" i="4"/>
  <c r="BM1137" i="4"/>
  <c r="BM55" i="4"/>
  <c r="BM1189" i="4"/>
  <c r="BM187" i="4"/>
  <c r="BM741" i="4"/>
  <c r="BM353" i="4"/>
  <c r="BM517" i="4"/>
  <c r="BM102" i="4"/>
  <c r="BM36" i="4"/>
  <c r="BM615" i="4"/>
  <c r="BM679" i="4"/>
  <c r="BM840" i="4"/>
  <c r="BM742" i="4"/>
  <c r="BM1096" i="4"/>
  <c r="BM18" i="4"/>
  <c r="BM188" i="4"/>
  <c r="BM354" i="4"/>
  <c r="BM355" i="4"/>
  <c r="BM356" i="4"/>
  <c r="BM939" i="4"/>
  <c r="BM56" i="4"/>
  <c r="BM1001" i="4"/>
  <c r="BM616" i="4"/>
  <c r="BM518" i="4"/>
  <c r="BM189" i="4"/>
  <c r="BM357" i="4"/>
  <c r="BM358" i="4"/>
  <c r="BM359" i="4"/>
  <c r="BM1021" i="4"/>
  <c r="BM360" i="4"/>
  <c r="BM905" i="4"/>
  <c r="BM743" i="4"/>
  <c r="BM1158" i="4"/>
  <c r="BM1078" i="4"/>
  <c r="BM361" i="4"/>
  <c r="BM519" i="4"/>
  <c r="BM520" i="4"/>
  <c r="BM680" i="4"/>
  <c r="BM777" i="4"/>
  <c r="BM362" i="4"/>
  <c r="BM190" i="4"/>
  <c r="BM191" i="4"/>
  <c r="BM841" i="4"/>
  <c r="BM617" i="4"/>
  <c r="BM521" i="4"/>
  <c r="BM363" i="4"/>
  <c r="BM618" i="4"/>
  <c r="BM926" i="4"/>
  <c r="BM364" i="4"/>
  <c r="BM858" i="4"/>
  <c r="BM859" i="4"/>
  <c r="BM137" i="4"/>
  <c r="BM365" i="4"/>
  <c r="BM744" i="4"/>
  <c r="BM579" i="4"/>
  <c r="BM522" i="4"/>
  <c r="BM778" i="4"/>
  <c r="BM842" i="4"/>
  <c r="BM951" i="4"/>
  <c r="BM366" i="4"/>
  <c r="BM619" i="4"/>
  <c r="BM367" i="4"/>
  <c r="BM779" i="4"/>
  <c r="BM580" i="4"/>
  <c r="BM368" i="4"/>
  <c r="BM681" i="4"/>
  <c r="BM369" i="4"/>
  <c r="BM370" i="4"/>
  <c r="BM371" i="4"/>
  <c r="BM1138" i="4"/>
  <c r="BM581" i="4"/>
  <c r="BM57" i="4"/>
  <c r="BM192" i="4"/>
  <c r="BM582" i="4"/>
  <c r="BM372" i="4"/>
  <c r="BM4" i="4"/>
  <c r="BM373" i="4"/>
  <c r="BM523" i="4"/>
  <c r="BM103" i="4"/>
  <c r="BM1172" i="4"/>
  <c r="BM374" i="4"/>
  <c r="BM375" i="4"/>
  <c r="BM376" i="4"/>
  <c r="BM377" i="4"/>
  <c r="BM682" i="4"/>
  <c r="BM378" i="4"/>
  <c r="BM524" i="4"/>
  <c r="BM525" i="4"/>
  <c r="BM843" i="4"/>
  <c r="BM379" i="4"/>
  <c r="BM583" i="4"/>
  <c r="BM780" i="4"/>
  <c r="BM193" i="4"/>
  <c r="BM620" i="4"/>
  <c r="BM380" i="4"/>
  <c r="BM194" i="4"/>
  <c r="BM526" i="4"/>
  <c r="BM195" i="4"/>
  <c r="BM527" i="4"/>
  <c r="BM196" i="4"/>
  <c r="BM381" i="4"/>
  <c r="BM138" i="4"/>
  <c r="BM621" i="4"/>
  <c r="BM745" i="4"/>
  <c r="BM584" i="4"/>
  <c r="BM197" i="4"/>
  <c r="BM382" i="4"/>
  <c r="BM76" i="4"/>
  <c r="BM383" i="4"/>
  <c r="BM683" i="4"/>
  <c r="BM585" i="4"/>
  <c r="BM384" i="4"/>
  <c r="BM19" i="4"/>
  <c r="BM385" i="4"/>
  <c r="BM684" i="4"/>
  <c r="BM198" i="4"/>
  <c r="BM781" i="4"/>
  <c r="BM20" i="4"/>
  <c r="BM952" i="4"/>
  <c r="BM746" i="4"/>
  <c r="BM685" i="4"/>
  <c r="BM686" i="4"/>
  <c r="BM199" i="4"/>
  <c r="BM963" i="4"/>
  <c r="BM200" i="4"/>
  <c r="BM201" i="4"/>
  <c r="BM844" i="4"/>
  <c r="BM687" i="4"/>
  <c r="BM386" i="4"/>
  <c r="BM387" i="4"/>
  <c r="BM388" i="4"/>
  <c r="BM528" i="4"/>
  <c r="BM389" i="4"/>
  <c r="BM390" i="4"/>
  <c r="BM391" i="4"/>
  <c r="BM782" i="4"/>
  <c r="BM139" i="4"/>
  <c r="BM688" i="4"/>
  <c r="BM392" i="4"/>
  <c r="BM37" i="4"/>
  <c r="BM906" i="4"/>
  <c r="BM393" i="4"/>
  <c r="BM104" i="4"/>
  <c r="BM747" i="4"/>
  <c r="BM622" i="4"/>
  <c r="BM394" i="4"/>
  <c r="BM395" i="4"/>
  <c r="BM396" i="4"/>
  <c r="BM586" i="4"/>
  <c r="BM397" i="4"/>
  <c r="BM529" i="4"/>
  <c r="BM398" i="4"/>
  <c r="BM1082" i="4"/>
  <c r="BM58" i="4"/>
  <c r="BM623" i="4"/>
  <c r="BM748" i="4"/>
  <c r="BM399" i="4"/>
  <c r="BM202" i="4"/>
  <c r="BM400" i="4"/>
  <c r="BM749" i="4"/>
  <c r="BM401" i="4"/>
  <c r="BM530" i="4"/>
  <c r="BM140" i="4"/>
  <c r="BM860" i="4"/>
  <c r="BM402" i="4"/>
  <c r="BM403" i="4"/>
  <c r="BM689" i="4"/>
  <c r="BM1091" i="4"/>
  <c r="BM531" i="4"/>
  <c r="BM624" i="4"/>
  <c r="BM532" i="4"/>
  <c r="BM404" i="4"/>
  <c r="BM845" i="4"/>
  <c r="BM846" i="4"/>
  <c r="BM405" i="4"/>
  <c r="BM750" i="4"/>
  <c r="BM533" i="4"/>
  <c r="BM203" i="4"/>
  <c r="BM406" i="4"/>
  <c r="BM625" i="4"/>
  <c r="BM141" i="4"/>
  <c r="BM1163" i="4"/>
  <c r="BM204" i="4"/>
  <c r="BM1159" i="4"/>
  <c r="BM407" i="4"/>
  <c r="BM587" i="4"/>
  <c r="BM588" i="4"/>
  <c r="BM408" i="4"/>
  <c r="BM953" i="4"/>
  <c r="BM409" i="4"/>
  <c r="BM205" i="4"/>
  <c r="BM751" i="4"/>
  <c r="BM534" i="4"/>
  <c r="BM847" i="4"/>
  <c r="BM206" i="4"/>
  <c r="BM207" i="4"/>
  <c r="BM410" i="4"/>
  <c r="BM21" i="4"/>
  <c r="BM411" i="4"/>
  <c r="BM5" i="4"/>
  <c r="BM412" i="4"/>
  <c r="BM752" i="4"/>
  <c r="BM413" i="4"/>
  <c r="BM77" i="4"/>
  <c r="BM414" i="4"/>
  <c r="BM415" i="4"/>
  <c r="BM416" i="4"/>
  <c r="BM417" i="4"/>
  <c r="BM954" i="4"/>
  <c r="BM418" i="4"/>
  <c r="BM690" i="4"/>
  <c r="BM419" i="4"/>
  <c r="BM535" i="4"/>
  <c r="BM420" i="4"/>
  <c r="BM22" i="4"/>
  <c r="BM421" i="4"/>
  <c r="BM422" i="4"/>
  <c r="BM423" i="4"/>
  <c r="BM1146" i="4"/>
  <c r="BM424" i="4"/>
  <c r="BM626" i="4"/>
  <c r="BM861" i="4"/>
  <c r="BM1022" i="4"/>
  <c r="BM1112" i="4"/>
  <c r="BM425" i="4"/>
  <c r="BM426" i="4"/>
  <c r="BM427" i="4"/>
  <c r="BM536" i="4"/>
  <c r="BM1083" i="4"/>
  <c r="BM428" i="4"/>
  <c r="BM23" i="4"/>
  <c r="BM537" i="4"/>
  <c r="BM429" i="4"/>
  <c r="BM78" i="4"/>
  <c r="BM208" i="4"/>
  <c r="BM430" i="4"/>
  <c r="BM862" i="4"/>
  <c r="BM627" i="4"/>
  <c r="BM105" i="4"/>
  <c r="BM142" i="4"/>
  <c r="BM1092" i="4"/>
  <c r="BM431" i="4"/>
  <c r="BM1157" i="4"/>
  <c r="BM432" i="4"/>
  <c r="BM143" i="4"/>
  <c r="BM433" i="4"/>
  <c r="BM209" i="4"/>
  <c r="BM538" i="4"/>
  <c r="BM434" i="4"/>
  <c r="BM589" i="4"/>
  <c r="BM863" i="4"/>
  <c r="BM539" i="4"/>
  <c r="BM590" i="4"/>
  <c r="BM210" i="4"/>
  <c r="BM540" i="4"/>
  <c r="BM435" i="4"/>
  <c r="BM436" i="4"/>
  <c r="BM848" i="4"/>
  <c r="BM940" i="4"/>
  <c r="BM864" i="4"/>
  <c r="BM211" i="4"/>
  <c r="BM941" i="4"/>
  <c r="BM691" i="4"/>
  <c r="BM628" i="4"/>
  <c r="BM144" i="4"/>
  <c r="BM437" i="4"/>
  <c r="BM38" i="4"/>
  <c r="BM212" i="4"/>
  <c r="BM591" i="4"/>
  <c r="BM783" i="4"/>
  <c r="BM438" i="4"/>
  <c r="BM439" i="4"/>
  <c r="BM79" i="4"/>
  <c r="BM145" i="4"/>
  <c r="BM440" i="4"/>
  <c r="BM213" i="4"/>
  <c r="BM441" i="4"/>
  <c r="BM442" i="4"/>
  <c r="BM443" i="4"/>
  <c r="BM106" i="4"/>
  <c r="BM629" i="4"/>
  <c r="BM444" i="4"/>
  <c r="BM445" i="4"/>
  <c r="BM753" i="4"/>
  <c r="BM541" i="4"/>
  <c r="BM446" i="4"/>
  <c r="BM879" i="4"/>
  <c r="BM447" i="4"/>
  <c r="BM448" i="4"/>
  <c r="BM1139" i="4"/>
  <c r="BM24" i="4"/>
  <c r="BM1113" i="4"/>
  <c r="BM630" i="4"/>
  <c r="BM754" i="4"/>
  <c r="BM107" i="4"/>
  <c r="BM449" i="4"/>
  <c r="BM1180" i="4"/>
  <c r="BM542" i="4"/>
  <c r="BM25" i="4"/>
  <c r="BM450" i="4"/>
  <c r="BM451" i="4"/>
  <c r="BM631" i="4"/>
  <c r="BM146" i="4"/>
  <c r="BM147" i="4"/>
  <c r="BM452" i="4"/>
  <c r="BM214" i="4"/>
  <c r="BM592" i="4"/>
  <c r="BM632" i="4"/>
  <c r="BM215" i="4"/>
  <c r="BM593" i="4"/>
  <c r="BM216" i="4"/>
  <c r="BM453" i="4"/>
  <c r="BM942" i="4"/>
  <c r="BM543" i="4"/>
  <c r="BM755" i="4"/>
  <c r="BM217" i="4"/>
  <c r="BM849" i="4"/>
  <c r="BM454" i="4"/>
  <c r="BM80" i="4"/>
  <c r="BM455" i="4"/>
  <c r="BM544" i="4"/>
  <c r="BM456" i="4"/>
  <c r="BM1199" i="4"/>
  <c r="BM457" i="4"/>
  <c r="BM545" i="4"/>
  <c r="BM1151" i="4"/>
  <c r="BM218" i="4"/>
  <c r="BM458" i="4"/>
  <c r="BM546" i="4"/>
  <c r="BM459" i="4"/>
  <c r="BM460" i="4"/>
  <c r="BM39" i="4"/>
  <c r="BM547" i="4"/>
  <c r="BM59" i="4"/>
  <c r="BM548" i="4"/>
  <c r="BM461" i="4"/>
  <c r="BM40" i="4"/>
  <c r="BM549" i="4"/>
  <c r="BM959" i="4"/>
  <c r="BM462" i="4"/>
  <c r="BM550" i="4"/>
  <c r="BM60" i="4"/>
  <c r="BM633" i="4"/>
  <c r="BM219" i="4"/>
  <c r="BM463" i="4"/>
  <c r="BM6" i="4"/>
  <c r="BM551" i="4"/>
  <c r="BM552" i="4"/>
  <c r="BM553" i="4"/>
  <c r="BM148" i="4"/>
  <c r="BM220" i="4"/>
  <c r="BM26" i="4"/>
  <c r="BM464" i="4"/>
  <c r="BM149" i="4"/>
  <c r="BM1114" i="4"/>
  <c r="BM465" i="4"/>
  <c r="BM634" i="4"/>
  <c r="BM594" i="4"/>
  <c r="BH695" i="4"/>
  <c r="CD695" i="4" s="1"/>
  <c r="BH908" i="4"/>
  <c r="CD908" i="4" s="1"/>
  <c r="BH696" i="4"/>
  <c r="CD696" i="4" s="1"/>
  <c r="BH909" i="4"/>
  <c r="CD909" i="4" s="1"/>
  <c r="BH228" i="4"/>
  <c r="CD228" i="4" s="1"/>
  <c r="BH638" i="4"/>
  <c r="CD638" i="4" s="1"/>
  <c r="BH639" i="4"/>
  <c r="CD639" i="4" s="1"/>
  <c r="BH229" i="4"/>
  <c r="CD229" i="4" s="1"/>
  <c r="BH851" i="4"/>
  <c r="CD851" i="4" s="1"/>
  <c r="BH230" i="4"/>
  <c r="CD230" i="4" s="1"/>
  <c r="BH697" i="4"/>
  <c r="CD697" i="4" s="1"/>
  <c r="BH554" i="4"/>
  <c r="CD554" i="4" s="1"/>
  <c r="BH1093" i="4"/>
  <c r="CD1093" i="4" s="1"/>
  <c r="BH1073" i="4"/>
  <c r="CD1073" i="4" s="1"/>
  <c r="BH111" i="4"/>
  <c r="CD111" i="4" s="1"/>
  <c r="BH112" i="4"/>
  <c r="CD112" i="4" s="1"/>
  <c r="BH113" i="4"/>
  <c r="CD113" i="4" s="1"/>
  <c r="BH114" i="4"/>
  <c r="CD114" i="4" s="1"/>
  <c r="BH1161" i="4"/>
  <c r="CD1161" i="4" s="1"/>
  <c r="BH885" i="4"/>
  <c r="CD885" i="4" s="1"/>
  <c r="BH475" i="4"/>
  <c r="CD475" i="4" s="1"/>
  <c r="BH935" i="4"/>
  <c r="CD935" i="4" s="1"/>
  <c r="BH640" i="4"/>
  <c r="CD640" i="4" s="1"/>
  <c r="BH785" i="4"/>
  <c r="CD785" i="4" s="1"/>
  <c r="BH1162" i="4"/>
  <c r="CD1162" i="4" s="1"/>
  <c r="BH231" i="4"/>
  <c r="CD231" i="4" s="1"/>
  <c r="BH1185" i="4"/>
  <c r="CD1185" i="4" s="1"/>
  <c r="BH910" i="4"/>
  <c r="CD910" i="4" s="1"/>
  <c r="BH150" i="4"/>
  <c r="CD150" i="4" s="1"/>
  <c r="BH43" i="4"/>
  <c r="CD43" i="4" s="1"/>
  <c r="BH1203" i="4"/>
  <c r="CD1203" i="4" s="1"/>
  <c r="BH1097" i="4"/>
  <c r="CD1097" i="4" s="1"/>
  <c r="BH151" i="4"/>
  <c r="CD151" i="4" s="1"/>
  <c r="BH1002" i="4"/>
  <c r="CD1002" i="4" s="1"/>
  <c r="BH911" i="4"/>
  <c r="CD911" i="4" s="1"/>
  <c r="BH1117" i="4"/>
  <c r="CD1117" i="4" s="1"/>
  <c r="BH81" i="4"/>
  <c r="CD81" i="4" s="1"/>
  <c r="BH1046" i="4"/>
  <c r="CD1046" i="4" s="1"/>
  <c r="BH912" i="4"/>
  <c r="CD912" i="4" s="1"/>
  <c r="BH476" i="4"/>
  <c r="CD476" i="4" s="1"/>
  <c r="BH1047" i="4"/>
  <c r="CD1047" i="4" s="1"/>
  <c r="BH913" i="4"/>
  <c r="CD913" i="4" s="1"/>
  <c r="BH886" i="4"/>
  <c r="CD886" i="4" s="1"/>
  <c r="BH44" i="4"/>
  <c r="CD44" i="4" s="1"/>
  <c r="BH983" i="4"/>
  <c r="CD983" i="4" s="1"/>
  <c r="BH990" i="4"/>
  <c r="CD990" i="4" s="1"/>
  <c r="BH1009" i="4"/>
  <c r="CD1009" i="4" s="1"/>
  <c r="BH1193" i="4"/>
  <c r="CD1193" i="4" s="1"/>
  <c r="BH232" i="4"/>
  <c r="CD232" i="4" s="1"/>
  <c r="BH61" i="4"/>
  <c r="CD61" i="4" s="1"/>
  <c r="BH1121" i="4"/>
  <c r="CD1121" i="4" s="1"/>
  <c r="BH477" i="4"/>
  <c r="CD477" i="4" s="1"/>
  <c r="BH152" i="4"/>
  <c r="CD152" i="4" s="1"/>
  <c r="BH1119" i="4"/>
  <c r="CD1119" i="4" s="1"/>
  <c r="BH1048" i="4"/>
  <c r="CD1048" i="4" s="1"/>
  <c r="BH956" i="4"/>
  <c r="CD956" i="4" s="1"/>
  <c r="BH1062" i="4"/>
  <c r="CD1062" i="4" s="1"/>
  <c r="BH478" i="4"/>
  <c r="CD478" i="4" s="1"/>
  <c r="BH233" i="4"/>
  <c r="CD233" i="4" s="1"/>
  <c r="BH555" i="4"/>
  <c r="CD555" i="4" s="1"/>
  <c r="BH698" i="4"/>
  <c r="CD698" i="4" s="1"/>
  <c r="BH757" i="4"/>
  <c r="CD757" i="4" s="1"/>
  <c r="BH82" i="4"/>
  <c r="CD82" i="4" s="1"/>
  <c r="BH887" i="4"/>
  <c r="CD887" i="4" s="1"/>
  <c r="BH83" i="4"/>
  <c r="CD83" i="4" s="1"/>
  <c r="BH1205" i="4"/>
  <c r="CD1205" i="4" s="1"/>
  <c r="BH1063" i="4"/>
  <c r="CD1063" i="4" s="1"/>
  <c r="BH153" i="4"/>
  <c r="CD153" i="4" s="1"/>
  <c r="BH1155" i="4"/>
  <c r="CD1155" i="4" s="1"/>
  <c r="BH1144" i="4"/>
  <c r="CD1144" i="4" s="1"/>
  <c r="BH1181" i="4"/>
  <c r="CD1181" i="4" s="1"/>
  <c r="BH234" i="4"/>
  <c r="CD234" i="4" s="1"/>
  <c r="BH235" i="4"/>
  <c r="CD235" i="4" s="1"/>
  <c r="BH1178" i="4"/>
  <c r="CD1178" i="4" s="1"/>
  <c r="BH115" i="4"/>
  <c r="CD115" i="4" s="1"/>
  <c r="BH236" i="4"/>
  <c r="CD236" i="4" s="1"/>
  <c r="BH154" i="4"/>
  <c r="CD154" i="4" s="1"/>
  <c r="BH1010" i="4"/>
  <c r="CD1010" i="4" s="1"/>
  <c r="BH479" i="4"/>
  <c r="CD479" i="4" s="1"/>
  <c r="BH480" i="4"/>
  <c r="CD480" i="4" s="1"/>
  <c r="BH116" i="4"/>
  <c r="CD116" i="4" s="1"/>
  <c r="BH786" i="4"/>
  <c r="CD786" i="4" s="1"/>
  <c r="BH117" i="4"/>
  <c r="CD117" i="4" s="1"/>
  <c r="BH237" i="4"/>
  <c r="CD237" i="4" s="1"/>
  <c r="BH968" i="4"/>
  <c r="CD968" i="4" s="1"/>
  <c r="BH8" i="4"/>
  <c r="CD8" i="4" s="1"/>
  <c r="BH481" i="4"/>
  <c r="CD481" i="4" s="1"/>
  <c r="BH9" i="4"/>
  <c r="CD9" i="4" s="1"/>
  <c r="BH1147" i="4"/>
  <c r="CD1147" i="4" s="1"/>
  <c r="BH1204" i="4"/>
  <c r="CD1204" i="4" s="1"/>
  <c r="BH1190" i="4"/>
  <c r="CD1190" i="4" s="1"/>
  <c r="BH482" i="4"/>
  <c r="CD482" i="4" s="1"/>
  <c r="BH1166" i="4"/>
  <c r="CD1166" i="4" s="1"/>
  <c r="BH1042" i="4"/>
  <c r="CD1042" i="4" s="1"/>
  <c r="BH787" i="4"/>
  <c r="CD787" i="4" s="1"/>
  <c r="BH1049" i="4"/>
  <c r="CD1049" i="4" s="1"/>
  <c r="BH238" i="4"/>
  <c r="CD238" i="4" s="1"/>
  <c r="BH699" i="4"/>
  <c r="CD699" i="4" s="1"/>
  <c r="BH239" i="4"/>
  <c r="CD239" i="4" s="1"/>
  <c r="BH888" i="4"/>
  <c r="CD888" i="4" s="1"/>
  <c r="BH27" i="4"/>
  <c r="CD27" i="4" s="1"/>
  <c r="BH597" i="4"/>
  <c r="CD597" i="4" s="1"/>
  <c r="BH788" i="4"/>
  <c r="CD788" i="4" s="1"/>
  <c r="BH10" i="4"/>
  <c r="CD10" i="4" s="1"/>
  <c r="BH556" i="4"/>
  <c r="CD556" i="4" s="1"/>
  <c r="BH11" i="4"/>
  <c r="CD11" i="4" s="1"/>
  <c r="BH240" i="4"/>
  <c r="CD240" i="4" s="1"/>
  <c r="BH1122" i="4"/>
  <c r="CD1122" i="4" s="1"/>
  <c r="BH865" i="4"/>
  <c r="CD865" i="4" s="1"/>
  <c r="BH1110" i="4"/>
  <c r="CD1110" i="4" s="1"/>
  <c r="BH155" i="4"/>
  <c r="CD155" i="4" s="1"/>
  <c r="BH1043" i="4"/>
  <c r="CD1043" i="4" s="1"/>
  <c r="BH700" i="4"/>
  <c r="CD700" i="4" s="1"/>
  <c r="BH1153" i="4"/>
  <c r="CD1153" i="4" s="1"/>
  <c r="BH483" i="4"/>
  <c r="CD483" i="4" s="1"/>
  <c r="BH784" i="4"/>
  <c r="CD784" i="4" s="1"/>
  <c r="BH62" i="4"/>
  <c r="CD62" i="4" s="1"/>
  <c r="BH241" i="4"/>
  <c r="CD241" i="4" s="1"/>
  <c r="BH156" i="4"/>
  <c r="CD156" i="4" s="1"/>
  <c r="BH45" i="4"/>
  <c r="CD45" i="4" s="1"/>
  <c r="BH1170" i="4"/>
  <c r="CD1170" i="4" s="1"/>
  <c r="BH63" i="4"/>
  <c r="CD63" i="4" s="1"/>
  <c r="BH641" i="4"/>
  <c r="CD641" i="4" s="1"/>
  <c r="BH157" i="4"/>
  <c r="CD157" i="4" s="1"/>
  <c r="BH242" i="4"/>
  <c r="CD242" i="4" s="1"/>
  <c r="BH978" i="4"/>
  <c r="CD978" i="4" s="1"/>
  <c r="BH701" i="4"/>
  <c r="CD701" i="4" s="1"/>
  <c r="BH1120" i="4"/>
  <c r="CD1120" i="4" s="1"/>
  <c r="BH243" i="4"/>
  <c r="CD243" i="4" s="1"/>
  <c r="BH1024" i="4"/>
  <c r="CD1024" i="4" s="1"/>
  <c r="BH889" i="4"/>
  <c r="CD889" i="4" s="1"/>
  <c r="BH789" i="4"/>
  <c r="CD789" i="4" s="1"/>
  <c r="BH880" i="4"/>
  <c r="CD880" i="4" s="1"/>
  <c r="BH118" i="4"/>
  <c r="CD118" i="4" s="1"/>
  <c r="BH890" i="4"/>
  <c r="CD890" i="4" s="1"/>
  <c r="BH642" i="4"/>
  <c r="CD642" i="4" s="1"/>
  <c r="BH1067" i="4"/>
  <c r="CD1067" i="4" s="1"/>
  <c r="BH643" i="4"/>
  <c r="CD643" i="4" s="1"/>
  <c r="BH244" i="4"/>
  <c r="CD244" i="4" s="1"/>
  <c r="BH1050" i="4"/>
  <c r="CD1050" i="4" s="1"/>
  <c r="BH158" i="4"/>
  <c r="CD158" i="4" s="1"/>
  <c r="BH557" i="4"/>
  <c r="CD557" i="4" s="1"/>
  <c r="BH891" i="4"/>
  <c r="CD891" i="4" s="1"/>
  <c r="BH1084" i="4"/>
  <c r="CD1084" i="4" s="1"/>
  <c r="BH892" i="4"/>
  <c r="CD892" i="4" s="1"/>
  <c r="BH245" i="4"/>
  <c r="CD245" i="4" s="1"/>
  <c r="BH893" i="4"/>
  <c r="CD893" i="4" s="1"/>
  <c r="BH1173" i="4"/>
  <c r="CD1173" i="4" s="1"/>
  <c r="BH1123" i="4"/>
  <c r="CD1123" i="4" s="1"/>
  <c r="BH702" i="4"/>
  <c r="CD702" i="4" s="1"/>
  <c r="BH703" i="4"/>
  <c r="CD703" i="4" s="1"/>
  <c r="BH1029" i="4"/>
  <c r="CD1029" i="4" s="1"/>
  <c r="BH644" i="4"/>
  <c r="CD644" i="4" s="1"/>
  <c r="BH944" i="4"/>
  <c r="CD944" i="4" s="1"/>
  <c r="BH704" i="4"/>
  <c r="CD704" i="4" s="1"/>
  <c r="BH645" i="4"/>
  <c r="CD645" i="4" s="1"/>
  <c r="BH705" i="4"/>
  <c r="CD705" i="4" s="1"/>
  <c r="BH706" i="4"/>
  <c r="CD706" i="4" s="1"/>
  <c r="BH969" i="4"/>
  <c r="CD969" i="4" s="1"/>
  <c r="BH246" i="4"/>
  <c r="CD246" i="4" s="1"/>
  <c r="BH1051" i="4"/>
  <c r="CD1051" i="4" s="1"/>
  <c r="BH1183" i="4"/>
  <c r="CD1183" i="4" s="1"/>
  <c r="BH247" i="4"/>
  <c r="CD247" i="4" s="1"/>
  <c r="BH1030" i="4"/>
  <c r="CD1030" i="4" s="1"/>
  <c r="BH646" i="4"/>
  <c r="CD646" i="4" s="1"/>
  <c r="BH984" i="4"/>
  <c r="CD984" i="4" s="1"/>
  <c r="BH985" i="4"/>
  <c r="CD985" i="4" s="1"/>
  <c r="BH707" i="4"/>
  <c r="CD707" i="4" s="1"/>
  <c r="BH1031" i="4"/>
  <c r="CD1031" i="4" s="1"/>
  <c r="BH248" i="4"/>
  <c r="CD248" i="4" s="1"/>
  <c r="BH484" i="4"/>
  <c r="CD484" i="4" s="1"/>
  <c r="BH881" i="4"/>
  <c r="CD881" i="4" s="1"/>
  <c r="BH1032" i="4"/>
  <c r="CD1032" i="4" s="1"/>
  <c r="BH1003" i="4"/>
  <c r="CD1003" i="4" s="1"/>
  <c r="BH1033" i="4"/>
  <c r="CD1033" i="4" s="1"/>
  <c r="BH249" i="4"/>
  <c r="CD249" i="4" s="1"/>
  <c r="BH914" i="4"/>
  <c r="CD914" i="4" s="1"/>
  <c r="BH1034" i="4"/>
  <c r="CD1034" i="4" s="1"/>
  <c r="BH647" i="4"/>
  <c r="CD647" i="4" s="1"/>
  <c r="BH1052" i="4"/>
  <c r="CD1052" i="4" s="1"/>
  <c r="BH915" i="4"/>
  <c r="CD915" i="4" s="1"/>
  <c r="BH1105" i="4"/>
  <c r="CD1105" i="4" s="1"/>
  <c r="BH159" i="4"/>
  <c r="CD159" i="4" s="1"/>
  <c r="BH648" i="4"/>
  <c r="CD648" i="4" s="1"/>
  <c r="BH1089" i="4"/>
  <c r="CD1089" i="4" s="1"/>
  <c r="BH1035" i="4"/>
  <c r="CD1035" i="4" s="1"/>
  <c r="BH894" i="4"/>
  <c r="CD894" i="4" s="1"/>
  <c r="BH250" i="4"/>
  <c r="CD250" i="4" s="1"/>
  <c r="BH251" i="4"/>
  <c r="CD251" i="4" s="1"/>
  <c r="BH1053" i="4"/>
  <c r="CD1053" i="4" s="1"/>
  <c r="BH485" i="4"/>
  <c r="CD485" i="4" s="1"/>
  <c r="BH1036" i="4"/>
  <c r="CD1036" i="4" s="1"/>
  <c r="BH486" i="4"/>
  <c r="CD486" i="4" s="1"/>
  <c r="BH12" i="4"/>
  <c r="CD12" i="4" s="1"/>
  <c r="BH1004" i="4"/>
  <c r="CD1004" i="4" s="1"/>
  <c r="BH1079" i="4"/>
  <c r="CD1079" i="4" s="1"/>
  <c r="BH160" i="4"/>
  <c r="CD160" i="4" s="1"/>
  <c r="BH895" i="4"/>
  <c r="CD895" i="4" s="1"/>
  <c r="BH252" i="4"/>
  <c r="CD252" i="4" s="1"/>
  <c r="BH649" i="4"/>
  <c r="CD649" i="4" s="1"/>
  <c r="BH487" i="4"/>
  <c r="CD487" i="4" s="1"/>
  <c r="BH84" i="4"/>
  <c r="CD84" i="4" s="1"/>
  <c r="BH965" i="4"/>
  <c r="CD965" i="4" s="1"/>
  <c r="BH1068" i="4"/>
  <c r="CD1068" i="4" s="1"/>
  <c r="BH488" i="4"/>
  <c r="CD488" i="4" s="1"/>
  <c r="BH970" i="4"/>
  <c r="CD970" i="4" s="1"/>
  <c r="BH896" i="4"/>
  <c r="CD896" i="4" s="1"/>
  <c r="BH650" i="4"/>
  <c r="CD650" i="4" s="1"/>
  <c r="BH46" i="4"/>
  <c r="CD46" i="4" s="1"/>
  <c r="BH897" i="4"/>
  <c r="CD897" i="4" s="1"/>
  <c r="BH708" i="4"/>
  <c r="CD708" i="4" s="1"/>
  <c r="BH253" i="4"/>
  <c r="CD253" i="4" s="1"/>
  <c r="BH927" i="4"/>
  <c r="CD927" i="4" s="1"/>
  <c r="BH1005" i="4"/>
  <c r="CD1005" i="4" s="1"/>
  <c r="BH1165" i="4"/>
  <c r="CD1165" i="4" s="1"/>
  <c r="BH1006" i="4"/>
  <c r="CD1006" i="4" s="1"/>
  <c r="BH1011" i="4"/>
  <c r="CD1011" i="4" s="1"/>
  <c r="BH916" i="4"/>
  <c r="CD916" i="4" s="1"/>
  <c r="BH1182" i="4"/>
  <c r="CD1182" i="4" s="1"/>
  <c r="BH254" i="4"/>
  <c r="CD254" i="4" s="1"/>
  <c r="BH898" i="4"/>
  <c r="CD898" i="4" s="1"/>
  <c r="BH971" i="4"/>
  <c r="CD971" i="4" s="1"/>
  <c r="BH161" i="4"/>
  <c r="CD161" i="4" s="1"/>
  <c r="BH991" i="4"/>
  <c r="CD991" i="4" s="1"/>
  <c r="BH1164" i="4"/>
  <c r="CD1164" i="4" s="1"/>
  <c r="BH47" i="4"/>
  <c r="CD47" i="4" s="1"/>
  <c r="BH709" i="4"/>
  <c r="CD709" i="4" s="1"/>
  <c r="BH1187" i="4"/>
  <c r="CD1187" i="4" s="1"/>
  <c r="BH255" i="4"/>
  <c r="CD255" i="4" s="1"/>
  <c r="BH866" i="4"/>
  <c r="CD866" i="4" s="1"/>
  <c r="BH1012" i="4"/>
  <c r="CD1012" i="4" s="1"/>
  <c r="BH992" i="4"/>
  <c r="CD992" i="4" s="1"/>
  <c r="BH945" i="4"/>
  <c r="CD945" i="4" s="1"/>
  <c r="BH758" i="4"/>
  <c r="CD758" i="4" s="1"/>
  <c r="BH993" i="4"/>
  <c r="CD993" i="4" s="1"/>
  <c r="BH598" i="4"/>
  <c r="CD598" i="4" s="1"/>
  <c r="BH1197" i="4"/>
  <c r="CD1197" i="4" s="1"/>
  <c r="BH256" i="4"/>
  <c r="CD256" i="4" s="1"/>
  <c r="BH1140" i="4"/>
  <c r="CD1140" i="4" s="1"/>
  <c r="BH28" i="4"/>
  <c r="CD28" i="4" s="1"/>
  <c r="BH946" i="4"/>
  <c r="CD946" i="4" s="1"/>
  <c r="BH1054" i="4"/>
  <c r="CD1054" i="4" s="1"/>
  <c r="BH994" i="4"/>
  <c r="CD994" i="4" s="1"/>
  <c r="BH1094" i="4"/>
  <c r="CD1094" i="4" s="1"/>
  <c r="BH257" i="4"/>
  <c r="CD257" i="4" s="1"/>
  <c r="BH995" i="4"/>
  <c r="CD995" i="4" s="1"/>
  <c r="BH759" i="4"/>
  <c r="CD759" i="4" s="1"/>
  <c r="BH258" i="4"/>
  <c r="CD258" i="4" s="1"/>
  <c r="BH1071" i="4"/>
  <c r="CD1071" i="4" s="1"/>
  <c r="BH1085" i="4"/>
  <c r="CD1085" i="4" s="1"/>
  <c r="BH852" i="4"/>
  <c r="CD852" i="4" s="1"/>
  <c r="BH853" i="4"/>
  <c r="CD853" i="4" s="1"/>
  <c r="BH867" i="4"/>
  <c r="CD867" i="4" s="1"/>
  <c r="BH558" i="4"/>
  <c r="CD558" i="4" s="1"/>
  <c r="BH1025" i="4"/>
  <c r="CD1025" i="4" s="1"/>
  <c r="BH1174" i="4"/>
  <c r="CD1174" i="4" s="1"/>
  <c r="BH917" i="4"/>
  <c r="CD917" i="4" s="1"/>
  <c r="BH1194" i="4"/>
  <c r="CD1194" i="4" s="1"/>
  <c r="BH1191" i="4"/>
  <c r="CD1191" i="4" s="1"/>
  <c r="BH559" i="4"/>
  <c r="CD559" i="4" s="1"/>
  <c r="BH947" i="4"/>
  <c r="CD947" i="4" s="1"/>
  <c r="BH259" i="4"/>
  <c r="CD259" i="4" s="1"/>
  <c r="BH918" i="4"/>
  <c r="CD918" i="4" s="1"/>
  <c r="BH489" i="4"/>
  <c r="CD489" i="4" s="1"/>
  <c r="BH1039" i="4"/>
  <c r="CD1039" i="4" s="1"/>
  <c r="BH919" i="4"/>
  <c r="CD919" i="4" s="1"/>
  <c r="BH1124" i="4"/>
  <c r="CD1124" i="4" s="1"/>
  <c r="BH868" i="4"/>
  <c r="CD868" i="4" s="1"/>
  <c r="BH1152" i="4"/>
  <c r="CD1152" i="4" s="1"/>
  <c r="BH790" i="4"/>
  <c r="CD790" i="4" s="1"/>
  <c r="BH85" i="4"/>
  <c r="CD85" i="4" s="1"/>
  <c r="BH972" i="4"/>
  <c r="CD972" i="4" s="1"/>
  <c r="BH957" i="4"/>
  <c r="CD957" i="4" s="1"/>
  <c r="BH869" i="4"/>
  <c r="CD869" i="4" s="1"/>
  <c r="BH760" i="4"/>
  <c r="CD760" i="4" s="1"/>
  <c r="BH1192" i="4"/>
  <c r="CD1192" i="4" s="1"/>
  <c r="BH560" i="4"/>
  <c r="CD560" i="4" s="1"/>
  <c r="BH1090" i="4"/>
  <c r="CD1090" i="4" s="1"/>
  <c r="BH920" i="4"/>
  <c r="CD920" i="4" s="1"/>
  <c r="BH1037" i="4"/>
  <c r="CD1037" i="4" s="1"/>
  <c r="BH1074" i="4"/>
  <c r="CD1074" i="4" s="1"/>
  <c r="BH64" i="4"/>
  <c r="CD64" i="4" s="1"/>
  <c r="BH996" i="4"/>
  <c r="CD996" i="4" s="1"/>
  <c r="BH966" i="4"/>
  <c r="CD966" i="4" s="1"/>
  <c r="BH997" i="4"/>
  <c r="CD997" i="4" s="1"/>
  <c r="BH1115" i="4"/>
  <c r="CD1115" i="4" s="1"/>
  <c r="BH1184" i="4"/>
  <c r="CD1184" i="4" s="1"/>
  <c r="BH1141" i="4"/>
  <c r="CD1141" i="4" s="1"/>
  <c r="BH936" i="4"/>
  <c r="CD936" i="4" s="1"/>
  <c r="BH1100" i="4"/>
  <c r="CD1100" i="4" s="1"/>
  <c r="BH1013" i="4"/>
  <c r="CD1013" i="4" s="1"/>
  <c r="BH791" i="4"/>
  <c r="CD791" i="4" s="1"/>
  <c r="BH1026" i="4"/>
  <c r="CD1026" i="4" s="1"/>
  <c r="BH1098" i="4"/>
  <c r="CD1098" i="4" s="1"/>
  <c r="BH694" i="4"/>
  <c r="CD694" i="4" s="1"/>
  <c r="BH651" i="4"/>
  <c r="CD651" i="4" s="1"/>
  <c r="BH792" i="4"/>
  <c r="CD792" i="4" s="1"/>
  <c r="BH1014" i="4"/>
  <c r="CD1014" i="4" s="1"/>
  <c r="BH652" i="4"/>
  <c r="CD652" i="4" s="1"/>
  <c r="BH653" i="4"/>
  <c r="CD653" i="4" s="1"/>
  <c r="BH1095" i="4"/>
  <c r="CD1095" i="4" s="1"/>
  <c r="BH1069" i="4"/>
  <c r="CD1069" i="4" s="1"/>
  <c r="BH260" i="4"/>
  <c r="CD260" i="4" s="1"/>
  <c r="BH1179" i="4"/>
  <c r="CD1179" i="4" s="1"/>
  <c r="BH1099" i="4"/>
  <c r="CD1099" i="4" s="1"/>
  <c r="BH1027" i="4"/>
  <c r="CD1027" i="4" s="1"/>
  <c r="BH86" i="4"/>
  <c r="CD86" i="4" s="1"/>
  <c r="BH1125" i="4"/>
  <c r="CD1125" i="4" s="1"/>
  <c r="BH599" i="4"/>
  <c r="CD599" i="4" s="1"/>
  <c r="BH710" i="4"/>
  <c r="CD710" i="4" s="1"/>
  <c r="BH1064" i="4"/>
  <c r="CD1064" i="4" s="1"/>
  <c r="BH793" i="4"/>
  <c r="CD793" i="4" s="1"/>
  <c r="BH899" i="4"/>
  <c r="CD899" i="4" s="1"/>
  <c r="BH162" i="4"/>
  <c r="CD162" i="4" s="1"/>
  <c r="BH921" i="4"/>
  <c r="CD921" i="4" s="1"/>
  <c r="BH1171" i="4"/>
  <c r="CD1171" i="4" s="1"/>
  <c r="BH794" i="4"/>
  <c r="CD794" i="4" s="1"/>
  <c r="BH600" i="4"/>
  <c r="CD600" i="4" s="1"/>
  <c r="BH561" i="4"/>
  <c r="CD561" i="4" s="1"/>
  <c r="BH795" i="4"/>
  <c r="CD795" i="4" s="1"/>
  <c r="BH761" i="4"/>
  <c r="CD761" i="4" s="1"/>
  <c r="BH654" i="4"/>
  <c r="CD654" i="4" s="1"/>
  <c r="BH711" i="4"/>
  <c r="CD711" i="4" s="1"/>
  <c r="BH796" i="4"/>
  <c r="CD796" i="4" s="1"/>
  <c r="BH87" i="4"/>
  <c r="CD87" i="4" s="1"/>
  <c r="BH261" i="4"/>
  <c r="CD261" i="4" s="1"/>
  <c r="BH262" i="4"/>
  <c r="CD262" i="4" s="1"/>
  <c r="BH797" i="4"/>
  <c r="CD797" i="4" s="1"/>
  <c r="BH712" i="4"/>
  <c r="CD712" i="4" s="1"/>
  <c r="BH980" i="4"/>
  <c r="CD980" i="4" s="1"/>
  <c r="BH798" i="4"/>
  <c r="CD798" i="4" s="1"/>
  <c r="BH973" i="4"/>
  <c r="CD973" i="4" s="1"/>
  <c r="BH981" i="4"/>
  <c r="CD981" i="4" s="1"/>
  <c r="BH601" i="4"/>
  <c r="CD601" i="4" s="1"/>
  <c r="BH263" i="4"/>
  <c r="CD263" i="4" s="1"/>
  <c r="BH602" i="4"/>
  <c r="CD602" i="4" s="1"/>
  <c r="BH762" i="4"/>
  <c r="CD762" i="4" s="1"/>
  <c r="BH490" i="4"/>
  <c r="CD490" i="4" s="1"/>
  <c r="BH922" i="4"/>
  <c r="CD922" i="4" s="1"/>
  <c r="BH655" i="4"/>
  <c r="CD655" i="4" s="1"/>
  <c r="BH928" i="4"/>
  <c r="CD928" i="4" s="1"/>
  <c r="BH713" i="4"/>
  <c r="CD713" i="4" s="1"/>
  <c r="BH603" i="4"/>
  <c r="CD603" i="4" s="1"/>
  <c r="BH163" i="4"/>
  <c r="CD163" i="4" s="1"/>
  <c r="BH264" i="4"/>
  <c r="CD264" i="4" s="1"/>
  <c r="BH854" i="4"/>
  <c r="CD854" i="4" s="1"/>
  <c r="BH799" i="4"/>
  <c r="CD799" i="4" s="1"/>
  <c r="BH714" i="4"/>
  <c r="CD714" i="4" s="1"/>
  <c r="BH656" i="4"/>
  <c r="CD656" i="4" s="1"/>
  <c r="BH657" i="4"/>
  <c r="CD657" i="4" s="1"/>
  <c r="BH800" i="4"/>
  <c r="CD800" i="4" s="1"/>
  <c r="BH491" i="4"/>
  <c r="CD491" i="4" s="1"/>
  <c r="BH658" i="4"/>
  <c r="CD658" i="4" s="1"/>
  <c r="BH801" i="4"/>
  <c r="CD801" i="4" s="1"/>
  <c r="BH604" i="4"/>
  <c r="CD604" i="4" s="1"/>
  <c r="BH265" i="4"/>
  <c r="CD265" i="4" s="1"/>
  <c r="BH1072" i="4"/>
  <c r="CD1072" i="4" s="1"/>
  <c r="BH802" i="4"/>
  <c r="CD802" i="4" s="1"/>
  <c r="BH659" i="4"/>
  <c r="CD659" i="4" s="1"/>
  <c r="BH492" i="4"/>
  <c r="CD492" i="4" s="1"/>
  <c r="BH266" i="4"/>
  <c r="CD266" i="4" s="1"/>
  <c r="BH119" i="4"/>
  <c r="CD119" i="4" s="1"/>
  <c r="BH1126" i="4"/>
  <c r="CD1126" i="4" s="1"/>
  <c r="BH870" i="4"/>
  <c r="CD870" i="4" s="1"/>
  <c r="BH493" i="4"/>
  <c r="CD493" i="4" s="1"/>
  <c r="BH803" i="4"/>
  <c r="CD803" i="4" s="1"/>
  <c r="BH605" i="4"/>
  <c r="CD605" i="4" s="1"/>
  <c r="BH929" i="4"/>
  <c r="CD929" i="4" s="1"/>
  <c r="BH660" i="4"/>
  <c r="CD660" i="4" s="1"/>
  <c r="BH1055" i="4"/>
  <c r="CD1055" i="4" s="1"/>
  <c r="BH606" i="4"/>
  <c r="CD606" i="4" s="1"/>
  <c r="BH804" i="4"/>
  <c r="CD804" i="4" s="1"/>
  <c r="BH494" i="4"/>
  <c r="CD494" i="4" s="1"/>
  <c r="BH715" i="4"/>
  <c r="CD715" i="4" s="1"/>
  <c r="BH267" i="4"/>
  <c r="CD267" i="4" s="1"/>
  <c r="BH805" i="4"/>
  <c r="CD805" i="4" s="1"/>
  <c r="BH164" i="4"/>
  <c r="CD164" i="4" s="1"/>
  <c r="BH716" i="4"/>
  <c r="CD716" i="4" s="1"/>
  <c r="BH268" i="4"/>
  <c r="CD268" i="4" s="1"/>
  <c r="BH930" i="4"/>
  <c r="CD930" i="4" s="1"/>
  <c r="BH495" i="4"/>
  <c r="CD495" i="4" s="1"/>
  <c r="BH763" i="4"/>
  <c r="CD763" i="4" s="1"/>
  <c r="BH120" i="4"/>
  <c r="CD120" i="4" s="1"/>
  <c r="BH806" i="4"/>
  <c r="CD806" i="4" s="1"/>
  <c r="BH65" i="4"/>
  <c r="CD65" i="4" s="1"/>
  <c r="BH29" i="4"/>
  <c r="CD29" i="4" s="1"/>
  <c r="BH717" i="4"/>
  <c r="CD717" i="4" s="1"/>
  <c r="BH269" i="4"/>
  <c r="CD269" i="4" s="1"/>
  <c r="BH923" i="4"/>
  <c r="CD923" i="4" s="1"/>
  <c r="BH562" i="4"/>
  <c r="CD562" i="4" s="1"/>
  <c r="BH270" i="4"/>
  <c r="CD270" i="4" s="1"/>
  <c r="BH718" i="4"/>
  <c r="CD718" i="4" s="1"/>
  <c r="BH986" i="4"/>
  <c r="CD986" i="4" s="1"/>
  <c r="BH961" i="4"/>
  <c r="CD961" i="4" s="1"/>
  <c r="BH165" i="4"/>
  <c r="CD165" i="4" s="1"/>
  <c r="BH496" i="4"/>
  <c r="CD496" i="4" s="1"/>
  <c r="BH764" i="4"/>
  <c r="CD764" i="4" s="1"/>
  <c r="BH807" i="4"/>
  <c r="CD807" i="4" s="1"/>
  <c r="BH1149" i="4"/>
  <c r="CD1149" i="4" s="1"/>
  <c r="BH636" i="4"/>
  <c r="CD636" i="4" s="1"/>
  <c r="BH166" i="4"/>
  <c r="CD166" i="4" s="1"/>
  <c r="BH13" i="4"/>
  <c r="CD13" i="4" s="1"/>
  <c r="BH974" i="4"/>
  <c r="CD974" i="4" s="1"/>
  <c r="BH719" i="4"/>
  <c r="CD719" i="4" s="1"/>
  <c r="BH563" i="4"/>
  <c r="CD563" i="4" s="1"/>
  <c r="BH88" i="4"/>
  <c r="CD88" i="4" s="1"/>
  <c r="BH271" i="4"/>
  <c r="CD271" i="4" s="1"/>
  <c r="BH272" i="4"/>
  <c r="CD272" i="4" s="1"/>
  <c r="BH765" i="4"/>
  <c r="CD765" i="4" s="1"/>
  <c r="BH808" i="4"/>
  <c r="CD808" i="4" s="1"/>
  <c r="BH661" i="4"/>
  <c r="CD661" i="4" s="1"/>
  <c r="BH662" i="4"/>
  <c r="CD662" i="4" s="1"/>
  <c r="BH809" i="4"/>
  <c r="CD809" i="4" s="1"/>
  <c r="BH1148" i="4"/>
  <c r="CD1148" i="4" s="1"/>
  <c r="BH810" i="4"/>
  <c r="CD810" i="4" s="1"/>
  <c r="BH766" i="4"/>
  <c r="CD766" i="4" s="1"/>
  <c r="BH958" i="4"/>
  <c r="CD958" i="4" s="1"/>
  <c r="BH167" i="4"/>
  <c r="CD167" i="4" s="1"/>
  <c r="BH720" i="4"/>
  <c r="CD720" i="4" s="1"/>
  <c r="BH811" i="4"/>
  <c r="CD811" i="4" s="1"/>
  <c r="BH767" i="4"/>
  <c r="CD767" i="4" s="1"/>
  <c r="BH89" i="4"/>
  <c r="CD89" i="4" s="1"/>
  <c r="BH564" i="4"/>
  <c r="CD564" i="4" s="1"/>
  <c r="BH768" i="4"/>
  <c r="CD768" i="4" s="1"/>
  <c r="BH1056" i="4"/>
  <c r="CD1056" i="4" s="1"/>
  <c r="BH812" i="4"/>
  <c r="CD812" i="4" s="1"/>
  <c r="BH663" i="4"/>
  <c r="CD663" i="4" s="1"/>
  <c r="BH813" i="4"/>
  <c r="CD813" i="4" s="1"/>
  <c r="BH273" i="4"/>
  <c r="CD273" i="4" s="1"/>
  <c r="BH121" i="4"/>
  <c r="CD121" i="4" s="1"/>
  <c r="BH721" i="4"/>
  <c r="CD721" i="4" s="1"/>
  <c r="BH122" i="4"/>
  <c r="CD122" i="4" s="1"/>
  <c r="BH123" i="4"/>
  <c r="CD123" i="4" s="1"/>
  <c r="BH814" i="4"/>
  <c r="CD814" i="4" s="1"/>
  <c r="BH815" i="4"/>
  <c r="CD815" i="4" s="1"/>
  <c r="BH274" i="4"/>
  <c r="CD274" i="4" s="1"/>
  <c r="BH900" i="4"/>
  <c r="CD900" i="4" s="1"/>
  <c r="BH1080" i="4"/>
  <c r="CD1080" i="4" s="1"/>
  <c r="BH124" i="4"/>
  <c r="CD124" i="4" s="1"/>
  <c r="BH975" i="4"/>
  <c r="CD975" i="4" s="1"/>
  <c r="BH275" i="4"/>
  <c r="CD275" i="4" s="1"/>
  <c r="BH664" i="4"/>
  <c r="CD664" i="4" s="1"/>
  <c r="BH722" i="4"/>
  <c r="CD722" i="4" s="1"/>
  <c r="BH1142" i="4"/>
  <c r="CD1142" i="4" s="1"/>
  <c r="BH497" i="4"/>
  <c r="CD497" i="4" s="1"/>
  <c r="BH276" i="4"/>
  <c r="CD276" i="4" s="1"/>
  <c r="BH277" i="4"/>
  <c r="CD277" i="4" s="1"/>
  <c r="BH665" i="4"/>
  <c r="CD665" i="4" s="1"/>
  <c r="BH1127" i="4"/>
  <c r="CD1127" i="4" s="1"/>
  <c r="BH125" i="4"/>
  <c r="CD125" i="4" s="1"/>
  <c r="BH498" i="4"/>
  <c r="CD498" i="4" s="1"/>
  <c r="BH168" i="4"/>
  <c r="CD168" i="4" s="1"/>
  <c r="BH499" i="4"/>
  <c r="CD499" i="4" s="1"/>
  <c r="BH90" i="4"/>
  <c r="CD90" i="4" s="1"/>
  <c r="BH565" i="4"/>
  <c r="CD565" i="4" s="1"/>
  <c r="BH1128" i="4"/>
  <c r="CD1128" i="4" s="1"/>
  <c r="BH278" i="4"/>
  <c r="CD278" i="4" s="1"/>
  <c r="BH279" i="4"/>
  <c r="CD279" i="4" s="1"/>
  <c r="BH280" i="4"/>
  <c r="CD280" i="4" s="1"/>
  <c r="BH91" i="4"/>
  <c r="CD91" i="4" s="1"/>
  <c r="BH1106" i="4"/>
  <c r="CD1106" i="4" s="1"/>
  <c r="BH987" i="4"/>
  <c r="CD987" i="4" s="1"/>
  <c r="BH723" i="4"/>
  <c r="CD723" i="4" s="1"/>
  <c r="BH769" i="4"/>
  <c r="CD769" i="4" s="1"/>
  <c r="BH816" i="4"/>
  <c r="CD816" i="4" s="1"/>
  <c r="BH126" i="4"/>
  <c r="CD126" i="4" s="1"/>
  <c r="BH998" i="4"/>
  <c r="CD998" i="4" s="1"/>
  <c r="BH1118" i="4"/>
  <c r="CD1118" i="4" s="1"/>
  <c r="BH127" i="4"/>
  <c r="CD127" i="4" s="1"/>
  <c r="BH882" i="4"/>
  <c r="CD882" i="4" s="1"/>
  <c r="BH92" i="4"/>
  <c r="CD92" i="4" s="1"/>
  <c r="BH1129" i="4"/>
  <c r="CD1129" i="4" s="1"/>
  <c r="BH724" i="4"/>
  <c r="CD724" i="4" s="1"/>
  <c r="BH725" i="4"/>
  <c r="CD725" i="4" s="1"/>
  <c r="BH666" i="4"/>
  <c r="CD666" i="4" s="1"/>
  <c r="BH128" i="4"/>
  <c r="CD128" i="4" s="1"/>
  <c r="BH1130" i="4"/>
  <c r="CD1130" i="4" s="1"/>
  <c r="BH281" i="4"/>
  <c r="CD281" i="4" s="1"/>
  <c r="BH817" i="4"/>
  <c r="CD817" i="4" s="1"/>
  <c r="BH726" i="4"/>
  <c r="CD726" i="4" s="1"/>
  <c r="BH282" i="4"/>
  <c r="CD282" i="4" s="1"/>
  <c r="BH727" i="4"/>
  <c r="CD727" i="4" s="1"/>
  <c r="BH1086" i="4"/>
  <c r="CD1086" i="4" s="1"/>
  <c r="BH48" i="4"/>
  <c r="CD48" i="4" s="1"/>
  <c r="BH283" i="4"/>
  <c r="CD283" i="4" s="1"/>
  <c r="BH818" i="4"/>
  <c r="CD818" i="4" s="1"/>
  <c r="BH1087" i="4"/>
  <c r="CD1087" i="4" s="1"/>
  <c r="BH819" i="4"/>
  <c r="CD819" i="4" s="1"/>
  <c r="BH901" i="4"/>
  <c r="CD901" i="4" s="1"/>
  <c r="BH93" i="4"/>
  <c r="CD93" i="4" s="1"/>
  <c r="BH94" i="4"/>
  <c r="CD94" i="4" s="1"/>
  <c r="BH1057" i="4"/>
  <c r="CD1057" i="4" s="1"/>
  <c r="BH1007" i="4"/>
  <c r="CD1007" i="4" s="1"/>
  <c r="BH284" i="4"/>
  <c r="CD284" i="4" s="1"/>
  <c r="BH1201" i="4"/>
  <c r="CD1201" i="4" s="1"/>
  <c r="BH1070" i="4"/>
  <c r="CD1070" i="4" s="1"/>
  <c r="BH820" i="4"/>
  <c r="CD820" i="4" s="1"/>
  <c r="BH566" i="4"/>
  <c r="CD566" i="4" s="1"/>
  <c r="BH607" i="4"/>
  <c r="CD607" i="4" s="1"/>
  <c r="BH1167" i="4"/>
  <c r="CD1167" i="4" s="1"/>
  <c r="BH821" i="4"/>
  <c r="CD821" i="4" s="1"/>
  <c r="BH822" i="4"/>
  <c r="CD822" i="4" s="1"/>
  <c r="BH823" i="4"/>
  <c r="CD823" i="4" s="1"/>
  <c r="BH976" i="4"/>
  <c r="CD976" i="4" s="1"/>
  <c r="BH1131" i="4"/>
  <c r="CD1131" i="4" s="1"/>
  <c r="BH871" i="4"/>
  <c r="CD871" i="4" s="1"/>
  <c r="BH49" i="4"/>
  <c r="CD49" i="4" s="1"/>
  <c r="BH931" i="4"/>
  <c r="CD931" i="4" s="1"/>
  <c r="BH824" i="4"/>
  <c r="CD824" i="4" s="1"/>
  <c r="BH1132" i="4"/>
  <c r="CD1132" i="4" s="1"/>
  <c r="BH285" i="4"/>
  <c r="CD285" i="4" s="1"/>
  <c r="BH169" i="4"/>
  <c r="CD169" i="4" s="1"/>
  <c r="BH66" i="4"/>
  <c r="CD66" i="4" s="1"/>
  <c r="BH286" i="4"/>
  <c r="CD286" i="4" s="1"/>
  <c r="BH567" i="4"/>
  <c r="CD567" i="4" s="1"/>
  <c r="BH287" i="4"/>
  <c r="CD287" i="4" s="1"/>
  <c r="BH288" i="4"/>
  <c r="CD288" i="4" s="1"/>
  <c r="BH728" i="4"/>
  <c r="CD728" i="4" s="1"/>
  <c r="BH1154" i="4"/>
  <c r="CD1154" i="4" s="1"/>
  <c r="BH289" i="4"/>
  <c r="CD289" i="4" s="1"/>
  <c r="BH50" i="4"/>
  <c r="CD50" i="4" s="1"/>
  <c r="BH962" i="4"/>
  <c r="CD962" i="4" s="1"/>
  <c r="BH932" i="4"/>
  <c r="CD932" i="4" s="1"/>
  <c r="BH51" i="4"/>
  <c r="CD51" i="4" s="1"/>
  <c r="BH1075" i="4"/>
  <c r="CD1075" i="4" s="1"/>
  <c r="BH170" i="4"/>
  <c r="CD170" i="4" s="1"/>
  <c r="BH1133" i="4"/>
  <c r="CD1133" i="4" s="1"/>
  <c r="BH129" i="4"/>
  <c r="CD129" i="4" s="1"/>
  <c r="BH1015" i="4"/>
  <c r="CD1015" i="4" s="1"/>
  <c r="BH67" i="4"/>
  <c r="CD67" i="4" s="1"/>
  <c r="BH95" i="4"/>
  <c r="CD95" i="4" s="1"/>
  <c r="BH937" i="4"/>
  <c r="CD937" i="4" s="1"/>
  <c r="BH500" i="4"/>
  <c r="CD500" i="4" s="1"/>
  <c r="BH948" i="4"/>
  <c r="CD948" i="4" s="1"/>
  <c r="BH568" i="4"/>
  <c r="CD568" i="4" s="1"/>
  <c r="BH130" i="4"/>
  <c r="CD130" i="4" s="1"/>
  <c r="BH290" i="4"/>
  <c r="CD290" i="4" s="1"/>
  <c r="BH825" i="4"/>
  <c r="CD825" i="4" s="1"/>
  <c r="BH291" i="4"/>
  <c r="CD291" i="4" s="1"/>
  <c r="BH569" i="4"/>
  <c r="CD569" i="4" s="1"/>
  <c r="BH171" i="4"/>
  <c r="CD171" i="4" s="1"/>
  <c r="BH292" i="4"/>
  <c r="CD292" i="4" s="1"/>
  <c r="BH30" i="4"/>
  <c r="CD30" i="4" s="1"/>
  <c r="BH872" i="4"/>
  <c r="CD872" i="4" s="1"/>
  <c r="BH967" i="4"/>
  <c r="CD967" i="4" s="1"/>
  <c r="BH293" i="4"/>
  <c r="CD293" i="4" s="1"/>
  <c r="BH172" i="4"/>
  <c r="CD172" i="4" s="1"/>
  <c r="BH173" i="4"/>
  <c r="CD173" i="4" s="1"/>
  <c r="BH131" i="4"/>
  <c r="CD131" i="4" s="1"/>
  <c r="BH1088" i="4"/>
  <c r="CD1088" i="4" s="1"/>
  <c r="BH2" i="4"/>
  <c r="CD2" i="4" s="1"/>
  <c r="BH294" i="4"/>
  <c r="CD294" i="4" s="1"/>
  <c r="BH174" i="4"/>
  <c r="CD174" i="4" s="1"/>
  <c r="BH501" i="4"/>
  <c r="CD501" i="4" s="1"/>
  <c r="BH14" i="4"/>
  <c r="CD14" i="4" s="1"/>
  <c r="BH1168" i="4"/>
  <c r="CD1168" i="4" s="1"/>
  <c r="BH1188" i="4"/>
  <c r="CD1188" i="4" s="1"/>
  <c r="BH1065" i="4"/>
  <c r="CD1065" i="4" s="1"/>
  <c r="BH502" i="4"/>
  <c r="CD502" i="4" s="1"/>
  <c r="BH295" i="4"/>
  <c r="CD295" i="4" s="1"/>
  <c r="BH608" i="4"/>
  <c r="CD608" i="4" s="1"/>
  <c r="BH503" i="4"/>
  <c r="CD503" i="4" s="1"/>
  <c r="BH175" i="4"/>
  <c r="CD175" i="4" s="1"/>
  <c r="BH296" i="4"/>
  <c r="CD296" i="4" s="1"/>
  <c r="BH132" i="4"/>
  <c r="CD132" i="4" s="1"/>
  <c r="BH902" i="4"/>
  <c r="CD902" i="4" s="1"/>
  <c r="BH176" i="4"/>
  <c r="CD176" i="4" s="1"/>
  <c r="BH570" i="4"/>
  <c r="CD570" i="4" s="1"/>
  <c r="BH297" i="4"/>
  <c r="CD297" i="4" s="1"/>
  <c r="BH826" i="4"/>
  <c r="CD826" i="4" s="1"/>
  <c r="BH1116" i="4"/>
  <c r="CD1116" i="4" s="1"/>
  <c r="BH571" i="4"/>
  <c r="CD571" i="4" s="1"/>
  <c r="BH729" i="4"/>
  <c r="CD729" i="4" s="1"/>
  <c r="BH298" i="4"/>
  <c r="CD298" i="4" s="1"/>
  <c r="BH924" i="4"/>
  <c r="CD924" i="4" s="1"/>
  <c r="BH299" i="4"/>
  <c r="CD299" i="4" s="1"/>
  <c r="BH977" i="4"/>
  <c r="CD977" i="4" s="1"/>
  <c r="BH572" i="4"/>
  <c r="CD572" i="4" s="1"/>
  <c r="BH300" i="4"/>
  <c r="CD300" i="4" s="1"/>
  <c r="BH999" i="4"/>
  <c r="CD999" i="4" s="1"/>
  <c r="BH730" i="4"/>
  <c r="CD730" i="4" s="1"/>
  <c r="BH15" i="4"/>
  <c r="CD15" i="4" s="1"/>
  <c r="BH1081" i="4"/>
  <c r="CD1081" i="4" s="1"/>
  <c r="BH827" i="4"/>
  <c r="CD827" i="4" s="1"/>
  <c r="BH1145" i="4"/>
  <c r="CD1145" i="4" s="1"/>
  <c r="BH96" i="4"/>
  <c r="CD96" i="4" s="1"/>
  <c r="BH1058" i="4"/>
  <c r="CD1058" i="4" s="1"/>
  <c r="BH1016" i="4"/>
  <c r="CD1016" i="4" s="1"/>
  <c r="BH903" i="4"/>
  <c r="CD903" i="4" s="1"/>
  <c r="BH1200" i="4"/>
  <c r="CD1200" i="4" s="1"/>
  <c r="BH731" i="4"/>
  <c r="CD731" i="4" s="1"/>
  <c r="BH1109" i="4"/>
  <c r="CD1109" i="4" s="1"/>
  <c r="BH1045" i="4"/>
  <c r="CD1045" i="4" s="1"/>
  <c r="BH133" i="4"/>
  <c r="CD133" i="4" s="1"/>
  <c r="BH301" i="4"/>
  <c r="CD301" i="4" s="1"/>
  <c r="BH1017" i="4"/>
  <c r="CD1017" i="4" s="1"/>
  <c r="BH302" i="4"/>
  <c r="CD302" i="4" s="1"/>
  <c r="BH303" i="4"/>
  <c r="CD303" i="4" s="1"/>
  <c r="BH1018" i="4"/>
  <c r="CD1018" i="4" s="1"/>
  <c r="BH1169" i="4"/>
  <c r="CD1169" i="4" s="1"/>
  <c r="BH304" i="4"/>
  <c r="CD304" i="4" s="1"/>
  <c r="BH305" i="4"/>
  <c r="CD305" i="4" s="1"/>
  <c r="BH504" i="4"/>
  <c r="CD504" i="4" s="1"/>
  <c r="BH306" i="4"/>
  <c r="CD306" i="4" s="1"/>
  <c r="BH3" i="4"/>
  <c r="CD3" i="4" s="1"/>
  <c r="BH307" i="4"/>
  <c r="CD307" i="4" s="1"/>
  <c r="BH68" i="4"/>
  <c r="CD68" i="4" s="1"/>
  <c r="BH177" i="4"/>
  <c r="CD177" i="4" s="1"/>
  <c r="BH573" i="4"/>
  <c r="CD573" i="4" s="1"/>
  <c r="BH1156" i="4"/>
  <c r="CD1156" i="4" s="1"/>
  <c r="BH308" i="4"/>
  <c r="CD308" i="4" s="1"/>
  <c r="BH97" i="4"/>
  <c r="CD97" i="4" s="1"/>
  <c r="BH505" i="4"/>
  <c r="CD505" i="4" s="1"/>
  <c r="BH1177" i="4"/>
  <c r="CD1177" i="4" s="1"/>
  <c r="BH988" i="4"/>
  <c r="CD988" i="4" s="1"/>
  <c r="BH309" i="4"/>
  <c r="CD309" i="4" s="1"/>
  <c r="BH69" i="4"/>
  <c r="CD69" i="4" s="1"/>
  <c r="BH1040" i="4"/>
  <c r="CD1040" i="4" s="1"/>
  <c r="BH938" i="4"/>
  <c r="CD938" i="4" s="1"/>
  <c r="BH70" i="4"/>
  <c r="CD70" i="4" s="1"/>
  <c r="BH637" i="4"/>
  <c r="CD637" i="4" s="1"/>
  <c r="BH310" i="4"/>
  <c r="CD310" i="4" s="1"/>
  <c r="BH1134" i="4"/>
  <c r="CD1134" i="4" s="1"/>
  <c r="BH311" i="4"/>
  <c r="CD311" i="4" s="1"/>
  <c r="BH1202" i="4"/>
  <c r="CD1202" i="4" s="1"/>
  <c r="BH770" i="4"/>
  <c r="CD770" i="4" s="1"/>
  <c r="BH1101" i="4"/>
  <c r="CD1101" i="4" s="1"/>
  <c r="BH732" i="4"/>
  <c r="CD732" i="4" s="1"/>
  <c r="BH1143" i="4"/>
  <c r="CD1143" i="4" s="1"/>
  <c r="BH98" i="4"/>
  <c r="CD98" i="4" s="1"/>
  <c r="BH1135" i="4"/>
  <c r="CD1135" i="4" s="1"/>
  <c r="BH828" i="4"/>
  <c r="CD828" i="4" s="1"/>
  <c r="BH506" i="4"/>
  <c r="CD506" i="4" s="1"/>
  <c r="BH667" i="4"/>
  <c r="CD667" i="4" s="1"/>
  <c r="BH99" i="4"/>
  <c r="CD99" i="4" s="1"/>
  <c r="BH609" i="4"/>
  <c r="CD609" i="4" s="1"/>
  <c r="BH507" i="4"/>
  <c r="CD507" i="4" s="1"/>
  <c r="BH100" i="4"/>
  <c r="CD100" i="4" s="1"/>
  <c r="BH1102" i="4"/>
  <c r="CD1102" i="4" s="1"/>
  <c r="BH312" i="4"/>
  <c r="CD312" i="4" s="1"/>
  <c r="BH313" i="4"/>
  <c r="CD313" i="4" s="1"/>
  <c r="BH314" i="4"/>
  <c r="CD314" i="4" s="1"/>
  <c r="BH668" i="4"/>
  <c r="CD668" i="4" s="1"/>
  <c r="BH315" i="4"/>
  <c r="CD315" i="4" s="1"/>
  <c r="BH733" i="4"/>
  <c r="CD733" i="4" s="1"/>
  <c r="BH316" i="4"/>
  <c r="CD316" i="4" s="1"/>
  <c r="BH1103" i="4"/>
  <c r="CD1103" i="4" s="1"/>
  <c r="BH734" i="4"/>
  <c r="CD734" i="4" s="1"/>
  <c r="BH1150" i="4"/>
  <c r="CD1150" i="4" s="1"/>
  <c r="BH574" i="4"/>
  <c r="CD574" i="4" s="1"/>
  <c r="BH1111" i="4"/>
  <c r="CD1111" i="4" s="1"/>
  <c r="BH1076" i="4"/>
  <c r="CD1076" i="4" s="1"/>
  <c r="BH317" i="4"/>
  <c r="CD317" i="4" s="1"/>
  <c r="BH904" i="4"/>
  <c r="CD904" i="4" s="1"/>
  <c r="BH829" i="4"/>
  <c r="CD829" i="4" s="1"/>
  <c r="BH1136" i="4"/>
  <c r="CD1136" i="4" s="1"/>
  <c r="BH830" i="4"/>
  <c r="CD830" i="4" s="1"/>
  <c r="BH1019" i="4"/>
  <c r="CD1019" i="4" s="1"/>
  <c r="BH1195" i="4"/>
  <c r="CD1195" i="4" s="1"/>
  <c r="BH318" i="4"/>
  <c r="CD318" i="4" s="1"/>
  <c r="BH735" i="4"/>
  <c r="CD735" i="4" s="1"/>
  <c r="BH178" i="4"/>
  <c r="CD178" i="4" s="1"/>
  <c r="BH669" i="4"/>
  <c r="CD669" i="4" s="1"/>
  <c r="BH134" i="4"/>
  <c r="CD134" i="4" s="1"/>
  <c r="BH319" i="4"/>
  <c r="CD319" i="4" s="1"/>
  <c r="BH883" i="4"/>
  <c r="CD883" i="4" s="1"/>
  <c r="BH320" i="4"/>
  <c r="CD320" i="4" s="1"/>
  <c r="BH321" i="4"/>
  <c r="CD321" i="4" s="1"/>
  <c r="BH322" i="4"/>
  <c r="CD322" i="4" s="1"/>
  <c r="BH16" i="4"/>
  <c r="CD16" i="4" s="1"/>
  <c r="BH323" i="4"/>
  <c r="CD323" i="4" s="1"/>
  <c r="BH508" i="4"/>
  <c r="CD508" i="4" s="1"/>
  <c r="BH324" i="4"/>
  <c r="CD324" i="4" s="1"/>
  <c r="BH831" i="4"/>
  <c r="CD831" i="4" s="1"/>
  <c r="BH509" i="4"/>
  <c r="CD509" i="4" s="1"/>
  <c r="BH325" i="4"/>
  <c r="CD325" i="4" s="1"/>
  <c r="BH1028" i="4"/>
  <c r="CD1028" i="4" s="1"/>
  <c r="BH71" i="4"/>
  <c r="CD71" i="4" s="1"/>
  <c r="BH179" i="4"/>
  <c r="CD179" i="4" s="1"/>
  <c r="BH670" i="4"/>
  <c r="CD670" i="4" s="1"/>
  <c r="BH873" i="4"/>
  <c r="CD873" i="4" s="1"/>
  <c r="BH31" i="4"/>
  <c r="CD31" i="4" s="1"/>
  <c r="BH874" i="4"/>
  <c r="CD874" i="4" s="1"/>
  <c r="BH326" i="4"/>
  <c r="CD326" i="4" s="1"/>
  <c r="BH1008" i="4"/>
  <c r="CD1008" i="4" s="1"/>
  <c r="BH736" i="4"/>
  <c r="CD736" i="4" s="1"/>
  <c r="BH982" i="4"/>
  <c r="CD982" i="4" s="1"/>
  <c r="BH979" i="4"/>
  <c r="CD979" i="4" s="1"/>
  <c r="BH925" i="4"/>
  <c r="CD925" i="4" s="1"/>
  <c r="BH510" i="4"/>
  <c r="CD510" i="4" s="1"/>
  <c r="BH327" i="4"/>
  <c r="CD327" i="4" s="1"/>
  <c r="BH875" i="4"/>
  <c r="CD875" i="4" s="1"/>
  <c r="BH511" i="4"/>
  <c r="CD511" i="4" s="1"/>
  <c r="BH328" i="4"/>
  <c r="CD328" i="4" s="1"/>
  <c r="BH876" i="4"/>
  <c r="CD876" i="4" s="1"/>
  <c r="BH329" i="4"/>
  <c r="CD329" i="4" s="1"/>
  <c r="BH1059" i="4"/>
  <c r="CD1059" i="4" s="1"/>
  <c r="BH330" i="4"/>
  <c r="CD330" i="4" s="1"/>
  <c r="BH1175" i="4"/>
  <c r="CD1175" i="4" s="1"/>
  <c r="BH1060" i="4"/>
  <c r="CD1060" i="4" s="1"/>
  <c r="BH610" i="4"/>
  <c r="CD610" i="4" s="1"/>
  <c r="BH32" i="4"/>
  <c r="CD32" i="4" s="1"/>
  <c r="BH671" i="4"/>
  <c r="CD671" i="4" s="1"/>
  <c r="BH180" i="4"/>
  <c r="CD180" i="4" s="1"/>
  <c r="BH331" i="4"/>
  <c r="CD331" i="4" s="1"/>
  <c r="BH855" i="4"/>
  <c r="CD855" i="4" s="1"/>
  <c r="BH1038" i="4"/>
  <c r="CD1038" i="4" s="1"/>
  <c r="BH856" i="4"/>
  <c r="CD856" i="4" s="1"/>
  <c r="BH611" i="4"/>
  <c r="CD611" i="4" s="1"/>
  <c r="BH1077" i="4"/>
  <c r="CD1077" i="4" s="1"/>
  <c r="BH1044" i="4"/>
  <c r="CD1044" i="4" s="1"/>
  <c r="BH1066" i="4"/>
  <c r="CD1066" i="4" s="1"/>
  <c r="BH1107" i="4"/>
  <c r="CD1107" i="4" s="1"/>
  <c r="BH1104" i="4"/>
  <c r="CD1104" i="4" s="1"/>
  <c r="BH832" i="4"/>
  <c r="CD832" i="4" s="1"/>
  <c r="BH332" i="4"/>
  <c r="CD332" i="4" s="1"/>
  <c r="BH33" i="4"/>
  <c r="CD33" i="4" s="1"/>
  <c r="BH672" i="4"/>
  <c r="CD672" i="4" s="1"/>
  <c r="BH673" i="4"/>
  <c r="CD673" i="4" s="1"/>
  <c r="BH1196" i="4"/>
  <c r="CD1196" i="4" s="1"/>
  <c r="BH833" i="4"/>
  <c r="CD833" i="4" s="1"/>
  <c r="BH52" i="4"/>
  <c r="CD52" i="4" s="1"/>
  <c r="BH512" i="4"/>
  <c r="CD512" i="4" s="1"/>
  <c r="BH834" i="4"/>
  <c r="CD834" i="4" s="1"/>
  <c r="BH857" i="4"/>
  <c r="CD857" i="4" s="1"/>
  <c r="BH53" i="4"/>
  <c r="CD53" i="4" s="1"/>
  <c r="BH1020" i="4"/>
  <c r="CD1020" i="4" s="1"/>
  <c r="BH674" i="4"/>
  <c r="CD674" i="4" s="1"/>
  <c r="BH333" i="4"/>
  <c r="CD333" i="4" s="1"/>
  <c r="BH334" i="4"/>
  <c r="CD334" i="4" s="1"/>
  <c r="BH101" i="4"/>
  <c r="CD101" i="4" s="1"/>
  <c r="BH675" i="4"/>
  <c r="CD675" i="4" s="1"/>
  <c r="BH335" i="4"/>
  <c r="CD335" i="4" s="1"/>
  <c r="BH949" i="4"/>
  <c r="CD949" i="4" s="1"/>
  <c r="BH336" i="4"/>
  <c r="CD336" i="4" s="1"/>
  <c r="BH1160" i="4"/>
  <c r="CD1160" i="4" s="1"/>
  <c r="BH676" i="4"/>
  <c r="CD676" i="4" s="1"/>
  <c r="BH337" i="4"/>
  <c r="CD337" i="4" s="1"/>
  <c r="BH181" i="4"/>
  <c r="CD181" i="4" s="1"/>
  <c r="BH182" i="4"/>
  <c r="CD182" i="4" s="1"/>
  <c r="BH513" i="4"/>
  <c r="CD513" i="4" s="1"/>
  <c r="BH72" i="4"/>
  <c r="CD72" i="4" s="1"/>
  <c r="BH135" i="4"/>
  <c r="CD135" i="4" s="1"/>
  <c r="BH612" i="4"/>
  <c r="CD612" i="4" s="1"/>
  <c r="BH575" i="4"/>
  <c r="CD575" i="4" s="1"/>
  <c r="BH576" i="4"/>
  <c r="CD576" i="4" s="1"/>
  <c r="BH771" i="4"/>
  <c r="CD771" i="4" s="1"/>
  <c r="BH1108" i="4"/>
  <c r="CD1108" i="4" s="1"/>
  <c r="BH677" i="4"/>
  <c r="CD677" i="4" s="1"/>
  <c r="BH338" i="4"/>
  <c r="CD338" i="4" s="1"/>
  <c r="BH577" i="4"/>
  <c r="CD577" i="4" s="1"/>
  <c r="BH578" i="4"/>
  <c r="CD578" i="4" s="1"/>
  <c r="BH772" i="4"/>
  <c r="CD772" i="4" s="1"/>
  <c r="BH339" i="4"/>
  <c r="CD339" i="4" s="1"/>
  <c r="BH737" i="4"/>
  <c r="CD737" i="4" s="1"/>
  <c r="BH773" i="4"/>
  <c r="CD773" i="4" s="1"/>
  <c r="BH835" i="4"/>
  <c r="CD835" i="4" s="1"/>
  <c r="BH774" i="4"/>
  <c r="CD774" i="4" s="1"/>
  <c r="BH836" i="4"/>
  <c r="CD836" i="4" s="1"/>
  <c r="BH1000" i="4"/>
  <c r="CD1000" i="4" s="1"/>
  <c r="BH340" i="4"/>
  <c r="CD340" i="4" s="1"/>
  <c r="BH1061" i="4"/>
  <c r="CD1061" i="4" s="1"/>
  <c r="BH1198" i="4"/>
  <c r="CD1198" i="4" s="1"/>
  <c r="BH950" i="4"/>
  <c r="CD950" i="4" s="1"/>
  <c r="BH933" i="4"/>
  <c r="CD933" i="4" s="1"/>
  <c r="BH1186" i="4"/>
  <c r="CD1186" i="4" s="1"/>
  <c r="BH678" i="4"/>
  <c r="CD678" i="4" s="1"/>
  <c r="BH341" i="4"/>
  <c r="CD341" i="4" s="1"/>
  <c r="BH342" i="4"/>
  <c r="CD342" i="4" s="1"/>
  <c r="BH837" i="4"/>
  <c r="CD837" i="4" s="1"/>
  <c r="BH838" i="4"/>
  <c r="CD838" i="4" s="1"/>
  <c r="BH183" i="4"/>
  <c r="CD183" i="4" s="1"/>
  <c r="BH343" i="4"/>
  <c r="CD343" i="4" s="1"/>
  <c r="BH344" i="4"/>
  <c r="CD344" i="4" s="1"/>
  <c r="BH184" i="4"/>
  <c r="CD184" i="4" s="1"/>
  <c r="BH989" i="4"/>
  <c r="CD989" i="4" s="1"/>
  <c r="BH136" i="4"/>
  <c r="CD136" i="4" s="1"/>
  <c r="BH73" i="4"/>
  <c r="CD73" i="4" s="1"/>
  <c r="BH775" i="4"/>
  <c r="CD775" i="4" s="1"/>
  <c r="BH345" i="4"/>
  <c r="CD345" i="4" s="1"/>
  <c r="BH613" i="4"/>
  <c r="CD613" i="4" s="1"/>
  <c r="BH738" i="4"/>
  <c r="CD738" i="4" s="1"/>
  <c r="BH185" i="4"/>
  <c r="CD185" i="4" s="1"/>
  <c r="BH346" i="4"/>
  <c r="CD346" i="4" s="1"/>
  <c r="BH1041" i="4"/>
  <c r="CD1041" i="4" s="1"/>
  <c r="BH186" i="4"/>
  <c r="CD186" i="4" s="1"/>
  <c r="BH347" i="4"/>
  <c r="CD347" i="4" s="1"/>
  <c r="BH54" i="4"/>
  <c r="CD54" i="4" s="1"/>
  <c r="BH514" i="4"/>
  <c r="CD514" i="4" s="1"/>
  <c r="BH739" i="4"/>
  <c r="CD739" i="4" s="1"/>
  <c r="BH348" i="4"/>
  <c r="CD348" i="4" s="1"/>
  <c r="BH877" i="4"/>
  <c r="CD877" i="4" s="1"/>
  <c r="BH74" i="4"/>
  <c r="CD74" i="4" s="1"/>
  <c r="BH614" i="4"/>
  <c r="CD614" i="4" s="1"/>
  <c r="BH884" i="4"/>
  <c r="CD884" i="4" s="1"/>
  <c r="BH75" i="4"/>
  <c r="CD75" i="4" s="1"/>
  <c r="BH1176" i="4"/>
  <c r="CD1176" i="4" s="1"/>
  <c r="BH349" i="4"/>
  <c r="CD349" i="4" s="1"/>
  <c r="BH350" i="4"/>
  <c r="CD350" i="4" s="1"/>
  <c r="BH740" i="4"/>
  <c r="CD740" i="4" s="1"/>
  <c r="BH839" i="4"/>
  <c r="CD839" i="4" s="1"/>
  <c r="BH17" i="4"/>
  <c r="CD17" i="4" s="1"/>
  <c r="BH515" i="4"/>
  <c r="CD515" i="4" s="1"/>
  <c r="BH878" i="4"/>
  <c r="CD878" i="4" s="1"/>
  <c r="BH351" i="4"/>
  <c r="CD351" i="4" s="1"/>
  <c r="BH34" i="4"/>
  <c r="CD34" i="4" s="1"/>
  <c r="BH35" i="4"/>
  <c r="CD35" i="4" s="1"/>
  <c r="BH352" i="4"/>
  <c r="CD352" i="4" s="1"/>
  <c r="BH516" i="4"/>
  <c r="CD516" i="4" s="1"/>
  <c r="BH776" i="4"/>
  <c r="CD776" i="4" s="1"/>
  <c r="BH1137" i="4"/>
  <c r="CD1137" i="4" s="1"/>
  <c r="BH55" i="4"/>
  <c r="CD55" i="4" s="1"/>
  <c r="BH1189" i="4"/>
  <c r="CD1189" i="4" s="1"/>
  <c r="BH187" i="4"/>
  <c r="CD187" i="4" s="1"/>
  <c r="BH741" i="4"/>
  <c r="CD741" i="4" s="1"/>
  <c r="BH353" i="4"/>
  <c r="CD353" i="4" s="1"/>
  <c r="BH517" i="4"/>
  <c r="CD517" i="4" s="1"/>
  <c r="BH102" i="4"/>
  <c r="CD102" i="4" s="1"/>
  <c r="BH36" i="4"/>
  <c r="CD36" i="4" s="1"/>
  <c r="BH615" i="4"/>
  <c r="CD615" i="4" s="1"/>
  <c r="BH679" i="4"/>
  <c r="CD679" i="4" s="1"/>
  <c r="BH840" i="4"/>
  <c r="CD840" i="4" s="1"/>
  <c r="BH742" i="4"/>
  <c r="CD742" i="4" s="1"/>
  <c r="BH1096" i="4"/>
  <c r="CD1096" i="4" s="1"/>
  <c r="BH18" i="4"/>
  <c r="CD18" i="4" s="1"/>
  <c r="BH188" i="4"/>
  <c r="CD188" i="4" s="1"/>
  <c r="BH354" i="4"/>
  <c r="CD354" i="4" s="1"/>
  <c r="BH355" i="4"/>
  <c r="CD355" i="4" s="1"/>
  <c r="BH356" i="4"/>
  <c r="CD356" i="4" s="1"/>
  <c r="BH939" i="4"/>
  <c r="CD939" i="4" s="1"/>
  <c r="BH56" i="4"/>
  <c r="CD56" i="4" s="1"/>
  <c r="BH1001" i="4"/>
  <c r="CD1001" i="4" s="1"/>
  <c r="BH616" i="4"/>
  <c r="CD616" i="4" s="1"/>
  <c r="BH518" i="4"/>
  <c r="CD518" i="4" s="1"/>
  <c r="BH189" i="4"/>
  <c r="CD189" i="4" s="1"/>
  <c r="BH357" i="4"/>
  <c r="CD357" i="4" s="1"/>
  <c r="BH358" i="4"/>
  <c r="CD358" i="4" s="1"/>
  <c r="BH359" i="4"/>
  <c r="CD359" i="4" s="1"/>
  <c r="BH1021" i="4"/>
  <c r="CD1021" i="4" s="1"/>
  <c r="BH360" i="4"/>
  <c r="CD360" i="4" s="1"/>
  <c r="BH905" i="4"/>
  <c r="CD905" i="4" s="1"/>
  <c r="BH743" i="4"/>
  <c r="CD743" i="4" s="1"/>
  <c r="BH1158" i="4"/>
  <c r="CD1158" i="4" s="1"/>
  <c r="BH1078" i="4"/>
  <c r="CD1078" i="4" s="1"/>
  <c r="BH361" i="4"/>
  <c r="CD361" i="4" s="1"/>
  <c r="BH519" i="4"/>
  <c r="CD519" i="4" s="1"/>
  <c r="BH520" i="4"/>
  <c r="CD520" i="4" s="1"/>
  <c r="BH680" i="4"/>
  <c r="CD680" i="4" s="1"/>
  <c r="BH777" i="4"/>
  <c r="CD777" i="4" s="1"/>
  <c r="BH362" i="4"/>
  <c r="CD362" i="4" s="1"/>
  <c r="BH190" i="4"/>
  <c r="CD190" i="4" s="1"/>
  <c r="BH191" i="4"/>
  <c r="CD191" i="4" s="1"/>
  <c r="BH841" i="4"/>
  <c r="CD841" i="4" s="1"/>
  <c r="BH617" i="4"/>
  <c r="CD617" i="4" s="1"/>
  <c r="BH521" i="4"/>
  <c r="CD521" i="4" s="1"/>
  <c r="BH363" i="4"/>
  <c r="CD363" i="4" s="1"/>
  <c r="BH618" i="4"/>
  <c r="CD618" i="4" s="1"/>
  <c r="BH926" i="4"/>
  <c r="CD926" i="4" s="1"/>
  <c r="BH364" i="4"/>
  <c r="CD364" i="4" s="1"/>
  <c r="BH858" i="4"/>
  <c r="CD858" i="4" s="1"/>
  <c r="BH859" i="4"/>
  <c r="CD859" i="4" s="1"/>
  <c r="BH137" i="4"/>
  <c r="CD137" i="4" s="1"/>
  <c r="BH365" i="4"/>
  <c r="CD365" i="4" s="1"/>
  <c r="BH744" i="4"/>
  <c r="CD744" i="4" s="1"/>
  <c r="BH579" i="4"/>
  <c r="CD579" i="4" s="1"/>
  <c r="BH522" i="4"/>
  <c r="CD522" i="4" s="1"/>
  <c r="BH778" i="4"/>
  <c r="CD778" i="4" s="1"/>
  <c r="BH842" i="4"/>
  <c r="CD842" i="4" s="1"/>
  <c r="BH951" i="4"/>
  <c r="CD951" i="4" s="1"/>
  <c r="BH366" i="4"/>
  <c r="CD366" i="4" s="1"/>
  <c r="BH619" i="4"/>
  <c r="CD619" i="4" s="1"/>
  <c r="BH367" i="4"/>
  <c r="CD367" i="4" s="1"/>
  <c r="BH779" i="4"/>
  <c r="CD779" i="4" s="1"/>
  <c r="BH580" i="4"/>
  <c r="CD580" i="4" s="1"/>
  <c r="BH368" i="4"/>
  <c r="CD368" i="4" s="1"/>
  <c r="BH681" i="4"/>
  <c r="CD681" i="4" s="1"/>
  <c r="BH369" i="4"/>
  <c r="CD369" i="4" s="1"/>
  <c r="BH370" i="4"/>
  <c r="CD370" i="4" s="1"/>
  <c r="BH371" i="4"/>
  <c r="CD371" i="4" s="1"/>
  <c r="BH1138" i="4"/>
  <c r="CD1138" i="4" s="1"/>
  <c r="BH581" i="4"/>
  <c r="CD581" i="4" s="1"/>
  <c r="BH57" i="4"/>
  <c r="CD57" i="4" s="1"/>
  <c r="BH192" i="4"/>
  <c r="CD192" i="4" s="1"/>
  <c r="BH582" i="4"/>
  <c r="CD582" i="4" s="1"/>
  <c r="BH372" i="4"/>
  <c r="CD372" i="4" s="1"/>
  <c r="BH4" i="4"/>
  <c r="CD4" i="4" s="1"/>
  <c r="BH373" i="4"/>
  <c r="CD373" i="4" s="1"/>
  <c r="BH523" i="4"/>
  <c r="CD523" i="4" s="1"/>
  <c r="BH103" i="4"/>
  <c r="CD103" i="4" s="1"/>
  <c r="BH1172" i="4"/>
  <c r="CD1172" i="4" s="1"/>
  <c r="BH374" i="4"/>
  <c r="CD374" i="4" s="1"/>
  <c r="BH375" i="4"/>
  <c r="CD375" i="4" s="1"/>
  <c r="BH376" i="4"/>
  <c r="CD376" i="4" s="1"/>
  <c r="BH377" i="4"/>
  <c r="CD377" i="4" s="1"/>
  <c r="BH682" i="4"/>
  <c r="CD682" i="4" s="1"/>
  <c r="BH378" i="4"/>
  <c r="CD378" i="4" s="1"/>
  <c r="BH524" i="4"/>
  <c r="CD524" i="4" s="1"/>
  <c r="BH525" i="4"/>
  <c r="CD525" i="4" s="1"/>
  <c r="BH843" i="4"/>
  <c r="CD843" i="4" s="1"/>
  <c r="BH379" i="4"/>
  <c r="CD379" i="4" s="1"/>
  <c r="BH583" i="4"/>
  <c r="CD583" i="4" s="1"/>
  <c r="BH780" i="4"/>
  <c r="CD780" i="4" s="1"/>
  <c r="BH193" i="4"/>
  <c r="CD193" i="4" s="1"/>
  <c r="BH620" i="4"/>
  <c r="CD620" i="4" s="1"/>
  <c r="BH380" i="4"/>
  <c r="CD380" i="4" s="1"/>
  <c r="BH194" i="4"/>
  <c r="CD194" i="4" s="1"/>
  <c r="BH526" i="4"/>
  <c r="CD526" i="4" s="1"/>
  <c r="BH195" i="4"/>
  <c r="CD195" i="4" s="1"/>
  <c r="BH527" i="4"/>
  <c r="CD527" i="4" s="1"/>
  <c r="BH196" i="4"/>
  <c r="CD196" i="4" s="1"/>
  <c r="BH381" i="4"/>
  <c r="CD381" i="4" s="1"/>
  <c r="BH138" i="4"/>
  <c r="CD138" i="4" s="1"/>
  <c r="BH621" i="4"/>
  <c r="CD621" i="4" s="1"/>
  <c r="BH745" i="4"/>
  <c r="CD745" i="4" s="1"/>
  <c r="BH584" i="4"/>
  <c r="CD584" i="4" s="1"/>
  <c r="BH197" i="4"/>
  <c r="CD197" i="4" s="1"/>
  <c r="BH382" i="4"/>
  <c r="CD382" i="4" s="1"/>
  <c r="BH76" i="4"/>
  <c r="CD76" i="4" s="1"/>
  <c r="BH383" i="4"/>
  <c r="CD383" i="4" s="1"/>
  <c r="BH683" i="4"/>
  <c r="CD683" i="4" s="1"/>
  <c r="BH585" i="4"/>
  <c r="CD585" i="4" s="1"/>
  <c r="BH384" i="4"/>
  <c r="CD384" i="4" s="1"/>
  <c r="BH19" i="4"/>
  <c r="CD19" i="4" s="1"/>
  <c r="BH385" i="4"/>
  <c r="CD385" i="4" s="1"/>
  <c r="BH684" i="4"/>
  <c r="CD684" i="4" s="1"/>
  <c r="BH198" i="4"/>
  <c r="CD198" i="4" s="1"/>
  <c r="BH781" i="4"/>
  <c r="CD781" i="4" s="1"/>
  <c r="BH20" i="4"/>
  <c r="CD20" i="4" s="1"/>
  <c r="BH952" i="4"/>
  <c r="CD952" i="4" s="1"/>
  <c r="BH746" i="4"/>
  <c r="CD746" i="4" s="1"/>
  <c r="BH685" i="4"/>
  <c r="CD685" i="4" s="1"/>
  <c r="BH686" i="4"/>
  <c r="CD686" i="4" s="1"/>
  <c r="BH199" i="4"/>
  <c r="CD199" i="4" s="1"/>
  <c r="BH963" i="4"/>
  <c r="CD963" i="4" s="1"/>
  <c r="BH200" i="4"/>
  <c r="CD200" i="4" s="1"/>
  <c r="BH201" i="4"/>
  <c r="CD201" i="4" s="1"/>
  <c r="BH844" i="4"/>
  <c r="CD844" i="4" s="1"/>
  <c r="BH687" i="4"/>
  <c r="CD687" i="4" s="1"/>
  <c r="BH386" i="4"/>
  <c r="CD386" i="4" s="1"/>
  <c r="BH387" i="4"/>
  <c r="CD387" i="4" s="1"/>
  <c r="BH388" i="4"/>
  <c r="CD388" i="4" s="1"/>
  <c r="BH528" i="4"/>
  <c r="CD528" i="4" s="1"/>
  <c r="BH389" i="4"/>
  <c r="CD389" i="4" s="1"/>
  <c r="BH390" i="4"/>
  <c r="CD390" i="4" s="1"/>
  <c r="BH391" i="4"/>
  <c r="CD391" i="4" s="1"/>
  <c r="BH782" i="4"/>
  <c r="CD782" i="4" s="1"/>
  <c r="BH139" i="4"/>
  <c r="CD139" i="4" s="1"/>
  <c r="BH688" i="4"/>
  <c r="CD688" i="4" s="1"/>
  <c r="BH392" i="4"/>
  <c r="CD392" i="4" s="1"/>
  <c r="BH37" i="4"/>
  <c r="CD37" i="4" s="1"/>
  <c r="BH906" i="4"/>
  <c r="CD906" i="4" s="1"/>
  <c r="BH393" i="4"/>
  <c r="CD393" i="4" s="1"/>
  <c r="BH104" i="4"/>
  <c r="CD104" i="4" s="1"/>
  <c r="BH747" i="4"/>
  <c r="CD747" i="4" s="1"/>
  <c r="BH622" i="4"/>
  <c r="CD622" i="4" s="1"/>
  <c r="BH394" i="4"/>
  <c r="CD394" i="4" s="1"/>
  <c r="BH395" i="4"/>
  <c r="CD395" i="4" s="1"/>
  <c r="BH396" i="4"/>
  <c r="CD396" i="4" s="1"/>
  <c r="BH586" i="4"/>
  <c r="CD586" i="4" s="1"/>
  <c r="BH397" i="4"/>
  <c r="CD397" i="4" s="1"/>
  <c r="BH529" i="4"/>
  <c r="CD529" i="4" s="1"/>
  <c r="BH398" i="4"/>
  <c r="CD398" i="4" s="1"/>
  <c r="BH1082" i="4"/>
  <c r="CD1082" i="4" s="1"/>
  <c r="BH58" i="4"/>
  <c r="CD58" i="4" s="1"/>
  <c r="BH623" i="4"/>
  <c r="CD623" i="4" s="1"/>
  <c r="BH748" i="4"/>
  <c r="CD748" i="4" s="1"/>
  <c r="BH399" i="4"/>
  <c r="CD399" i="4" s="1"/>
  <c r="BH202" i="4"/>
  <c r="CD202" i="4" s="1"/>
  <c r="BH400" i="4"/>
  <c r="CD400" i="4" s="1"/>
  <c r="BH749" i="4"/>
  <c r="CD749" i="4" s="1"/>
  <c r="BH401" i="4"/>
  <c r="CD401" i="4" s="1"/>
  <c r="BH530" i="4"/>
  <c r="CD530" i="4" s="1"/>
  <c r="BH140" i="4"/>
  <c r="CD140" i="4" s="1"/>
  <c r="BH860" i="4"/>
  <c r="CD860" i="4" s="1"/>
  <c r="BH402" i="4"/>
  <c r="CD402" i="4" s="1"/>
  <c r="BH403" i="4"/>
  <c r="CD403" i="4" s="1"/>
  <c r="BH689" i="4"/>
  <c r="CD689" i="4" s="1"/>
  <c r="BH1091" i="4"/>
  <c r="CD1091" i="4" s="1"/>
  <c r="BH531" i="4"/>
  <c r="CD531" i="4" s="1"/>
  <c r="BH624" i="4"/>
  <c r="CD624" i="4" s="1"/>
  <c r="BH532" i="4"/>
  <c r="CD532" i="4" s="1"/>
  <c r="BH404" i="4"/>
  <c r="CD404" i="4" s="1"/>
  <c r="BH845" i="4"/>
  <c r="CD845" i="4" s="1"/>
  <c r="BH846" i="4"/>
  <c r="CD846" i="4" s="1"/>
  <c r="BH405" i="4"/>
  <c r="CD405" i="4" s="1"/>
  <c r="BH750" i="4"/>
  <c r="CD750" i="4" s="1"/>
  <c r="BH533" i="4"/>
  <c r="CD533" i="4" s="1"/>
  <c r="BH203" i="4"/>
  <c r="CD203" i="4" s="1"/>
  <c r="BH406" i="4"/>
  <c r="CD406" i="4" s="1"/>
  <c r="BH625" i="4"/>
  <c r="CD625" i="4" s="1"/>
  <c r="BH141" i="4"/>
  <c r="CD141" i="4" s="1"/>
  <c r="BH1163" i="4"/>
  <c r="CD1163" i="4" s="1"/>
  <c r="BH204" i="4"/>
  <c r="CD204" i="4" s="1"/>
  <c r="BH1159" i="4"/>
  <c r="CD1159" i="4" s="1"/>
  <c r="BH407" i="4"/>
  <c r="CD407" i="4" s="1"/>
  <c r="BH587" i="4"/>
  <c r="CD587" i="4" s="1"/>
  <c r="BH588" i="4"/>
  <c r="CD588" i="4" s="1"/>
  <c r="BH408" i="4"/>
  <c r="CD408" i="4" s="1"/>
  <c r="BH953" i="4"/>
  <c r="CD953" i="4" s="1"/>
  <c r="BH409" i="4"/>
  <c r="CD409" i="4" s="1"/>
  <c r="BH205" i="4"/>
  <c r="CD205" i="4" s="1"/>
  <c r="BH751" i="4"/>
  <c r="CD751" i="4" s="1"/>
  <c r="BH534" i="4"/>
  <c r="CD534" i="4" s="1"/>
  <c r="BH847" i="4"/>
  <c r="CD847" i="4" s="1"/>
  <c r="BH206" i="4"/>
  <c r="CD206" i="4" s="1"/>
  <c r="BH207" i="4"/>
  <c r="CD207" i="4" s="1"/>
  <c r="BH410" i="4"/>
  <c r="CD410" i="4" s="1"/>
  <c r="BH21" i="4"/>
  <c r="CD21" i="4" s="1"/>
  <c r="BH411" i="4"/>
  <c r="CD411" i="4" s="1"/>
  <c r="BH5" i="4"/>
  <c r="CD5" i="4" s="1"/>
  <c r="BH412" i="4"/>
  <c r="CD412" i="4" s="1"/>
  <c r="BH752" i="4"/>
  <c r="CD752" i="4" s="1"/>
  <c r="BH413" i="4"/>
  <c r="CD413" i="4" s="1"/>
  <c r="BH77" i="4"/>
  <c r="CD77" i="4" s="1"/>
  <c r="BH414" i="4"/>
  <c r="CD414" i="4" s="1"/>
  <c r="BH415" i="4"/>
  <c r="CD415" i="4" s="1"/>
  <c r="BH416" i="4"/>
  <c r="CD416" i="4" s="1"/>
  <c r="BH417" i="4"/>
  <c r="CD417" i="4" s="1"/>
  <c r="BH954" i="4"/>
  <c r="CD954" i="4" s="1"/>
  <c r="BH418" i="4"/>
  <c r="CD418" i="4" s="1"/>
  <c r="BH690" i="4"/>
  <c r="CD690" i="4" s="1"/>
  <c r="BH419" i="4"/>
  <c r="CD419" i="4" s="1"/>
  <c r="BH535" i="4"/>
  <c r="CD535" i="4" s="1"/>
  <c r="BH420" i="4"/>
  <c r="CD420" i="4" s="1"/>
  <c r="BH22" i="4"/>
  <c r="CD22" i="4" s="1"/>
  <c r="BH421" i="4"/>
  <c r="CD421" i="4" s="1"/>
  <c r="BH422" i="4"/>
  <c r="CD422" i="4" s="1"/>
  <c r="BH423" i="4"/>
  <c r="CD423" i="4" s="1"/>
  <c r="BH1146" i="4"/>
  <c r="CD1146" i="4" s="1"/>
  <c r="BH424" i="4"/>
  <c r="CD424" i="4" s="1"/>
  <c r="BH626" i="4"/>
  <c r="CD626" i="4" s="1"/>
  <c r="BH861" i="4"/>
  <c r="CD861" i="4" s="1"/>
  <c r="BH1022" i="4"/>
  <c r="CD1022" i="4" s="1"/>
  <c r="BH1112" i="4"/>
  <c r="CD1112" i="4" s="1"/>
  <c r="BH425" i="4"/>
  <c r="CD425" i="4" s="1"/>
  <c r="BH426" i="4"/>
  <c r="CD426" i="4" s="1"/>
  <c r="BH427" i="4"/>
  <c r="CD427" i="4" s="1"/>
  <c r="BH536" i="4"/>
  <c r="CD536" i="4" s="1"/>
  <c r="BH1083" i="4"/>
  <c r="CD1083" i="4" s="1"/>
  <c r="BH428" i="4"/>
  <c r="CD428" i="4" s="1"/>
  <c r="BH23" i="4"/>
  <c r="CD23" i="4" s="1"/>
  <c r="BH537" i="4"/>
  <c r="CD537" i="4" s="1"/>
  <c r="BH429" i="4"/>
  <c r="CD429" i="4" s="1"/>
  <c r="BH78" i="4"/>
  <c r="CD78" i="4" s="1"/>
  <c r="BH208" i="4"/>
  <c r="CD208" i="4" s="1"/>
  <c r="BH430" i="4"/>
  <c r="CD430" i="4" s="1"/>
  <c r="BH862" i="4"/>
  <c r="CD862" i="4" s="1"/>
  <c r="BH627" i="4"/>
  <c r="CD627" i="4" s="1"/>
  <c r="BH105" i="4"/>
  <c r="CD105" i="4" s="1"/>
  <c r="BH142" i="4"/>
  <c r="CD142" i="4" s="1"/>
  <c r="BH1092" i="4"/>
  <c r="CD1092" i="4" s="1"/>
  <c r="BH431" i="4"/>
  <c r="CD431" i="4" s="1"/>
  <c r="BH1157" i="4"/>
  <c r="CD1157" i="4" s="1"/>
  <c r="BH432" i="4"/>
  <c r="CD432" i="4" s="1"/>
  <c r="BH143" i="4"/>
  <c r="CD143" i="4" s="1"/>
  <c r="BH433" i="4"/>
  <c r="CD433" i="4" s="1"/>
  <c r="BH209" i="4"/>
  <c r="CD209" i="4" s="1"/>
  <c r="BH538" i="4"/>
  <c r="CD538" i="4" s="1"/>
  <c r="BH434" i="4"/>
  <c r="CD434" i="4" s="1"/>
  <c r="BH589" i="4"/>
  <c r="CD589" i="4" s="1"/>
  <c r="BH863" i="4"/>
  <c r="CD863" i="4" s="1"/>
  <c r="BH539" i="4"/>
  <c r="CD539" i="4" s="1"/>
  <c r="BH590" i="4"/>
  <c r="CD590" i="4" s="1"/>
  <c r="BH210" i="4"/>
  <c r="CD210" i="4" s="1"/>
  <c r="BH540" i="4"/>
  <c r="CD540" i="4" s="1"/>
  <c r="BH435" i="4"/>
  <c r="CD435" i="4" s="1"/>
  <c r="BH436" i="4"/>
  <c r="CD436" i="4" s="1"/>
  <c r="BH848" i="4"/>
  <c r="CD848" i="4" s="1"/>
  <c r="BH940" i="4"/>
  <c r="CD940" i="4" s="1"/>
  <c r="BH864" i="4"/>
  <c r="CD864" i="4" s="1"/>
  <c r="BH211" i="4"/>
  <c r="CD211" i="4" s="1"/>
  <c r="BH941" i="4"/>
  <c r="CD941" i="4" s="1"/>
  <c r="BH691" i="4"/>
  <c r="CD691" i="4" s="1"/>
  <c r="BH628" i="4"/>
  <c r="CD628" i="4" s="1"/>
  <c r="BH144" i="4"/>
  <c r="CD144" i="4" s="1"/>
  <c r="BH437" i="4"/>
  <c r="CD437" i="4" s="1"/>
  <c r="BH38" i="4"/>
  <c r="CD38" i="4" s="1"/>
  <c r="BH212" i="4"/>
  <c r="CD212" i="4" s="1"/>
  <c r="BH591" i="4"/>
  <c r="CD591" i="4" s="1"/>
  <c r="BH783" i="4"/>
  <c r="CD783" i="4" s="1"/>
  <c r="BH438" i="4"/>
  <c r="CD438" i="4" s="1"/>
  <c r="BH439" i="4"/>
  <c r="CD439" i="4" s="1"/>
  <c r="BH79" i="4"/>
  <c r="CD79" i="4" s="1"/>
  <c r="BH145" i="4"/>
  <c r="CD145" i="4" s="1"/>
  <c r="BH440" i="4"/>
  <c r="CD440" i="4" s="1"/>
  <c r="BH213" i="4"/>
  <c r="CD213" i="4" s="1"/>
  <c r="BH441" i="4"/>
  <c r="CD441" i="4" s="1"/>
  <c r="BH442" i="4"/>
  <c r="CD442" i="4" s="1"/>
  <c r="BH443" i="4"/>
  <c r="CD443" i="4" s="1"/>
  <c r="BH106" i="4"/>
  <c r="CD106" i="4" s="1"/>
  <c r="BH629" i="4"/>
  <c r="CD629" i="4" s="1"/>
  <c r="BH444" i="4"/>
  <c r="CD444" i="4" s="1"/>
  <c r="BH445" i="4"/>
  <c r="CD445" i="4" s="1"/>
  <c r="BH753" i="4"/>
  <c r="CD753" i="4" s="1"/>
  <c r="BH541" i="4"/>
  <c r="CD541" i="4" s="1"/>
  <c r="BH446" i="4"/>
  <c r="CD446" i="4" s="1"/>
  <c r="BH879" i="4"/>
  <c r="CD879" i="4" s="1"/>
  <c r="BH447" i="4"/>
  <c r="CD447" i="4" s="1"/>
  <c r="BH448" i="4"/>
  <c r="CD448" i="4" s="1"/>
  <c r="BH1139" i="4"/>
  <c r="CD1139" i="4" s="1"/>
  <c r="BH24" i="4"/>
  <c r="CD24" i="4" s="1"/>
  <c r="BH1113" i="4"/>
  <c r="CD1113" i="4" s="1"/>
  <c r="BH630" i="4"/>
  <c r="CD630" i="4" s="1"/>
  <c r="BH754" i="4"/>
  <c r="CD754" i="4" s="1"/>
  <c r="BH107" i="4"/>
  <c r="CD107" i="4" s="1"/>
  <c r="BH449" i="4"/>
  <c r="CD449" i="4" s="1"/>
  <c r="BH1180" i="4"/>
  <c r="CD1180" i="4" s="1"/>
  <c r="BH542" i="4"/>
  <c r="CD542" i="4" s="1"/>
  <c r="BH25" i="4"/>
  <c r="CD25" i="4" s="1"/>
  <c r="BH450" i="4"/>
  <c r="CD450" i="4" s="1"/>
  <c r="BH451" i="4"/>
  <c r="CD451" i="4" s="1"/>
  <c r="BH631" i="4"/>
  <c r="CD631" i="4" s="1"/>
  <c r="BH146" i="4"/>
  <c r="CD146" i="4" s="1"/>
  <c r="BH147" i="4"/>
  <c r="CD147" i="4" s="1"/>
  <c r="BH452" i="4"/>
  <c r="CD452" i="4" s="1"/>
  <c r="BH214" i="4"/>
  <c r="CD214" i="4" s="1"/>
  <c r="BH592" i="4"/>
  <c r="CD592" i="4" s="1"/>
  <c r="BH632" i="4"/>
  <c r="CD632" i="4" s="1"/>
  <c r="BH215" i="4"/>
  <c r="CD215" i="4" s="1"/>
  <c r="BH593" i="4"/>
  <c r="CD593" i="4" s="1"/>
  <c r="BH216" i="4"/>
  <c r="CD216" i="4" s="1"/>
  <c r="BH453" i="4"/>
  <c r="CD453" i="4" s="1"/>
  <c r="BH942" i="4"/>
  <c r="CD942" i="4" s="1"/>
  <c r="BH543" i="4"/>
  <c r="CD543" i="4" s="1"/>
  <c r="BH755" i="4"/>
  <c r="CD755" i="4" s="1"/>
  <c r="BH217" i="4"/>
  <c r="CD217" i="4" s="1"/>
  <c r="BH849" i="4"/>
  <c r="CD849" i="4" s="1"/>
  <c r="BH454" i="4"/>
  <c r="CD454" i="4" s="1"/>
  <c r="BH80" i="4"/>
  <c r="CD80" i="4" s="1"/>
  <c r="BH455" i="4"/>
  <c r="CD455" i="4" s="1"/>
  <c r="BH544" i="4"/>
  <c r="CD544" i="4" s="1"/>
  <c r="BH456" i="4"/>
  <c r="CD456" i="4" s="1"/>
  <c r="BH1199" i="4"/>
  <c r="CD1199" i="4" s="1"/>
  <c r="BH457" i="4"/>
  <c r="CD457" i="4" s="1"/>
  <c r="BH545" i="4"/>
  <c r="CD545" i="4" s="1"/>
  <c r="BH1151" i="4"/>
  <c r="CD1151" i="4" s="1"/>
  <c r="BH218" i="4"/>
  <c r="CD218" i="4" s="1"/>
  <c r="BH458" i="4"/>
  <c r="CD458" i="4" s="1"/>
  <c r="BH546" i="4"/>
  <c r="CD546" i="4" s="1"/>
  <c r="BH459" i="4"/>
  <c r="CD459" i="4" s="1"/>
  <c r="BH460" i="4"/>
  <c r="CD460" i="4" s="1"/>
  <c r="BH39" i="4"/>
  <c r="CD39" i="4" s="1"/>
  <c r="BH547" i="4"/>
  <c r="CD547" i="4" s="1"/>
  <c r="BH59" i="4"/>
  <c r="CD59" i="4" s="1"/>
  <c r="BH548" i="4"/>
  <c r="CD548" i="4" s="1"/>
  <c r="BH461" i="4"/>
  <c r="CD461" i="4" s="1"/>
  <c r="BH40" i="4"/>
  <c r="CD40" i="4" s="1"/>
  <c r="BH549" i="4"/>
  <c r="CD549" i="4" s="1"/>
  <c r="BH959" i="4"/>
  <c r="CD959" i="4" s="1"/>
  <c r="BH462" i="4"/>
  <c r="CD462" i="4" s="1"/>
  <c r="BH550" i="4"/>
  <c r="CD550" i="4" s="1"/>
  <c r="BH60" i="4"/>
  <c r="CD60" i="4" s="1"/>
  <c r="BH633" i="4"/>
  <c r="CD633" i="4" s="1"/>
  <c r="BH219" i="4"/>
  <c r="CD219" i="4" s="1"/>
  <c r="BH463" i="4"/>
  <c r="CD463" i="4" s="1"/>
  <c r="BH6" i="4"/>
  <c r="CD6" i="4" s="1"/>
  <c r="BH551" i="4"/>
  <c r="CD551" i="4" s="1"/>
  <c r="BH552" i="4"/>
  <c r="CD552" i="4" s="1"/>
  <c r="BH553" i="4"/>
  <c r="CD553" i="4" s="1"/>
  <c r="BH148" i="4"/>
  <c r="CD148" i="4" s="1"/>
  <c r="BH220" i="4"/>
  <c r="CD220" i="4" s="1"/>
  <c r="BH26" i="4"/>
  <c r="CD26" i="4" s="1"/>
  <c r="BH464" i="4"/>
  <c r="CD464" i="4" s="1"/>
  <c r="BH149" i="4"/>
  <c r="CD149" i="4" s="1"/>
  <c r="BH1114" i="4"/>
  <c r="CD1114" i="4" s="1"/>
  <c r="BH465" i="4"/>
  <c r="CD465" i="4" s="1"/>
  <c r="BH634" i="4"/>
  <c r="CD634" i="4" s="1"/>
  <c r="BH594" i="4"/>
  <c r="CD594" i="4" s="1"/>
  <c r="BI594" i="4"/>
  <c r="BT594" i="4" s="1"/>
  <c r="BI634" i="4"/>
  <c r="BT634" i="4" s="1"/>
  <c r="BI465" i="4"/>
  <c r="BT465" i="4" s="1"/>
  <c r="BI1114" i="4"/>
  <c r="BT1114" i="4" s="1"/>
  <c r="BI149" i="4"/>
  <c r="BT149" i="4" s="1"/>
  <c r="BI464" i="4"/>
  <c r="BT464" i="4" s="1"/>
  <c r="BI26" i="4"/>
  <c r="BT26" i="4" s="1"/>
  <c r="BI220" i="4"/>
  <c r="BT220" i="4" s="1"/>
  <c r="BI148" i="4"/>
  <c r="BT148" i="4" s="1"/>
  <c r="BI553" i="4"/>
  <c r="BT553" i="4" s="1"/>
  <c r="BI552" i="4"/>
  <c r="BT552" i="4" s="1"/>
  <c r="BI551" i="4"/>
  <c r="BT551" i="4" s="1"/>
  <c r="BI6" i="4"/>
  <c r="BT6" i="4" s="1"/>
  <c r="BI463" i="4"/>
  <c r="BT463" i="4" s="1"/>
  <c r="BI219" i="4"/>
  <c r="BT219" i="4" s="1"/>
  <c r="BI633" i="4"/>
  <c r="BT633" i="4" s="1"/>
  <c r="BI60" i="4"/>
  <c r="BT60" i="4" s="1"/>
  <c r="BI550" i="4"/>
  <c r="BT550" i="4" s="1"/>
  <c r="BI462" i="4"/>
  <c r="BT462" i="4" s="1"/>
  <c r="BI959" i="4"/>
  <c r="BT959" i="4" s="1"/>
  <c r="BI549" i="4"/>
  <c r="BT549" i="4" s="1"/>
  <c r="BI40" i="4"/>
  <c r="BT40" i="4" s="1"/>
  <c r="BI461" i="4"/>
  <c r="BT461" i="4" s="1"/>
  <c r="BI548" i="4"/>
  <c r="BT548" i="4" s="1"/>
  <c r="BI59" i="4"/>
  <c r="BT59" i="4" s="1"/>
  <c r="BI547" i="4"/>
  <c r="BT547" i="4" s="1"/>
  <c r="BI39" i="4"/>
  <c r="BT39" i="4" s="1"/>
  <c r="BI460" i="4"/>
  <c r="BT460" i="4" s="1"/>
  <c r="BI459" i="4"/>
  <c r="BT459" i="4" s="1"/>
  <c r="BI546" i="4"/>
  <c r="BT546" i="4" s="1"/>
  <c r="BI458" i="4"/>
  <c r="BT458" i="4" s="1"/>
  <c r="BI218" i="4"/>
  <c r="BT218" i="4" s="1"/>
  <c r="BI1151" i="4"/>
  <c r="BT1151" i="4" s="1"/>
  <c r="BI545" i="4"/>
  <c r="BT545" i="4" s="1"/>
  <c r="BI457" i="4"/>
  <c r="BT457" i="4" s="1"/>
  <c r="BI1199" i="4"/>
  <c r="BT1199" i="4" s="1"/>
  <c r="BI456" i="4"/>
  <c r="BT456" i="4" s="1"/>
  <c r="BI544" i="4"/>
  <c r="BT544" i="4" s="1"/>
  <c r="BI455" i="4"/>
  <c r="BT455" i="4" s="1"/>
  <c r="BI80" i="4"/>
  <c r="BT80" i="4" s="1"/>
  <c r="BI454" i="4"/>
  <c r="BT454" i="4" s="1"/>
  <c r="BI849" i="4"/>
  <c r="BT849" i="4" s="1"/>
  <c r="BI217" i="4"/>
  <c r="BT217" i="4" s="1"/>
  <c r="BI755" i="4"/>
  <c r="BT755" i="4" s="1"/>
  <c r="BI543" i="4"/>
  <c r="BT543" i="4" s="1"/>
  <c r="BI942" i="4"/>
  <c r="BT942" i="4" s="1"/>
  <c r="BI453" i="4"/>
  <c r="BT453" i="4" s="1"/>
  <c r="BI216" i="4"/>
  <c r="BT216" i="4" s="1"/>
  <c r="BI593" i="4"/>
  <c r="BT593" i="4" s="1"/>
  <c r="BI215" i="4"/>
  <c r="BT215" i="4" s="1"/>
  <c r="BI632" i="4"/>
  <c r="BT632" i="4" s="1"/>
  <c r="BI592" i="4"/>
  <c r="BT592" i="4" s="1"/>
  <c r="BI214" i="4"/>
  <c r="BT214" i="4" s="1"/>
  <c r="BI452" i="4"/>
  <c r="BT452" i="4" s="1"/>
  <c r="BI147" i="4"/>
  <c r="BT147" i="4" s="1"/>
  <c r="BI146" i="4"/>
  <c r="BT146" i="4" s="1"/>
  <c r="BI631" i="4"/>
  <c r="BT631" i="4" s="1"/>
  <c r="BI451" i="4"/>
  <c r="BT451" i="4" s="1"/>
  <c r="BI450" i="4"/>
  <c r="BT450" i="4" s="1"/>
  <c r="BI25" i="4"/>
  <c r="BT25" i="4" s="1"/>
  <c r="BI542" i="4"/>
  <c r="BT542" i="4" s="1"/>
  <c r="BI1180" i="4"/>
  <c r="BT1180" i="4" s="1"/>
  <c r="BI449" i="4"/>
  <c r="BT449" i="4" s="1"/>
  <c r="BI107" i="4"/>
  <c r="BT107" i="4" s="1"/>
  <c r="BI754" i="4"/>
  <c r="BT754" i="4" s="1"/>
  <c r="BI630" i="4"/>
  <c r="BT630" i="4" s="1"/>
  <c r="BI1113" i="4"/>
  <c r="BT1113" i="4" s="1"/>
  <c r="BI24" i="4"/>
  <c r="BT24" i="4" s="1"/>
  <c r="BI1139" i="4"/>
  <c r="BT1139" i="4" s="1"/>
  <c r="BI448" i="4"/>
  <c r="BT448" i="4" s="1"/>
  <c r="BI447" i="4"/>
  <c r="BT447" i="4" s="1"/>
  <c r="BI879" i="4"/>
  <c r="BT879" i="4" s="1"/>
  <c r="BI446" i="4"/>
  <c r="BT446" i="4" s="1"/>
  <c r="BI541" i="4"/>
  <c r="BT541" i="4" s="1"/>
  <c r="BI753" i="4"/>
  <c r="BT753" i="4" s="1"/>
  <c r="BI445" i="4"/>
  <c r="BT445" i="4" s="1"/>
  <c r="BI444" i="4"/>
  <c r="BT444" i="4" s="1"/>
  <c r="BI629" i="4"/>
  <c r="BT629" i="4" s="1"/>
  <c r="BI106" i="4"/>
  <c r="BT106" i="4" s="1"/>
  <c r="BI443" i="4"/>
  <c r="BT443" i="4" s="1"/>
  <c r="BI442" i="4"/>
  <c r="BT442" i="4" s="1"/>
  <c r="BI441" i="4"/>
  <c r="BT441" i="4" s="1"/>
  <c r="BI213" i="4"/>
  <c r="BT213" i="4" s="1"/>
  <c r="BI440" i="4"/>
  <c r="BT440" i="4" s="1"/>
  <c r="BI145" i="4"/>
  <c r="BT145" i="4" s="1"/>
  <c r="BI79" i="4"/>
  <c r="BT79" i="4" s="1"/>
  <c r="BI439" i="4"/>
  <c r="BT439" i="4" s="1"/>
  <c r="BI438" i="4"/>
  <c r="BT438" i="4" s="1"/>
  <c r="BI783" i="4"/>
  <c r="BT783" i="4" s="1"/>
  <c r="BI591" i="4"/>
  <c r="BT591" i="4" s="1"/>
  <c r="BI212" i="4"/>
  <c r="BT212" i="4" s="1"/>
  <c r="BI38" i="4"/>
  <c r="BT38" i="4" s="1"/>
  <c r="BI437" i="4"/>
  <c r="BT437" i="4" s="1"/>
  <c r="BI144" i="4"/>
  <c r="BT144" i="4" s="1"/>
  <c r="BI628" i="4"/>
  <c r="BT628" i="4" s="1"/>
  <c r="BI691" i="4"/>
  <c r="BT691" i="4" s="1"/>
  <c r="BI941" i="4"/>
  <c r="BT941" i="4" s="1"/>
  <c r="BI211" i="4"/>
  <c r="BT211" i="4" s="1"/>
  <c r="BI864" i="4"/>
  <c r="BT864" i="4" s="1"/>
  <c r="BI940" i="4"/>
  <c r="BT940" i="4" s="1"/>
  <c r="BI848" i="4"/>
  <c r="BT848" i="4" s="1"/>
  <c r="BI436" i="4"/>
  <c r="BT436" i="4" s="1"/>
  <c r="BI435" i="4"/>
  <c r="BT435" i="4" s="1"/>
  <c r="BI540" i="4"/>
  <c r="BT540" i="4" s="1"/>
  <c r="BI210" i="4"/>
  <c r="BT210" i="4" s="1"/>
  <c r="BI590" i="4"/>
  <c r="BT590" i="4" s="1"/>
  <c r="BI539" i="4"/>
  <c r="BT539" i="4" s="1"/>
  <c r="BI863" i="4"/>
  <c r="BT863" i="4" s="1"/>
  <c r="BI589" i="4"/>
  <c r="BT589" i="4" s="1"/>
  <c r="BI434" i="4"/>
  <c r="BT434" i="4" s="1"/>
  <c r="BI538" i="4"/>
  <c r="BT538" i="4" s="1"/>
  <c r="BI209" i="4"/>
  <c r="BT209" i="4" s="1"/>
  <c r="BI433" i="4"/>
  <c r="BT433" i="4" s="1"/>
  <c r="BI143" i="4"/>
  <c r="BT143" i="4" s="1"/>
  <c r="BI432" i="4"/>
  <c r="BT432" i="4" s="1"/>
  <c r="BI1157" i="4"/>
  <c r="BT1157" i="4" s="1"/>
  <c r="BI431" i="4"/>
  <c r="BT431" i="4" s="1"/>
  <c r="BI1092" i="4"/>
  <c r="BT1092" i="4" s="1"/>
  <c r="BI142" i="4"/>
  <c r="BT142" i="4" s="1"/>
  <c r="BI105" i="4"/>
  <c r="BT105" i="4" s="1"/>
  <c r="BI627" i="4"/>
  <c r="BT627" i="4" s="1"/>
  <c r="BI862" i="4"/>
  <c r="BT862" i="4" s="1"/>
  <c r="BI430" i="4"/>
  <c r="BT430" i="4" s="1"/>
  <c r="BI208" i="4"/>
  <c r="BT208" i="4" s="1"/>
  <c r="BI78" i="4"/>
  <c r="BT78" i="4" s="1"/>
  <c r="BI429" i="4"/>
  <c r="BT429" i="4" s="1"/>
  <c r="BI537" i="4"/>
  <c r="BT537" i="4" s="1"/>
  <c r="BI23" i="4"/>
  <c r="BT23" i="4" s="1"/>
  <c r="BI428" i="4"/>
  <c r="BT428" i="4" s="1"/>
  <c r="BI1083" i="4"/>
  <c r="BT1083" i="4" s="1"/>
  <c r="BI536" i="4"/>
  <c r="BT536" i="4" s="1"/>
  <c r="BI427" i="4"/>
  <c r="BT427" i="4" s="1"/>
  <c r="BI426" i="4"/>
  <c r="BT426" i="4" s="1"/>
  <c r="BI425" i="4"/>
  <c r="BT425" i="4" s="1"/>
  <c r="BI1112" i="4"/>
  <c r="BT1112" i="4" s="1"/>
  <c r="BI1022" i="4"/>
  <c r="BT1022" i="4" s="1"/>
  <c r="BI861" i="4"/>
  <c r="BT861" i="4" s="1"/>
  <c r="BI626" i="4"/>
  <c r="BT626" i="4" s="1"/>
  <c r="BI424" i="4"/>
  <c r="BT424" i="4" s="1"/>
  <c r="BI1146" i="4"/>
  <c r="BT1146" i="4" s="1"/>
  <c r="BI423" i="4"/>
  <c r="BT423" i="4" s="1"/>
  <c r="BI422" i="4"/>
  <c r="BT422" i="4" s="1"/>
  <c r="BI421" i="4"/>
  <c r="BT421" i="4" s="1"/>
  <c r="BI22" i="4"/>
  <c r="BT22" i="4" s="1"/>
  <c r="BI420" i="4"/>
  <c r="BT420" i="4" s="1"/>
  <c r="BI535" i="4"/>
  <c r="BT535" i="4" s="1"/>
  <c r="BI419" i="4"/>
  <c r="BT419" i="4" s="1"/>
  <c r="BI690" i="4"/>
  <c r="BT690" i="4" s="1"/>
  <c r="BI418" i="4"/>
  <c r="BT418" i="4" s="1"/>
  <c r="BI954" i="4"/>
  <c r="BT954" i="4" s="1"/>
  <c r="BI417" i="4"/>
  <c r="BT417" i="4" s="1"/>
  <c r="BI416" i="4"/>
  <c r="BT416" i="4" s="1"/>
  <c r="BI415" i="4"/>
  <c r="BT415" i="4" s="1"/>
  <c r="BI414" i="4"/>
  <c r="BT414" i="4" s="1"/>
  <c r="BI77" i="4"/>
  <c r="BT77" i="4" s="1"/>
  <c r="BI413" i="4"/>
  <c r="BT413" i="4" s="1"/>
  <c r="BI752" i="4"/>
  <c r="BT752" i="4" s="1"/>
  <c r="BI412" i="4"/>
  <c r="BT412" i="4" s="1"/>
  <c r="BI5" i="4"/>
  <c r="BT5" i="4" s="1"/>
  <c r="BI411" i="4"/>
  <c r="BT411" i="4" s="1"/>
  <c r="BI21" i="4"/>
  <c r="BT21" i="4" s="1"/>
  <c r="BI410" i="4"/>
  <c r="BT410" i="4" s="1"/>
  <c r="BI207" i="4"/>
  <c r="BT207" i="4" s="1"/>
  <c r="BI206" i="4"/>
  <c r="BT206" i="4" s="1"/>
  <c r="BI847" i="4"/>
  <c r="BT847" i="4" s="1"/>
  <c r="BI534" i="4"/>
  <c r="BT534" i="4" s="1"/>
  <c r="BI751" i="4"/>
  <c r="BT751" i="4" s="1"/>
  <c r="BI205" i="4"/>
  <c r="BT205" i="4" s="1"/>
  <c r="BI409" i="4"/>
  <c r="BT409" i="4" s="1"/>
  <c r="BI953" i="4"/>
  <c r="BT953" i="4" s="1"/>
  <c r="BI408" i="4"/>
  <c r="BT408" i="4" s="1"/>
  <c r="BI588" i="4"/>
  <c r="BT588" i="4" s="1"/>
  <c r="BI587" i="4"/>
  <c r="BT587" i="4" s="1"/>
  <c r="BI407" i="4"/>
  <c r="BT407" i="4" s="1"/>
  <c r="BI1159" i="4"/>
  <c r="BT1159" i="4" s="1"/>
  <c r="BI204" i="4"/>
  <c r="BT204" i="4" s="1"/>
  <c r="BI1163" i="4"/>
  <c r="BT1163" i="4" s="1"/>
  <c r="BI141" i="4"/>
  <c r="BT141" i="4" s="1"/>
  <c r="BI625" i="4"/>
  <c r="BT625" i="4" s="1"/>
  <c r="BI406" i="4"/>
  <c r="BT406" i="4" s="1"/>
  <c r="BI203" i="4"/>
  <c r="BT203" i="4" s="1"/>
  <c r="BI533" i="4"/>
  <c r="BT533" i="4" s="1"/>
  <c r="BI750" i="4"/>
  <c r="BT750" i="4" s="1"/>
  <c r="BI405" i="4"/>
  <c r="BT405" i="4" s="1"/>
  <c r="BI846" i="4"/>
  <c r="BT846" i="4" s="1"/>
  <c r="BI845" i="4"/>
  <c r="BT845" i="4" s="1"/>
  <c r="BI404" i="4"/>
  <c r="BT404" i="4" s="1"/>
  <c r="BI532" i="4"/>
  <c r="BT532" i="4" s="1"/>
  <c r="BI624" i="4"/>
  <c r="BT624" i="4" s="1"/>
  <c r="BI531" i="4"/>
  <c r="BT531" i="4" s="1"/>
  <c r="BI1091" i="4"/>
  <c r="BT1091" i="4" s="1"/>
  <c r="BI689" i="4"/>
  <c r="BT689" i="4" s="1"/>
  <c r="BI403" i="4"/>
  <c r="BT403" i="4" s="1"/>
  <c r="BI402" i="4"/>
  <c r="BT402" i="4" s="1"/>
  <c r="BI860" i="4"/>
  <c r="BT860" i="4" s="1"/>
  <c r="BI140" i="4"/>
  <c r="BT140" i="4" s="1"/>
  <c r="BI530" i="4"/>
  <c r="BT530" i="4" s="1"/>
  <c r="BI401" i="4"/>
  <c r="BT401" i="4" s="1"/>
  <c r="BI749" i="4"/>
  <c r="BT749" i="4" s="1"/>
  <c r="BI400" i="4"/>
  <c r="BT400" i="4" s="1"/>
  <c r="BI202" i="4"/>
  <c r="BT202" i="4" s="1"/>
  <c r="BI399" i="4"/>
  <c r="BT399" i="4" s="1"/>
  <c r="BI748" i="4"/>
  <c r="BT748" i="4" s="1"/>
  <c r="BI623" i="4"/>
  <c r="BT623" i="4" s="1"/>
  <c r="BI58" i="4"/>
  <c r="BT58" i="4" s="1"/>
  <c r="BI1082" i="4"/>
  <c r="BT1082" i="4" s="1"/>
  <c r="BI398" i="4"/>
  <c r="BT398" i="4" s="1"/>
  <c r="BI529" i="4"/>
  <c r="BT529" i="4" s="1"/>
  <c r="BI397" i="4"/>
  <c r="BT397" i="4" s="1"/>
  <c r="BI586" i="4"/>
  <c r="BT586" i="4" s="1"/>
  <c r="BI396" i="4"/>
  <c r="BT396" i="4" s="1"/>
  <c r="BI395" i="4"/>
  <c r="BT395" i="4" s="1"/>
  <c r="BI394" i="4"/>
  <c r="BT394" i="4" s="1"/>
  <c r="BI622" i="4"/>
  <c r="BT622" i="4" s="1"/>
  <c r="BI747" i="4"/>
  <c r="BT747" i="4" s="1"/>
  <c r="BI104" i="4"/>
  <c r="BT104" i="4" s="1"/>
  <c r="BI393" i="4"/>
  <c r="BT393" i="4" s="1"/>
  <c r="BI906" i="4"/>
  <c r="BT906" i="4" s="1"/>
  <c r="BI37" i="4"/>
  <c r="BT37" i="4" s="1"/>
  <c r="BI392" i="4"/>
  <c r="BT392" i="4" s="1"/>
  <c r="BI688" i="4"/>
  <c r="BT688" i="4" s="1"/>
  <c r="BI139" i="4"/>
  <c r="BT139" i="4" s="1"/>
  <c r="BI782" i="4"/>
  <c r="BT782" i="4" s="1"/>
  <c r="BI391" i="4"/>
  <c r="BT391" i="4" s="1"/>
  <c r="BI390" i="4"/>
  <c r="BT390" i="4" s="1"/>
  <c r="BI389" i="4"/>
  <c r="BT389" i="4" s="1"/>
  <c r="BI528" i="4"/>
  <c r="BT528" i="4" s="1"/>
  <c r="BI388" i="4"/>
  <c r="BT388" i="4" s="1"/>
  <c r="BI387" i="4"/>
  <c r="BT387" i="4" s="1"/>
  <c r="BI386" i="4"/>
  <c r="BT386" i="4" s="1"/>
  <c r="BI687" i="4"/>
  <c r="BT687" i="4" s="1"/>
  <c r="BI844" i="4"/>
  <c r="BT844" i="4" s="1"/>
  <c r="BI201" i="4"/>
  <c r="BT201" i="4" s="1"/>
  <c r="BI200" i="4"/>
  <c r="BT200" i="4" s="1"/>
  <c r="BI963" i="4"/>
  <c r="BT963" i="4" s="1"/>
  <c r="BI199" i="4"/>
  <c r="BT199" i="4" s="1"/>
  <c r="BI686" i="4"/>
  <c r="BT686" i="4" s="1"/>
  <c r="BI685" i="4"/>
  <c r="BT685" i="4" s="1"/>
  <c r="BI746" i="4"/>
  <c r="BT746" i="4" s="1"/>
  <c r="BI952" i="4"/>
  <c r="BT952" i="4" s="1"/>
  <c r="BI20" i="4"/>
  <c r="BT20" i="4" s="1"/>
  <c r="BI781" i="4"/>
  <c r="BT781" i="4" s="1"/>
  <c r="BI198" i="4"/>
  <c r="BT198" i="4" s="1"/>
  <c r="BI684" i="4"/>
  <c r="BT684" i="4" s="1"/>
  <c r="BI385" i="4"/>
  <c r="BT385" i="4" s="1"/>
  <c r="BI19" i="4"/>
  <c r="BT19" i="4" s="1"/>
  <c r="BI384" i="4"/>
  <c r="BT384" i="4" s="1"/>
  <c r="BI585" i="4"/>
  <c r="BT585" i="4" s="1"/>
  <c r="BI683" i="4"/>
  <c r="BT683" i="4" s="1"/>
  <c r="BI383" i="4"/>
  <c r="BT383" i="4" s="1"/>
  <c r="BI76" i="4"/>
  <c r="BT76" i="4" s="1"/>
  <c r="BI382" i="4"/>
  <c r="BT382" i="4" s="1"/>
  <c r="BI197" i="4"/>
  <c r="BT197" i="4" s="1"/>
  <c r="BI584" i="4"/>
  <c r="BT584" i="4" s="1"/>
  <c r="BI745" i="4"/>
  <c r="BT745" i="4" s="1"/>
  <c r="BI621" i="4"/>
  <c r="BT621" i="4" s="1"/>
  <c r="BI138" i="4"/>
  <c r="BT138" i="4" s="1"/>
  <c r="BI381" i="4"/>
  <c r="BT381" i="4" s="1"/>
  <c r="BI196" i="4"/>
  <c r="BT196" i="4" s="1"/>
  <c r="BI527" i="4"/>
  <c r="BT527" i="4" s="1"/>
  <c r="BI195" i="4"/>
  <c r="BT195" i="4" s="1"/>
  <c r="BI526" i="4"/>
  <c r="BT526" i="4" s="1"/>
  <c r="BI194" i="4"/>
  <c r="BT194" i="4" s="1"/>
  <c r="BI380" i="4"/>
  <c r="BT380" i="4" s="1"/>
  <c r="BI620" i="4"/>
  <c r="BT620" i="4" s="1"/>
  <c r="BI193" i="4"/>
  <c r="BT193" i="4" s="1"/>
  <c r="BI780" i="4"/>
  <c r="BT780" i="4" s="1"/>
  <c r="BI583" i="4"/>
  <c r="BT583" i="4" s="1"/>
  <c r="BI379" i="4"/>
  <c r="BT379" i="4" s="1"/>
  <c r="BI843" i="4"/>
  <c r="BT843" i="4" s="1"/>
  <c r="BI525" i="4"/>
  <c r="BT525" i="4" s="1"/>
  <c r="BI524" i="4"/>
  <c r="BT524" i="4" s="1"/>
  <c r="BI378" i="4"/>
  <c r="BT378" i="4" s="1"/>
  <c r="BI682" i="4"/>
  <c r="BT682" i="4" s="1"/>
  <c r="BI377" i="4"/>
  <c r="BT377" i="4" s="1"/>
  <c r="BI376" i="4"/>
  <c r="BT376" i="4" s="1"/>
  <c r="BI375" i="4"/>
  <c r="BT375" i="4" s="1"/>
  <c r="BI374" i="4"/>
  <c r="BT374" i="4" s="1"/>
  <c r="BI1172" i="4"/>
  <c r="BT1172" i="4" s="1"/>
  <c r="BI103" i="4"/>
  <c r="BT103" i="4" s="1"/>
  <c r="BI523" i="4"/>
  <c r="BT523" i="4" s="1"/>
  <c r="BI373" i="4"/>
  <c r="BT373" i="4" s="1"/>
  <c r="BI4" i="4"/>
  <c r="BT4" i="4" s="1"/>
  <c r="BI372" i="4"/>
  <c r="BT372" i="4" s="1"/>
  <c r="BI582" i="4"/>
  <c r="BT582" i="4" s="1"/>
  <c r="BI192" i="4"/>
  <c r="BT192" i="4" s="1"/>
  <c r="BI57" i="4"/>
  <c r="BT57" i="4" s="1"/>
  <c r="BI581" i="4"/>
  <c r="BT581" i="4" s="1"/>
  <c r="BI1138" i="4"/>
  <c r="BT1138" i="4" s="1"/>
  <c r="BI371" i="4"/>
  <c r="BT371" i="4" s="1"/>
  <c r="BI370" i="4"/>
  <c r="BT370" i="4" s="1"/>
  <c r="BI369" i="4"/>
  <c r="BT369" i="4" s="1"/>
  <c r="BI681" i="4"/>
  <c r="BT681" i="4" s="1"/>
  <c r="BI368" i="4"/>
  <c r="BT368" i="4" s="1"/>
  <c r="BI580" i="4"/>
  <c r="BT580" i="4" s="1"/>
  <c r="BI779" i="4"/>
  <c r="BT779" i="4" s="1"/>
  <c r="BI367" i="4"/>
  <c r="BT367" i="4" s="1"/>
  <c r="BI619" i="4"/>
  <c r="BT619" i="4" s="1"/>
  <c r="BI366" i="4"/>
  <c r="BT366" i="4" s="1"/>
  <c r="BI951" i="4"/>
  <c r="BT951" i="4" s="1"/>
  <c r="BI842" i="4"/>
  <c r="BT842" i="4" s="1"/>
  <c r="BI778" i="4"/>
  <c r="BT778" i="4" s="1"/>
  <c r="BI522" i="4"/>
  <c r="BT522" i="4" s="1"/>
  <c r="BI579" i="4"/>
  <c r="BT579" i="4" s="1"/>
  <c r="BI744" i="4"/>
  <c r="BT744" i="4" s="1"/>
  <c r="BI365" i="4"/>
  <c r="BT365" i="4" s="1"/>
  <c r="BI137" i="4"/>
  <c r="BT137" i="4" s="1"/>
  <c r="BI859" i="4"/>
  <c r="BT859" i="4" s="1"/>
  <c r="BI858" i="4"/>
  <c r="BT858" i="4" s="1"/>
  <c r="BI364" i="4"/>
  <c r="BT364" i="4" s="1"/>
  <c r="BI926" i="4"/>
  <c r="BT926" i="4" s="1"/>
  <c r="BI618" i="4"/>
  <c r="BT618" i="4" s="1"/>
  <c r="BI363" i="4"/>
  <c r="BT363" i="4" s="1"/>
  <c r="BI521" i="4"/>
  <c r="BT521" i="4" s="1"/>
  <c r="BI617" i="4"/>
  <c r="BT617" i="4" s="1"/>
  <c r="BI841" i="4"/>
  <c r="BT841" i="4" s="1"/>
  <c r="BI191" i="4"/>
  <c r="BT191" i="4" s="1"/>
  <c r="BI190" i="4"/>
  <c r="BT190" i="4" s="1"/>
  <c r="BI362" i="4"/>
  <c r="BT362" i="4" s="1"/>
  <c r="BI777" i="4"/>
  <c r="BT777" i="4" s="1"/>
  <c r="BI680" i="4"/>
  <c r="BT680" i="4" s="1"/>
  <c r="BI520" i="4"/>
  <c r="BT520" i="4" s="1"/>
  <c r="BI519" i="4"/>
  <c r="BT519" i="4" s="1"/>
  <c r="BI361" i="4"/>
  <c r="BT361" i="4" s="1"/>
  <c r="BI1078" i="4"/>
  <c r="BT1078" i="4" s="1"/>
  <c r="BI1158" i="4"/>
  <c r="BT1158" i="4" s="1"/>
  <c r="BI743" i="4"/>
  <c r="BT743" i="4" s="1"/>
  <c r="BI905" i="4"/>
  <c r="BT905" i="4" s="1"/>
  <c r="BI360" i="4"/>
  <c r="BT360" i="4" s="1"/>
  <c r="BI1021" i="4"/>
  <c r="BT1021" i="4" s="1"/>
  <c r="BI359" i="4"/>
  <c r="BT359" i="4" s="1"/>
  <c r="BI358" i="4"/>
  <c r="BT358" i="4" s="1"/>
  <c r="BI357" i="4"/>
  <c r="BT357" i="4" s="1"/>
  <c r="BI189" i="4"/>
  <c r="BT189" i="4" s="1"/>
  <c r="BI518" i="4"/>
  <c r="BT518" i="4" s="1"/>
  <c r="BI616" i="4"/>
  <c r="BT616" i="4" s="1"/>
  <c r="BI1001" i="4"/>
  <c r="BT1001" i="4" s="1"/>
  <c r="BI56" i="4"/>
  <c r="BT56" i="4" s="1"/>
  <c r="BI939" i="4"/>
  <c r="BT939" i="4" s="1"/>
  <c r="BI356" i="4"/>
  <c r="BT356" i="4" s="1"/>
  <c r="BI355" i="4"/>
  <c r="BT355" i="4" s="1"/>
  <c r="BI354" i="4"/>
  <c r="BT354" i="4" s="1"/>
  <c r="BI188" i="4"/>
  <c r="BT188" i="4" s="1"/>
  <c r="BI18" i="4"/>
  <c r="BT18" i="4" s="1"/>
  <c r="BI1096" i="4"/>
  <c r="BT1096" i="4" s="1"/>
  <c r="BI742" i="4"/>
  <c r="BT742" i="4" s="1"/>
  <c r="BI840" i="4"/>
  <c r="BT840" i="4" s="1"/>
  <c r="BI679" i="4"/>
  <c r="BT679" i="4" s="1"/>
  <c r="BI615" i="4"/>
  <c r="BT615" i="4" s="1"/>
  <c r="BI36" i="4"/>
  <c r="BT36" i="4" s="1"/>
  <c r="BI102" i="4"/>
  <c r="BT102" i="4" s="1"/>
  <c r="BI517" i="4"/>
  <c r="BT517" i="4" s="1"/>
  <c r="BI353" i="4"/>
  <c r="BT353" i="4" s="1"/>
  <c r="BI741" i="4"/>
  <c r="BT741" i="4" s="1"/>
  <c r="BI187" i="4"/>
  <c r="BT187" i="4" s="1"/>
  <c r="BI1189" i="4"/>
  <c r="BT1189" i="4" s="1"/>
  <c r="BI55" i="4"/>
  <c r="BT55" i="4" s="1"/>
  <c r="BI1137" i="4"/>
  <c r="BT1137" i="4" s="1"/>
  <c r="BI776" i="4"/>
  <c r="BT776" i="4" s="1"/>
  <c r="BI516" i="4"/>
  <c r="BT516" i="4" s="1"/>
  <c r="BI352" i="4"/>
  <c r="BT352" i="4" s="1"/>
  <c r="BI35" i="4"/>
  <c r="BT35" i="4" s="1"/>
  <c r="BI34" i="4"/>
  <c r="BT34" i="4" s="1"/>
  <c r="BI351" i="4"/>
  <c r="BT351" i="4" s="1"/>
  <c r="BI878" i="4"/>
  <c r="BT878" i="4" s="1"/>
  <c r="BI515" i="4"/>
  <c r="BT515" i="4" s="1"/>
  <c r="BI17" i="4"/>
  <c r="BT17" i="4" s="1"/>
  <c r="BI839" i="4"/>
  <c r="BT839" i="4" s="1"/>
  <c r="BI740" i="4"/>
  <c r="BT740" i="4" s="1"/>
  <c r="BI350" i="4"/>
  <c r="BT350" i="4" s="1"/>
  <c r="BI349" i="4"/>
  <c r="BT349" i="4" s="1"/>
  <c r="BI1176" i="4"/>
  <c r="BT1176" i="4" s="1"/>
  <c r="BI75" i="4"/>
  <c r="BT75" i="4" s="1"/>
  <c r="BI884" i="4"/>
  <c r="BT884" i="4" s="1"/>
  <c r="BI614" i="4"/>
  <c r="BT614" i="4" s="1"/>
  <c r="BI74" i="4"/>
  <c r="BT74" i="4" s="1"/>
  <c r="BI877" i="4"/>
  <c r="BT877" i="4" s="1"/>
  <c r="BI348" i="4"/>
  <c r="BT348" i="4" s="1"/>
  <c r="BI739" i="4"/>
  <c r="BT739" i="4" s="1"/>
  <c r="BI514" i="4"/>
  <c r="BT514" i="4" s="1"/>
  <c r="BI54" i="4"/>
  <c r="BT54" i="4" s="1"/>
  <c r="BI347" i="4"/>
  <c r="BT347" i="4" s="1"/>
  <c r="BI186" i="4"/>
  <c r="BT186" i="4" s="1"/>
  <c r="BI1041" i="4"/>
  <c r="BT1041" i="4" s="1"/>
  <c r="BI346" i="4"/>
  <c r="BT346" i="4" s="1"/>
  <c r="BI185" i="4"/>
  <c r="BT185" i="4" s="1"/>
  <c r="BI738" i="4"/>
  <c r="BT738" i="4" s="1"/>
  <c r="BI613" i="4"/>
  <c r="BT613" i="4" s="1"/>
  <c r="BI345" i="4"/>
  <c r="BT345" i="4" s="1"/>
  <c r="BI775" i="4"/>
  <c r="BT775" i="4" s="1"/>
  <c r="BI73" i="4"/>
  <c r="BT73" i="4" s="1"/>
  <c r="BI136" i="4"/>
  <c r="BT136" i="4" s="1"/>
  <c r="BI989" i="4"/>
  <c r="BT989" i="4" s="1"/>
  <c r="BI184" i="4"/>
  <c r="BT184" i="4" s="1"/>
  <c r="BI344" i="4"/>
  <c r="BT344" i="4" s="1"/>
  <c r="BI343" i="4"/>
  <c r="BT343" i="4" s="1"/>
  <c r="BI183" i="4"/>
  <c r="BT183" i="4" s="1"/>
  <c r="BI838" i="4"/>
  <c r="BT838" i="4" s="1"/>
  <c r="BI837" i="4"/>
  <c r="BT837" i="4" s="1"/>
  <c r="BI342" i="4"/>
  <c r="BT342" i="4" s="1"/>
  <c r="BI341" i="4"/>
  <c r="BT341" i="4" s="1"/>
  <c r="BI678" i="4"/>
  <c r="BT678" i="4" s="1"/>
  <c r="BI1186" i="4"/>
  <c r="BT1186" i="4" s="1"/>
  <c r="BI933" i="4"/>
  <c r="BT933" i="4" s="1"/>
  <c r="BI950" i="4"/>
  <c r="BT950" i="4" s="1"/>
  <c r="BI1198" i="4"/>
  <c r="BT1198" i="4" s="1"/>
  <c r="BI1061" i="4"/>
  <c r="BT1061" i="4" s="1"/>
  <c r="BI340" i="4"/>
  <c r="BT340" i="4" s="1"/>
  <c r="BI1000" i="4"/>
  <c r="BT1000" i="4" s="1"/>
  <c r="BI836" i="4"/>
  <c r="BT836" i="4" s="1"/>
  <c r="BI774" i="4"/>
  <c r="BT774" i="4" s="1"/>
  <c r="BI835" i="4"/>
  <c r="BT835" i="4" s="1"/>
  <c r="BI773" i="4"/>
  <c r="BT773" i="4" s="1"/>
  <c r="BI737" i="4"/>
  <c r="BT737" i="4" s="1"/>
  <c r="BI339" i="4"/>
  <c r="BT339" i="4" s="1"/>
  <c r="BI772" i="4"/>
  <c r="BT772" i="4" s="1"/>
  <c r="BI578" i="4"/>
  <c r="BT578" i="4" s="1"/>
  <c r="BI577" i="4"/>
  <c r="BT577" i="4" s="1"/>
  <c r="BI338" i="4"/>
  <c r="BT338" i="4" s="1"/>
  <c r="BI677" i="4"/>
  <c r="BT677" i="4" s="1"/>
  <c r="BI1108" i="4"/>
  <c r="BT1108" i="4" s="1"/>
  <c r="BI771" i="4"/>
  <c r="BT771" i="4" s="1"/>
  <c r="BI576" i="4"/>
  <c r="BT576" i="4" s="1"/>
  <c r="BI575" i="4"/>
  <c r="BT575" i="4" s="1"/>
  <c r="BI612" i="4"/>
  <c r="BT612" i="4" s="1"/>
  <c r="BI135" i="4"/>
  <c r="BT135" i="4" s="1"/>
  <c r="BI72" i="4"/>
  <c r="BT72" i="4" s="1"/>
  <c r="BI513" i="4"/>
  <c r="BT513" i="4" s="1"/>
  <c r="BI182" i="4"/>
  <c r="BT182" i="4" s="1"/>
  <c r="BI181" i="4"/>
  <c r="BT181" i="4" s="1"/>
  <c r="BI337" i="4"/>
  <c r="BT337" i="4" s="1"/>
  <c r="BI676" i="4"/>
  <c r="BT676" i="4" s="1"/>
  <c r="BI1160" i="4"/>
  <c r="BT1160" i="4" s="1"/>
  <c r="BI336" i="4"/>
  <c r="BT336" i="4" s="1"/>
  <c r="BI949" i="4"/>
  <c r="BT949" i="4" s="1"/>
  <c r="BI335" i="4"/>
  <c r="BT335" i="4" s="1"/>
  <c r="BI675" i="4"/>
  <c r="BT675" i="4" s="1"/>
  <c r="BI101" i="4"/>
  <c r="BT101" i="4" s="1"/>
  <c r="BI334" i="4"/>
  <c r="BT334" i="4" s="1"/>
  <c r="BI333" i="4"/>
  <c r="BT333" i="4" s="1"/>
  <c r="BI674" i="4"/>
  <c r="BT674" i="4" s="1"/>
  <c r="BI1020" i="4"/>
  <c r="BT1020" i="4" s="1"/>
  <c r="BI53" i="4"/>
  <c r="BT53" i="4" s="1"/>
  <c r="BI857" i="4"/>
  <c r="BT857" i="4" s="1"/>
  <c r="BI834" i="4"/>
  <c r="BT834" i="4" s="1"/>
  <c r="BI512" i="4"/>
  <c r="BT512" i="4" s="1"/>
  <c r="BI52" i="4"/>
  <c r="BT52" i="4" s="1"/>
  <c r="BI833" i="4"/>
  <c r="BT833" i="4" s="1"/>
  <c r="BI1196" i="4"/>
  <c r="BT1196" i="4" s="1"/>
  <c r="BI673" i="4"/>
  <c r="BT673" i="4" s="1"/>
  <c r="BI672" i="4"/>
  <c r="BT672" i="4" s="1"/>
  <c r="BI33" i="4"/>
  <c r="BT33" i="4" s="1"/>
  <c r="BI332" i="4"/>
  <c r="BT332" i="4" s="1"/>
  <c r="BI832" i="4"/>
  <c r="BT832" i="4" s="1"/>
  <c r="BI1104" i="4"/>
  <c r="BT1104" i="4" s="1"/>
  <c r="BI1107" i="4"/>
  <c r="BT1107" i="4" s="1"/>
  <c r="BI1066" i="4"/>
  <c r="BT1066" i="4" s="1"/>
  <c r="BI1044" i="4"/>
  <c r="BT1044" i="4" s="1"/>
  <c r="BI1077" i="4"/>
  <c r="BT1077" i="4" s="1"/>
  <c r="BI611" i="4"/>
  <c r="BT611" i="4" s="1"/>
  <c r="BI856" i="4"/>
  <c r="BT856" i="4" s="1"/>
  <c r="BI1038" i="4"/>
  <c r="BT1038" i="4" s="1"/>
  <c r="BI855" i="4"/>
  <c r="BT855" i="4" s="1"/>
  <c r="BI331" i="4"/>
  <c r="BT331" i="4" s="1"/>
  <c r="BI180" i="4"/>
  <c r="BT180" i="4" s="1"/>
  <c r="BI671" i="4"/>
  <c r="BT671" i="4" s="1"/>
  <c r="BI32" i="4"/>
  <c r="BT32" i="4" s="1"/>
  <c r="BI610" i="4"/>
  <c r="BT610" i="4" s="1"/>
  <c r="BI1060" i="4"/>
  <c r="BT1060" i="4" s="1"/>
  <c r="BI1175" i="4"/>
  <c r="BT1175" i="4" s="1"/>
  <c r="BI330" i="4"/>
  <c r="BT330" i="4" s="1"/>
  <c r="BI1059" i="4"/>
  <c r="BT1059" i="4" s="1"/>
  <c r="BI329" i="4"/>
  <c r="BT329" i="4" s="1"/>
  <c r="BI876" i="4"/>
  <c r="BT876" i="4" s="1"/>
  <c r="BI328" i="4"/>
  <c r="BT328" i="4" s="1"/>
  <c r="BI511" i="4"/>
  <c r="BT511" i="4" s="1"/>
  <c r="BI875" i="4"/>
  <c r="BT875" i="4" s="1"/>
  <c r="BI327" i="4"/>
  <c r="BT327" i="4" s="1"/>
  <c r="BI510" i="4"/>
  <c r="BT510" i="4" s="1"/>
  <c r="BI925" i="4"/>
  <c r="BT925" i="4" s="1"/>
  <c r="BI979" i="4"/>
  <c r="BT979" i="4" s="1"/>
  <c r="BI982" i="4"/>
  <c r="BT982" i="4" s="1"/>
  <c r="BI736" i="4"/>
  <c r="BT736" i="4" s="1"/>
  <c r="BI1008" i="4"/>
  <c r="BT1008" i="4" s="1"/>
  <c r="BI326" i="4"/>
  <c r="BT326" i="4" s="1"/>
  <c r="BI874" i="4"/>
  <c r="BT874" i="4" s="1"/>
  <c r="BI31" i="4"/>
  <c r="BT31" i="4" s="1"/>
  <c r="BI873" i="4"/>
  <c r="BT873" i="4" s="1"/>
  <c r="BI670" i="4"/>
  <c r="BT670" i="4" s="1"/>
  <c r="BI179" i="4"/>
  <c r="BT179" i="4" s="1"/>
  <c r="BI71" i="4"/>
  <c r="BT71" i="4" s="1"/>
  <c r="BI1028" i="4"/>
  <c r="BT1028" i="4" s="1"/>
  <c r="BI325" i="4"/>
  <c r="BT325" i="4" s="1"/>
  <c r="BI509" i="4"/>
  <c r="BT509" i="4" s="1"/>
  <c r="BI831" i="4"/>
  <c r="BT831" i="4" s="1"/>
  <c r="BI324" i="4"/>
  <c r="BT324" i="4" s="1"/>
  <c r="BI508" i="4"/>
  <c r="BT508" i="4" s="1"/>
  <c r="BI323" i="4"/>
  <c r="BT323" i="4" s="1"/>
  <c r="BI16" i="4"/>
  <c r="BT16" i="4" s="1"/>
  <c r="BI322" i="4"/>
  <c r="BT322" i="4" s="1"/>
  <c r="BI321" i="4"/>
  <c r="BT321" i="4" s="1"/>
  <c r="BI320" i="4"/>
  <c r="BT320" i="4" s="1"/>
  <c r="BI883" i="4"/>
  <c r="BT883" i="4" s="1"/>
  <c r="BI319" i="4"/>
  <c r="BT319" i="4" s="1"/>
  <c r="BI134" i="4"/>
  <c r="BT134" i="4" s="1"/>
  <c r="BI669" i="4"/>
  <c r="BT669" i="4" s="1"/>
  <c r="BI178" i="4"/>
  <c r="BT178" i="4" s="1"/>
  <c r="BI735" i="4"/>
  <c r="BT735" i="4" s="1"/>
  <c r="BI318" i="4"/>
  <c r="BT318" i="4" s="1"/>
  <c r="BI1195" i="4"/>
  <c r="BT1195" i="4" s="1"/>
  <c r="BI1019" i="4"/>
  <c r="BT1019" i="4" s="1"/>
  <c r="BI830" i="4"/>
  <c r="BT830" i="4" s="1"/>
  <c r="BI1136" i="4"/>
  <c r="BT1136" i="4" s="1"/>
  <c r="BI829" i="4"/>
  <c r="BT829" i="4" s="1"/>
  <c r="BI904" i="4"/>
  <c r="BT904" i="4" s="1"/>
  <c r="BI317" i="4"/>
  <c r="BT317" i="4" s="1"/>
  <c r="BI1076" i="4"/>
  <c r="BT1076" i="4" s="1"/>
  <c r="BI1111" i="4"/>
  <c r="BT1111" i="4" s="1"/>
  <c r="BI574" i="4"/>
  <c r="BT574" i="4" s="1"/>
  <c r="BI1150" i="4"/>
  <c r="BT1150" i="4" s="1"/>
  <c r="BI734" i="4"/>
  <c r="BT734" i="4" s="1"/>
  <c r="BI1103" i="4"/>
  <c r="BT1103" i="4" s="1"/>
  <c r="BI316" i="4"/>
  <c r="BT316" i="4" s="1"/>
  <c r="BI733" i="4"/>
  <c r="BT733" i="4" s="1"/>
  <c r="BI315" i="4"/>
  <c r="BT315" i="4" s="1"/>
  <c r="BI668" i="4"/>
  <c r="BT668" i="4" s="1"/>
  <c r="BI314" i="4"/>
  <c r="BT314" i="4" s="1"/>
  <c r="BI313" i="4"/>
  <c r="BT313" i="4" s="1"/>
  <c r="BI312" i="4"/>
  <c r="BT312" i="4" s="1"/>
  <c r="BI1102" i="4"/>
  <c r="BT1102" i="4" s="1"/>
  <c r="BI100" i="4"/>
  <c r="BT100" i="4" s="1"/>
  <c r="BI507" i="4"/>
  <c r="BT507" i="4" s="1"/>
  <c r="BI609" i="4"/>
  <c r="BT609" i="4" s="1"/>
  <c r="BI99" i="4"/>
  <c r="BT99" i="4" s="1"/>
  <c r="BI667" i="4"/>
  <c r="BT667" i="4" s="1"/>
  <c r="BI506" i="4"/>
  <c r="BT506" i="4" s="1"/>
  <c r="BI828" i="4"/>
  <c r="BT828" i="4" s="1"/>
  <c r="BI1135" i="4"/>
  <c r="BT1135" i="4" s="1"/>
  <c r="BI98" i="4"/>
  <c r="BT98" i="4" s="1"/>
  <c r="BI1143" i="4"/>
  <c r="BT1143" i="4" s="1"/>
  <c r="BI732" i="4"/>
  <c r="BT732" i="4" s="1"/>
  <c r="BI1101" i="4"/>
  <c r="BT1101" i="4" s="1"/>
  <c r="BI770" i="4"/>
  <c r="BT770" i="4" s="1"/>
  <c r="BI1202" i="4"/>
  <c r="BT1202" i="4" s="1"/>
  <c r="BI311" i="4"/>
  <c r="BT311" i="4" s="1"/>
  <c r="BI1134" i="4"/>
  <c r="BT1134" i="4" s="1"/>
  <c r="BI310" i="4"/>
  <c r="BT310" i="4" s="1"/>
  <c r="BI637" i="4"/>
  <c r="BT637" i="4" s="1"/>
  <c r="BI70" i="4"/>
  <c r="BT70" i="4" s="1"/>
  <c r="BI938" i="4"/>
  <c r="BT938" i="4" s="1"/>
  <c r="BI1040" i="4"/>
  <c r="BT1040" i="4" s="1"/>
  <c r="BI69" i="4"/>
  <c r="BT69" i="4" s="1"/>
  <c r="BI309" i="4"/>
  <c r="BT309" i="4" s="1"/>
  <c r="BI988" i="4"/>
  <c r="BT988" i="4" s="1"/>
  <c r="BI1177" i="4"/>
  <c r="BT1177" i="4" s="1"/>
  <c r="BI505" i="4"/>
  <c r="BT505" i="4" s="1"/>
  <c r="BI97" i="4"/>
  <c r="BT97" i="4" s="1"/>
  <c r="BI308" i="4"/>
  <c r="BT308" i="4" s="1"/>
  <c r="BI1156" i="4"/>
  <c r="BT1156" i="4" s="1"/>
  <c r="BI573" i="4"/>
  <c r="BT573" i="4" s="1"/>
  <c r="BI177" i="4"/>
  <c r="BT177" i="4" s="1"/>
  <c r="BI68" i="4"/>
  <c r="BT68" i="4" s="1"/>
  <c r="BI307" i="4"/>
  <c r="BT307" i="4" s="1"/>
  <c r="BI3" i="4"/>
  <c r="BT3" i="4" s="1"/>
  <c r="BI306" i="4"/>
  <c r="BT306" i="4" s="1"/>
  <c r="BI504" i="4"/>
  <c r="BT504" i="4" s="1"/>
  <c r="BI305" i="4"/>
  <c r="BT305" i="4" s="1"/>
  <c r="BI304" i="4"/>
  <c r="BT304" i="4" s="1"/>
  <c r="BI1169" i="4"/>
  <c r="BT1169" i="4" s="1"/>
  <c r="BI1018" i="4"/>
  <c r="BT1018" i="4" s="1"/>
  <c r="BI303" i="4"/>
  <c r="BT303" i="4" s="1"/>
  <c r="BI302" i="4"/>
  <c r="BT302" i="4" s="1"/>
  <c r="BI1017" i="4"/>
  <c r="BT1017" i="4" s="1"/>
  <c r="BI301" i="4"/>
  <c r="BT301" i="4" s="1"/>
  <c r="BI133" i="4"/>
  <c r="BT133" i="4" s="1"/>
  <c r="BI1045" i="4"/>
  <c r="BT1045" i="4" s="1"/>
  <c r="BI1109" i="4"/>
  <c r="BT1109" i="4" s="1"/>
  <c r="BI731" i="4"/>
  <c r="BT731" i="4" s="1"/>
  <c r="BI1200" i="4"/>
  <c r="BT1200" i="4" s="1"/>
  <c r="BI903" i="4"/>
  <c r="BT903" i="4" s="1"/>
  <c r="BI1016" i="4"/>
  <c r="BT1016" i="4" s="1"/>
  <c r="BI1058" i="4"/>
  <c r="BT1058" i="4" s="1"/>
  <c r="BI96" i="4"/>
  <c r="BT96" i="4" s="1"/>
  <c r="BI1145" i="4"/>
  <c r="BT1145" i="4" s="1"/>
  <c r="BI827" i="4"/>
  <c r="BT827" i="4" s="1"/>
  <c r="BI1081" i="4"/>
  <c r="BT1081" i="4" s="1"/>
  <c r="BI15" i="4"/>
  <c r="BT15" i="4" s="1"/>
  <c r="BI730" i="4"/>
  <c r="BT730" i="4" s="1"/>
  <c r="BI999" i="4"/>
  <c r="BT999" i="4" s="1"/>
  <c r="BI300" i="4"/>
  <c r="BT300" i="4" s="1"/>
  <c r="BI572" i="4"/>
  <c r="BT572" i="4" s="1"/>
  <c r="BI977" i="4"/>
  <c r="BT977" i="4" s="1"/>
  <c r="BI299" i="4"/>
  <c r="BT299" i="4" s="1"/>
  <c r="BI924" i="4"/>
  <c r="BT924" i="4" s="1"/>
  <c r="BI298" i="4"/>
  <c r="BT298" i="4" s="1"/>
  <c r="BI729" i="4"/>
  <c r="BT729" i="4" s="1"/>
  <c r="BI571" i="4"/>
  <c r="BT571" i="4" s="1"/>
  <c r="BI1116" i="4"/>
  <c r="BT1116" i="4" s="1"/>
  <c r="BI826" i="4"/>
  <c r="BT826" i="4" s="1"/>
  <c r="BI297" i="4"/>
  <c r="BT297" i="4" s="1"/>
  <c r="BI570" i="4"/>
  <c r="BT570" i="4" s="1"/>
  <c r="BI176" i="4"/>
  <c r="BT176" i="4" s="1"/>
  <c r="BI902" i="4"/>
  <c r="BT902" i="4" s="1"/>
  <c r="BI132" i="4"/>
  <c r="BT132" i="4" s="1"/>
  <c r="BI296" i="4"/>
  <c r="BT296" i="4" s="1"/>
  <c r="BI175" i="4"/>
  <c r="BT175" i="4" s="1"/>
  <c r="BI503" i="4"/>
  <c r="BT503" i="4" s="1"/>
  <c r="BI608" i="4"/>
  <c r="BT608" i="4" s="1"/>
  <c r="BI295" i="4"/>
  <c r="BT295" i="4" s="1"/>
  <c r="BI502" i="4"/>
  <c r="BT502" i="4" s="1"/>
  <c r="BI1065" i="4"/>
  <c r="BT1065" i="4" s="1"/>
  <c r="BI1188" i="4"/>
  <c r="BT1188" i="4" s="1"/>
  <c r="BI1168" i="4"/>
  <c r="BT1168" i="4" s="1"/>
  <c r="BI14" i="4"/>
  <c r="BT14" i="4" s="1"/>
  <c r="BI501" i="4"/>
  <c r="BT501" i="4" s="1"/>
  <c r="BI174" i="4"/>
  <c r="BT174" i="4" s="1"/>
  <c r="BI294" i="4"/>
  <c r="BT294" i="4" s="1"/>
  <c r="BI2" i="4"/>
  <c r="BT2" i="4" s="1"/>
  <c r="BZ2" i="4" s="1"/>
  <c r="CB2" i="4" s="1"/>
  <c r="BI1088" i="4"/>
  <c r="BT1088" i="4" s="1"/>
  <c r="BI131" i="4"/>
  <c r="BT131" i="4" s="1"/>
  <c r="BI173" i="4"/>
  <c r="BT173" i="4" s="1"/>
  <c r="BI172" i="4"/>
  <c r="BT172" i="4" s="1"/>
  <c r="BI293" i="4"/>
  <c r="BT293" i="4" s="1"/>
  <c r="BI967" i="4"/>
  <c r="BT967" i="4" s="1"/>
  <c r="BI872" i="4"/>
  <c r="BT872" i="4" s="1"/>
  <c r="BI30" i="4"/>
  <c r="BT30" i="4" s="1"/>
  <c r="BI292" i="4"/>
  <c r="BT292" i="4" s="1"/>
  <c r="BI171" i="4"/>
  <c r="BT171" i="4" s="1"/>
  <c r="BI569" i="4"/>
  <c r="BT569" i="4" s="1"/>
  <c r="BI291" i="4"/>
  <c r="BT291" i="4" s="1"/>
  <c r="BI825" i="4"/>
  <c r="BT825" i="4" s="1"/>
  <c r="BI290" i="4"/>
  <c r="BT290" i="4" s="1"/>
  <c r="BI130" i="4"/>
  <c r="BT130" i="4" s="1"/>
  <c r="BI568" i="4"/>
  <c r="BT568" i="4" s="1"/>
  <c r="BI948" i="4"/>
  <c r="BT948" i="4" s="1"/>
  <c r="BI500" i="4"/>
  <c r="BT500" i="4" s="1"/>
  <c r="BI937" i="4"/>
  <c r="BT937" i="4" s="1"/>
  <c r="BI95" i="4"/>
  <c r="BT95" i="4" s="1"/>
  <c r="BI67" i="4"/>
  <c r="BT67" i="4" s="1"/>
  <c r="BI1015" i="4"/>
  <c r="BT1015" i="4" s="1"/>
  <c r="BI129" i="4"/>
  <c r="BT129" i="4" s="1"/>
  <c r="BI1133" i="4"/>
  <c r="BT1133" i="4" s="1"/>
  <c r="BI170" i="4"/>
  <c r="BT170" i="4" s="1"/>
  <c r="BI1075" i="4"/>
  <c r="BT1075" i="4" s="1"/>
  <c r="BI51" i="4"/>
  <c r="BT51" i="4" s="1"/>
  <c r="BI932" i="4"/>
  <c r="BT932" i="4" s="1"/>
  <c r="BI962" i="4"/>
  <c r="BT962" i="4" s="1"/>
  <c r="BI50" i="4"/>
  <c r="BT50" i="4" s="1"/>
  <c r="BI289" i="4"/>
  <c r="BT289" i="4" s="1"/>
  <c r="BI1154" i="4"/>
  <c r="BT1154" i="4" s="1"/>
  <c r="BI728" i="4"/>
  <c r="BT728" i="4" s="1"/>
  <c r="BI288" i="4"/>
  <c r="BT288" i="4" s="1"/>
  <c r="BI287" i="4"/>
  <c r="BT287" i="4" s="1"/>
  <c r="BI567" i="4"/>
  <c r="BT567" i="4" s="1"/>
  <c r="BI286" i="4"/>
  <c r="BT286" i="4" s="1"/>
  <c r="BI66" i="4"/>
  <c r="BT66" i="4" s="1"/>
  <c r="BI169" i="4"/>
  <c r="BT169" i="4" s="1"/>
  <c r="BI285" i="4"/>
  <c r="BT285" i="4" s="1"/>
  <c r="BI1132" i="4"/>
  <c r="BT1132" i="4" s="1"/>
  <c r="BI824" i="4"/>
  <c r="BT824" i="4" s="1"/>
  <c r="BI931" i="4"/>
  <c r="BT931" i="4" s="1"/>
  <c r="BI49" i="4"/>
  <c r="BT49" i="4" s="1"/>
  <c r="BI871" i="4"/>
  <c r="BT871" i="4" s="1"/>
  <c r="BI1131" i="4"/>
  <c r="BT1131" i="4" s="1"/>
  <c r="BI976" i="4"/>
  <c r="BT976" i="4" s="1"/>
  <c r="BI823" i="4"/>
  <c r="BT823" i="4" s="1"/>
  <c r="BI822" i="4"/>
  <c r="BT822" i="4" s="1"/>
  <c r="BI821" i="4"/>
  <c r="BT821" i="4" s="1"/>
  <c r="BI1167" i="4"/>
  <c r="BT1167" i="4" s="1"/>
  <c r="BI607" i="4"/>
  <c r="BT607" i="4" s="1"/>
  <c r="BI566" i="4"/>
  <c r="BT566" i="4" s="1"/>
  <c r="BI820" i="4"/>
  <c r="BT820" i="4" s="1"/>
  <c r="BI1070" i="4"/>
  <c r="BT1070" i="4" s="1"/>
  <c r="BI1201" i="4"/>
  <c r="BT1201" i="4" s="1"/>
  <c r="BI284" i="4"/>
  <c r="BT284" i="4" s="1"/>
  <c r="BI1007" i="4"/>
  <c r="BT1007" i="4" s="1"/>
  <c r="BI1057" i="4"/>
  <c r="BT1057" i="4" s="1"/>
  <c r="BI94" i="4"/>
  <c r="BT94" i="4" s="1"/>
  <c r="BI93" i="4"/>
  <c r="BT93" i="4" s="1"/>
  <c r="BI901" i="4"/>
  <c r="BT901" i="4" s="1"/>
  <c r="BI819" i="4"/>
  <c r="BT819" i="4" s="1"/>
  <c r="BI1087" i="4"/>
  <c r="BT1087" i="4" s="1"/>
  <c r="BI818" i="4"/>
  <c r="BT818" i="4" s="1"/>
  <c r="BI283" i="4"/>
  <c r="BT283" i="4" s="1"/>
  <c r="BI48" i="4"/>
  <c r="BT48" i="4" s="1"/>
  <c r="BI1086" i="4"/>
  <c r="BT1086" i="4" s="1"/>
  <c r="BI727" i="4"/>
  <c r="BT727" i="4" s="1"/>
  <c r="BI282" i="4"/>
  <c r="BT282" i="4" s="1"/>
  <c r="BI726" i="4"/>
  <c r="BT726" i="4" s="1"/>
  <c r="BI817" i="4"/>
  <c r="BT817" i="4" s="1"/>
  <c r="BI281" i="4"/>
  <c r="BT281" i="4" s="1"/>
  <c r="BI1130" i="4"/>
  <c r="BT1130" i="4" s="1"/>
  <c r="BI128" i="4"/>
  <c r="BT128" i="4" s="1"/>
  <c r="BI666" i="4"/>
  <c r="BT666" i="4" s="1"/>
  <c r="BI725" i="4"/>
  <c r="BT725" i="4" s="1"/>
  <c r="BI724" i="4"/>
  <c r="BT724" i="4" s="1"/>
  <c r="BI1129" i="4"/>
  <c r="BT1129" i="4" s="1"/>
  <c r="BI92" i="4"/>
  <c r="BT92" i="4" s="1"/>
  <c r="BI882" i="4"/>
  <c r="BT882" i="4" s="1"/>
  <c r="BI127" i="4"/>
  <c r="BT127" i="4" s="1"/>
  <c r="BI1118" i="4"/>
  <c r="BT1118" i="4" s="1"/>
  <c r="BI998" i="4"/>
  <c r="BT998" i="4" s="1"/>
  <c r="BI126" i="4"/>
  <c r="BT126" i="4" s="1"/>
  <c r="BI816" i="4"/>
  <c r="BT816" i="4" s="1"/>
  <c r="BI769" i="4"/>
  <c r="BT769" i="4" s="1"/>
  <c r="BI723" i="4"/>
  <c r="BT723" i="4" s="1"/>
  <c r="BI987" i="4"/>
  <c r="BT987" i="4" s="1"/>
  <c r="BI1106" i="4"/>
  <c r="BT1106" i="4" s="1"/>
  <c r="BI91" i="4"/>
  <c r="BT91" i="4" s="1"/>
  <c r="BI280" i="4"/>
  <c r="BT280" i="4" s="1"/>
  <c r="BI279" i="4"/>
  <c r="BT279" i="4" s="1"/>
  <c r="BI278" i="4"/>
  <c r="BT278" i="4" s="1"/>
  <c r="BI1128" i="4"/>
  <c r="BT1128" i="4" s="1"/>
  <c r="BI565" i="4"/>
  <c r="BT565" i="4" s="1"/>
  <c r="BI90" i="4"/>
  <c r="BT90" i="4" s="1"/>
  <c r="BI499" i="4"/>
  <c r="BT499" i="4" s="1"/>
  <c r="BI168" i="4"/>
  <c r="BT168" i="4" s="1"/>
  <c r="BI498" i="4"/>
  <c r="BT498" i="4" s="1"/>
  <c r="BI125" i="4"/>
  <c r="BT125" i="4" s="1"/>
  <c r="BI1127" i="4"/>
  <c r="BT1127" i="4" s="1"/>
  <c r="BI665" i="4"/>
  <c r="BT665" i="4" s="1"/>
  <c r="BI277" i="4"/>
  <c r="BT277" i="4" s="1"/>
  <c r="BI276" i="4"/>
  <c r="BT276" i="4" s="1"/>
  <c r="BI497" i="4"/>
  <c r="BT497" i="4" s="1"/>
  <c r="BI1142" i="4"/>
  <c r="BT1142" i="4" s="1"/>
  <c r="BI722" i="4"/>
  <c r="BT722" i="4" s="1"/>
  <c r="BI664" i="4"/>
  <c r="BT664" i="4" s="1"/>
  <c r="BI275" i="4"/>
  <c r="BT275" i="4" s="1"/>
  <c r="BI975" i="4"/>
  <c r="BT975" i="4" s="1"/>
  <c r="BI124" i="4"/>
  <c r="BT124" i="4" s="1"/>
  <c r="BI1080" i="4"/>
  <c r="BT1080" i="4" s="1"/>
  <c r="BI900" i="4"/>
  <c r="BT900" i="4" s="1"/>
  <c r="BI274" i="4"/>
  <c r="BT274" i="4" s="1"/>
  <c r="BI815" i="4"/>
  <c r="BT815" i="4" s="1"/>
  <c r="BI814" i="4"/>
  <c r="BT814" i="4" s="1"/>
  <c r="BI123" i="4"/>
  <c r="BT123" i="4" s="1"/>
  <c r="BI122" i="4"/>
  <c r="BT122" i="4" s="1"/>
  <c r="BI721" i="4"/>
  <c r="BT721" i="4" s="1"/>
  <c r="BI121" i="4"/>
  <c r="BT121" i="4" s="1"/>
  <c r="BI273" i="4"/>
  <c r="BT273" i="4" s="1"/>
  <c r="BI813" i="4"/>
  <c r="BT813" i="4" s="1"/>
  <c r="BI663" i="4"/>
  <c r="BT663" i="4" s="1"/>
  <c r="BI812" i="4"/>
  <c r="BT812" i="4" s="1"/>
  <c r="BI1056" i="4"/>
  <c r="BT1056" i="4" s="1"/>
  <c r="BI768" i="4"/>
  <c r="BT768" i="4" s="1"/>
  <c r="BI564" i="4"/>
  <c r="BT564" i="4" s="1"/>
  <c r="BI89" i="4"/>
  <c r="BT89" i="4" s="1"/>
  <c r="BI767" i="4"/>
  <c r="BT767" i="4" s="1"/>
  <c r="BI811" i="4"/>
  <c r="BT811" i="4" s="1"/>
  <c r="BI720" i="4"/>
  <c r="BT720" i="4" s="1"/>
  <c r="BI167" i="4"/>
  <c r="BT167" i="4" s="1"/>
  <c r="BI958" i="4"/>
  <c r="BT958" i="4" s="1"/>
  <c r="BI766" i="4"/>
  <c r="BT766" i="4" s="1"/>
  <c r="BI810" i="4"/>
  <c r="BT810" i="4" s="1"/>
  <c r="BI1148" i="4"/>
  <c r="BT1148" i="4" s="1"/>
  <c r="BI809" i="4"/>
  <c r="BT809" i="4" s="1"/>
  <c r="BI662" i="4"/>
  <c r="BT662" i="4" s="1"/>
  <c r="BI661" i="4"/>
  <c r="BT661" i="4" s="1"/>
  <c r="BI808" i="4"/>
  <c r="BT808" i="4" s="1"/>
  <c r="BI765" i="4"/>
  <c r="BT765" i="4" s="1"/>
  <c r="BI272" i="4"/>
  <c r="BT272" i="4" s="1"/>
  <c r="BI271" i="4"/>
  <c r="BT271" i="4" s="1"/>
  <c r="BI88" i="4"/>
  <c r="BT88" i="4" s="1"/>
  <c r="BI563" i="4"/>
  <c r="BT563" i="4" s="1"/>
  <c r="BI719" i="4"/>
  <c r="BT719" i="4" s="1"/>
  <c r="BI974" i="4"/>
  <c r="BT974" i="4" s="1"/>
  <c r="BI13" i="4"/>
  <c r="BT13" i="4" s="1"/>
  <c r="BI166" i="4"/>
  <c r="BT166" i="4" s="1"/>
  <c r="BI636" i="4"/>
  <c r="BT636" i="4" s="1"/>
  <c r="BI1149" i="4"/>
  <c r="BT1149" i="4" s="1"/>
  <c r="BI807" i="4"/>
  <c r="BT807" i="4" s="1"/>
  <c r="BI764" i="4"/>
  <c r="BT764" i="4" s="1"/>
  <c r="BI496" i="4"/>
  <c r="BT496" i="4" s="1"/>
  <c r="BI165" i="4"/>
  <c r="BT165" i="4" s="1"/>
  <c r="BI961" i="4"/>
  <c r="BT961" i="4" s="1"/>
  <c r="BI986" i="4"/>
  <c r="BT986" i="4" s="1"/>
  <c r="BI718" i="4"/>
  <c r="BT718" i="4" s="1"/>
  <c r="BI270" i="4"/>
  <c r="BT270" i="4" s="1"/>
  <c r="BI562" i="4"/>
  <c r="BT562" i="4" s="1"/>
  <c r="BI923" i="4"/>
  <c r="BT923" i="4" s="1"/>
  <c r="BI269" i="4"/>
  <c r="BT269" i="4" s="1"/>
  <c r="BI717" i="4"/>
  <c r="BT717" i="4" s="1"/>
  <c r="BI29" i="4"/>
  <c r="BT29" i="4" s="1"/>
  <c r="BI65" i="4"/>
  <c r="BT65" i="4" s="1"/>
  <c r="BI806" i="4"/>
  <c r="BT806" i="4" s="1"/>
  <c r="BI120" i="4"/>
  <c r="BT120" i="4" s="1"/>
  <c r="BI763" i="4"/>
  <c r="BT763" i="4" s="1"/>
  <c r="BI495" i="4"/>
  <c r="BT495" i="4" s="1"/>
  <c r="BI930" i="4"/>
  <c r="BT930" i="4" s="1"/>
  <c r="BI268" i="4"/>
  <c r="BT268" i="4" s="1"/>
  <c r="BI716" i="4"/>
  <c r="BT716" i="4" s="1"/>
  <c r="BI164" i="4"/>
  <c r="BT164" i="4" s="1"/>
  <c r="BI805" i="4"/>
  <c r="BT805" i="4" s="1"/>
  <c r="BI267" i="4"/>
  <c r="BT267" i="4" s="1"/>
  <c r="BI715" i="4"/>
  <c r="BT715" i="4" s="1"/>
  <c r="BI494" i="4"/>
  <c r="BT494" i="4" s="1"/>
  <c r="BI804" i="4"/>
  <c r="BT804" i="4" s="1"/>
  <c r="BI606" i="4"/>
  <c r="BT606" i="4" s="1"/>
  <c r="BI1055" i="4"/>
  <c r="BT1055" i="4" s="1"/>
  <c r="BI660" i="4"/>
  <c r="BT660" i="4" s="1"/>
  <c r="BI929" i="4"/>
  <c r="BT929" i="4" s="1"/>
  <c r="BI605" i="4"/>
  <c r="BT605" i="4" s="1"/>
  <c r="BI803" i="4"/>
  <c r="BT803" i="4" s="1"/>
  <c r="BI493" i="4"/>
  <c r="BT493" i="4" s="1"/>
  <c r="BI870" i="4"/>
  <c r="BT870" i="4" s="1"/>
  <c r="BI1126" i="4"/>
  <c r="BT1126" i="4" s="1"/>
  <c r="BI119" i="4"/>
  <c r="BT119" i="4" s="1"/>
  <c r="BI266" i="4"/>
  <c r="BT266" i="4" s="1"/>
  <c r="BI492" i="4"/>
  <c r="BT492" i="4" s="1"/>
  <c r="BI659" i="4"/>
  <c r="BT659" i="4" s="1"/>
  <c r="BI802" i="4"/>
  <c r="BT802" i="4" s="1"/>
  <c r="BI1072" i="4"/>
  <c r="BT1072" i="4" s="1"/>
  <c r="BI265" i="4"/>
  <c r="BT265" i="4" s="1"/>
  <c r="BI604" i="4"/>
  <c r="BT604" i="4" s="1"/>
  <c r="BI801" i="4"/>
  <c r="BT801" i="4" s="1"/>
  <c r="BI658" i="4"/>
  <c r="BT658" i="4" s="1"/>
  <c r="BI491" i="4"/>
  <c r="BT491" i="4" s="1"/>
  <c r="BI800" i="4"/>
  <c r="BT800" i="4" s="1"/>
  <c r="BI657" i="4"/>
  <c r="BT657" i="4" s="1"/>
  <c r="BI656" i="4"/>
  <c r="BT656" i="4" s="1"/>
  <c r="BI714" i="4"/>
  <c r="BT714" i="4" s="1"/>
  <c r="BI799" i="4"/>
  <c r="BT799" i="4" s="1"/>
  <c r="BI854" i="4"/>
  <c r="BT854" i="4" s="1"/>
  <c r="BI264" i="4"/>
  <c r="BT264" i="4" s="1"/>
  <c r="BI163" i="4"/>
  <c r="BT163" i="4" s="1"/>
  <c r="BI603" i="4"/>
  <c r="BT603" i="4" s="1"/>
  <c r="BI713" i="4"/>
  <c r="BT713" i="4" s="1"/>
  <c r="BI928" i="4"/>
  <c r="BT928" i="4" s="1"/>
  <c r="BI655" i="4"/>
  <c r="BT655" i="4" s="1"/>
  <c r="BI922" i="4"/>
  <c r="BT922" i="4" s="1"/>
  <c r="BI490" i="4"/>
  <c r="BT490" i="4" s="1"/>
  <c r="BI762" i="4"/>
  <c r="BT762" i="4" s="1"/>
  <c r="BI602" i="4"/>
  <c r="BT602" i="4" s="1"/>
  <c r="BI263" i="4"/>
  <c r="BT263" i="4" s="1"/>
  <c r="BI601" i="4"/>
  <c r="BT601" i="4" s="1"/>
  <c r="BI981" i="4"/>
  <c r="BT981" i="4" s="1"/>
  <c r="BI973" i="4"/>
  <c r="BT973" i="4" s="1"/>
  <c r="BI798" i="4"/>
  <c r="BT798" i="4" s="1"/>
  <c r="BI980" i="4"/>
  <c r="BT980" i="4" s="1"/>
  <c r="BI712" i="4"/>
  <c r="BT712" i="4" s="1"/>
  <c r="BI797" i="4"/>
  <c r="BT797" i="4" s="1"/>
  <c r="BI262" i="4"/>
  <c r="BT262" i="4" s="1"/>
  <c r="BI261" i="4"/>
  <c r="BT261" i="4" s="1"/>
  <c r="BI87" i="4"/>
  <c r="BT87" i="4" s="1"/>
  <c r="BI796" i="4"/>
  <c r="BT796" i="4" s="1"/>
  <c r="BI711" i="4"/>
  <c r="BT711" i="4" s="1"/>
  <c r="BI654" i="4"/>
  <c r="BT654" i="4" s="1"/>
  <c r="BI761" i="4"/>
  <c r="BT761" i="4" s="1"/>
  <c r="BI795" i="4"/>
  <c r="BT795" i="4" s="1"/>
  <c r="BI561" i="4"/>
  <c r="BT561" i="4" s="1"/>
  <c r="BI600" i="4"/>
  <c r="BT600" i="4" s="1"/>
  <c r="BI794" i="4"/>
  <c r="BT794" i="4" s="1"/>
  <c r="BI1171" i="4"/>
  <c r="BT1171" i="4" s="1"/>
  <c r="BI921" i="4"/>
  <c r="BT921" i="4" s="1"/>
  <c r="BI162" i="4"/>
  <c r="BT162" i="4" s="1"/>
  <c r="BI899" i="4"/>
  <c r="BT899" i="4" s="1"/>
  <c r="BI793" i="4"/>
  <c r="BT793" i="4" s="1"/>
  <c r="BI1064" i="4"/>
  <c r="BT1064" i="4" s="1"/>
  <c r="BI710" i="4"/>
  <c r="BT710" i="4" s="1"/>
  <c r="BI599" i="4"/>
  <c r="BT599" i="4" s="1"/>
  <c r="BI1125" i="4"/>
  <c r="BT1125" i="4" s="1"/>
  <c r="BI86" i="4"/>
  <c r="BT86" i="4" s="1"/>
  <c r="BI1027" i="4"/>
  <c r="BT1027" i="4" s="1"/>
  <c r="BI1099" i="4"/>
  <c r="BT1099" i="4" s="1"/>
  <c r="BI1179" i="4"/>
  <c r="BT1179" i="4" s="1"/>
  <c r="BI260" i="4"/>
  <c r="BT260" i="4" s="1"/>
  <c r="BI1069" i="4"/>
  <c r="BT1069" i="4" s="1"/>
  <c r="BI1095" i="4"/>
  <c r="BT1095" i="4" s="1"/>
  <c r="BI653" i="4"/>
  <c r="BT653" i="4" s="1"/>
  <c r="BI652" i="4"/>
  <c r="BT652" i="4" s="1"/>
  <c r="BI1014" i="4"/>
  <c r="BT1014" i="4" s="1"/>
  <c r="BI792" i="4"/>
  <c r="BT792" i="4" s="1"/>
  <c r="BI651" i="4"/>
  <c r="BT651" i="4" s="1"/>
  <c r="BI1098" i="4"/>
  <c r="BT1098" i="4" s="1"/>
  <c r="BI1026" i="4"/>
  <c r="BT1026" i="4" s="1"/>
  <c r="BI791" i="4"/>
  <c r="BT791" i="4" s="1"/>
  <c r="BI1013" i="4"/>
  <c r="BT1013" i="4" s="1"/>
  <c r="BI1100" i="4"/>
  <c r="BT1100" i="4" s="1"/>
  <c r="BI936" i="4"/>
  <c r="BT936" i="4" s="1"/>
  <c r="BI1141" i="4"/>
  <c r="BT1141" i="4" s="1"/>
  <c r="BI1184" i="4"/>
  <c r="BT1184" i="4" s="1"/>
  <c r="BI1115" i="4"/>
  <c r="BT1115" i="4" s="1"/>
  <c r="BI997" i="4"/>
  <c r="BT997" i="4" s="1"/>
  <c r="BI966" i="4"/>
  <c r="BT966" i="4" s="1"/>
  <c r="BI996" i="4"/>
  <c r="BT996" i="4" s="1"/>
  <c r="BI64" i="4"/>
  <c r="BT64" i="4" s="1"/>
  <c r="BI1074" i="4"/>
  <c r="BT1074" i="4" s="1"/>
  <c r="BI1037" i="4"/>
  <c r="BT1037" i="4" s="1"/>
  <c r="BI920" i="4"/>
  <c r="BT920" i="4" s="1"/>
  <c r="BI1090" i="4"/>
  <c r="BT1090" i="4" s="1"/>
  <c r="BI560" i="4"/>
  <c r="BT560" i="4" s="1"/>
  <c r="BI1192" i="4"/>
  <c r="BT1192" i="4" s="1"/>
  <c r="BI760" i="4"/>
  <c r="BT760" i="4" s="1"/>
  <c r="BI869" i="4"/>
  <c r="BT869" i="4" s="1"/>
  <c r="BI957" i="4"/>
  <c r="BT957" i="4" s="1"/>
  <c r="BI972" i="4"/>
  <c r="BT972" i="4" s="1"/>
  <c r="BI85" i="4"/>
  <c r="BT85" i="4" s="1"/>
  <c r="BI790" i="4"/>
  <c r="BT790" i="4" s="1"/>
  <c r="BI1152" i="4"/>
  <c r="BT1152" i="4" s="1"/>
  <c r="BI868" i="4"/>
  <c r="BT868" i="4" s="1"/>
  <c r="BI1124" i="4"/>
  <c r="BT1124" i="4" s="1"/>
  <c r="BI919" i="4"/>
  <c r="BT919" i="4" s="1"/>
  <c r="BI1039" i="4"/>
  <c r="BT1039" i="4" s="1"/>
  <c r="BI489" i="4"/>
  <c r="BT489" i="4" s="1"/>
  <c r="BI918" i="4"/>
  <c r="BT918" i="4" s="1"/>
  <c r="BI259" i="4"/>
  <c r="BT259" i="4" s="1"/>
  <c r="BI947" i="4"/>
  <c r="BT947" i="4" s="1"/>
  <c r="BI559" i="4"/>
  <c r="BT559" i="4" s="1"/>
  <c r="BI1191" i="4"/>
  <c r="BT1191" i="4" s="1"/>
  <c r="BI1194" i="4"/>
  <c r="BT1194" i="4" s="1"/>
  <c r="BI917" i="4"/>
  <c r="BT917" i="4" s="1"/>
  <c r="BI1174" i="4"/>
  <c r="BT1174" i="4" s="1"/>
  <c r="BI1025" i="4"/>
  <c r="BT1025" i="4" s="1"/>
  <c r="BI558" i="4"/>
  <c r="BT558" i="4" s="1"/>
  <c r="BI867" i="4"/>
  <c r="BT867" i="4" s="1"/>
  <c r="BI853" i="4"/>
  <c r="BT853" i="4" s="1"/>
  <c r="BI852" i="4"/>
  <c r="BT852" i="4" s="1"/>
  <c r="BI1085" i="4"/>
  <c r="BT1085" i="4" s="1"/>
  <c r="BI1071" i="4"/>
  <c r="BT1071" i="4" s="1"/>
  <c r="BI258" i="4"/>
  <c r="BT258" i="4" s="1"/>
  <c r="BI759" i="4"/>
  <c r="BT759" i="4" s="1"/>
  <c r="BI995" i="4"/>
  <c r="BT995" i="4" s="1"/>
  <c r="BI257" i="4"/>
  <c r="BT257" i="4" s="1"/>
  <c r="BI1094" i="4"/>
  <c r="BT1094" i="4" s="1"/>
  <c r="BI994" i="4"/>
  <c r="BT994" i="4" s="1"/>
  <c r="BI1054" i="4"/>
  <c r="BT1054" i="4" s="1"/>
  <c r="BI946" i="4"/>
  <c r="BT946" i="4" s="1"/>
  <c r="BI28" i="4"/>
  <c r="BT28" i="4" s="1"/>
  <c r="BI1140" i="4"/>
  <c r="BT1140" i="4" s="1"/>
  <c r="BI256" i="4"/>
  <c r="BT256" i="4" s="1"/>
  <c r="BI1197" i="4"/>
  <c r="BT1197" i="4" s="1"/>
  <c r="BI598" i="4"/>
  <c r="BT598" i="4" s="1"/>
  <c r="BI993" i="4"/>
  <c r="BT993" i="4" s="1"/>
  <c r="BI758" i="4"/>
  <c r="BT758" i="4" s="1"/>
  <c r="BI945" i="4"/>
  <c r="BT945" i="4" s="1"/>
  <c r="BI992" i="4"/>
  <c r="BT992" i="4" s="1"/>
  <c r="BI1012" i="4"/>
  <c r="BT1012" i="4" s="1"/>
  <c r="BI866" i="4"/>
  <c r="BT866" i="4" s="1"/>
  <c r="BI255" i="4"/>
  <c r="BT255" i="4" s="1"/>
  <c r="BI1187" i="4"/>
  <c r="BT1187" i="4" s="1"/>
  <c r="BI709" i="4"/>
  <c r="BT709" i="4" s="1"/>
  <c r="BI47" i="4"/>
  <c r="BT47" i="4" s="1"/>
  <c r="BI1164" i="4"/>
  <c r="BT1164" i="4" s="1"/>
  <c r="BI991" i="4"/>
  <c r="BT991" i="4" s="1"/>
  <c r="BI161" i="4"/>
  <c r="BT161" i="4" s="1"/>
  <c r="BI971" i="4"/>
  <c r="BT971" i="4" s="1"/>
  <c r="BI898" i="4"/>
  <c r="BT898" i="4" s="1"/>
  <c r="BI254" i="4"/>
  <c r="BT254" i="4" s="1"/>
  <c r="BI1182" i="4"/>
  <c r="BT1182" i="4" s="1"/>
  <c r="BI916" i="4"/>
  <c r="BT916" i="4" s="1"/>
  <c r="BI1011" i="4"/>
  <c r="BT1011" i="4" s="1"/>
  <c r="BI1006" i="4"/>
  <c r="BT1006" i="4" s="1"/>
  <c r="BI1165" i="4"/>
  <c r="BT1165" i="4" s="1"/>
  <c r="BI1005" i="4"/>
  <c r="BT1005" i="4" s="1"/>
  <c r="BI927" i="4"/>
  <c r="BT927" i="4" s="1"/>
  <c r="BI253" i="4"/>
  <c r="BT253" i="4" s="1"/>
  <c r="BI708" i="4"/>
  <c r="BT708" i="4" s="1"/>
  <c r="BI897" i="4"/>
  <c r="BT897" i="4" s="1"/>
  <c r="BI46" i="4"/>
  <c r="BT46" i="4" s="1"/>
  <c r="BI650" i="4"/>
  <c r="BT650" i="4" s="1"/>
  <c r="BI896" i="4"/>
  <c r="BT896" i="4" s="1"/>
  <c r="BI970" i="4"/>
  <c r="BT970" i="4" s="1"/>
  <c r="BI488" i="4"/>
  <c r="BT488" i="4" s="1"/>
  <c r="BI1068" i="4"/>
  <c r="BT1068" i="4" s="1"/>
  <c r="BI965" i="4"/>
  <c r="BT965" i="4" s="1"/>
  <c r="BI84" i="4"/>
  <c r="BT84" i="4" s="1"/>
  <c r="BI487" i="4"/>
  <c r="BT487" i="4" s="1"/>
  <c r="BI649" i="4"/>
  <c r="BT649" i="4" s="1"/>
  <c r="BI252" i="4"/>
  <c r="BT252" i="4" s="1"/>
  <c r="BI895" i="4"/>
  <c r="BT895" i="4" s="1"/>
  <c r="BI160" i="4"/>
  <c r="BT160" i="4" s="1"/>
  <c r="BI1079" i="4"/>
  <c r="BT1079" i="4" s="1"/>
  <c r="BI1004" i="4"/>
  <c r="BT1004" i="4" s="1"/>
  <c r="BI12" i="4"/>
  <c r="BT12" i="4" s="1"/>
  <c r="BI486" i="4"/>
  <c r="BT486" i="4" s="1"/>
  <c r="BI1036" i="4"/>
  <c r="BT1036" i="4" s="1"/>
  <c r="BI485" i="4"/>
  <c r="BT485" i="4" s="1"/>
  <c r="BI1053" i="4"/>
  <c r="BT1053" i="4" s="1"/>
  <c r="BI251" i="4"/>
  <c r="BT251" i="4" s="1"/>
  <c r="BI250" i="4"/>
  <c r="BT250" i="4" s="1"/>
  <c r="BI894" i="4"/>
  <c r="BT894" i="4" s="1"/>
  <c r="BI1035" i="4"/>
  <c r="BT1035" i="4" s="1"/>
  <c r="BI1089" i="4"/>
  <c r="BT1089" i="4" s="1"/>
  <c r="BI648" i="4"/>
  <c r="BT648" i="4" s="1"/>
  <c r="BI159" i="4"/>
  <c r="BT159" i="4" s="1"/>
  <c r="BI1105" i="4"/>
  <c r="BT1105" i="4" s="1"/>
  <c r="BI915" i="4"/>
  <c r="BT915" i="4" s="1"/>
  <c r="BI1052" i="4"/>
  <c r="BT1052" i="4" s="1"/>
  <c r="BI647" i="4"/>
  <c r="BT647" i="4" s="1"/>
  <c r="BI1034" i="4"/>
  <c r="BT1034" i="4" s="1"/>
  <c r="BI914" i="4"/>
  <c r="BT914" i="4" s="1"/>
  <c r="BI249" i="4"/>
  <c r="BT249" i="4" s="1"/>
  <c r="BI1033" i="4"/>
  <c r="BT1033" i="4" s="1"/>
  <c r="BI1003" i="4"/>
  <c r="BT1003" i="4" s="1"/>
  <c r="BI1032" i="4"/>
  <c r="BT1032" i="4" s="1"/>
  <c r="BI881" i="4"/>
  <c r="BT881" i="4" s="1"/>
  <c r="BI484" i="4"/>
  <c r="BT484" i="4" s="1"/>
  <c r="BI248" i="4"/>
  <c r="BT248" i="4" s="1"/>
  <c r="BI1031" i="4"/>
  <c r="BT1031" i="4" s="1"/>
  <c r="BI707" i="4"/>
  <c r="BT707" i="4" s="1"/>
  <c r="BI985" i="4"/>
  <c r="BT985" i="4" s="1"/>
  <c r="BI984" i="4"/>
  <c r="BT984" i="4" s="1"/>
  <c r="BI646" i="4"/>
  <c r="BT646" i="4" s="1"/>
  <c r="BI1030" i="4"/>
  <c r="BT1030" i="4" s="1"/>
  <c r="BI247" i="4"/>
  <c r="BT247" i="4" s="1"/>
  <c r="BI1183" i="4"/>
  <c r="BT1183" i="4" s="1"/>
  <c r="BI1051" i="4"/>
  <c r="BT1051" i="4" s="1"/>
  <c r="BI246" i="4"/>
  <c r="BT246" i="4" s="1"/>
  <c r="BI969" i="4"/>
  <c r="BT969" i="4" s="1"/>
  <c r="BI706" i="4"/>
  <c r="BT706" i="4" s="1"/>
  <c r="BI705" i="4"/>
  <c r="BT705" i="4" s="1"/>
  <c r="BI645" i="4"/>
  <c r="BT645" i="4" s="1"/>
  <c r="BI704" i="4"/>
  <c r="BT704" i="4" s="1"/>
  <c r="BI944" i="4"/>
  <c r="BT944" i="4" s="1"/>
  <c r="BI644" i="4"/>
  <c r="BT644" i="4" s="1"/>
  <c r="BI1029" i="4"/>
  <c r="BT1029" i="4" s="1"/>
  <c r="BI703" i="4"/>
  <c r="BT703" i="4" s="1"/>
  <c r="BI702" i="4"/>
  <c r="BT702" i="4" s="1"/>
  <c r="BI1123" i="4"/>
  <c r="BT1123" i="4" s="1"/>
  <c r="BI1173" i="4"/>
  <c r="BT1173" i="4" s="1"/>
  <c r="BI893" i="4"/>
  <c r="BT893" i="4" s="1"/>
  <c r="BI245" i="4"/>
  <c r="BT245" i="4" s="1"/>
  <c r="BI892" i="4"/>
  <c r="BT892" i="4" s="1"/>
  <c r="BI1084" i="4"/>
  <c r="BT1084" i="4" s="1"/>
  <c r="BI891" i="4"/>
  <c r="BT891" i="4" s="1"/>
  <c r="BI557" i="4"/>
  <c r="BT557" i="4" s="1"/>
  <c r="BI158" i="4"/>
  <c r="BT158" i="4" s="1"/>
  <c r="BI1050" i="4"/>
  <c r="BT1050" i="4" s="1"/>
  <c r="BI244" i="4"/>
  <c r="BT244" i="4" s="1"/>
  <c r="BI643" i="4"/>
  <c r="BT643" i="4" s="1"/>
  <c r="BI1067" i="4"/>
  <c r="BT1067" i="4" s="1"/>
  <c r="BI642" i="4"/>
  <c r="BT642" i="4" s="1"/>
  <c r="BI890" i="4"/>
  <c r="BT890" i="4" s="1"/>
  <c r="BI118" i="4"/>
  <c r="BT118" i="4" s="1"/>
  <c r="BI880" i="4"/>
  <c r="BT880" i="4" s="1"/>
  <c r="BI789" i="4"/>
  <c r="BT789" i="4" s="1"/>
  <c r="BI889" i="4"/>
  <c r="BT889" i="4" s="1"/>
  <c r="BI1024" i="4"/>
  <c r="BT1024" i="4" s="1"/>
  <c r="BI243" i="4"/>
  <c r="BT243" i="4" s="1"/>
  <c r="BI1120" i="4"/>
  <c r="BT1120" i="4" s="1"/>
  <c r="BI701" i="4"/>
  <c r="BT701" i="4" s="1"/>
  <c r="BI978" i="4"/>
  <c r="BT978" i="4" s="1"/>
  <c r="BI242" i="4"/>
  <c r="BT242" i="4" s="1"/>
  <c r="BI157" i="4"/>
  <c r="BT157" i="4" s="1"/>
  <c r="BI641" i="4"/>
  <c r="BT641" i="4" s="1"/>
  <c r="BI63" i="4"/>
  <c r="BT63" i="4" s="1"/>
  <c r="BI1170" i="4"/>
  <c r="BT1170" i="4" s="1"/>
  <c r="BI45" i="4"/>
  <c r="BT45" i="4" s="1"/>
  <c r="BI156" i="4"/>
  <c r="BT156" i="4" s="1"/>
  <c r="BI241" i="4"/>
  <c r="BT241" i="4" s="1"/>
  <c r="BI62" i="4"/>
  <c r="BT62" i="4" s="1"/>
  <c r="BI784" i="4"/>
  <c r="BT784" i="4" s="1"/>
  <c r="BI483" i="4"/>
  <c r="BT483" i="4" s="1"/>
  <c r="BI1153" i="4"/>
  <c r="BT1153" i="4" s="1"/>
  <c r="BI700" i="4"/>
  <c r="BT700" i="4" s="1"/>
  <c r="BI1043" i="4"/>
  <c r="BT1043" i="4" s="1"/>
  <c r="BI155" i="4"/>
  <c r="BT155" i="4" s="1"/>
  <c r="BI1110" i="4"/>
  <c r="BT1110" i="4" s="1"/>
  <c r="BI865" i="4"/>
  <c r="BT865" i="4" s="1"/>
  <c r="BI1122" i="4"/>
  <c r="BT1122" i="4" s="1"/>
  <c r="BI240" i="4"/>
  <c r="BT240" i="4" s="1"/>
  <c r="BI11" i="4"/>
  <c r="BT11" i="4" s="1"/>
  <c r="BI556" i="4"/>
  <c r="BT556" i="4" s="1"/>
  <c r="BI10" i="4"/>
  <c r="BT10" i="4" s="1"/>
  <c r="BI788" i="4"/>
  <c r="BT788" i="4" s="1"/>
  <c r="BI597" i="4"/>
  <c r="BT597" i="4" s="1"/>
  <c r="BI27" i="4"/>
  <c r="BT27" i="4" s="1"/>
  <c r="BI888" i="4"/>
  <c r="BT888" i="4" s="1"/>
  <c r="BI239" i="4"/>
  <c r="BT239" i="4" s="1"/>
  <c r="BI699" i="4"/>
  <c r="BT699" i="4" s="1"/>
  <c r="BI238" i="4"/>
  <c r="BT238" i="4" s="1"/>
  <c r="BI1049" i="4"/>
  <c r="BT1049" i="4" s="1"/>
  <c r="BI787" i="4"/>
  <c r="BT787" i="4" s="1"/>
  <c r="BI1042" i="4"/>
  <c r="BT1042" i="4" s="1"/>
  <c r="BI1166" i="4"/>
  <c r="BT1166" i="4" s="1"/>
  <c r="BI482" i="4"/>
  <c r="BT482" i="4" s="1"/>
  <c r="BI1190" i="4"/>
  <c r="BT1190" i="4" s="1"/>
  <c r="BI1204" i="4"/>
  <c r="BT1204" i="4" s="1"/>
  <c r="BI1147" i="4"/>
  <c r="BT1147" i="4" s="1"/>
  <c r="BI9" i="4"/>
  <c r="BT9" i="4" s="1"/>
  <c r="BI481" i="4"/>
  <c r="BT481" i="4" s="1"/>
  <c r="BI8" i="4"/>
  <c r="BT8" i="4" s="1"/>
  <c r="BI968" i="4"/>
  <c r="BT968" i="4" s="1"/>
  <c r="BI237" i="4"/>
  <c r="BT237" i="4" s="1"/>
  <c r="BI117" i="4"/>
  <c r="BT117" i="4" s="1"/>
  <c r="BI786" i="4"/>
  <c r="BT786" i="4" s="1"/>
  <c r="BI116" i="4"/>
  <c r="BT116" i="4" s="1"/>
  <c r="BI480" i="4"/>
  <c r="BT480" i="4" s="1"/>
  <c r="BI479" i="4"/>
  <c r="BT479" i="4" s="1"/>
  <c r="BI1010" i="4"/>
  <c r="BT1010" i="4" s="1"/>
  <c r="BI154" i="4"/>
  <c r="BT154" i="4" s="1"/>
  <c r="BI236" i="4"/>
  <c r="BT236" i="4" s="1"/>
  <c r="BI115" i="4"/>
  <c r="BT115" i="4" s="1"/>
  <c r="BI1178" i="4"/>
  <c r="BT1178" i="4" s="1"/>
  <c r="BI235" i="4"/>
  <c r="BT235" i="4" s="1"/>
  <c r="BI234" i="4"/>
  <c r="BT234" i="4" s="1"/>
  <c r="BI1181" i="4"/>
  <c r="BT1181" i="4" s="1"/>
  <c r="BI1144" i="4"/>
  <c r="BT1144" i="4" s="1"/>
  <c r="BI1155" i="4"/>
  <c r="BT1155" i="4" s="1"/>
  <c r="BI153" i="4"/>
  <c r="BT153" i="4" s="1"/>
  <c r="BI1063" i="4"/>
  <c r="BT1063" i="4" s="1"/>
  <c r="BI1205" i="4"/>
  <c r="BT1205" i="4" s="1"/>
  <c r="BI83" i="4"/>
  <c r="BT83" i="4" s="1"/>
  <c r="BI887" i="4"/>
  <c r="BT887" i="4" s="1"/>
  <c r="BI82" i="4"/>
  <c r="BT82" i="4" s="1"/>
  <c r="BI757" i="4"/>
  <c r="BT757" i="4" s="1"/>
  <c r="BI698" i="4"/>
  <c r="BT698" i="4" s="1"/>
  <c r="BI555" i="4"/>
  <c r="BT555" i="4" s="1"/>
  <c r="BI233" i="4"/>
  <c r="BT233" i="4" s="1"/>
  <c r="BI478" i="4"/>
  <c r="BT478" i="4" s="1"/>
  <c r="BI1062" i="4"/>
  <c r="BT1062" i="4" s="1"/>
  <c r="BI956" i="4"/>
  <c r="BT956" i="4" s="1"/>
  <c r="BI1048" i="4"/>
  <c r="BT1048" i="4" s="1"/>
  <c r="BI1119" i="4"/>
  <c r="BT1119" i="4" s="1"/>
  <c r="BI152" i="4"/>
  <c r="BT152" i="4" s="1"/>
  <c r="BI477" i="4"/>
  <c r="BT477" i="4" s="1"/>
  <c r="BI1121" i="4"/>
  <c r="BT1121" i="4" s="1"/>
  <c r="BI61" i="4"/>
  <c r="BT61" i="4" s="1"/>
  <c r="BI232" i="4"/>
  <c r="BT232" i="4" s="1"/>
  <c r="BI1193" i="4"/>
  <c r="BT1193" i="4" s="1"/>
  <c r="BI1009" i="4"/>
  <c r="BT1009" i="4" s="1"/>
  <c r="BI990" i="4"/>
  <c r="BT990" i="4" s="1"/>
  <c r="BI983" i="4"/>
  <c r="BT983" i="4" s="1"/>
  <c r="BI44" i="4"/>
  <c r="BT44" i="4" s="1"/>
  <c r="BI886" i="4"/>
  <c r="BT886" i="4" s="1"/>
  <c r="BI913" i="4"/>
  <c r="BT913" i="4" s="1"/>
  <c r="BI1047" i="4"/>
  <c r="BT1047" i="4" s="1"/>
  <c r="BI476" i="4"/>
  <c r="BT476" i="4" s="1"/>
  <c r="BI912" i="4"/>
  <c r="BT912" i="4" s="1"/>
  <c r="BI1046" i="4"/>
  <c r="BT1046" i="4" s="1"/>
  <c r="BI81" i="4"/>
  <c r="BT81" i="4" s="1"/>
  <c r="BI1117" i="4"/>
  <c r="BT1117" i="4" s="1"/>
  <c r="BI911" i="4"/>
  <c r="BT911" i="4" s="1"/>
  <c r="BI1002" i="4"/>
  <c r="BT1002" i="4" s="1"/>
  <c r="BI151" i="4"/>
  <c r="BT151" i="4" s="1"/>
  <c r="BI1097" i="4"/>
  <c r="BT1097" i="4" s="1"/>
  <c r="BI1203" i="4"/>
  <c r="BT1203" i="4" s="1"/>
  <c r="BI43" i="4"/>
  <c r="BT43" i="4" s="1"/>
  <c r="BI150" i="4"/>
  <c r="BT150" i="4" s="1"/>
  <c r="BI910" i="4"/>
  <c r="BT910" i="4" s="1"/>
  <c r="BI1185" i="4"/>
  <c r="BT1185" i="4" s="1"/>
  <c r="BI231" i="4"/>
  <c r="BT231" i="4" s="1"/>
  <c r="BI1162" i="4"/>
  <c r="BT1162" i="4" s="1"/>
  <c r="BI785" i="4"/>
  <c r="BT785" i="4" s="1"/>
  <c r="BI640" i="4"/>
  <c r="BT640" i="4" s="1"/>
  <c r="BI935" i="4"/>
  <c r="BT935" i="4" s="1"/>
  <c r="BI475" i="4"/>
  <c r="BT475" i="4" s="1"/>
  <c r="BI885" i="4"/>
  <c r="BT885" i="4" s="1"/>
  <c r="BI1161" i="4"/>
  <c r="BT1161" i="4" s="1"/>
  <c r="BI114" i="4"/>
  <c r="BT114" i="4" s="1"/>
  <c r="BI113" i="4"/>
  <c r="BT113" i="4" s="1"/>
  <c r="BI112" i="4"/>
  <c r="BT112" i="4" s="1"/>
  <c r="BI111" i="4"/>
  <c r="BT111" i="4" s="1"/>
  <c r="BI1073" i="4"/>
  <c r="BT1073" i="4" s="1"/>
  <c r="BI1093" i="4"/>
  <c r="BT1093" i="4" s="1"/>
  <c r="BI554" i="4"/>
  <c r="BT554" i="4" s="1"/>
  <c r="BI697" i="4"/>
  <c r="BT697" i="4" s="1"/>
  <c r="BI230" i="4"/>
  <c r="BT230" i="4" s="1"/>
  <c r="BI851" i="4"/>
  <c r="BT851" i="4" s="1"/>
  <c r="BI229" i="4"/>
  <c r="BT229" i="4" s="1"/>
  <c r="BI639" i="4"/>
  <c r="BT639" i="4" s="1"/>
  <c r="BI638" i="4"/>
  <c r="BT638" i="4" s="1"/>
  <c r="BI228" i="4"/>
  <c r="BT228" i="4" s="1"/>
  <c r="BI909" i="4"/>
  <c r="BT909" i="4" s="1"/>
  <c r="BI696" i="4"/>
  <c r="BT696" i="4" s="1"/>
  <c r="BI908" i="4"/>
  <c r="BT908" i="4" s="1"/>
  <c r="BI695" i="4"/>
  <c r="BT695" i="4" s="1"/>
  <c r="CA1293" i="4" l="1"/>
  <c r="BS552" i="4"/>
  <c r="BS461" i="4"/>
  <c r="BS457" i="4"/>
  <c r="BS453" i="4"/>
  <c r="BS450" i="4"/>
  <c r="BS447" i="4"/>
  <c r="BS213" i="4"/>
  <c r="BS628" i="4"/>
  <c r="BS539" i="4"/>
  <c r="BS142" i="4"/>
  <c r="BS536" i="4"/>
  <c r="BS421" i="4"/>
  <c r="BS77" i="4"/>
  <c r="BS751" i="4"/>
  <c r="BS625" i="4"/>
  <c r="BS1091" i="4"/>
  <c r="BS748" i="4"/>
  <c r="BS747" i="4"/>
  <c r="BS528" i="4"/>
  <c r="BS746" i="4"/>
  <c r="BS76" i="4"/>
  <c r="BS194" i="4"/>
  <c r="BS377" i="4"/>
  <c r="BS57" i="4"/>
  <c r="BS366" i="4"/>
  <c r="BS926" i="4"/>
  <c r="BS519" i="4"/>
  <c r="BS518" i="4"/>
  <c r="BS840" i="4"/>
  <c r="BS776" i="4"/>
  <c r="BS349" i="4"/>
  <c r="BS186" i="4"/>
  <c r="BS344" i="4"/>
  <c r="BS1061" i="4"/>
  <c r="BS338" i="4"/>
  <c r="BS337" i="4"/>
  <c r="BS53" i="4"/>
  <c r="BS1104" i="4"/>
  <c r="BS32" i="4"/>
  <c r="BS510" i="4"/>
  <c r="BS71" i="4"/>
  <c r="BS883" i="4"/>
  <c r="BS1080" i="4"/>
  <c r="BS812" i="4"/>
  <c r="BS1148" i="4"/>
  <c r="BS13" i="4"/>
  <c r="BS562" i="4"/>
  <c r="BS716" i="4"/>
  <c r="BS803" i="4"/>
  <c r="BS801" i="4"/>
  <c r="BS713" i="4"/>
  <c r="BS980" i="4"/>
  <c r="BS600" i="4"/>
  <c r="BS1027" i="4"/>
  <c r="BS594" i="4"/>
  <c r="BS6" i="4"/>
  <c r="BS59" i="4"/>
  <c r="BS456" i="4"/>
  <c r="BS593" i="4"/>
  <c r="BS542" i="4"/>
  <c r="BS446" i="4"/>
  <c r="BS145" i="4"/>
  <c r="BS941" i="4"/>
  <c r="BS589" i="4"/>
  <c r="BS627" i="4"/>
  <c r="BS426" i="4"/>
  <c r="BS420" i="4"/>
  <c r="BS752" i="4"/>
  <c r="BS409" i="4"/>
  <c r="BS203" i="4"/>
  <c r="BS403" i="4"/>
  <c r="BS58" i="4"/>
  <c r="BS393" i="4"/>
  <c r="BS387" i="4"/>
  <c r="BS20" i="4"/>
  <c r="BS197" i="4"/>
  <c r="BS620" i="4"/>
  <c r="BS1138" i="4"/>
  <c r="BS842" i="4"/>
  <c r="BS363" i="4"/>
  <c r="BS1078" i="4"/>
  <c r="BS1001" i="4"/>
  <c r="BS615" i="4"/>
  <c r="BS352" i="4"/>
  <c r="BS75" i="4"/>
  <c r="BS346" i="4"/>
  <c r="BS183" i="4"/>
  <c r="BS1000" i="4"/>
  <c r="BS1108" i="4"/>
  <c r="BS1160" i="4"/>
  <c r="BS834" i="4"/>
  <c r="BS1066" i="4"/>
  <c r="BS1060" i="4"/>
  <c r="BS979" i="4"/>
  <c r="BS325" i="4"/>
  <c r="BS134" i="4"/>
  <c r="BS1076" i="4"/>
  <c r="BS312" i="4"/>
  <c r="BS732" i="4"/>
  <c r="BS309" i="4"/>
  <c r="BS306" i="4"/>
  <c r="BS1109" i="4"/>
  <c r="BS999" i="4"/>
  <c r="BS570" i="4"/>
  <c r="BS1168" i="4"/>
  <c r="BS872" i="4"/>
  <c r="BS937" i="4"/>
  <c r="BS289" i="4"/>
  <c r="BS931" i="4"/>
  <c r="BS1070" i="4"/>
  <c r="BS48" i="4"/>
  <c r="BS1129" i="4"/>
  <c r="BS91" i="4"/>
  <c r="BS665" i="4"/>
  <c r="BS274" i="4"/>
  <c r="BS768" i="4"/>
  <c r="BS662" i="4"/>
  <c r="BS636" i="4"/>
  <c r="BS269" i="4"/>
  <c r="BS805" i="4"/>
  <c r="BS870" i="4"/>
  <c r="BS491" i="4"/>
  <c r="BS655" i="4"/>
  <c r="BS797" i="4"/>
  <c r="BS1171" i="4"/>
  <c r="BS1179" i="4"/>
  <c r="BS791" i="4"/>
  <c r="BS1037" i="4"/>
  <c r="BS868" i="4"/>
  <c r="BS1174" i="4"/>
  <c r="BS1094" i="4"/>
  <c r="BS992" i="4"/>
  <c r="BS254" i="4"/>
  <c r="BS650" i="4"/>
  <c r="BS1079" i="4"/>
  <c r="BS648" i="4"/>
  <c r="BS881" i="4"/>
  <c r="BS246" i="4"/>
  <c r="BS1173" i="4"/>
  <c r="BS642" i="4"/>
  <c r="BS157" i="4"/>
  <c r="BS1043" i="4"/>
  <c r="BS888" i="4"/>
  <c r="BS9" i="4"/>
  <c r="BS236" i="4"/>
  <c r="BS887" i="4"/>
  <c r="BS477" i="4"/>
  <c r="BS476" i="4"/>
  <c r="BS910" i="4"/>
  <c r="BS112" i="4"/>
  <c r="BS909" i="4"/>
  <c r="BS904" i="4"/>
  <c r="BS314" i="4"/>
  <c r="BS1040" i="4"/>
  <c r="BS307" i="4"/>
  <c r="BS133" i="4"/>
  <c r="BS15" i="4"/>
  <c r="BS826" i="4"/>
  <c r="BS1065" i="4"/>
  <c r="BS293" i="4"/>
  <c r="BS948" i="4"/>
  <c r="BS962" i="4"/>
  <c r="BS1132" i="4"/>
  <c r="BS566" i="4"/>
  <c r="BS818" i="4"/>
  <c r="BS725" i="4"/>
  <c r="BS987" i="4"/>
  <c r="BS125" i="4"/>
  <c r="BS1098" i="4"/>
  <c r="BS64" i="4"/>
  <c r="BS790" i="4"/>
  <c r="BS1194" i="4"/>
  <c r="BS995" i="4"/>
  <c r="BS758" i="4"/>
  <c r="BS971" i="4"/>
  <c r="BS897" i="4"/>
  <c r="BS895" i="4"/>
  <c r="BS1035" i="4"/>
  <c r="BS1003" i="4"/>
  <c r="BS1183" i="4"/>
  <c r="BS702" i="4"/>
  <c r="BS643" i="4"/>
  <c r="BS978" i="4"/>
  <c r="BS1153" i="4"/>
  <c r="BS597" i="4"/>
  <c r="BS1204" i="4"/>
  <c r="BS1010" i="4"/>
  <c r="BS1205" i="4"/>
  <c r="BS1119" i="4"/>
  <c r="BS913" i="4"/>
  <c r="BS43" i="4"/>
  <c r="BS114" i="4"/>
  <c r="BS638" i="4"/>
  <c r="CA1286" i="4"/>
  <c r="BS465" i="4"/>
  <c r="BS219" i="4"/>
  <c r="BS39" i="4"/>
  <c r="BS455" i="4"/>
  <c r="BS632" i="4"/>
  <c r="BS449" i="4"/>
  <c r="BS753" i="4"/>
  <c r="BS439" i="4"/>
  <c r="BS864" i="4"/>
  <c r="BS538" i="4"/>
  <c r="BS430" i="4"/>
  <c r="BS1112" i="4"/>
  <c r="BS419" i="4"/>
  <c r="BS5" i="4"/>
  <c r="BS408" i="4"/>
  <c r="BS750" i="4"/>
  <c r="BS860" i="4"/>
  <c r="BS398" i="4"/>
  <c r="BS37" i="4"/>
  <c r="BS687" i="4"/>
  <c r="BS198" i="4"/>
  <c r="BS745" i="4"/>
  <c r="BS780" i="4"/>
  <c r="BS1172" i="4"/>
  <c r="BS370" i="4"/>
  <c r="BS522" i="4"/>
  <c r="BS617" i="4"/>
  <c r="BS743" i="4"/>
  <c r="BS939" i="4"/>
  <c r="BS102" i="4"/>
  <c r="BS34" i="4"/>
  <c r="BS614" i="4"/>
  <c r="BS738" i="4"/>
  <c r="BS837" i="4"/>
  <c r="BS774" i="4"/>
  <c r="BS576" i="4"/>
  <c r="BS949" i="4"/>
  <c r="BS52" i="4"/>
  <c r="BS1077" i="4"/>
  <c r="BS330" i="4"/>
  <c r="BS736" i="4"/>
  <c r="BS831" i="4"/>
  <c r="BS178" i="4"/>
  <c r="BS574" i="4"/>
  <c r="BS100" i="4"/>
  <c r="BS770" i="4"/>
  <c r="BS1177" i="4"/>
  <c r="BS305" i="4"/>
  <c r="BS572" i="4"/>
  <c r="BS902" i="4"/>
  <c r="BS501" i="4"/>
  <c r="BS292" i="4"/>
  <c r="BS67" i="4"/>
  <c r="BS728" i="4"/>
  <c r="BS871" i="4"/>
  <c r="BS284" i="4"/>
  <c r="BS727" i="4"/>
  <c r="BS882" i="4"/>
  <c r="BS279" i="4"/>
  <c r="BS276" i="4"/>
  <c r="BS814" i="4"/>
  <c r="BS808" i="4"/>
  <c r="BS807" i="4"/>
  <c r="BS29" i="4"/>
  <c r="BS715" i="4"/>
  <c r="BS119" i="4"/>
  <c r="BS657" i="4"/>
  <c r="BS490" i="4"/>
  <c r="BS261" i="4"/>
  <c r="BS162" i="4"/>
  <c r="CA1292" i="4"/>
  <c r="CC1292" i="4" s="1"/>
  <c r="CE1292" i="4" s="1"/>
  <c r="CF1292" i="4" s="1"/>
  <c r="BS26" i="4"/>
  <c r="BS462" i="4"/>
  <c r="BS458" i="4"/>
  <c r="BS217" i="4"/>
  <c r="BS147" i="4"/>
  <c r="BS1113" i="4"/>
  <c r="BS106" i="4"/>
  <c r="BS212" i="4"/>
  <c r="BS435" i="4"/>
  <c r="BS432" i="4"/>
  <c r="BS537" i="4"/>
  <c r="BS424" i="4"/>
  <c r="BS417" i="4"/>
  <c r="BS207" i="4"/>
  <c r="BS1159" i="4"/>
  <c r="BS404" i="4"/>
  <c r="BS749" i="4"/>
  <c r="BS396" i="4"/>
  <c r="BS782" i="4"/>
  <c r="BS963" i="4"/>
  <c r="BS384" i="4"/>
  <c r="BS196" i="4"/>
  <c r="BS525" i="4"/>
  <c r="BS4" i="4"/>
  <c r="BS580" i="4"/>
  <c r="BS137" i="4"/>
  <c r="BS362" i="4"/>
  <c r="BS359" i="4"/>
  <c r="BS188" i="4"/>
  <c r="BS187" i="4"/>
  <c r="BS17" i="4"/>
  <c r="BS739" i="4"/>
  <c r="BS73" i="4"/>
  <c r="BS1186" i="4"/>
  <c r="BS339" i="4"/>
  <c r="BS72" i="4"/>
  <c r="BS334" i="4"/>
  <c r="BS672" i="4"/>
  <c r="BS855" i="4"/>
  <c r="BS328" i="4"/>
  <c r="BS31" i="4"/>
  <c r="BS16" i="4"/>
  <c r="BS1019" i="4"/>
  <c r="BS316" i="4"/>
  <c r="BS667" i="4"/>
  <c r="BS310" i="4"/>
  <c r="BS1156" i="4"/>
  <c r="BS303" i="4"/>
  <c r="BS96" i="4"/>
  <c r="BS298" i="4"/>
  <c r="BS503" i="4"/>
  <c r="BS1088" i="4"/>
  <c r="BS825" i="4"/>
  <c r="BS170" i="4"/>
  <c r="BS286" i="4"/>
  <c r="BS822" i="4"/>
  <c r="BS93" i="4"/>
  <c r="BS281" i="4"/>
  <c r="BS126" i="4"/>
  <c r="BS90" i="4"/>
  <c r="BS121" i="4"/>
  <c r="BS167" i="4"/>
  <c r="BS88" i="4"/>
  <c r="BS961" i="4"/>
  <c r="BS763" i="4"/>
  <c r="BS1055" i="4"/>
  <c r="BS802" i="4"/>
  <c r="BS854" i="4"/>
  <c r="BS601" i="4"/>
  <c r="BS654" i="4"/>
  <c r="BS710" i="4"/>
  <c r="BS1014" i="4"/>
  <c r="BS1115" i="4"/>
  <c r="BS869" i="4"/>
  <c r="BS259" i="4"/>
  <c r="BS1085" i="4"/>
  <c r="BS256" i="4"/>
  <c r="BS47" i="4"/>
  <c r="BS1005" i="4"/>
  <c r="BS84" i="4"/>
  <c r="BS1053" i="4"/>
  <c r="BS1034" i="4"/>
  <c r="BS984" i="4"/>
  <c r="BS944" i="4"/>
  <c r="BS557" i="4"/>
  <c r="BS1024" i="4"/>
  <c r="BS241" i="4"/>
  <c r="BS11" i="4"/>
  <c r="BS1042" i="4"/>
  <c r="BS786" i="4"/>
  <c r="BS1144" i="4"/>
  <c r="BS478" i="4"/>
  <c r="BS990" i="4"/>
  <c r="BS1002" i="4"/>
  <c r="BS935" i="4"/>
  <c r="BS230" i="4"/>
  <c r="CA1216" i="4"/>
  <c r="CA1236" i="4"/>
  <c r="CC1236" i="4" s="1"/>
  <c r="CE1236" i="4" s="1"/>
  <c r="CF1236" i="4" s="1"/>
  <c r="BS634" i="4"/>
  <c r="BS463" i="4"/>
  <c r="BS547" i="4"/>
  <c r="BS544" i="4"/>
  <c r="BS215" i="4"/>
  <c r="BS1180" i="4"/>
  <c r="BS541" i="4"/>
  <c r="BS211" i="4"/>
  <c r="BS434" i="4"/>
  <c r="BS862" i="4"/>
  <c r="BS425" i="4"/>
  <c r="BS535" i="4"/>
  <c r="BS412" i="4"/>
  <c r="BS953" i="4"/>
  <c r="BS533" i="4"/>
  <c r="BS402" i="4"/>
  <c r="BS1082" i="4"/>
  <c r="BS906" i="4"/>
  <c r="BS386" i="4"/>
  <c r="BS781" i="4"/>
  <c r="BS584" i="4"/>
  <c r="BS193" i="4"/>
  <c r="BS374" i="4"/>
  <c r="BS371" i="4"/>
  <c r="BS778" i="4"/>
  <c r="BS521" i="4"/>
  <c r="BS1158" i="4"/>
  <c r="BS1114" i="4"/>
  <c r="BS633" i="4"/>
  <c r="BS460" i="4"/>
  <c r="BS80" i="4"/>
  <c r="BS592" i="4"/>
  <c r="BS107" i="4"/>
  <c r="BS445" i="4"/>
  <c r="BS438" i="4"/>
  <c r="BS940" i="4"/>
  <c r="BS209" i="4"/>
  <c r="BS208" i="4"/>
  <c r="BS1022" i="4"/>
  <c r="BS690" i="4"/>
  <c r="BS411" i="4"/>
  <c r="BS588" i="4"/>
  <c r="BS405" i="4"/>
  <c r="BS140" i="4"/>
  <c r="BS529" i="4"/>
  <c r="BS392" i="4"/>
  <c r="BS149" i="4"/>
  <c r="BS60" i="4"/>
  <c r="BS459" i="4"/>
  <c r="BS454" i="4"/>
  <c r="BS214" i="4"/>
  <c r="BS754" i="4"/>
  <c r="BS444" i="4"/>
  <c r="BS783" i="4"/>
  <c r="BS848" i="4"/>
  <c r="BS433" i="4"/>
  <c r="BS78" i="4"/>
  <c r="BS861" i="4"/>
  <c r="BS418" i="4"/>
  <c r="BS21" i="4"/>
  <c r="BS587" i="4"/>
  <c r="BS846" i="4"/>
  <c r="BS530" i="4"/>
  <c r="BS397" i="4"/>
  <c r="BS688" i="4"/>
  <c r="BS201" i="4"/>
  <c r="BS385" i="4"/>
  <c r="BS138" i="4"/>
  <c r="BS379" i="4"/>
  <c r="BS523" i="4"/>
  <c r="BS681" i="4"/>
  <c r="BS148" i="4"/>
  <c r="BS549" i="4"/>
  <c r="BS1151" i="4"/>
  <c r="BS543" i="4"/>
  <c r="BS631" i="4"/>
  <c r="BS1139" i="4"/>
  <c r="BS442" i="4"/>
  <c r="BS437" i="4"/>
  <c r="BS210" i="4"/>
  <c r="BS431" i="4"/>
  <c r="BS428" i="4"/>
  <c r="BS423" i="4"/>
  <c r="BS56" i="4"/>
  <c r="BS36" i="4"/>
  <c r="BS35" i="4"/>
  <c r="BS884" i="4"/>
  <c r="BS185" i="4"/>
  <c r="BS838" i="4"/>
  <c r="BS836" i="4"/>
  <c r="BS771" i="4"/>
  <c r="BS336" i="4"/>
  <c r="BS512" i="4"/>
  <c r="BS1044" i="4"/>
  <c r="BS1175" i="4"/>
  <c r="BS982" i="4"/>
  <c r="BS509" i="4"/>
  <c r="BS669" i="4"/>
  <c r="BS1111" i="4"/>
  <c r="BS1102" i="4"/>
  <c r="BS1101" i="4"/>
  <c r="BS988" i="4"/>
  <c r="BS504" i="4"/>
  <c r="BS731" i="4"/>
  <c r="BS300" i="4"/>
  <c r="BS176" i="4"/>
  <c r="BS14" i="4"/>
  <c r="BS30" i="4"/>
  <c r="BS95" i="4"/>
  <c r="BS1154" i="4"/>
  <c r="BS49" i="4"/>
  <c r="BS1086" i="4"/>
  <c r="BS92" i="4"/>
  <c r="BS280" i="4"/>
  <c r="BS277" i="4"/>
  <c r="BS815" i="4"/>
  <c r="BS564" i="4"/>
  <c r="BS661" i="4"/>
  <c r="BS1149" i="4"/>
  <c r="BS717" i="4"/>
  <c r="BS267" i="4"/>
  <c r="BS1126" i="4"/>
  <c r="BS800" i="4"/>
  <c r="BS922" i="4"/>
  <c r="BS262" i="4"/>
  <c r="BS921" i="4"/>
  <c r="BS260" i="4"/>
  <c r="BS1013" i="4"/>
  <c r="BS920" i="4"/>
  <c r="BS1124" i="4"/>
  <c r="BS1025" i="4"/>
  <c r="BS994" i="4"/>
  <c r="BS1012" i="4"/>
  <c r="BS896" i="4"/>
  <c r="BS1004" i="4"/>
  <c r="BS159" i="4"/>
  <c r="BS484" i="4"/>
  <c r="BS969" i="4"/>
  <c r="BS893" i="4"/>
  <c r="BS890" i="4"/>
  <c r="BS641" i="4"/>
  <c r="BS155" i="4"/>
  <c r="BS239" i="4"/>
  <c r="BS481" i="4"/>
  <c r="BS115" i="4"/>
  <c r="BS82" i="4"/>
  <c r="BS1121" i="4"/>
  <c r="BS912" i="4"/>
  <c r="BS1185" i="4"/>
  <c r="BS111" i="4"/>
  <c r="BS696" i="4"/>
  <c r="BS844" i="4"/>
  <c r="BS684" i="4"/>
  <c r="BS621" i="4"/>
  <c r="BS583" i="4"/>
  <c r="BS103" i="4"/>
  <c r="BS369" i="4"/>
  <c r="BS579" i="4"/>
  <c r="BS841" i="4"/>
  <c r="BS905" i="4"/>
  <c r="BS356" i="4"/>
  <c r="BS517" i="4"/>
  <c r="BS351" i="4"/>
  <c r="BS74" i="4"/>
  <c r="BS613" i="4"/>
  <c r="BS342" i="4"/>
  <c r="BS835" i="4"/>
  <c r="BS575" i="4"/>
  <c r="BS335" i="4"/>
  <c r="BS833" i="4"/>
  <c r="BS611" i="4"/>
  <c r="BS1059" i="4"/>
  <c r="BS1008" i="4"/>
  <c r="BS324" i="4"/>
  <c r="BS735" i="4"/>
  <c r="BS1150" i="4"/>
  <c r="BS507" i="4"/>
  <c r="BS1202" i="4"/>
  <c r="BS505" i="4"/>
  <c r="BS304" i="4"/>
  <c r="BS903" i="4"/>
  <c r="BS977" i="4"/>
  <c r="BS132" i="4"/>
  <c r="BS174" i="4"/>
  <c r="BS171" i="4"/>
  <c r="BS1015" i="4"/>
  <c r="BS288" i="4"/>
  <c r="BS1131" i="4"/>
  <c r="BS1007" i="4"/>
  <c r="BS282" i="4"/>
  <c r="BS127" i="4"/>
  <c r="BS278" i="4"/>
  <c r="BS497" i="4"/>
  <c r="BS123" i="4"/>
  <c r="BS767" i="4"/>
  <c r="BS765" i="4"/>
  <c r="BS764" i="4"/>
  <c r="BS65" i="4"/>
  <c r="BS494" i="4"/>
  <c r="BS656" i="4"/>
  <c r="BS762" i="4"/>
  <c r="BS87" i="4"/>
  <c r="BS899" i="4"/>
  <c r="BS1095" i="4"/>
  <c r="BS936" i="4"/>
  <c r="BS560" i="4"/>
  <c r="BS1039" i="4"/>
  <c r="BS867" i="4"/>
  <c r="BS946" i="4"/>
  <c r="BS255" i="4"/>
  <c r="BS1011" i="4"/>
  <c r="BS488" i="4"/>
  <c r="BS486" i="4"/>
  <c r="BS915" i="4"/>
  <c r="BS1031" i="4"/>
  <c r="BS705" i="4"/>
  <c r="BS892" i="4"/>
  <c r="BS880" i="4"/>
  <c r="BS1170" i="4"/>
  <c r="BS865" i="4"/>
  <c r="BS238" i="4"/>
  <c r="BS968" i="4"/>
  <c r="BS235" i="4"/>
  <c r="BS698" i="4"/>
  <c r="BS232" i="4"/>
  <c r="BS81" i="4"/>
  <c r="BS1162" i="4"/>
  <c r="BS1093" i="4"/>
  <c r="BS695" i="4"/>
  <c r="BS744" i="4"/>
  <c r="BS191" i="4"/>
  <c r="BS360" i="4"/>
  <c r="BS355" i="4"/>
  <c r="BS353" i="4"/>
  <c r="BS878" i="4"/>
  <c r="BS877" i="4"/>
  <c r="BS345" i="4"/>
  <c r="BS341" i="4"/>
  <c r="BS773" i="4"/>
  <c r="BS612" i="4"/>
  <c r="BS675" i="4"/>
  <c r="BS1196" i="4"/>
  <c r="BS856" i="4"/>
  <c r="BS329" i="4"/>
  <c r="BS326" i="4"/>
  <c r="BS508" i="4"/>
  <c r="BS318" i="4"/>
  <c r="BS734" i="4"/>
  <c r="BS609" i="4"/>
  <c r="BS311" i="4"/>
  <c r="BS97" i="4"/>
  <c r="BS1169" i="4"/>
  <c r="BS1016" i="4"/>
  <c r="BS299" i="4"/>
  <c r="BS296" i="4"/>
  <c r="BS294" i="4"/>
  <c r="BS569" i="4"/>
  <c r="BS129" i="4"/>
  <c r="BS287" i="4"/>
  <c r="BS976" i="4"/>
  <c r="BS1057" i="4"/>
  <c r="BS726" i="4"/>
  <c r="BS1118" i="4"/>
  <c r="BS122" i="4"/>
  <c r="BS811" i="4"/>
  <c r="BS272" i="4"/>
  <c r="BS496" i="4"/>
  <c r="BS806" i="4"/>
  <c r="BS804" i="4"/>
  <c r="BS492" i="4"/>
  <c r="BS714" i="4"/>
  <c r="BS602" i="4"/>
  <c r="BS796" i="4"/>
  <c r="BS793" i="4"/>
  <c r="BS653" i="4"/>
  <c r="BS1141" i="4"/>
  <c r="BS1192" i="4"/>
  <c r="BS489" i="4"/>
  <c r="BS853" i="4"/>
  <c r="BS28" i="4"/>
  <c r="BS1187" i="4"/>
  <c r="BS1006" i="4"/>
  <c r="BS1068" i="4"/>
  <c r="BS1036" i="4"/>
  <c r="BS1052" i="4"/>
  <c r="BS707" i="4"/>
  <c r="BS645" i="4"/>
  <c r="BS1084" i="4"/>
  <c r="BS789" i="4"/>
  <c r="BS45" i="4"/>
  <c r="BS1122" i="4"/>
  <c r="BS1049" i="4"/>
  <c r="BS237" i="4"/>
  <c r="BS234" i="4"/>
  <c r="BS555" i="4"/>
  <c r="BS1193" i="4"/>
  <c r="BS1117" i="4"/>
  <c r="BS785" i="4"/>
  <c r="BS554" i="4"/>
  <c r="BS415" i="4"/>
  <c r="BS847" i="4"/>
  <c r="BS1163" i="4"/>
  <c r="BS624" i="4"/>
  <c r="BS202" i="4"/>
  <c r="BS394" i="4"/>
  <c r="BS390" i="4"/>
  <c r="BS686" i="4"/>
  <c r="BS683" i="4"/>
  <c r="BS195" i="4"/>
  <c r="BS378" i="4"/>
  <c r="BS582" i="4"/>
  <c r="BS367" i="4"/>
  <c r="BS858" i="4"/>
  <c r="BS680" i="4"/>
  <c r="BS357" i="4"/>
  <c r="BS1096" i="4"/>
  <c r="BS55" i="4"/>
  <c r="BS740" i="4"/>
  <c r="BS54" i="4"/>
  <c r="BS989" i="4"/>
  <c r="BS950" i="4"/>
  <c r="BS578" i="4"/>
  <c r="BS182" i="4"/>
  <c r="BS674" i="4"/>
  <c r="BS332" i="4"/>
  <c r="BS180" i="4"/>
  <c r="BS875" i="4"/>
  <c r="BS670" i="4"/>
  <c r="BS321" i="4"/>
  <c r="BS1136" i="4"/>
  <c r="BS315" i="4"/>
  <c r="BS828" i="4"/>
  <c r="BS70" i="4"/>
  <c r="BS177" i="4"/>
  <c r="BS1017" i="4"/>
  <c r="BS827" i="4"/>
  <c r="BS571" i="4"/>
  <c r="BS295" i="4"/>
  <c r="BS173" i="4"/>
  <c r="BS130" i="4"/>
  <c r="BS51" i="4"/>
  <c r="BS169" i="4"/>
  <c r="BS1167" i="4"/>
  <c r="BS819" i="4"/>
  <c r="BS128" i="4"/>
  <c r="BS769" i="4"/>
  <c r="BS168" i="4"/>
  <c r="BS975" i="4"/>
  <c r="BS813" i="4"/>
  <c r="BS766" i="4"/>
  <c r="BS719" i="4"/>
  <c r="BS718" i="4"/>
  <c r="BS930" i="4"/>
  <c r="BS929" i="4"/>
  <c r="BS265" i="4"/>
  <c r="BS163" i="4"/>
  <c r="BS973" i="4"/>
  <c r="BS795" i="4"/>
  <c r="BS1125" i="4"/>
  <c r="BS651" i="4"/>
  <c r="BS966" i="4"/>
  <c r="BS972" i="4"/>
  <c r="BS559" i="4"/>
  <c r="BS258" i="4"/>
  <c r="BS598" i="4"/>
  <c r="BS991" i="4"/>
  <c r="BS253" i="4"/>
  <c r="BS649" i="4"/>
  <c r="BS250" i="4"/>
  <c r="BS249" i="4"/>
  <c r="BS1030" i="4"/>
  <c r="BS1029" i="4"/>
  <c r="BS1050" i="4"/>
  <c r="BS1120" i="4"/>
  <c r="BS784" i="4"/>
  <c r="BS10" i="4"/>
  <c r="BS482" i="4"/>
  <c r="BS480" i="4"/>
  <c r="BS153" i="4"/>
  <c r="BS956" i="4"/>
  <c r="BS44" i="4"/>
  <c r="BS1097" i="4"/>
  <c r="BS885" i="4"/>
  <c r="BS229" i="4"/>
  <c r="CA1242" i="4"/>
  <c r="CC1242" i="4" s="1"/>
  <c r="CE1242" i="4" s="1"/>
  <c r="CA1256" i="4"/>
  <c r="CA1225" i="4"/>
  <c r="CA1211" i="4"/>
  <c r="CA1218" i="4"/>
  <c r="CC1218" i="4" s="1"/>
  <c r="CE1218" i="4" s="1"/>
  <c r="CF1218" i="4" s="1"/>
  <c r="CF1302" i="4"/>
  <c r="CH1302" i="4" s="1"/>
  <c r="CF1301" i="4"/>
  <c r="CH1301" i="4" s="1"/>
  <c r="CA1282" i="4"/>
  <c r="CC1282" i="4" s="1"/>
  <c r="CE1282" i="4" s="1"/>
  <c r="CF1282" i="4" s="1"/>
  <c r="CA1212" i="4"/>
  <c r="CC1212" i="4" s="1"/>
  <c r="CE1212" i="4" s="1"/>
  <c r="CF1212" i="4" s="1"/>
  <c r="CA1254" i="4"/>
  <c r="CC1254" i="4" s="1"/>
  <c r="CE1254" i="4" s="1"/>
  <c r="CF1297" i="4"/>
  <c r="CH1297" i="4" s="1"/>
  <c r="CA1283" i="4"/>
  <c r="CA1290" i="4"/>
  <c r="CA1255" i="4"/>
  <c r="CA1284" i="4"/>
  <c r="CA1206" i="4"/>
  <c r="CA1248" i="4"/>
  <c r="CC1248" i="4" s="1"/>
  <c r="CE1248" i="4" s="1"/>
  <c r="CF1248" i="4" s="1"/>
  <c r="CA1229" i="4"/>
  <c r="CA1257" i="4"/>
  <c r="CC1257" i="4" s="1"/>
  <c r="CE1257" i="4" s="1"/>
  <c r="CF1257" i="4" s="1"/>
  <c r="CA1272" i="4"/>
  <c r="CC1272" i="4" s="1"/>
  <c r="CE1272" i="4" s="1"/>
  <c r="CF1272" i="4" s="1"/>
  <c r="CA1261" i="4"/>
  <c r="CA1226" i="4"/>
  <c r="CA1276" i="4"/>
  <c r="CA1273" i="4"/>
  <c r="CA1208" i="4"/>
  <c r="CA1262" i="4"/>
  <c r="CA1289" i="4"/>
  <c r="CA1271" i="4"/>
  <c r="CC1271" i="4" s="1"/>
  <c r="CE1271" i="4" s="1"/>
  <c r="CA1221" i="4"/>
  <c r="CC1221" i="4" s="1"/>
  <c r="CE1221" i="4" s="1"/>
  <c r="CF1221" i="4" s="1"/>
  <c r="CA1263" i="4"/>
  <c r="CC1263" i="4" s="1"/>
  <c r="CE1263" i="4" s="1"/>
  <c r="CF1263" i="4" s="1"/>
  <c r="CH1263" i="4" s="1"/>
  <c r="CA1268" i="4"/>
  <c r="CC1268" i="4" s="1"/>
  <c r="CE1268" i="4" s="1"/>
  <c r="CA1260" i="4"/>
  <c r="CA1213" i="4"/>
  <c r="CA1275" i="4"/>
  <c r="CC1275" i="4" s="1"/>
  <c r="CE1275" i="4" s="1"/>
  <c r="CA1228" i="4"/>
  <c r="CA1267" i="4"/>
  <c r="CA1280" i="4"/>
  <c r="CA1287" i="4"/>
  <c r="CC1287" i="4" s="1"/>
  <c r="CE1287" i="4" s="1"/>
  <c r="CF1287" i="4" s="1"/>
  <c r="CA1240" i="4"/>
  <c r="CA1217" i="4"/>
  <c r="CA1279" i="4"/>
  <c r="CA1245" i="4"/>
  <c r="CA1210" i="4"/>
  <c r="CC1210" i="4" s="1"/>
  <c r="CE1210" i="4" s="1"/>
  <c r="CF1210" i="4" s="1"/>
  <c r="CA1237" i="4"/>
  <c r="CA1252" i="4"/>
  <c r="CA1291" i="4"/>
  <c r="CC1291" i="4" s="1"/>
  <c r="CE1291" i="4" s="1"/>
  <c r="CF1291" i="4" s="1"/>
  <c r="CA1222" i="4"/>
  <c r="CC1222" i="4" s="1"/>
  <c r="CE1222" i="4" s="1"/>
  <c r="CF1222" i="4" s="1"/>
  <c r="CA1249" i="4"/>
  <c r="CA1214" i="4"/>
  <c r="CA1264" i="4"/>
  <c r="CA1241" i="4"/>
  <c r="CA1269" i="4"/>
  <c r="CC1269" i="4" s="1"/>
  <c r="CE1269" i="4" s="1"/>
  <c r="CF1269" i="4" s="1"/>
  <c r="CA1234" i="4"/>
  <c r="CC1234" i="4" s="1"/>
  <c r="CE1234" i="4" s="1"/>
  <c r="CF1234" i="4" s="1"/>
  <c r="CA1253" i="4"/>
  <c r="CA1281" i="4"/>
  <c r="CA1246" i="4"/>
  <c r="CC1246" i="4" s="1"/>
  <c r="CE1246" i="4" s="1"/>
  <c r="CA1238" i="4"/>
  <c r="CA1288" i="4"/>
  <c r="CA1265" i="4"/>
  <c r="CA1258" i="4"/>
  <c r="CC1258" i="4" s="1"/>
  <c r="CE1258" i="4" s="1"/>
  <c r="CF1258" i="4" s="1"/>
  <c r="CA1223" i="4"/>
  <c r="CA1285" i="4"/>
  <c r="CA1250" i="4"/>
  <c r="CA1277" i="4"/>
  <c r="CA1230" i="4"/>
  <c r="CA1270" i="4"/>
  <c r="CC1270" i="4" s="1"/>
  <c r="CE1270" i="4" s="1"/>
  <c r="CA1235" i="4"/>
  <c r="CC1235" i="4" s="1"/>
  <c r="CE1235" i="4" s="1"/>
  <c r="CF1235" i="4" s="1"/>
  <c r="CA1215" i="4"/>
  <c r="CA1207" i="4"/>
  <c r="CA1220" i="4"/>
  <c r="CA1247" i="4"/>
  <c r="CA1274" i="4"/>
  <c r="CA1227" i="4"/>
  <c r="CC1227" i="4" s="1"/>
  <c r="CE1227" i="4" s="1"/>
  <c r="CF1227" i="4" s="1"/>
  <c r="CA1219" i="4"/>
  <c r="CA1232" i="4"/>
  <c r="CA1294" i="4"/>
  <c r="CA1259" i="4"/>
  <c r="CA1224" i="4"/>
  <c r="CA1266" i="4"/>
  <c r="CA1231" i="4"/>
  <c r="CA1244" i="4"/>
  <c r="CC1244" i="4" s="1"/>
  <c r="CE1244" i="4" s="1"/>
  <c r="CA1251" i="4"/>
  <c r="CA1243" i="4"/>
  <c r="CA1209" i="4"/>
  <c r="BS1069" i="4"/>
  <c r="BS1100" i="4"/>
  <c r="BS1090" i="4"/>
  <c r="BS919" i="4"/>
  <c r="BS558" i="4"/>
  <c r="BS1054" i="4"/>
  <c r="BS866" i="4"/>
  <c r="BS916" i="4"/>
  <c r="BS970" i="4"/>
  <c r="BS12" i="4"/>
  <c r="BS1105" i="4"/>
  <c r="BS248" i="4"/>
  <c r="BS706" i="4"/>
  <c r="BS245" i="4"/>
  <c r="BS118" i="4"/>
  <c r="BS63" i="4"/>
  <c r="BS1110" i="4"/>
  <c r="BS699" i="4"/>
  <c r="BS8" i="4"/>
  <c r="BS1178" i="4"/>
  <c r="BS757" i="4"/>
  <c r="BS61" i="4"/>
  <c r="BS1046" i="4"/>
  <c r="BS231" i="4"/>
  <c r="BS1073" i="4"/>
  <c r="BS908" i="4"/>
  <c r="CC1284" i="4"/>
  <c r="CE1284" i="4" s="1"/>
  <c r="CF1284" i="4" s="1"/>
  <c r="BS220" i="4"/>
  <c r="BS959" i="4"/>
  <c r="BS218" i="4"/>
  <c r="BS755" i="4"/>
  <c r="BS146" i="4"/>
  <c r="BS24" i="4"/>
  <c r="BS443" i="4"/>
  <c r="BS38" i="4"/>
  <c r="BS540" i="4"/>
  <c r="BS1157" i="4"/>
  <c r="BS23" i="4"/>
  <c r="BS1146" i="4"/>
  <c r="BS416" i="4"/>
  <c r="BS206" i="4"/>
  <c r="BS204" i="4"/>
  <c r="BS532" i="4"/>
  <c r="BS400" i="4"/>
  <c r="BS395" i="4"/>
  <c r="BS391" i="4"/>
  <c r="BS199" i="4"/>
  <c r="BS585" i="4"/>
  <c r="BS527" i="4"/>
  <c r="BS524" i="4"/>
  <c r="BS372" i="4"/>
  <c r="BS779" i="4"/>
  <c r="BS859" i="4"/>
  <c r="BS777" i="4"/>
  <c r="BS358" i="4"/>
  <c r="BS18" i="4"/>
  <c r="BS1189" i="4"/>
  <c r="BS839" i="4"/>
  <c r="BS514" i="4"/>
  <c r="BS136" i="4"/>
  <c r="BS933" i="4"/>
  <c r="BS772" i="4"/>
  <c r="BS513" i="4"/>
  <c r="BS333" i="4"/>
  <c r="BS33" i="4"/>
  <c r="BS331" i="4"/>
  <c r="BS511" i="4"/>
  <c r="BS873" i="4"/>
  <c r="BS322" i="4"/>
  <c r="BS830" i="4"/>
  <c r="BS733" i="4"/>
  <c r="BS506" i="4"/>
  <c r="BS637" i="4"/>
  <c r="BS573" i="4"/>
  <c r="BS302" i="4"/>
  <c r="BS1145" i="4"/>
  <c r="BS729" i="4"/>
  <c r="BS608" i="4"/>
  <c r="BS131" i="4"/>
  <c r="BS290" i="4"/>
  <c r="BS1075" i="4"/>
  <c r="BS551" i="4"/>
  <c r="BS548" i="4"/>
  <c r="BS1199" i="4"/>
  <c r="BS216" i="4"/>
  <c r="BS25" i="4"/>
  <c r="BS879" i="4"/>
  <c r="BS440" i="4"/>
  <c r="BS691" i="4"/>
  <c r="BS863" i="4"/>
  <c r="BS105" i="4"/>
  <c r="BS427" i="4"/>
  <c r="BS22" i="4"/>
  <c r="BS413" i="4"/>
  <c r="BS205" i="4"/>
  <c r="BS406" i="4"/>
  <c r="BS66" i="4"/>
  <c r="BS821" i="4"/>
  <c r="BS901" i="4"/>
  <c r="BS1130" i="4"/>
  <c r="BS816" i="4"/>
  <c r="BS499" i="4"/>
  <c r="BS275" i="4"/>
  <c r="BS273" i="4"/>
  <c r="BS958" i="4"/>
  <c r="BS563" i="4"/>
  <c r="BS986" i="4"/>
  <c r="BS495" i="4"/>
  <c r="BS660" i="4"/>
  <c r="BS1072" i="4"/>
  <c r="BS264" i="4"/>
  <c r="BS981" i="4"/>
  <c r="BS761" i="4"/>
  <c r="BS599" i="4"/>
  <c r="BS792" i="4"/>
  <c r="BS997" i="4"/>
  <c r="BS957" i="4"/>
  <c r="BS947" i="4"/>
  <c r="BS1071" i="4"/>
  <c r="BS1197" i="4"/>
  <c r="BS1164" i="4"/>
  <c r="BS927" i="4"/>
  <c r="BS487" i="4"/>
  <c r="BS251" i="4"/>
  <c r="BS914" i="4"/>
  <c r="BS646" i="4"/>
  <c r="BS644" i="4"/>
  <c r="BS158" i="4"/>
  <c r="BS243" i="4"/>
  <c r="BS62" i="4"/>
  <c r="BS556" i="4"/>
  <c r="BS1166" i="4"/>
  <c r="BS116" i="4"/>
  <c r="BS1155" i="4"/>
  <c r="BS1062" i="4"/>
  <c r="BS983" i="4"/>
  <c r="BS151" i="4"/>
  <c r="BS475" i="4"/>
  <c r="BS851" i="4"/>
  <c r="BS689" i="4"/>
  <c r="BS623" i="4"/>
  <c r="BS104" i="4"/>
  <c r="BS388" i="4"/>
  <c r="BS952" i="4"/>
  <c r="BS382" i="4"/>
  <c r="BS380" i="4"/>
  <c r="BS376" i="4"/>
  <c r="BS581" i="4"/>
  <c r="BS951" i="4"/>
  <c r="BS618" i="4"/>
  <c r="BS361" i="4"/>
  <c r="BS616" i="4"/>
  <c r="BS679" i="4"/>
  <c r="BS516" i="4"/>
  <c r="BS1176" i="4"/>
  <c r="BS1041" i="4"/>
  <c r="BS340" i="4"/>
  <c r="BS677" i="4"/>
  <c r="BS676" i="4"/>
  <c r="BS857" i="4"/>
  <c r="BS1107" i="4"/>
  <c r="BS610" i="4"/>
  <c r="BS925" i="4"/>
  <c r="BS1028" i="4"/>
  <c r="BS319" i="4"/>
  <c r="BS317" i="4"/>
  <c r="BS313" i="4"/>
  <c r="BS1143" i="4"/>
  <c r="BS69" i="4"/>
  <c r="BS3" i="4"/>
  <c r="BS1045" i="4"/>
  <c r="BS730" i="4"/>
  <c r="BS297" i="4"/>
  <c r="BS1188" i="4"/>
  <c r="BS967" i="4"/>
  <c r="BS500" i="4"/>
  <c r="BS50" i="4"/>
  <c r="BS824" i="4"/>
  <c r="BS820" i="4"/>
  <c r="BS283" i="4"/>
  <c r="BS724" i="4"/>
  <c r="BS1106" i="4"/>
  <c r="BS1127" i="4"/>
  <c r="BS900" i="4"/>
  <c r="BS1056" i="4"/>
  <c r="BS809" i="4"/>
  <c r="BS166" i="4"/>
  <c r="BS923" i="4"/>
  <c r="BS164" i="4"/>
  <c r="BS493" i="4"/>
  <c r="BS658" i="4"/>
  <c r="BS928" i="4"/>
  <c r="BS712" i="4"/>
  <c r="BS794" i="4"/>
  <c r="BS1099" i="4"/>
  <c r="BS1026" i="4"/>
  <c r="BS1074" i="4"/>
  <c r="BS1152" i="4"/>
  <c r="BS917" i="4"/>
  <c r="BS257" i="4"/>
  <c r="BS945" i="4"/>
  <c r="BS898" i="4"/>
  <c r="BS46" i="4"/>
  <c r="BS160" i="4"/>
  <c r="BS1089" i="4"/>
  <c r="BS1032" i="4"/>
  <c r="BS1051" i="4"/>
  <c r="BS1123" i="4"/>
  <c r="BS1067" i="4"/>
  <c r="BS242" i="4"/>
  <c r="BS700" i="4"/>
  <c r="BS27" i="4"/>
  <c r="BS154" i="4"/>
  <c r="BS83" i="4"/>
  <c r="BS152" i="4"/>
  <c r="BS1047" i="4"/>
  <c r="BS150" i="4"/>
  <c r="BS113" i="4"/>
  <c r="BS228" i="4"/>
  <c r="CC1233" i="4"/>
  <c r="CE1233" i="4" s="1"/>
  <c r="CF1233" i="4" s="1"/>
  <c r="CC1293" i="4"/>
  <c r="CE1293" i="4" s="1"/>
  <c r="CF1293" i="4" s="1"/>
  <c r="CC1286" i="4"/>
  <c r="CE1286" i="4" s="1"/>
  <c r="CF1286" i="4" s="1"/>
  <c r="CC1239" i="4"/>
  <c r="CE1239" i="4" s="1"/>
  <c r="CF1239" i="4" s="1"/>
  <c r="CC1278" i="4"/>
  <c r="CE1278" i="4" s="1"/>
  <c r="CF1278" i="4" s="1"/>
  <c r="BS464" i="4"/>
  <c r="BS550" i="4"/>
  <c r="BS546" i="4"/>
  <c r="BS849" i="4"/>
  <c r="BS452" i="4"/>
  <c r="BS630" i="4"/>
  <c r="BS629" i="4"/>
  <c r="BS591" i="4"/>
  <c r="BS436" i="4"/>
  <c r="BS143" i="4"/>
  <c r="BS429" i="4"/>
  <c r="BS626" i="4"/>
  <c r="BS954" i="4"/>
  <c r="BS410" i="4"/>
  <c r="BS2" i="4"/>
  <c r="BS553" i="4"/>
  <c r="BS40" i="4"/>
  <c r="BS545" i="4"/>
  <c r="BS942" i="4"/>
  <c r="BS448" i="4"/>
  <c r="BS441" i="4"/>
  <c r="BS144" i="4"/>
  <c r="BS590" i="4"/>
  <c r="BS1092" i="4"/>
  <c r="BS1083" i="4"/>
  <c r="BS422" i="4"/>
  <c r="BS221" i="4"/>
  <c r="BS407" i="4"/>
  <c r="BS845" i="4"/>
  <c r="BS401" i="4"/>
  <c r="BS586" i="4"/>
  <c r="BS139" i="4"/>
  <c r="BS200" i="4"/>
  <c r="BS19" i="4"/>
  <c r="BS381" i="4"/>
  <c r="BS843" i="4"/>
  <c r="BS373" i="4"/>
  <c r="BS368" i="4"/>
  <c r="BS365" i="4"/>
  <c r="BS190" i="4"/>
  <c r="BS1021" i="4"/>
  <c r="BS354" i="4"/>
  <c r="BS741" i="4"/>
  <c r="BS515" i="4"/>
  <c r="BS348" i="4"/>
  <c r="BS775" i="4"/>
  <c r="BS678" i="4"/>
  <c r="BS737" i="4"/>
  <c r="BS135" i="4"/>
  <c r="BS673" i="4"/>
  <c r="BS1038" i="4"/>
  <c r="BS876" i="4"/>
  <c r="BS874" i="4"/>
  <c r="BS323" i="4"/>
  <c r="BS1195" i="4"/>
  <c r="BS1103" i="4"/>
  <c r="BS99" i="4"/>
  <c r="BS1134" i="4"/>
  <c r="BS308" i="4"/>
  <c r="BS1018" i="4"/>
  <c r="BS1058" i="4"/>
  <c r="BS924" i="4"/>
  <c r="BS175" i="4"/>
  <c r="BS291" i="4"/>
  <c r="BS1133" i="4"/>
  <c r="BS567" i="4"/>
  <c r="BS823" i="4"/>
  <c r="BS94" i="4"/>
  <c r="BS817" i="4"/>
  <c r="BS998" i="4"/>
  <c r="BS565" i="4"/>
  <c r="BS722" i="4"/>
  <c r="BS721" i="4"/>
  <c r="BS720" i="4"/>
  <c r="BS271" i="4"/>
  <c r="BS165" i="4"/>
  <c r="BS120" i="4"/>
  <c r="BS606" i="4"/>
  <c r="BS659" i="4"/>
  <c r="BS799" i="4"/>
  <c r="BS263" i="4"/>
  <c r="BS711" i="4"/>
  <c r="BS1064" i="4"/>
  <c r="BS652" i="4"/>
  <c r="BS1184" i="4"/>
  <c r="BS760" i="4"/>
  <c r="BS918" i="4"/>
  <c r="BS852" i="4"/>
  <c r="BS1140" i="4"/>
  <c r="BS709" i="4"/>
  <c r="BS1165" i="4"/>
  <c r="BS965" i="4"/>
  <c r="BS485" i="4"/>
  <c r="BS647" i="4"/>
  <c r="BS985" i="4"/>
  <c r="BS704" i="4"/>
  <c r="BS891" i="4"/>
  <c r="BS889" i="4"/>
  <c r="BS156" i="4"/>
  <c r="BS240" i="4"/>
  <c r="BS787" i="4"/>
  <c r="BS117" i="4"/>
  <c r="BS1181" i="4"/>
  <c r="BS233" i="4"/>
  <c r="BS1009" i="4"/>
  <c r="BS911" i="4"/>
  <c r="BS640" i="4"/>
  <c r="BS697" i="4"/>
  <c r="BS414" i="4"/>
  <c r="BS534" i="4"/>
  <c r="BS141" i="4"/>
  <c r="BS531" i="4"/>
  <c r="BS399" i="4"/>
  <c r="BS622" i="4"/>
  <c r="BS389" i="4"/>
  <c r="BS685" i="4"/>
  <c r="BS383" i="4"/>
  <c r="BS526" i="4"/>
  <c r="BS682" i="4"/>
  <c r="BS192" i="4"/>
  <c r="BS619" i="4"/>
  <c r="BS364" i="4"/>
  <c r="BS520" i="4"/>
  <c r="BS189" i="4"/>
  <c r="BS742" i="4"/>
  <c r="BS1137" i="4"/>
  <c r="BS350" i="4"/>
  <c r="BS347" i="4"/>
  <c r="BS184" i="4"/>
  <c r="BS1198" i="4"/>
  <c r="BS577" i="4"/>
  <c r="BS181" i="4"/>
  <c r="BS1020" i="4"/>
  <c r="BS832" i="4"/>
  <c r="BS671" i="4"/>
  <c r="BS327" i="4"/>
  <c r="BS179" i="4"/>
  <c r="BS320" i="4"/>
  <c r="BS829" i="4"/>
  <c r="BS668" i="4"/>
  <c r="BS1135" i="4"/>
  <c r="BS938" i="4"/>
  <c r="BS68" i="4"/>
  <c r="BS301" i="4"/>
  <c r="BS1081" i="4"/>
  <c r="BS1116" i="4"/>
  <c r="BS502" i="4"/>
  <c r="BS172" i="4"/>
  <c r="BS568" i="4"/>
  <c r="BS932" i="4"/>
  <c r="BS285" i="4"/>
  <c r="BS607" i="4"/>
  <c r="BS1087" i="4"/>
  <c r="BS666" i="4"/>
  <c r="BS723" i="4"/>
  <c r="BS498" i="4"/>
  <c r="BS124" i="4"/>
  <c r="BS663" i="4"/>
  <c r="BS810" i="4"/>
  <c r="BS974" i="4"/>
  <c r="BS270" i="4"/>
  <c r="BS268" i="4"/>
  <c r="BS605" i="4"/>
  <c r="BS604" i="4"/>
  <c r="BS603" i="4"/>
  <c r="BS798" i="4"/>
  <c r="BS561" i="4"/>
  <c r="BS86" i="4"/>
  <c r="BS694" i="4"/>
  <c r="BS996" i="4"/>
  <c r="BS85" i="4"/>
  <c r="BS1191" i="4"/>
  <c r="BS759" i="4"/>
  <c r="BS993" i="4"/>
  <c r="BS161" i="4"/>
  <c r="BS708" i="4"/>
  <c r="BS252" i="4"/>
  <c r="BS894" i="4"/>
  <c r="BS1033" i="4"/>
  <c r="BS247" i="4"/>
  <c r="BS703" i="4"/>
  <c r="BS244" i="4"/>
  <c r="BS701" i="4"/>
  <c r="BS483" i="4"/>
  <c r="BS788" i="4"/>
  <c r="BS1190" i="4"/>
  <c r="BS479" i="4"/>
  <c r="BS1063" i="4"/>
  <c r="BS1048" i="4"/>
  <c r="BS886" i="4"/>
  <c r="BS1203" i="4"/>
  <c r="BS1161" i="4"/>
  <c r="BS639" i="4"/>
  <c r="BS110" i="4"/>
  <c r="BS7" i="4"/>
  <c r="BS226" i="4"/>
  <c r="BS934" i="4"/>
  <c r="BS41" i="4"/>
  <c r="BS472" i="4"/>
  <c r="BS467" i="4"/>
  <c r="BS224" i="4"/>
  <c r="BS466" i="4"/>
  <c r="BS223" i="4"/>
  <c r="BS693" i="4"/>
  <c r="BS635" i="4"/>
  <c r="BS222" i="4"/>
  <c r="BS470" i="4"/>
  <c r="BS692" i="4"/>
  <c r="BS227" i="4"/>
  <c r="BS596" i="4"/>
  <c r="BS471" i="4"/>
  <c r="BS468" i="4"/>
  <c r="BS473" i="4"/>
  <c r="BS108" i="4"/>
  <c r="BS756" i="4"/>
  <c r="BZ1042" i="4"/>
  <c r="CB1042" i="4" s="1"/>
  <c r="BZ1053" i="4"/>
  <c r="CB1053" i="4" s="1"/>
  <c r="BZ1047" i="4"/>
  <c r="CB1047" i="4" s="1"/>
  <c r="BZ1147" i="4"/>
  <c r="CB1147" i="4" s="1"/>
  <c r="BZ1067" i="4"/>
  <c r="CB1067" i="4" s="1"/>
  <c r="BZ1089" i="4"/>
  <c r="CB1089" i="4" s="1"/>
  <c r="BZ898" i="4"/>
  <c r="CB898" i="4" s="1"/>
  <c r="BZ945" i="4"/>
  <c r="CB945" i="4" s="1"/>
  <c r="BZ257" i="4"/>
  <c r="CB257" i="4" s="1"/>
  <c r="BZ1152" i="4"/>
  <c r="CB1152" i="4" s="1"/>
  <c r="BZ1026" i="4"/>
  <c r="CB1026" i="4" s="1"/>
  <c r="BZ935" i="4"/>
  <c r="CB935" i="4" s="1"/>
  <c r="BZ1024" i="4"/>
  <c r="CB1024" i="4" s="1"/>
  <c r="BZ228" i="4"/>
  <c r="CB228" i="4" s="1"/>
  <c r="BZ83" i="4"/>
  <c r="CB83" i="4" s="1"/>
  <c r="BZ1051" i="4"/>
  <c r="CB1051" i="4" s="1"/>
  <c r="BZ913" i="4"/>
  <c r="CB913" i="4" s="1"/>
  <c r="BZ1204" i="4"/>
  <c r="CB1204" i="4" s="1"/>
  <c r="BZ643" i="4"/>
  <c r="CB643" i="4" s="1"/>
  <c r="BZ1183" i="4"/>
  <c r="CB1183" i="4" s="1"/>
  <c r="BZ1003" i="4"/>
  <c r="CB1003" i="4" s="1"/>
  <c r="BZ1035" i="4"/>
  <c r="CB1035" i="4" s="1"/>
  <c r="BZ895" i="4"/>
  <c r="CB895" i="4" s="1"/>
  <c r="BZ897" i="4"/>
  <c r="CB897" i="4" s="1"/>
  <c r="BZ971" i="4"/>
  <c r="CB971" i="4" s="1"/>
  <c r="BZ758" i="4"/>
  <c r="CB758" i="4" s="1"/>
  <c r="BZ995" i="4"/>
  <c r="CB995" i="4" s="1"/>
  <c r="BZ1194" i="4"/>
  <c r="CB1194" i="4" s="1"/>
  <c r="BZ790" i="4"/>
  <c r="CB790" i="4" s="1"/>
  <c r="BZ64" i="4"/>
  <c r="CB64" i="4" s="1"/>
  <c r="BZ1098" i="4"/>
  <c r="CB1098" i="4" s="1"/>
  <c r="BZ86" i="4"/>
  <c r="CB86" i="4" s="1"/>
  <c r="BZ561" i="4"/>
  <c r="CB561" i="4" s="1"/>
  <c r="BZ798" i="4"/>
  <c r="CB798" i="4" s="1"/>
  <c r="BZ603" i="4"/>
  <c r="CB603" i="4" s="1"/>
  <c r="BZ604" i="4"/>
  <c r="CB604" i="4" s="1"/>
  <c r="BZ605" i="4"/>
  <c r="CB605" i="4" s="1"/>
  <c r="BZ1144" i="4"/>
  <c r="CB1144" i="4" s="1"/>
  <c r="BZ84" i="4"/>
  <c r="CB84" i="4" s="1"/>
  <c r="BZ113" i="4"/>
  <c r="CB113" i="4" s="1"/>
  <c r="BZ154" i="4"/>
  <c r="CB154" i="4" s="1"/>
  <c r="BZ242" i="4"/>
  <c r="CB242" i="4" s="1"/>
  <c r="BZ1032" i="4"/>
  <c r="CB1032" i="4" s="1"/>
  <c r="BZ917" i="4"/>
  <c r="CB917" i="4" s="1"/>
  <c r="BZ114" i="4"/>
  <c r="CB114" i="4" s="1"/>
  <c r="BZ1205" i="4"/>
  <c r="CB1205" i="4" s="1"/>
  <c r="BZ597" i="4"/>
  <c r="CB597" i="4" s="1"/>
  <c r="BZ702" i="4"/>
  <c r="CB702" i="4" s="1"/>
  <c r="BZ639" i="4"/>
  <c r="CB639" i="4" s="1"/>
  <c r="BZ1161" i="4"/>
  <c r="CB1161" i="4" s="1"/>
  <c r="BZ1203" i="4"/>
  <c r="CB1203" i="4" s="1"/>
  <c r="BZ886" i="4"/>
  <c r="CB886" i="4" s="1"/>
  <c r="BZ1048" i="4"/>
  <c r="CB1048" i="4" s="1"/>
  <c r="BZ1063" i="4"/>
  <c r="CB1063" i="4" s="1"/>
  <c r="BZ479" i="4"/>
  <c r="CB479" i="4" s="1"/>
  <c r="BZ1190" i="4"/>
  <c r="CB1190" i="4" s="1"/>
  <c r="BZ788" i="4"/>
  <c r="CB788" i="4" s="1"/>
  <c r="BZ483" i="4"/>
  <c r="CB483" i="4" s="1"/>
  <c r="BZ701" i="4"/>
  <c r="CB701" i="4" s="1"/>
  <c r="BZ244" i="4"/>
  <c r="CB244" i="4" s="1"/>
  <c r="BZ703" i="4"/>
  <c r="CB703" i="4" s="1"/>
  <c r="BZ247" i="4"/>
  <c r="CB247" i="4" s="1"/>
  <c r="BZ1033" i="4"/>
  <c r="CB1033" i="4" s="1"/>
  <c r="BZ894" i="4"/>
  <c r="CB894" i="4" s="1"/>
  <c r="BZ252" i="4"/>
  <c r="CB252" i="4" s="1"/>
  <c r="BZ708" i="4"/>
  <c r="CB708" i="4" s="1"/>
  <c r="BZ161" i="4"/>
  <c r="CB161" i="4" s="1"/>
  <c r="BZ993" i="4"/>
  <c r="CB993" i="4" s="1"/>
  <c r="BZ759" i="4"/>
  <c r="CB759" i="4" s="1"/>
  <c r="BZ1191" i="4"/>
  <c r="CB1191" i="4" s="1"/>
  <c r="BZ85" i="4"/>
  <c r="CB85" i="4" s="1"/>
  <c r="BZ786" i="4"/>
  <c r="CB786" i="4" s="1"/>
  <c r="BZ47" i="4"/>
  <c r="CB47" i="4" s="1"/>
  <c r="BZ152" i="4"/>
  <c r="CB152" i="4" s="1"/>
  <c r="BZ27" i="4"/>
  <c r="CB27" i="4" s="1"/>
  <c r="BZ1123" i="4"/>
  <c r="CB1123" i="4" s="1"/>
  <c r="BZ46" i="4"/>
  <c r="CB46" i="4" s="1"/>
  <c r="BZ1074" i="4"/>
  <c r="CB1074" i="4" s="1"/>
  <c r="BZ638" i="4"/>
  <c r="CB638" i="4" s="1"/>
  <c r="BZ1119" i="4"/>
  <c r="CB1119" i="4" s="1"/>
  <c r="BZ1153" i="4"/>
  <c r="CB1153" i="4" s="1"/>
  <c r="BZ885" i="4"/>
  <c r="CB885" i="4" s="1"/>
  <c r="BZ44" i="4"/>
  <c r="CB44" i="4" s="1"/>
  <c r="BZ153" i="4"/>
  <c r="CB153" i="4" s="1"/>
  <c r="BZ10" i="4"/>
  <c r="CB10" i="4" s="1"/>
  <c r="BZ1120" i="4"/>
  <c r="CB1120" i="4" s="1"/>
  <c r="BZ1029" i="4"/>
  <c r="CB1029" i="4" s="1"/>
  <c r="BZ249" i="4"/>
  <c r="CB249" i="4" s="1"/>
  <c r="BZ253" i="4"/>
  <c r="CB253" i="4" s="1"/>
  <c r="BZ598" i="4"/>
  <c r="CB598" i="4" s="1"/>
  <c r="BZ972" i="4"/>
  <c r="CB972" i="4" s="1"/>
  <c r="BZ599" i="4"/>
  <c r="CB599" i="4" s="1"/>
  <c r="BZ11" i="4"/>
  <c r="CB11" i="4" s="1"/>
  <c r="BZ1034" i="4"/>
  <c r="CB1034" i="4" s="1"/>
  <c r="BZ150" i="4"/>
  <c r="CB150" i="4" s="1"/>
  <c r="BZ700" i="4"/>
  <c r="CB700" i="4" s="1"/>
  <c r="BZ160" i="4"/>
  <c r="CB160" i="4" s="1"/>
  <c r="BZ43" i="4"/>
  <c r="CB43" i="4" s="1"/>
  <c r="BZ1010" i="4"/>
  <c r="CB1010" i="4" s="1"/>
  <c r="BZ978" i="4"/>
  <c r="CB978" i="4" s="1"/>
  <c r="BZ229" i="4"/>
  <c r="CB229" i="4" s="1"/>
  <c r="BZ1097" i="4"/>
  <c r="CB1097" i="4" s="1"/>
  <c r="BZ956" i="4"/>
  <c r="CB956" i="4" s="1"/>
  <c r="BZ480" i="4"/>
  <c r="CB480" i="4" s="1"/>
  <c r="BZ482" i="4"/>
  <c r="CB482" i="4" s="1"/>
  <c r="BZ784" i="4"/>
  <c r="CB784" i="4" s="1"/>
  <c r="BZ1050" i="4"/>
  <c r="CB1050" i="4" s="1"/>
  <c r="BZ1030" i="4"/>
  <c r="CB1030" i="4" s="1"/>
  <c r="BZ250" i="4"/>
  <c r="CB250" i="4" s="1"/>
  <c r="BZ649" i="4"/>
  <c r="CB649" i="4" s="1"/>
  <c r="BZ991" i="4"/>
  <c r="CB991" i="4" s="1"/>
  <c r="BZ258" i="4"/>
  <c r="CB258" i="4" s="1"/>
  <c r="BZ559" i="4"/>
  <c r="CB559" i="4" s="1"/>
  <c r="BZ966" i="4"/>
  <c r="CB966" i="4" s="1"/>
  <c r="BZ792" i="4"/>
  <c r="CB792" i="4" s="1"/>
  <c r="BZ851" i="4"/>
  <c r="CB851" i="4" s="1"/>
  <c r="BZ475" i="4"/>
  <c r="CB475" i="4" s="1"/>
  <c r="BZ151" i="4"/>
  <c r="CB151" i="4" s="1"/>
  <c r="BZ983" i="4"/>
  <c r="CB983" i="4" s="1"/>
  <c r="BZ1062" i="4"/>
  <c r="CB1062" i="4" s="1"/>
  <c r="BZ1155" i="4"/>
  <c r="CB1155" i="4" s="1"/>
  <c r="BZ116" i="4"/>
  <c r="CB116" i="4" s="1"/>
  <c r="BZ1166" i="4"/>
  <c r="CB1166" i="4" s="1"/>
  <c r="BZ556" i="4"/>
  <c r="CB556" i="4" s="1"/>
  <c r="BZ62" i="4"/>
  <c r="CB62" i="4" s="1"/>
  <c r="BZ243" i="4"/>
  <c r="CB243" i="4" s="1"/>
  <c r="BZ158" i="4"/>
  <c r="CB158" i="4" s="1"/>
  <c r="BZ644" i="4"/>
  <c r="CB644" i="4" s="1"/>
  <c r="BZ646" i="4"/>
  <c r="CB646" i="4" s="1"/>
  <c r="BZ914" i="4"/>
  <c r="CB914" i="4" s="1"/>
  <c r="BZ251" i="4"/>
  <c r="CB251" i="4" s="1"/>
  <c r="BZ487" i="4"/>
  <c r="CB487" i="4" s="1"/>
  <c r="BZ927" i="4"/>
  <c r="CB927" i="4" s="1"/>
  <c r="BZ1164" i="4"/>
  <c r="CB1164" i="4" s="1"/>
  <c r="BZ1197" i="4"/>
  <c r="CB1197" i="4" s="1"/>
  <c r="BZ1071" i="4"/>
  <c r="CB1071" i="4" s="1"/>
  <c r="BZ947" i="4"/>
  <c r="CB947" i="4" s="1"/>
  <c r="BZ957" i="4"/>
  <c r="CB957" i="4" s="1"/>
  <c r="BZ997" i="4"/>
  <c r="CB997" i="4" s="1"/>
  <c r="BZ1014" i="4"/>
  <c r="CB1014" i="4" s="1"/>
  <c r="BZ710" i="4"/>
  <c r="CB710" i="4" s="1"/>
  <c r="BZ990" i="4"/>
  <c r="CB990" i="4" s="1"/>
  <c r="BZ697" i="4"/>
  <c r="CB697" i="4" s="1"/>
  <c r="BZ640" i="4"/>
  <c r="CB640" i="4" s="1"/>
  <c r="BZ911" i="4"/>
  <c r="CB911" i="4" s="1"/>
  <c r="BZ1009" i="4"/>
  <c r="CB1009" i="4" s="1"/>
  <c r="BZ233" i="4"/>
  <c r="CB233" i="4" s="1"/>
  <c r="BZ1181" i="4"/>
  <c r="CB1181" i="4" s="1"/>
  <c r="BZ117" i="4"/>
  <c r="CB117" i="4" s="1"/>
  <c r="BZ787" i="4"/>
  <c r="CB787" i="4" s="1"/>
  <c r="BZ240" i="4"/>
  <c r="CB240" i="4" s="1"/>
  <c r="BZ156" i="4"/>
  <c r="CB156" i="4" s="1"/>
  <c r="BZ889" i="4"/>
  <c r="CB889" i="4" s="1"/>
  <c r="BZ891" i="4"/>
  <c r="CB891" i="4" s="1"/>
  <c r="BZ704" i="4"/>
  <c r="CB704" i="4" s="1"/>
  <c r="BZ985" i="4"/>
  <c r="CB985" i="4" s="1"/>
  <c r="BZ647" i="4"/>
  <c r="CB647" i="4" s="1"/>
  <c r="BZ485" i="4"/>
  <c r="CB485" i="4" s="1"/>
  <c r="BZ965" i="4"/>
  <c r="CB965" i="4" s="1"/>
  <c r="BZ1165" i="4"/>
  <c r="CB1165" i="4" s="1"/>
  <c r="BZ709" i="4"/>
  <c r="CB709" i="4" s="1"/>
  <c r="BZ1140" i="4"/>
  <c r="CB1140" i="4" s="1"/>
  <c r="BZ852" i="4"/>
  <c r="CB852" i="4" s="1"/>
  <c r="BZ918" i="4"/>
  <c r="CB918" i="4" s="1"/>
  <c r="BZ760" i="4"/>
  <c r="CB760" i="4" s="1"/>
  <c r="BZ241" i="4"/>
  <c r="CB241" i="4" s="1"/>
  <c r="BZ1005" i="4"/>
  <c r="CB1005" i="4" s="1"/>
  <c r="BZ259" i="4"/>
  <c r="CB259" i="4" s="1"/>
  <c r="BZ652" i="4"/>
  <c r="CB652" i="4" s="1"/>
  <c r="BZ1117" i="4"/>
  <c r="CB1117" i="4" s="1"/>
  <c r="BZ237" i="4"/>
  <c r="CB237" i="4" s="1"/>
  <c r="BZ789" i="4"/>
  <c r="CB789" i="4" s="1"/>
  <c r="BZ1084" i="4"/>
  <c r="CB1084" i="4" s="1"/>
  <c r="BZ707" i="4"/>
  <c r="CB707" i="4" s="1"/>
  <c r="BZ1052" i="4"/>
  <c r="CB1052" i="4" s="1"/>
  <c r="BZ1036" i="4"/>
  <c r="CB1036" i="4" s="1"/>
  <c r="BZ1068" i="4"/>
  <c r="CB1068" i="4" s="1"/>
  <c r="BZ1006" i="4"/>
  <c r="CB1006" i="4" s="1"/>
  <c r="BZ1187" i="4"/>
  <c r="CB1187" i="4" s="1"/>
  <c r="BZ28" i="4"/>
  <c r="CB28" i="4" s="1"/>
  <c r="BZ853" i="4"/>
  <c r="CB853" i="4" s="1"/>
  <c r="BZ489" i="4"/>
  <c r="CB489" i="4" s="1"/>
  <c r="BZ1192" i="4"/>
  <c r="CB1192" i="4" s="1"/>
  <c r="BZ1141" i="4"/>
  <c r="CB1141" i="4" s="1"/>
  <c r="BZ1095" i="4"/>
  <c r="CB1095" i="4" s="1"/>
  <c r="BZ899" i="4"/>
  <c r="CB899" i="4" s="1"/>
  <c r="BZ87" i="4"/>
  <c r="CB87" i="4" s="1"/>
  <c r="BZ762" i="4"/>
  <c r="CB762" i="4" s="1"/>
  <c r="BZ656" i="4"/>
  <c r="CB656" i="4" s="1"/>
  <c r="BZ266" i="4"/>
  <c r="CB266" i="4" s="1"/>
  <c r="BZ1002" i="4"/>
  <c r="CB1002" i="4" s="1"/>
  <c r="BZ557" i="4"/>
  <c r="CB557" i="4" s="1"/>
  <c r="BZ256" i="4"/>
  <c r="CB256" i="4" s="1"/>
  <c r="BZ869" i="4"/>
  <c r="CB869" i="4" s="1"/>
  <c r="BZ1193" i="4"/>
  <c r="CB1193" i="4" s="1"/>
  <c r="BZ1122" i="4"/>
  <c r="CB1122" i="4" s="1"/>
  <c r="BZ645" i="4"/>
  <c r="CB645" i="4" s="1"/>
  <c r="BZ695" i="4"/>
  <c r="CB695" i="4" s="1"/>
  <c r="BZ1093" i="4"/>
  <c r="CB1093" i="4" s="1"/>
  <c r="BZ1162" i="4"/>
  <c r="CB1162" i="4" s="1"/>
  <c r="BZ81" i="4"/>
  <c r="CB81" i="4" s="1"/>
  <c r="BZ232" i="4"/>
  <c r="CB232" i="4" s="1"/>
  <c r="BZ698" i="4"/>
  <c r="CB698" i="4" s="1"/>
  <c r="BZ235" i="4"/>
  <c r="CB235" i="4" s="1"/>
  <c r="BZ968" i="4"/>
  <c r="CB968" i="4" s="1"/>
  <c r="BZ238" i="4"/>
  <c r="CB238" i="4" s="1"/>
  <c r="BZ865" i="4"/>
  <c r="CB865" i="4" s="1"/>
  <c r="BZ1170" i="4"/>
  <c r="CB1170" i="4" s="1"/>
  <c r="BZ880" i="4"/>
  <c r="CB880" i="4" s="1"/>
  <c r="BZ892" i="4"/>
  <c r="CB892" i="4" s="1"/>
  <c r="BZ705" i="4"/>
  <c r="CB705" i="4" s="1"/>
  <c r="BZ1031" i="4"/>
  <c r="CB1031" i="4" s="1"/>
  <c r="BZ915" i="4"/>
  <c r="CB915" i="4" s="1"/>
  <c r="BZ486" i="4"/>
  <c r="CB486" i="4" s="1"/>
  <c r="BZ488" i="4"/>
  <c r="CB488" i="4" s="1"/>
  <c r="BZ1011" i="4"/>
  <c r="CB1011" i="4" s="1"/>
  <c r="BZ255" i="4"/>
  <c r="CB255" i="4" s="1"/>
  <c r="BZ946" i="4"/>
  <c r="CB946" i="4" s="1"/>
  <c r="BZ867" i="4"/>
  <c r="CB867" i="4" s="1"/>
  <c r="BZ1039" i="4"/>
  <c r="CB1039" i="4" s="1"/>
  <c r="BZ560" i="4"/>
  <c r="CB560" i="4" s="1"/>
  <c r="BZ936" i="4"/>
  <c r="CB936" i="4" s="1"/>
  <c r="BZ478" i="4"/>
  <c r="CB478" i="4" s="1"/>
  <c r="BZ984" i="4"/>
  <c r="CB984" i="4" s="1"/>
  <c r="BZ1115" i="4"/>
  <c r="CB1115" i="4" s="1"/>
  <c r="BZ554" i="4"/>
  <c r="CB554" i="4" s="1"/>
  <c r="BZ234" i="4"/>
  <c r="CB234" i="4" s="1"/>
  <c r="BZ45" i="4"/>
  <c r="CB45" i="4" s="1"/>
  <c r="BZ231" i="4"/>
  <c r="CB231" i="4" s="1"/>
  <c r="BZ61" i="4"/>
  <c r="CB61" i="4" s="1"/>
  <c r="BZ1178" i="4"/>
  <c r="CB1178" i="4" s="1"/>
  <c r="BZ1110" i="4"/>
  <c r="CB1110" i="4" s="1"/>
  <c r="BZ118" i="4"/>
  <c r="CB118" i="4" s="1"/>
  <c r="BZ706" i="4"/>
  <c r="CB706" i="4" s="1"/>
  <c r="BZ12" i="4"/>
  <c r="CB12" i="4" s="1"/>
  <c r="BZ916" i="4"/>
  <c r="CB916" i="4" s="1"/>
  <c r="BZ1054" i="4"/>
  <c r="CB1054" i="4" s="1"/>
  <c r="BZ1090" i="4"/>
  <c r="CB1090" i="4" s="1"/>
  <c r="BZ921" i="4"/>
  <c r="CB921" i="4" s="1"/>
  <c r="BZ230" i="4"/>
  <c r="CB230" i="4" s="1"/>
  <c r="BZ944" i="4"/>
  <c r="CB944" i="4" s="1"/>
  <c r="BZ1085" i="4"/>
  <c r="CB1085" i="4" s="1"/>
  <c r="BZ1064" i="4"/>
  <c r="CB1064" i="4" s="1"/>
  <c r="BZ785" i="4"/>
  <c r="CB785" i="4" s="1"/>
  <c r="BZ555" i="4"/>
  <c r="CB555" i="4" s="1"/>
  <c r="BZ1049" i="4"/>
  <c r="CB1049" i="4" s="1"/>
  <c r="BZ908" i="4"/>
  <c r="CB908" i="4" s="1"/>
  <c r="BZ1073" i="4"/>
  <c r="CB1073" i="4" s="1"/>
  <c r="BZ1046" i="4"/>
  <c r="CB1046" i="4" s="1"/>
  <c r="BZ757" i="4"/>
  <c r="CB757" i="4" s="1"/>
  <c r="BZ8" i="4"/>
  <c r="CB8" i="4" s="1"/>
  <c r="BZ699" i="4"/>
  <c r="CB699" i="4" s="1"/>
  <c r="BZ63" i="4"/>
  <c r="CB63" i="4" s="1"/>
  <c r="BZ245" i="4"/>
  <c r="CB245" i="4" s="1"/>
  <c r="BZ248" i="4"/>
  <c r="CB248" i="4" s="1"/>
  <c r="BZ1105" i="4"/>
  <c r="CB1105" i="4" s="1"/>
  <c r="BZ970" i="4"/>
  <c r="CB970" i="4" s="1"/>
  <c r="BZ866" i="4"/>
  <c r="CB866" i="4" s="1"/>
  <c r="BZ558" i="4"/>
  <c r="CB558" i="4" s="1"/>
  <c r="BZ919" i="4"/>
  <c r="CB919" i="4" s="1"/>
  <c r="BZ1100" i="4"/>
  <c r="CB1100" i="4" s="1"/>
  <c r="BZ260" i="4"/>
  <c r="CB260" i="4" s="1"/>
  <c r="BZ696" i="4"/>
  <c r="CB696" i="4" s="1"/>
  <c r="BZ111" i="4"/>
  <c r="CB111" i="4" s="1"/>
  <c r="BZ1185" i="4"/>
  <c r="CB1185" i="4" s="1"/>
  <c r="BZ912" i="4"/>
  <c r="CB912" i="4" s="1"/>
  <c r="BZ1121" i="4"/>
  <c r="CB1121" i="4" s="1"/>
  <c r="BZ82" i="4"/>
  <c r="CB82" i="4" s="1"/>
  <c r="BZ115" i="4"/>
  <c r="CB115" i="4" s="1"/>
  <c r="BZ481" i="4"/>
  <c r="CB481" i="4" s="1"/>
  <c r="BZ239" i="4"/>
  <c r="CB239" i="4" s="1"/>
  <c r="BZ155" i="4"/>
  <c r="CB155" i="4" s="1"/>
  <c r="BZ641" i="4"/>
  <c r="CB641" i="4" s="1"/>
  <c r="BZ890" i="4"/>
  <c r="CB890" i="4" s="1"/>
  <c r="BZ893" i="4"/>
  <c r="CB893" i="4" s="1"/>
  <c r="BZ969" i="4"/>
  <c r="CB969" i="4" s="1"/>
  <c r="BZ484" i="4"/>
  <c r="CB484" i="4" s="1"/>
  <c r="BZ159" i="4"/>
  <c r="CB159" i="4" s="1"/>
  <c r="BZ1004" i="4"/>
  <c r="CB1004" i="4" s="1"/>
  <c r="BZ896" i="4"/>
  <c r="CB896" i="4" s="1"/>
  <c r="BZ1182" i="4"/>
  <c r="CB1182" i="4" s="1"/>
  <c r="BZ1012" i="4"/>
  <c r="CB1012" i="4" s="1"/>
  <c r="BZ994" i="4"/>
  <c r="CB994" i="4" s="1"/>
  <c r="BZ1025" i="4"/>
  <c r="CB1025" i="4" s="1"/>
  <c r="BZ1124" i="4"/>
  <c r="CB1124" i="4" s="1"/>
  <c r="BZ920" i="4"/>
  <c r="CB920" i="4" s="1"/>
  <c r="BZ1013" i="4"/>
  <c r="CB1013" i="4" s="1"/>
  <c r="BZ1179" i="4"/>
  <c r="CB1179" i="4" s="1"/>
  <c r="BZ909" i="4"/>
  <c r="CB909" i="4" s="1"/>
  <c r="BZ112" i="4"/>
  <c r="CB112" i="4" s="1"/>
  <c r="BZ910" i="4"/>
  <c r="CB910" i="4" s="1"/>
  <c r="BZ476" i="4"/>
  <c r="CB476" i="4" s="1"/>
  <c r="BZ477" i="4"/>
  <c r="CB477" i="4" s="1"/>
  <c r="BZ887" i="4"/>
  <c r="CB887" i="4" s="1"/>
  <c r="BZ236" i="4"/>
  <c r="CB236" i="4" s="1"/>
  <c r="BZ9" i="4"/>
  <c r="CB9" i="4" s="1"/>
  <c r="BZ888" i="4"/>
  <c r="CB888" i="4" s="1"/>
  <c r="BZ1043" i="4"/>
  <c r="CB1043" i="4" s="1"/>
  <c r="BZ157" i="4"/>
  <c r="CB157" i="4" s="1"/>
  <c r="BZ642" i="4"/>
  <c r="CB642" i="4" s="1"/>
  <c r="BZ1173" i="4"/>
  <c r="CB1173" i="4" s="1"/>
  <c r="BZ246" i="4"/>
  <c r="CB246" i="4" s="1"/>
  <c r="BZ881" i="4"/>
  <c r="CB881" i="4" s="1"/>
  <c r="BZ648" i="4"/>
  <c r="CB648" i="4" s="1"/>
  <c r="BZ1079" i="4"/>
  <c r="CB1079" i="4" s="1"/>
  <c r="BZ650" i="4"/>
  <c r="CB650" i="4" s="1"/>
  <c r="BZ254" i="4"/>
  <c r="CB254" i="4" s="1"/>
  <c r="BZ992" i="4"/>
  <c r="CB992" i="4" s="1"/>
  <c r="BZ1094" i="4"/>
  <c r="CB1094" i="4" s="1"/>
  <c r="BZ1174" i="4"/>
  <c r="CB1174" i="4" s="1"/>
  <c r="BZ868" i="4"/>
  <c r="CB868" i="4" s="1"/>
  <c r="BZ1037" i="4"/>
  <c r="CB1037" i="4" s="1"/>
  <c r="BZ791" i="4"/>
  <c r="CB791" i="4" s="1"/>
  <c r="BZ1099" i="4"/>
  <c r="CB1099" i="4" s="1"/>
  <c r="BZ761" i="4"/>
  <c r="CB761" i="4" s="1"/>
  <c r="BZ981" i="4"/>
  <c r="CB981" i="4" s="1"/>
  <c r="BZ264" i="4"/>
  <c r="CB264" i="4" s="1"/>
  <c r="BZ1072" i="4"/>
  <c r="CB1072" i="4" s="1"/>
  <c r="BZ660" i="4"/>
  <c r="CB660" i="4" s="1"/>
  <c r="BZ495" i="4"/>
  <c r="CB495" i="4" s="1"/>
  <c r="BZ986" i="4"/>
  <c r="CB986" i="4" s="1"/>
  <c r="BZ563" i="4"/>
  <c r="CB563" i="4" s="1"/>
  <c r="BZ958" i="4"/>
  <c r="CB958" i="4" s="1"/>
  <c r="BZ273" i="4"/>
  <c r="CB273" i="4" s="1"/>
  <c r="BZ275" i="4"/>
  <c r="CB275" i="4" s="1"/>
  <c r="BZ499" i="4"/>
  <c r="CB499" i="4" s="1"/>
  <c r="BZ816" i="4"/>
  <c r="CB816" i="4" s="1"/>
  <c r="BZ1130" i="4"/>
  <c r="CB1130" i="4" s="1"/>
  <c r="BZ901" i="4"/>
  <c r="CB901" i="4" s="1"/>
  <c r="BZ821" i="4"/>
  <c r="CB821" i="4" s="1"/>
  <c r="BZ66" i="4"/>
  <c r="CB66" i="4" s="1"/>
  <c r="BZ1075" i="4"/>
  <c r="CB1075" i="4" s="1"/>
  <c r="BZ290" i="4"/>
  <c r="CB290" i="4" s="1"/>
  <c r="BZ131" i="4"/>
  <c r="CB131" i="4" s="1"/>
  <c r="BZ608" i="4"/>
  <c r="CB608" i="4" s="1"/>
  <c r="BZ729" i="4"/>
  <c r="CB729" i="4" s="1"/>
  <c r="BZ1145" i="4"/>
  <c r="CB1145" i="4" s="1"/>
  <c r="BZ302" i="4"/>
  <c r="CB302" i="4" s="1"/>
  <c r="BZ573" i="4"/>
  <c r="CB573" i="4" s="1"/>
  <c r="BZ637" i="4"/>
  <c r="CB637" i="4" s="1"/>
  <c r="BZ506" i="4"/>
  <c r="CB506" i="4" s="1"/>
  <c r="BZ733" i="4"/>
  <c r="CB733" i="4" s="1"/>
  <c r="BZ830" i="4"/>
  <c r="CB830" i="4" s="1"/>
  <c r="BZ322" i="4"/>
  <c r="CB322" i="4" s="1"/>
  <c r="BZ873" i="4"/>
  <c r="CB873" i="4" s="1"/>
  <c r="BZ511" i="4"/>
  <c r="CB511" i="4" s="1"/>
  <c r="BZ331" i="4"/>
  <c r="CB331" i="4" s="1"/>
  <c r="BZ33" i="4"/>
  <c r="CB33" i="4" s="1"/>
  <c r="BZ333" i="4"/>
  <c r="CB333" i="4" s="1"/>
  <c r="BZ513" i="4"/>
  <c r="CB513" i="4" s="1"/>
  <c r="BZ772" i="4"/>
  <c r="CB772" i="4" s="1"/>
  <c r="BZ933" i="4"/>
  <c r="CB933" i="4" s="1"/>
  <c r="BZ136" i="4"/>
  <c r="CB136" i="4" s="1"/>
  <c r="BZ514" i="4"/>
  <c r="CB514" i="4" s="1"/>
  <c r="BZ839" i="4"/>
  <c r="CB839" i="4" s="1"/>
  <c r="BZ1189" i="4"/>
  <c r="CB1189" i="4" s="1"/>
  <c r="BZ18" i="4"/>
  <c r="CB18" i="4" s="1"/>
  <c r="BZ358" i="4"/>
  <c r="CB358" i="4" s="1"/>
  <c r="BZ777" i="4"/>
  <c r="CB777" i="4" s="1"/>
  <c r="BZ859" i="4"/>
  <c r="CB859" i="4" s="1"/>
  <c r="BZ779" i="4"/>
  <c r="CB779" i="4" s="1"/>
  <c r="BZ372" i="4"/>
  <c r="CB372" i="4" s="1"/>
  <c r="BZ524" i="4"/>
  <c r="CB524" i="4" s="1"/>
  <c r="BZ527" i="4"/>
  <c r="CB527" i="4" s="1"/>
  <c r="BZ585" i="4"/>
  <c r="CB585" i="4" s="1"/>
  <c r="BZ199" i="4"/>
  <c r="CB199" i="4" s="1"/>
  <c r="BZ391" i="4"/>
  <c r="CB391" i="4" s="1"/>
  <c r="BZ395" i="4"/>
  <c r="CB395" i="4" s="1"/>
  <c r="BZ400" i="4"/>
  <c r="CB400" i="4" s="1"/>
  <c r="BZ532" i="4"/>
  <c r="CB532" i="4" s="1"/>
  <c r="BZ204" i="4"/>
  <c r="CB204" i="4" s="1"/>
  <c r="BZ206" i="4"/>
  <c r="CB206" i="4" s="1"/>
  <c r="BZ416" i="4"/>
  <c r="CB416" i="4" s="1"/>
  <c r="BZ1146" i="4"/>
  <c r="CB1146" i="4" s="1"/>
  <c r="BZ23" i="4"/>
  <c r="CB23" i="4" s="1"/>
  <c r="BZ1157" i="4"/>
  <c r="CB1157" i="4" s="1"/>
  <c r="BZ540" i="4"/>
  <c r="CB540" i="4" s="1"/>
  <c r="BZ38" i="4"/>
  <c r="CB38" i="4" s="1"/>
  <c r="BZ443" i="4"/>
  <c r="CB443" i="4" s="1"/>
  <c r="BZ24" i="4"/>
  <c r="CB24" i="4" s="1"/>
  <c r="BZ146" i="4"/>
  <c r="CB146" i="4" s="1"/>
  <c r="BZ755" i="4"/>
  <c r="CB755" i="4" s="1"/>
  <c r="BZ218" i="4"/>
  <c r="CB218" i="4" s="1"/>
  <c r="BZ959" i="4"/>
  <c r="CB959" i="4" s="1"/>
  <c r="BZ220" i="4"/>
  <c r="CB220" i="4" s="1"/>
  <c r="BZ110" i="4"/>
  <c r="CB110" i="4" s="1"/>
  <c r="BZ7" i="4"/>
  <c r="CB7" i="4" s="1"/>
  <c r="BZ470" i="4"/>
  <c r="CB470" i="4" s="1"/>
  <c r="BZ654" i="4"/>
  <c r="CB654" i="4" s="1"/>
  <c r="BZ601" i="4"/>
  <c r="CB601" i="4" s="1"/>
  <c r="BZ854" i="4"/>
  <c r="CB854" i="4" s="1"/>
  <c r="BZ802" i="4"/>
  <c r="CB802" i="4" s="1"/>
  <c r="BZ1055" i="4"/>
  <c r="CB1055" i="4" s="1"/>
  <c r="BZ763" i="4"/>
  <c r="CB763" i="4" s="1"/>
  <c r="BZ961" i="4"/>
  <c r="CB961" i="4" s="1"/>
  <c r="BZ88" i="4"/>
  <c r="CB88" i="4" s="1"/>
  <c r="BZ167" i="4"/>
  <c r="CB167" i="4" s="1"/>
  <c r="BZ121" i="4"/>
  <c r="CB121" i="4" s="1"/>
  <c r="BZ664" i="4"/>
  <c r="CB664" i="4" s="1"/>
  <c r="BZ90" i="4"/>
  <c r="CB90" i="4" s="1"/>
  <c r="BZ126" i="4"/>
  <c r="CB126" i="4" s="1"/>
  <c r="BZ281" i="4"/>
  <c r="CB281" i="4" s="1"/>
  <c r="BZ93" i="4"/>
  <c r="CB93" i="4" s="1"/>
  <c r="BZ822" i="4"/>
  <c r="CB822" i="4" s="1"/>
  <c r="BZ286" i="4"/>
  <c r="CB286" i="4" s="1"/>
  <c r="BZ170" i="4"/>
  <c r="CB170" i="4" s="1"/>
  <c r="BZ825" i="4"/>
  <c r="CB825" i="4" s="1"/>
  <c r="BZ1088" i="4"/>
  <c r="CB1088" i="4" s="1"/>
  <c r="BZ503" i="4"/>
  <c r="CB503" i="4" s="1"/>
  <c r="BZ298" i="4"/>
  <c r="CB298" i="4" s="1"/>
  <c r="BZ96" i="4"/>
  <c r="CB96" i="4" s="1"/>
  <c r="BZ303" i="4"/>
  <c r="CB303" i="4" s="1"/>
  <c r="BZ1156" i="4"/>
  <c r="CB1156" i="4" s="1"/>
  <c r="BZ310" i="4"/>
  <c r="CB310" i="4" s="1"/>
  <c r="BZ667" i="4"/>
  <c r="CB667" i="4" s="1"/>
  <c r="BZ316" i="4"/>
  <c r="CB316" i="4" s="1"/>
  <c r="BZ1019" i="4"/>
  <c r="CB1019" i="4" s="1"/>
  <c r="BZ16" i="4"/>
  <c r="CB16" i="4" s="1"/>
  <c r="BZ31" i="4"/>
  <c r="CB31" i="4" s="1"/>
  <c r="BZ328" i="4"/>
  <c r="CB328" i="4" s="1"/>
  <c r="BZ855" i="4"/>
  <c r="CB855" i="4" s="1"/>
  <c r="BZ672" i="4"/>
  <c r="CB672" i="4" s="1"/>
  <c r="BZ334" i="4"/>
  <c r="CB334" i="4" s="1"/>
  <c r="BZ72" i="4"/>
  <c r="CB72" i="4" s="1"/>
  <c r="BZ339" i="4"/>
  <c r="CB339" i="4" s="1"/>
  <c r="BZ1186" i="4"/>
  <c r="CB1186" i="4" s="1"/>
  <c r="BZ73" i="4"/>
  <c r="CB73" i="4" s="1"/>
  <c r="BZ739" i="4"/>
  <c r="CB739" i="4" s="1"/>
  <c r="BZ17" i="4"/>
  <c r="CB17" i="4" s="1"/>
  <c r="BZ187" i="4"/>
  <c r="CB187" i="4" s="1"/>
  <c r="BZ188" i="4"/>
  <c r="CB188" i="4" s="1"/>
  <c r="BZ359" i="4"/>
  <c r="CB359" i="4" s="1"/>
  <c r="BZ362" i="4"/>
  <c r="CB362" i="4" s="1"/>
  <c r="BZ137" i="4"/>
  <c r="CB137" i="4" s="1"/>
  <c r="BZ580" i="4"/>
  <c r="CB580" i="4" s="1"/>
  <c r="BZ4" i="4"/>
  <c r="CB4" i="4" s="1"/>
  <c r="BZ525" i="4"/>
  <c r="CB525" i="4" s="1"/>
  <c r="BZ196" i="4"/>
  <c r="CB196" i="4" s="1"/>
  <c r="BZ384" i="4"/>
  <c r="CB384" i="4" s="1"/>
  <c r="BZ963" i="4"/>
  <c r="CB963" i="4" s="1"/>
  <c r="BZ782" i="4"/>
  <c r="CB782" i="4" s="1"/>
  <c r="BZ396" i="4"/>
  <c r="CB396" i="4" s="1"/>
  <c r="BZ749" i="4"/>
  <c r="CB749" i="4" s="1"/>
  <c r="BZ404" i="4"/>
  <c r="CB404" i="4" s="1"/>
  <c r="BZ1159" i="4"/>
  <c r="CB1159" i="4" s="1"/>
  <c r="BZ207" i="4"/>
  <c r="CB207" i="4" s="1"/>
  <c r="BZ417" i="4"/>
  <c r="CB417" i="4" s="1"/>
  <c r="BZ424" i="4"/>
  <c r="CB424" i="4" s="1"/>
  <c r="BZ537" i="4"/>
  <c r="CB537" i="4" s="1"/>
  <c r="BZ432" i="4"/>
  <c r="CB432" i="4" s="1"/>
  <c r="BZ435" i="4"/>
  <c r="CB435" i="4" s="1"/>
  <c r="BZ212" i="4"/>
  <c r="CB212" i="4" s="1"/>
  <c r="BZ106" i="4"/>
  <c r="CB106" i="4" s="1"/>
  <c r="BZ1113" i="4"/>
  <c r="CB1113" i="4" s="1"/>
  <c r="BZ147" i="4"/>
  <c r="CB147" i="4" s="1"/>
  <c r="BZ217" i="4"/>
  <c r="CB217" i="4" s="1"/>
  <c r="BZ458" i="4"/>
  <c r="CB458" i="4" s="1"/>
  <c r="BZ462" i="4"/>
  <c r="CB462" i="4" s="1"/>
  <c r="BZ26" i="4"/>
  <c r="CB26" i="4" s="1"/>
  <c r="BS474" i="4"/>
  <c r="BS42" i="4"/>
  <c r="BS469" i="4"/>
  <c r="BZ474" i="4"/>
  <c r="CB474" i="4" s="1"/>
  <c r="BZ42" i="4"/>
  <c r="CB42" i="4" s="1"/>
  <c r="BZ469" i="4"/>
  <c r="CB469" i="4" s="1"/>
  <c r="BZ711" i="4"/>
  <c r="CB711" i="4" s="1"/>
  <c r="BZ263" i="4"/>
  <c r="CB263" i="4" s="1"/>
  <c r="BZ799" i="4"/>
  <c r="CB799" i="4" s="1"/>
  <c r="BZ659" i="4"/>
  <c r="CB659" i="4" s="1"/>
  <c r="BZ606" i="4"/>
  <c r="CB606" i="4" s="1"/>
  <c r="BZ120" i="4"/>
  <c r="CB120" i="4" s="1"/>
  <c r="BZ165" i="4"/>
  <c r="CB165" i="4" s="1"/>
  <c r="BZ271" i="4"/>
  <c r="CB271" i="4" s="1"/>
  <c r="BZ720" i="4"/>
  <c r="CB720" i="4" s="1"/>
  <c r="BZ721" i="4"/>
  <c r="CB721" i="4" s="1"/>
  <c r="BZ722" i="4"/>
  <c r="CB722" i="4" s="1"/>
  <c r="BZ565" i="4"/>
  <c r="CB565" i="4" s="1"/>
  <c r="BZ998" i="4"/>
  <c r="CB998" i="4" s="1"/>
  <c r="BZ817" i="4"/>
  <c r="CB817" i="4" s="1"/>
  <c r="BZ94" i="4"/>
  <c r="CB94" i="4" s="1"/>
  <c r="BZ823" i="4"/>
  <c r="CB823" i="4" s="1"/>
  <c r="BZ567" i="4"/>
  <c r="CB567" i="4" s="1"/>
  <c r="BZ1133" i="4"/>
  <c r="CB1133" i="4" s="1"/>
  <c r="BZ291" i="4"/>
  <c r="CB291" i="4" s="1"/>
  <c r="BZ175" i="4"/>
  <c r="CB175" i="4" s="1"/>
  <c r="BZ924" i="4"/>
  <c r="CB924" i="4" s="1"/>
  <c r="BZ1058" i="4"/>
  <c r="CB1058" i="4" s="1"/>
  <c r="BZ1018" i="4"/>
  <c r="CB1018" i="4" s="1"/>
  <c r="BZ308" i="4"/>
  <c r="CB308" i="4" s="1"/>
  <c r="BZ1134" i="4"/>
  <c r="CB1134" i="4" s="1"/>
  <c r="BZ99" i="4"/>
  <c r="CB99" i="4" s="1"/>
  <c r="BZ1103" i="4"/>
  <c r="CB1103" i="4" s="1"/>
  <c r="BZ1195" i="4"/>
  <c r="CB1195" i="4" s="1"/>
  <c r="BZ323" i="4"/>
  <c r="CB323" i="4" s="1"/>
  <c r="BZ874" i="4"/>
  <c r="CB874" i="4" s="1"/>
  <c r="BZ876" i="4"/>
  <c r="CB876" i="4" s="1"/>
  <c r="BZ1038" i="4"/>
  <c r="CB1038" i="4" s="1"/>
  <c r="BZ673" i="4"/>
  <c r="CB673" i="4" s="1"/>
  <c r="BZ101" i="4"/>
  <c r="CB101" i="4" s="1"/>
  <c r="BZ135" i="4"/>
  <c r="CB135" i="4" s="1"/>
  <c r="BZ737" i="4"/>
  <c r="CB737" i="4" s="1"/>
  <c r="BZ678" i="4"/>
  <c r="CB678" i="4" s="1"/>
  <c r="BZ775" i="4"/>
  <c r="CB775" i="4" s="1"/>
  <c r="BZ348" i="4"/>
  <c r="CB348" i="4" s="1"/>
  <c r="BZ515" i="4"/>
  <c r="CB515" i="4" s="1"/>
  <c r="BZ741" i="4"/>
  <c r="CB741" i="4" s="1"/>
  <c r="BZ354" i="4"/>
  <c r="CB354" i="4" s="1"/>
  <c r="BZ1021" i="4"/>
  <c r="CB1021" i="4" s="1"/>
  <c r="BZ190" i="4"/>
  <c r="CB190" i="4" s="1"/>
  <c r="BZ365" i="4"/>
  <c r="CB365" i="4" s="1"/>
  <c r="BZ368" i="4"/>
  <c r="CB368" i="4" s="1"/>
  <c r="BZ373" i="4"/>
  <c r="CB373" i="4" s="1"/>
  <c r="BZ843" i="4"/>
  <c r="CB843" i="4" s="1"/>
  <c r="BZ381" i="4"/>
  <c r="CB381" i="4" s="1"/>
  <c r="BZ19" i="4"/>
  <c r="CB19" i="4" s="1"/>
  <c r="BZ200" i="4"/>
  <c r="CB200" i="4" s="1"/>
  <c r="BZ139" i="4"/>
  <c r="CB139" i="4" s="1"/>
  <c r="BZ586" i="4"/>
  <c r="CB586" i="4" s="1"/>
  <c r="BZ401" i="4"/>
  <c r="CB401" i="4" s="1"/>
  <c r="BZ845" i="4"/>
  <c r="CB845" i="4" s="1"/>
  <c r="BZ407" i="4"/>
  <c r="CB407" i="4" s="1"/>
  <c r="BZ410" i="4"/>
  <c r="CB410" i="4" s="1"/>
  <c r="BZ954" i="4"/>
  <c r="CB954" i="4" s="1"/>
  <c r="BZ626" i="4"/>
  <c r="CB626" i="4" s="1"/>
  <c r="BZ429" i="4"/>
  <c r="CB429" i="4" s="1"/>
  <c r="BZ143" i="4"/>
  <c r="CB143" i="4" s="1"/>
  <c r="BZ436" i="4"/>
  <c r="CB436" i="4" s="1"/>
  <c r="BZ591" i="4"/>
  <c r="CB591" i="4" s="1"/>
  <c r="BZ629" i="4"/>
  <c r="CB629" i="4" s="1"/>
  <c r="BZ630" i="4"/>
  <c r="CB630" i="4" s="1"/>
  <c r="BZ452" i="4"/>
  <c r="CB452" i="4" s="1"/>
  <c r="BZ849" i="4"/>
  <c r="CB849" i="4" s="1"/>
  <c r="BZ546" i="4"/>
  <c r="CB546" i="4" s="1"/>
  <c r="BZ550" i="4"/>
  <c r="CB550" i="4" s="1"/>
  <c r="BZ464" i="4"/>
  <c r="CB464" i="4" s="1"/>
  <c r="BZ692" i="4"/>
  <c r="CB692" i="4" s="1"/>
  <c r="BZ227" i="4"/>
  <c r="CB227" i="4" s="1"/>
  <c r="BZ596" i="4"/>
  <c r="CB596" i="4" s="1"/>
  <c r="BZ1184" i="4"/>
  <c r="CB1184" i="4" s="1"/>
  <c r="BZ653" i="4"/>
  <c r="CB653" i="4" s="1"/>
  <c r="BZ793" i="4"/>
  <c r="CB793" i="4" s="1"/>
  <c r="BZ796" i="4"/>
  <c r="CB796" i="4" s="1"/>
  <c r="BZ602" i="4"/>
  <c r="CB602" i="4" s="1"/>
  <c r="BZ714" i="4"/>
  <c r="CB714" i="4" s="1"/>
  <c r="BZ492" i="4"/>
  <c r="CB492" i="4" s="1"/>
  <c r="BZ804" i="4"/>
  <c r="CB804" i="4" s="1"/>
  <c r="BZ806" i="4"/>
  <c r="CB806" i="4" s="1"/>
  <c r="BZ496" i="4"/>
  <c r="CB496" i="4" s="1"/>
  <c r="BZ272" i="4"/>
  <c r="CB272" i="4" s="1"/>
  <c r="BZ811" i="4"/>
  <c r="CB811" i="4" s="1"/>
  <c r="BZ122" i="4"/>
  <c r="CB122" i="4" s="1"/>
  <c r="BZ1142" i="4"/>
  <c r="CB1142" i="4" s="1"/>
  <c r="BZ1128" i="4"/>
  <c r="CB1128" i="4" s="1"/>
  <c r="BZ1118" i="4"/>
  <c r="CB1118" i="4" s="1"/>
  <c r="BZ726" i="4"/>
  <c r="CB726" i="4" s="1"/>
  <c r="BZ1057" i="4"/>
  <c r="CB1057" i="4" s="1"/>
  <c r="BZ976" i="4"/>
  <c r="CB976" i="4" s="1"/>
  <c r="BZ287" i="4"/>
  <c r="CB287" i="4" s="1"/>
  <c r="BZ129" i="4"/>
  <c r="CB129" i="4" s="1"/>
  <c r="BZ569" i="4"/>
  <c r="CB569" i="4" s="1"/>
  <c r="BZ294" i="4"/>
  <c r="CB294" i="4" s="1"/>
  <c r="BZ296" i="4"/>
  <c r="CB296" i="4" s="1"/>
  <c r="BZ299" i="4"/>
  <c r="CB299" i="4" s="1"/>
  <c r="BZ1016" i="4"/>
  <c r="CB1016" i="4" s="1"/>
  <c r="BZ1169" i="4"/>
  <c r="CB1169" i="4" s="1"/>
  <c r="BZ97" i="4"/>
  <c r="CB97" i="4" s="1"/>
  <c r="BZ311" i="4"/>
  <c r="CB311" i="4" s="1"/>
  <c r="BZ609" i="4"/>
  <c r="CB609" i="4" s="1"/>
  <c r="BZ734" i="4"/>
  <c r="CB734" i="4" s="1"/>
  <c r="BZ318" i="4"/>
  <c r="CB318" i="4" s="1"/>
  <c r="BZ508" i="4"/>
  <c r="CB508" i="4" s="1"/>
  <c r="BZ326" i="4"/>
  <c r="CB326" i="4" s="1"/>
  <c r="BZ329" i="4"/>
  <c r="CB329" i="4" s="1"/>
  <c r="BZ856" i="4"/>
  <c r="CB856" i="4" s="1"/>
  <c r="BZ1196" i="4"/>
  <c r="CB1196" i="4" s="1"/>
  <c r="BZ675" i="4"/>
  <c r="CB675" i="4" s="1"/>
  <c r="BZ612" i="4"/>
  <c r="CB612" i="4" s="1"/>
  <c r="BZ773" i="4"/>
  <c r="CB773" i="4" s="1"/>
  <c r="BZ341" i="4"/>
  <c r="CB341" i="4" s="1"/>
  <c r="BZ345" i="4"/>
  <c r="CB345" i="4" s="1"/>
  <c r="BZ877" i="4"/>
  <c r="CB877" i="4" s="1"/>
  <c r="BZ878" i="4"/>
  <c r="CB878" i="4" s="1"/>
  <c r="BZ353" i="4"/>
  <c r="CB353" i="4" s="1"/>
  <c r="BZ355" i="4"/>
  <c r="CB355" i="4" s="1"/>
  <c r="BZ360" i="4"/>
  <c r="CB360" i="4" s="1"/>
  <c r="BZ191" i="4"/>
  <c r="CB191" i="4" s="1"/>
  <c r="BZ744" i="4"/>
  <c r="CB744" i="4" s="1"/>
  <c r="BZ681" i="4"/>
  <c r="CB681" i="4" s="1"/>
  <c r="BZ523" i="4"/>
  <c r="CB523" i="4" s="1"/>
  <c r="BZ379" i="4"/>
  <c r="CB379" i="4" s="1"/>
  <c r="BZ138" i="4"/>
  <c r="CB138" i="4" s="1"/>
  <c r="BZ385" i="4"/>
  <c r="CB385" i="4" s="1"/>
  <c r="BZ201" i="4"/>
  <c r="CB201" i="4" s="1"/>
  <c r="BZ688" i="4"/>
  <c r="CB688" i="4" s="1"/>
  <c r="BZ397" i="4"/>
  <c r="CB397" i="4" s="1"/>
  <c r="BZ530" i="4"/>
  <c r="CB530" i="4" s="1"/>
  <c r="BZ846" i="4"/>
  <c r="CB846" i="4" s="1"/>
  <c r="BZ587" i="4"/>
  <c r="CB587" i="4" s="1"/>
  <c r="BZ21" i="4"/>
  <c r="CB21" i="4" s="1"/>
  <c r="BZ418" i="4"/>
  <c r="CB418" i="4" s="1"/>
  <c r="BZ861" i="4"/>
  <c r="CB861" i="4" s="1"/>
  <c r="BZ78" i="4"/>
  <c r="CB78" i="4" s="1"/>
  <c r="BZ433" i="4"/>
  <c r="CB433" i="4" s="1"/>
  <c r="BZ848" i="4"/>
  <c r="CB848" i="4" s="1"/>
  <c r="BZ783" i="4"/>
  <c r="CB783" i="4" s="1"/>
  <c r="BZ444" i="4"/>
  <c r="CB444" i="4" s="1"/>
  <c r="BZ754" i="4"/>
  <c r="CB754" i="4" s="1"/>
  <c r="BZ214" i="4"/>
  <c r="CB214" i="4" s="1"/>
  <c r="BZ454" i="4"/>
  <c r="CB454" i="4" s="1"/>
  <c r="BZ459" i="4"/>
  <c r="CB459" i="4" s="1"/>
  <c r="BZ60" i="4"/>
  <c r="CB60" i="4" s="1"/>
  <c r="BZ149" i="4"/>
  <c r="CB149" i="4" s="1"/>
  <c r="BS955" i="4"/>
  <c r="BZ955" i="4"/>
  <c r="CB955" i="4" s="1"/>
  <c r="BZ471" i="4"/>
  <c r="CB471" i="4" s="1"/>
  <c r="BZ468" i="4"/>
  <c r="CB468" i="4" s="1"/>
  <c r="BZ494" i="4"/>
  <c r="CB494" i="4" s="1"/>
  <c r="BZ65" i="4"/>
  <c r="CB65" i="4" s="1"/>
  <c r="BZ764" i="4"/>
  <c r="CB764" i="4" s="1"/>
  <c r="BZ765" i="4"/>
  <c r="CB765" i="4" s="1"/>
  <c r="BZ767" i="4"/>
  <c r="CB767" i="4" s="1"/>
  <c r="BZ123" i="4"/>
  <c r="CB123" i="4" s="1"/>
  <c r="BZ497" i="4"/>
  <c r="CB497" i="4" s="1"/>
  <c r="BZ278" i="4"/>
  <c r="CB278" i="4" s="1"/>
  <c r="BZ127" i="4"/>
  <c r="CB127" i="4" s="1"/>
  <c r="BZ282" i="4"/>
  <c r="CB282" i="4" s="1"/>
  <c r="BZ1007" i="4"/>
  <c r="CB1007" i="4" s="1"/>
  <c r="BZ1131" i="4"/>
  <c r="CB1131" i="4" s="1"/>
  <c r="BZ288" i="4"/>
  <c r="CB288" i="4" s="1"/>
  <c r="BZ1015" i="4"/>
  <c r="CB1015" i="4" s="1"/>
  <c r="BZ171" i="4"/>
  <c r="CB171" i="4" s="1"/>
  <c r="BZ174" i="4"/>
  <c r="CB174" i="4" s="1"/>
  <c r="BZ132" i="4"/>
  <c r="CB132" i="4" s="1"/>
  <c r="BZ977" i="4"/>
  <c r="CB977" i="4" s="1"/>
  <c r="BZ903" i="4"/>
  <c r="CB903" i="4" s="1"/>
  <c r="BZ304" i="4"/>
  <c r="CB304" i="4" s="1"/>
  <c r="BZ505" i="4"/>
  <c r="CB505" i="4" s="1"/>
  <c r="BZ1202" i="4"/>
  <c r="CB1202" i="4" s="1"/>
  <c r="BZ507" i="4"/>
  <c r="CB507" i="4" s="1"/>
  <c r="BZ1150" i="4"/>
  <c r="CB1150" i="4" s="1"/>
  <c r="BZ735" i="4"/>
  <c r="CB735" i="4" s="1"/>
  <c r="BZ324" i="4"/>
  <c r="CB324" i="4" s="1"/>
  <c r="BZ1008" i="4"/>
  <c r="CB1008" i="4" s="1"/>
  <c r="BZ1059" i="4"/>
  <c r="CB1059" i="4" s="1"/>
  <c r="BZ611" i="4"/>
  <c r="CB611" i="4" s="1"/>
  <c r="BZ833" i="4"/>
  <c r="CB833" i="4" s="1"/>
  <c r="BZ335" i="4"/>
  <c r="CB335" i="4" s="1"/>
  <c r="BZ575" i="4"/>
  <c r="CB575" i="4" s="1"/>
  <c r="BZ835" i="4"/>
  <c r="CB835" i="4" s="1"/>
  <c r="BZ342" i="4"/>
  <c r="CB342" i="4" s="1"/>
  <c r="BZ613" i="4"/>
  <c r="CB613" i="4" s="1"/>
  <c r="BZ74" i="4"/>
  <c r="CB74" i="4" s="1"/>
  <c r="BZ351" i="4"/>
  <c r="CB351" i="4" s="1"/>
  <c r="BZ517" i="4"/>
  <c r="CB517" i="4" s="1"/>
  <c r="BZ356" i="4"/>
  <c r="CB356" i="4" s="1"/>
  <c r="BZ905" i="4"/>
  <c r="CB905" i="4" s="1"/>
  <c r="BZ841" i="4"/>
  <c r="CB841" i="4" s="1"/>
  <c r="BZ579" i="4"/>
  <c r="CB579" i="4" s="1"/>
  <c r="BZ369" i="4"/>
  <c r="CB369" i="4" s="1"/>
  <c r="BZ103" i="4"/>
  <c r="CB103" i="4" s="1"/>
  <c r="BZ583" i="4"/>
  <c r="CB583" i="4" s="1"/>
  <c r="BZ621" i="4"/>
  <c r="CB621" i="4" s="1"/>
  <c r="BZ684" i="4"/>
  <c r="CB684" i="4" s="1"/>
  <c r="BZ844" i="4"/>
  <c r="CB844" i="4" s="1"/>
  <c r="BZ392" i="4"/>
  <c r="CB392" i="4" s="1"/>
  <c r="BZ529" i="4"/>
  <c r="CB529" i="4" s="1"/>
  <c r="BZ140" i="4"/>
  <c r="CB140" i="4" s="1"/>
  <c r="BZ405" i="4"/>
  <c r="CB405" i="4" s="1"/>
  <c r="BZ588" i="4"/>
  <c r="CB588" i="4" s="1"/>
  <c r="BZ411" i="4"/>
  <c r="CB411" i="4" s="1"/>
  <c r="BZ690" i="4"/>
  <c r="CB690" i="4" s="1"/>
  <c r="BZ1022" i="4"/>
  <c r="CB1022" i="4" s="1"/>
  <c r="BZ208" i="4"/>
  <c r="CB208" i="4" s="1"/>
  <c r="BZ209" i="4"/>
  <c r="CB209" i="4" s="1"/>
  <c r="BZ940" i="4"/>
  <c r="CB940" i="4" s="1"/>
  <c r="BZ438" i="4"/>
  <c r="CB438" i="4" s="1"/>
  <c r="BZ445" i="4"/>
  <c r="CB445" i="4" s="1"/>
  <c r="BZ107" i="4"/>
  <c r="CB107" i="4" s="1"/>
  <c r="BZ592" i="4"/>
  <c r="CB592" i="4" s="1"/>
  <c r="BZ80" i="4"/>
  <c r="CB80" i="4" s="1"/>
  <c r="BZ460" i="4"/>
  <c r="CB460" i="4" s="1"/>
  <c r="BZ633" i="4"/>
  <c r="CB633" i="4" s="1"/>
  <c r="BZ1114" i="4"/>
  <c r="CB1114" i="4" s="1"/>
  <c r="BZ473" i="4"/>
  <c r="CB473" i="4" s="1"/>
  <c r="BZ108" i="4"/>
  <c r="CB108" i="4" s="1"/>
  <c r="BZ756" i="4"/>
  <c r="CB756" i="4" s="1"/>
  <c r="BZ1069" i="4"/>
  <c r="CB1069" i="4" s="1"/>
  <c r="BZ162" i="4"/>
  <c r="CB162" i="4" s="1"/>
  <c r="BZ261" i="4"/>
  <c r="CB261" i="4" s="1"/>
  <c r="BZ490" i="4"/>
  <c r="CB490" i="4" s="1"/>
  <c r="BZ657" i="4"/>
  <c r="CB657" i="4" s="1"/>
  <c r="BZ119" i="4"/>
  <c r="CB119" i="4" s="1"/>
  <c r="BZ715" i="4"/>
  <c r="CB715" i="4" s="1"/>
  <c r="BZ29" i="4"/>
  <c r="CB29" i="4" s="1"/>
  <c r="BZ807" i="4"/>
  <c r="CB807" i="4" s="1"/>
  <c r="BZ808" i="4"/>
  <c r="CB808" i="4" s="1"/>
  <c r="BZ89" i="4"/>
  <c r="CB89" i="4" s="1"/>
  <c r="BZ814" i="4"/>
  <c r="CB814" i="4" s="1"/>
  <c r="BZ276" i="4"/>
  <c r="CB276" i="4" s="1"/>
  <c r="BZ279" i="4"/>
  <c r="CB279" i="4" s="1"/>
  <c r="BZ882" i="4"/>
  <c r="CB882" i="4" s="1"/>
  <c r="BZ727" i="4"/>
  <c r="CB727" i="4" s="1"/>
  <c r="BZ284" i="4"/>
  <c r="CB284" i="4" s="1"/>
  <c r="BZ871" i="4"/>
  <c r="CB871" i="4" s="1"/>
  <c r="BZ728" i="4"/>
  <c r="CB728" i="4" s="1"/>
  <c r="BZ67" i="4"/>
  <c r="CB67" i="4" s="1"/>
  <c r="BZ292" i="4"/>
  <c r="CB292" i="4" s="1"/>
  <c r="BZ501" i="4"/>
  <c r="CB501" i="4" s="1"/>
  <c r="BZ902" i="4"/>
  <c r="CB902" i="4" s="1"/>
  <c r="BZ572" i="4"/>
  <c r="CB572" i="4" s="1"/>
  <c r="BZ1200" i="4"/>
  <c r="CB1200" i="4" s="1"/>
  <c r="BZ305" i="4"/>
  <c r="CB305" i="4" s="1"/>
  <c r="BZ1177" i="4"/>
  <c r="CB1177" i="4" s="1"/>
  <c r="BZ770" i="4"/>
  <c r="CB770" i="4" s="1"/>
  <c r="BZ100" i="4"/>
  <c r="CB100" i="4" s="1"/>
  <c r="BZ574" i="4"/>
  <c r="CB574" i="4" s="1"/>
  <c r="BZ178" i="4"/>
  <c r="CB178" i="4" s="1"/>
  <c r="BZ831" i="4"/>
  <c r="CB831" i="4" s="1"/>
  <c r="BZ736" i="4"/>
  <c r="CB736" i="4" s="1"/>
  <c r="BZ330" i="4"/>
  <c r="CB330" i="4" s="1"/>
  <c r="BZ1077" i="4"/>
  <c r="CB1077" i="4" s="1"/>
  <c r="BZ52" i="4"/>
  <c r="CB52" i="4" s="1"/>
  <c r="BZ949" i="4"/>
  <c r="CB949" i="4" s="1"/>
  <c r="BZ576" i="4"/>
  <c r="CB576" i="4" s="1"/>
  <c r="BZ774" i="4"/>
  <c r="CB774" i="4" s="1"/>
  <c r="BZ837" i="4"/>
  <c r="CB837" i="4" s="1"/>
  <c r="BZ738" i="4"/>
  <c r="CB738" i="4" s="1"/>
  <c r="BZ614" i="4"/>
  <c r="CB614" i="4" s="1"/>
  <c r="BZ34" i="4"/>
  <c r="CB34" i="4" s="1"/>
  <c r="BZ102" i="4"/>
  <c r="CB102" i="4" s="1"/>
  <c r="BZ939" i="4"/>
  <c r="CB939" i="4" s="1"/>
  <c r="BZ743" i="4"/>
  <c r="CB743" i="4" s="1"/>
  <c r="BZ617" i="4"/>
  <c r="CB617" i="4" s="1"/>
  <c r="BZ522" i="4"/>
  <c r="CB522" i="4" s="1"/>
  <c r="BZ370" i="4"/>
  <c r="CB370" i="4" s="1"/>
  <c r="BZ1172" i="4"/>
  <c r="CB1172" i="4" s="1"/>
  <c r="BZ780" i="4"/>
  <c r="CB780" i="4" s="1"/>
  <c r="BZ745" i="4"/>
  <c r="CB745" i="4" s="1"/>
  <c r="BZ198" i="4"/>
  <c r="CB198" i="4" s="1"/>
  <c r="BZ687" i="4"/>
  <c r="CB687" i="4" s="1"/>
  <c r="BZ37" i="4"/>
  <c r="CB37" i="4" s="1"/>
  <c r="BZ398" i="4"/>
  <c r="CB398" i="4" s="1"/>
  <c r="BZ860" i="4"/>
  <c r="CB860" i="4" s="1"/>
  <c r="BZ750" i="4"/>
  <c r="CB750" i="4" s="1"/>
  <c r="BZ408" i="4"/>
  <c r="CB408" i="4" s="1"/>
  <c r="BZ5" i="4"/>
  <c r="CB5" i="4" s="1"/>
  <c r="BZ419" i="4"/>
  <c r="CB419" i="4" s="1"/>
  <c r="BZ1112" i="4"/>
  <c r="CB1112" i="4" s="1"/>
  <c r="BZ430" i="4"/>
  <c r="CB430" i="4" s="1"/>
  <c r="BZ538" i="4"/>
  <c r="CB538" i="4" s="1"/>
  <c r="BZ864" i="4"/>
  <c r="CB864" i="4" s="1"/>
  <c r="BZ439" i="4"/>
  <c r="CB439" i="4" s="1"/>
  <c r="BZ753" i="4"/>
  <c r="CB753" i="4" s="1"/>
  <c r="BZ449" i="4"/>
  <c r="CB449" i="4" s="1"/>
  <c r="BZ632" i="4"/>
  <c r="CB632" i="4" s="1"/>
  <c r="BZ455" i="4"/>
  <c r="CB455" i="4" s="1"/>
  <c r="BZ39" i="4"/>
  <c r="CB39" i="4" s="1"/>
  <c r="BZ219" i="4"/>
  <c r="CB219" i="4" s="1"/>
  <c r="BZ465" i="4"/>
  <c r="CB465" i="4" s="1"/>
  <c r="BS964" i="4"/>
  <c r="BZ964" i="4"/>
  <c r="CB964" i="4" s="1"/>
  <c r="BZ934" i="4"/>
  <c r="CB934" i="4" s="1"/>
  <c r="BZ41" i="4"/>
  <c r="CB41" i="4" s="1"/>
  <c r="BZ262" i="4"/>
  <c r="CB262" i="4" s="1"/>
  <c r="BZ922" i="4"/>
  <c r="CB922" i="4" s="1"/>
  <c r="BZ800" i="4"/>
  <c r="CB800" i="4" s="1"/>
  <c r="BZ1126" i="4"/>
  <c r="CB1126" i="4" s="1"/>
  <c r="BZ267" i="4"/>
  <c r="CB267" i="4" s="1"/>
  <c r="BZ717" i="4"/>
  <c r="CB717" i="4" s="1"/>
  <c r="BZ1149" i="4"/>
  <c r="CB1149" i="4" s="1"/>
  <c r="BZ661" i="4"/>
  <c r="CB661" i="4" s="1"/>
  <c r="BZ564" i="4"/>
  <c r="CB564" i="4" s="1"/>
  <c r="BZ815" i="4"/>
  <c r="CB815" i="4" s="1"/>
  <c r="BZ277" i="4"/>
  <c r="CB277" i="4" s="1"/>
  <c r="BZ280" i="4"/>
  <c r="CB280" i="4" s="1"/>
  <c r="BZ92" i="4"/>
  <c r="CB92" i="4" s="1"/>
  <c r="BZ1086" i="4"/>
  <c r="CB1086" i="4" s="1"/>
  <c r="BZ1201" i="4"/>
  <c r="CB1201" i="4" s="1"/>
  <c r="BZ49" i="4"/>
  <c r="CB49" i="4" s="1"/>
  <c r="BZ1154" i="4"/>
  <c r="CB1154" i="4" s="1"/>
  <c r="BZ95" i="4"/>
  <c r="CB95" i="4" s="1"/>
  <c r="BZ30" i="4"/>
  <c r="CB30" i="4" s="1"/>
  <c r="BZ14" i="4"/>
  <c r="CB14" i="4" s="1"/>
  <c r="BZ176" i="4"/>
  <c r="CB176" i="4" s="1"/>
  <c r="BZ300" i="4"/>
  <c r="CB300" i="4" s="1"/>
  <c r="BZ731" i="4"/>
  <c r="CB731" i="4" s="1"/>
  <c r="BZ504" i="4"/>
  <c r="CB504" i="4" s="1"/>
  <c r="BZ988" i="4"/>
  <c r="CB988" i="4" s="1"/>
  <c r="BZ1101" i="4"/>
  <c r="CB1101" i="4" s="1"/>
  <c r="BZ1102" i="4"/>
  <c r="CB1102" i="4" s="1"/>
  <c r="BZ1111" i="4"/>
  <c r="CB1111" i="4" s="1"/>
  <c r="BZ669" i="4"/>
  <c r="CB669" i="4" s="1"/>
  <c r="BZ509" i="4"/>
  <c r="CB509" i="4" s="1"/>
  <c r="BZ982" i="4"/>
  <c r="CB982" i="4" s="1"/>
  <c r="BZ1175" i="4"/>
  <c r="CB1175" i="4" s="1"/>
  <c r="BZ1044" i="4"/>
  <c r="CB1044" i="4" s="1"/>
  <c r="BZ512" i="4"/>
  <c r="CB512" i="4" s="1"/>
  <c r="BZ336" i="4"/>
  <c r="CB336" i="4" s="1"/>
  <c r="BZ771" i="4"/>
  <c r="CB771" i="4" s="1"/>
  <c r="BZ836" i="4"/>
  <c r="CB836" i="4" s="1"/>
  <c r="BZ838" i="4"/>
  <c r="CB838" i="4" s="1"/>
  <c r="BZ185" i="4"/>
  <c r="CB185" i="4" s="1"/>
  <c r="BZ884" i="4"/>
  <c r="CB884" i="4" s="1"/>
  <c r="BZ35" i="4"/>
  <c r="CB35" i="4" s="1"/>
  <c r="BZ36" i="4"/>
  <c r="CB36" i="4" s="1"/>
  <c r="BZ56" i="4"/>
  <c r="CB56" i="4" s="1"/>
  <c r="BZ1158" i="4"/>
  <c r="CB1158" i="4" s="1"/>
  <c r="BZ521" i="4"/>
  <c r="CB521" i="4" s="1"/>
  <c r="BZ778" i="4"/>
  <c r="CB778" i="4" s="1"/>
  <c r="BZ371" i="4"/>
  <c r="CB371" i="4" s="1"/>
  <c r="BZ374" i="4"/>
  <c r="CB374" i="4" s="1"/>
  <c r="BZ193" i="4"/>
  <c r="CB193" i="4" s="1"/>
  <c r="BZ584" i="4"/>
  <c r="CB584" i="4" s="1"/>
  <c r="BZ781" i="4"/>
  <c r="CB781" i="4" s="1"/>
  <c r="BZ386" i="4"/>
  <c r="CB386" i="4" s="1"/>
  <c r="BZ906" i="4"/>
  <c r="CB906" i="4" s="1"/>
  <c r="BZ1082" i="4"/>
  <c r="CB1082" i="4" s="1"/>
  <c r="BZ402" i="4"/>
  <c r="CB402" i="4" s="1"/>
  <c r="BZ533" i="4"/>
  <c r="CB533" i="4" s="1"/>
  <c r="BZ953" i="4"/>
  <c r="CB953" i="4" s="1"/>
  <c r="BZ412" i="4"/>
  <c r="CB412" i="4" s="1"/>
  <c r="BZ535" i="4"/>
  <c r="CB535" i="4" s="1"/>
  <c r="BZ425" i="4"/>
  <c r="CB425" i="4" s="1"/>
  <c r="BZ862" i="4"/>
  <c r="CB862" i="4" s="1"/>
  <c r="BZ434" i="4"/>
  <c r="CB434" i="4" s="1"/>
  <c r="BZ211" i="4"/>
  <c r="CB211" i="4" s="1"/>
  <c r="BZ79" i="4"/>
  <c r="CB79" i="4" s="1"/>
  <c r="BZ541" i="4"/>
  <c r="CB541" i="4" s="1"/>
  <c r="BZ1180" i="4"/>
  <c r="CB1180" i="4" s="1"/>
  <c r="BZ215" i="4"/>
  <c r="CB215" i="4" s="1"/>
  <c r="BZ544" i="4"/>
  <c r="CB544" i="4" s="1"/>
  <c r="BZ547" i="4"/>
  <c r="CB547" i="4" s="1"/>
  <c r="BZ463" i="4"/>
  <c r="CB463" i="4" s="1"/>
  <c r="BZ634" i="4"/>
  <c r="CB634" i="4" s="1"/>
  <c r="BS1023" i="4"/>
  <c r="BZ1023" i="4"/>
  <c r="CB1023" i="4" s="1"/>
  <c r="BZ226" i="4"/>
  <c r="CB226" i="4" s="1"/>
  <c r="BZ221" i="4"/>
  <c r="CB221" i="4" s="1"/>
  <c r="BZ1171" i="4"/>
  <c r="CB1171" i="4" s="1"/>
  <c r="BZ797" i="4"/>
  <c r="CB797" i="4" s="1"/>
  <c r="BZ655" i="4"/>
  <c r="CB655" i="4" s="1"/>
  <c r="BZ491" i="4"/>
  <c r="CB491" i="4" s="1"/>
  <c r="BZ870" i="4"/>
  <c r="CB870" i="4" s="1"/>
  <c r="BZ805" i="4"/>
  <c r="CB805" i="4" s="1"/>
  <c r="BZ269" i="4"/>
  <c r="CB269" i="4" s="1"/>
  <c r="BZ636" i="4"/>
  <c r="CB636" i="4" s="1"/>
  <c r="BZ662" i="4"/>
  <c r="CB662" i="4" s="1"/>
  <c r="BZ768" i="4"/>
  <c r="CB768" i="4" s="1"/>
  <c r="BZ274" i="4"/>
  <c r="CB274" i="4" s="1"/>
  <c r="BZ665" i="4"/>
  <c r="CB665" i="4" s="1"/>
  <c r="BZ91" i="4"/>
  <c r="CB91" i="4" s="1"/>
  <c r="BZ1129" i="4"/>
  <c r="CB1129" i="4" s="1"/>
  <c r="BZ48" i="4"/>
  <c r="CB48" i="4" s="1"/>
  <c r="BZ1070" i="4"/>
  <c r="CB1070" i="4" s="1"/>
  <c r="BZ931" i="4"/>
  <c r="CB931" i="4" s="1"/>
  <c r="BZ289" i="4"/>
  <c r="CB289" i="4" s="1"/>
  <c r="BZ937" i="4"/>
  <c r="CB937" i="4" s="1"/>
  <c r="BZ872" i="4"/>
  <c r="CB872" i="4" s="1"/>
  <c r="BZ1168" i="4"/>
  <c r="CB1168" i="4" s="1"/>
  <c r="BZ570" i="4"/>
  <c r="CB570" i="4" s="1"/>
  <c r="BZ999" i="4"/>
  <c r="CB999" i="4" s="1"/>
  <c r="BZ1109" i="4"/>
  <c r="CB1109" i="4" s="1"/>
  <c r="BZ306" i="4"/>
  <c r="CB306" i="4" s="1"/>
  <c r="BZ309" i="4"/>
  <c r="CB309" i="4" s="1"/>
  <c r="BZ732" i="4"/>
  <c r="CB732" i="4" s="1"/>
  <c r="BZ312" i="4"/>
  <c r="CB312" i="4" s="1"/>
  <c r="BZ1076" i="4"/>
  <c r="CB1076" i="4" s="1"/>
  <c r="BZ134" i="4"/>
  <c r="CB134" i="4" s="1"/>
  <c r="BZ325" i="4"/>
  <c r="CB325" i="4" s="1"/>
  <c r="BZ979" i="4"/>
  <c r="CB979" i="4" s="1"/>
  <c r="BZ1060" i="4"/>
  <c r="CB1060" i="4" s="1"/>
  <c r="BZ1066" i="4"/>
  <c r="CB1066" i="4" s="1"/>
  <c r="BZ834" i="4"/>
  <c r="CB834" i="4" s="1"/>
  <c r="BZ1160" i="4"/>
  <c r="CB1160" i="4" s="1"/>
  <c r="BZ1108" i="4"/>
  <c r="CB1108" i="4" s="1"/>
  <c r="BZ1000" i="4"/>
  <c r="CB1000" i="4" s="1"/>
  <c r="BZ183" i="4"/>
  <c r="CB183" i="4" s="1"/>
  <c r="BZ346" i="4"/>
  <c r="CB346" i="4" s="1"/>
  <c r="BZ75" i="4"/>
  <c r="CB75" i="4" s="1"/>
  <c r="BZ352" i="4"/>
  <c r="CB352" i="4" s="1"/>
  <c r="BZ615" i="4"/>
  <c r="CB615" i="4" s="1"/>
  <c r="BZ1001" i="4"/>
  <c r="CB1001" i="4" s="1"/>
  <c r="BZ1078" i="4"/>
  <c r="CB1078" i="4" s="1"/>
  <c r="BZ363" i="4"/>
  <c r="CB363" i="4" s="1"/>
  <c r="BZ842" i="4"/>
  <c r="CB842" i="4" s="1"/>
  <c r="BZ1138" i="4"/>
  <c r="CB1138" i="4" s="1"/>
  <c r="BZ375" i="4"/>
  <c r="CB375" i="4" s="1"/>
  <c r="BZ620" i="4"/>
  <c r="CB620" i="4" s="1"/>
  <c r="BZ197" i="4"/>
  <c r="CB197" i="4" s="1"/>
  <c r="BZ20" i="4"/>
  <c r="CB20" i="4" s="1"/>
  <c r="BZ387" i="4"/>
  <c r="CB387" i="4" s="1"/>
  <c r="BZ393" i="4"/>
  <c r="CB393" i="4" s="1"/>
  <c r="BZ58" i="4"/>
  <c r="CB58" i="4" s="1"/>
  <c r="BZ403" i="4"/>
  <c r="CB403" i="4" s="1"/>
  <c r="BZ203" i="4"/>
  <c r="CB203" i="4" s="1"/>
  <c r="BZ409" i="4"/>
  <c r="CB409" i="4" s="1"/>
  <c r="BZ752" i="4"/>
  <c r="CB752" i="4" s="1"/>
  <c r="BZ420" i="4"/>
  <c r="CB420" i="4" s="1"/>
  <c r="BZ426" i="4"/>
  <c r="CB426" i="4" s="1"/>
  <c r="BZ627" i="4"/>
  <c r="CB627" i="4" s="1"/>
  <c r="BZ589" i="4"/>
  <c r="CB589" i="4" s="1"/>
  <c r="BZ941" i="4"/>
  <c r="CB941" i="4" s="1"/>
  <c r="BZ145" i="4"/>
  <c r="CB145" i="4" s="1"/>
  <c r="BZ446" i="4"/>
  <c r="CB446" i="4" s="1"/>
  <c r="BZ542" i="4"/>
  <c r="CB542" i="4" s="1"/>
  <c r="BZ593" i="4"/>
  <c r="CB593" i="4" s="1"/>
  <c r="BZ456" i="4"/>
  <c r="CB456" i="4" s="1"/>
  <c r="BZ59" i="4"/>
  <c r="CB59" i="4" s="1"/>
  <c r="BZ6" i="4"/>
  <c r="CB6" i="4" s="1"/>
  <c r="BZ594" i="4"/>
  <c r="CB594" i="4" s="1"/>
  <c r="BS225" i="4"/>
  <c r="BZ472" i="4"/>
  <c r="CB472" i="4" s="1"/>
  <c r="BZ225" i="4"/>
  <c r="CB225" i="4" s="1"/>
  <c r="BZ467" i="4"/>
  <c r="CB467" i="4" s="1"/>
  <c r="BZ794" i="4"/>
  <c r="CB794" i="4" s="1"/>
  <c r="BZ712" i="4"/>
  <c r="CB712" i="4" s="1"/>
  <c r="BZ928" i="4"/>
  <c r="CB928" i="4" s="1"/>
  <c r="BZ658" i="4"/>
  <c r="CB658" i="4" s="1"/>
  <c r="BZ493" i="4"/>
  <c r="CB493" i="4" s="1"/>
  <c r="BZ164" i="4"/>
  <c r="CB164" i="4" s="1"/>
  <c r="BZ923" i="4"/>
  <c r="CB923" i="4" s="1"/>
  <c r="BZ166" i="4"/>
  <c r="CB166" i="4" s="1"/>
  <c r="BZ809" i="4"/>
  <c r="CB809" i="4" s="1"/>
  <c r="BZ1056" i="4"/>
  <c r="CB1056" i="4" s="1"/>
  <c r="BZ900" i="4"/>
  <c r="CB900" i="4" s="1"/>
  <c r="BZ1127" i="4"/>
  <c r="CB1127" i="4" s="1"/>
  <c r="BZ1106" i="4"/>
  <c r="CB1106" i="4" s="1"/>
  <c r="BZ724" i="4"/>
  <c r="CB724" i="4" s="1"/>
  <c r="BZ283" i="4"/>
  <c r="CB283" i="4" s="1"/>
  <c r="BZ820" i="4"/>
  <c r="CB820" i="4" s="1"/>
  <c r="BZ824" i="4"/>
  <c r="CB824" i="4" s="1"/>
  <c r="BZ50" i="4"/>
  <c r="CB50" i="4" s="1"/>
  <c r="BZ500" i="4"/>
  <c r="CB500" i="4" s="1"/>
  <c r="BZ967" i="4"/>
  <c r="CB967" i="4" s="1"/>
  <c r="BZ1188" i="4"/>
  <c r="CB1188" i="4" s="1"/>
  <c r="BZ297" i="4"/>
  <c r="CB297" i="4" s="1"/>
  <c r="BZ730" i="4"/>
  <c r="CB730" i="4" s="1"/>
  <c r="BZ1045" i="4"/>
  <c r="CB1045" i="4" s="1"/>
  <c r="BZ3" i="4"/>
  <c r="CB3" i="4" s="1"/>
  <c r="BZ69" i="4"/>
  <c r="CB69" i="4" s="1"/>
  <c r="BZ1143" i="4"/>
  <c r="CB1143" i="4" s="1"/>
  <c r="BZ313" i="4"/>
  <c r="CB313" i="4" s="1"/>
  <c r="BZ317" i="4"/>
  <c r="CB317" i="4" s="1"/>
  <c r="BZ319" i="4"/>
  <c r="CB319" i="4" s="1"/>
  <c r="BZ1028" i="4"/>
  <c r="CB1028" i="4" s="1"/>
  <c r="BZ925" i="4"/>
  <c r="CB925" i="4" s="1"/>
  <c r="BZ610" i="4"/>
  <c r="CB610" i="4" s="1"/>
  <c r="BZ1107" i="4"/>
  <c r="CB1107" i="4" s="1"/>
  <c r="BZ857" i="4"/>
  <c r="CB857" i="4" s="1"/>
  <c r="BZ676" i="4"/>
  <c r="CB676" i="4" s="1"/>
  <c r="BZ677" i="4"/>
  <c r="CB677" i="4" s="1"/>
  <c r="BZ340" i="4"/>
  <c r="CB340" i="4" s="1"/>
  <c r="BZ343" i="4"/>
  <c r="CB343" i="4" s="1"/>
  <c r="BZ1041" i="4"/>
  <c r="CB1041" i="4" s="1"/>
  <c r="BZ1176" i="4"/>
  <c r="CB1176" i="4" s="1"/>
  <c r="BZ516" i="4"/>
  <c r="CB516" i="4" s="1"/>
  <c r="BZ679" i="4"/>
  <c r="CB679" i="4" s="1"/>
  <c r="BZ616" i="4"/>
  <c r="CB616" i="4" s="1"/>
  <c r="BZ361" i="4"/>
  <c r="CB361" i="4" s="1"/>
  <c r="BZ618" i="4"/>
  <c r="CB618" i="4" s="1"/>
  <c r="BZ951" i="4"/>
  <c r="CB951" i="4" s="1"/>
  <c r="BZ581" i="4"/>
  <c r="CB581" i="4" s="1"/>
  <c r="BZ376" i="4"/>
  <c r="CB376" i="4" s="1"/>
  <c r="BZ380" i="4"/>
  <c r="CB380" i="4" s="1"/>
  <c r="BZ382" i="4"/>
  <c r="CB382" i="4" s="1"/>
  <c r="BZ952" i="4"/>
  <c r="CB952" i="4" s="1"/>
  <c r="BZ388" i="4"/>
  <c r="CB388" i="4" s="1"/>
  <c r="BZ104" i="4"/>
  <c r="CB104" i="4" s="1"/>
  <c r="BZ623" i="4"/>
  <c r="CB623" i="4" s="1"/>
  <c r="BZ689" i="4"/>
  <c r="CB689" i="4" s="1"/>
  <c r="BZ406" i="4"/>
  <c r="CB406" i="4" s="1"/>
  <c r="BZ205" i="4"/>
  <c r="CB205" i="4" s="1"/>
  <c r="BZ413" i="4"/>
  <c r="CB413" i="4" s="1"/>
  <c r="BZ22" i="4"/>
  <c r="CB22" i="4" s="1"/>
  <c r="BZ427" i="4"/>
  <c r="CB427" i="4" s="1"/>
  <c r="BZ105" i="4"/>
  <c r="CB105" i="4" s="1"/>
  <c r="BZ863" i="4"/>
  <c r="CB863" i="4" s="1"/>
  <c r="BZ691" i="4"/>
  <c r="CB691" i="4" s="1"/>
  <c r="BZ440" i="4"/>
  <c r="CB440" i="4" s="1"/>
  <c r="BZ879" i="4"/>
  <c r="CB879" i="4" s="1"/>
  <c r="BZ25" i="4"/>
  <c r="CB25" i="4" s="1"/>
  <c r="BZ216" i="4"/>
  <c r="CB216" i="4" s="1"/>
  <c r="BZ1199" i="4"/>
  <c r="CB1199" i="4" s="1"/>
  <c r="BZ548" i="4"/>
  <c r="CB548" i="4" s="1"/>
  <c r="BZ551" i="4"/>
  <c r="CB551" i="4" s="1"/>
  <c r="BS850" i="4"/>
  <c r="BZ850" i="4"/>
  <c r="CB850" i="4" s="1"/>
  <c r="BZ224" i="4"/>
  <c r="CB224" i="4" s="1"/>
  <c r="BZ466" i="4"/>
  <c r="CB466" i="4" s="1"/>
  <c r="BZ1027" i="4"/>
  <c r="CB1027" i="4" s="1"/>
  <c r="BZ600" i="4"/>
  <c r="CB600" i="4" s="1"/>
  <c r="BZ980" i="4"/>
  <c r="CB980" i="4" s="1"/>
  <c r="BZ713" i="4"/>
  <c r="CB713" i="4" s="1"/>
  <c r="BZ801" i="4"/>
  <c r="CB801" i="4" s="1"/>
  <c r="BZ803" i="4"/>
  <c r="CB803" i="4" s="1"/>
  <c r="BZ716" i="4"/>
  <c r="CB716" i="4" s="1"/>
  <c r="BZ562" i="4"/>
  <c r="CB562" i="4" s="1"/>
  <c r="BZ13" i="4"/>
  <c r="CB13" i="4" s="1"/>
  <c r="BZ1148" i="4"/>
  <c r="CB1148" i="4" s="1"/>
  <c r="BZ812" i="4"/>
  <c r="CB812" i="4" s="1"/>
  <c r="BZ1080" i="4"/>
  <c r="CB1080" i="4" s="1"/>
  <c r="BZ125" i="4"/>
  <c r="CB125" i="4" s="1"/>
  <c r="BZ987" i="4"/>
  <c r="CB987" i="4" s="1"/>
  <c r="BZ725" i="4"/>
  <c r="CB725" i="4" s="1"/>
  <c r="BZ818" i="4"/>
  <c r="CB818" i="4" s="1"/>
  <c r="BZ566" i="4"/>
  <c r="CB566" i="4" s="1"/>
  <c r="BZ1132" i="4"/>
  <c r="CB1132" i="4" s="1"/>
  <c r="BZ962" i="4"/>
  <c r="CB962" i="4" s="1"/>
  <c r="BZ948" i="4"/>
  <c r="CB948" i="4" s="1"/>
  <c r="BZ293" i="4"/>
  <c r="CB293" i="4" s="1"/>
  <c r="BZ1065" i="4"/>
  <c r="CB1065" i="4" s="1"/>
  <c r="BZ826" i="4"/>
  <c r="CB826" i="4" s="1"/>
  <c r="BZ15" i="4"/>
  <c r="CB15" i="4" s="1"/>
  <c r="BZ133" i="4"/>
  <c r="CB133" i="4" s="1"/>
  <c r="BZ307" i="4"/>
  <c r="CB307" i="4" s="1"/>
  <c r="BZ1040" i="4"/>
  <c r="CB1040" i="4" s="1"/>
  <c r="BZ98" i="4"/>
  <c r="CB98" i="4" s="1"/>
  <c r="BZ314" i="4"/>
  <c r="CB314" i="4" s="1"/>
  <c r="BZ904" i="4"/>
  <c r="CB904" i="4" s="1"/>
  <c r="BZ883" i="4"/>
  <c r="CB883" i="4" s="1"/>
  <c r="BZ71" i="4"/>
  <c r="CB71" i="4" s="1"/>
  <c r="BZ510" i="4"/>
  <c r="CB510" i="4" s="1"/>
  <c r="BZ32" i="4"/>
  <c r="CB32" i="4" s="1"/>
  <c r="BZ1104" i="4"/>
  <c r="CB1104" i="4" s="1"/>
  <c r="BZ53" i="4"/>
  <c r="CB53" i="4" s="1"/>
  <c r="BZ337" i="4"/>
  <c r="CB337" i="4" s="1"/>
  <c r="BZ338" i="4"/>
  <c r="CB338" i="4" s="1"/>
  <c r="BZ1061" i="4"/>
  <c r="CB1061" i="4" s="1"/>
  <c r="BZ344" i="4"/>
  <c r="CB344" i="4" s="1"/>
  <c r="BZ186" i="4"/>
  <c r="CB186" i="4" s="1"/>
  <c r="BZ349" i="4"/>
  <c r="CB349" i="4" s="1"/>
  <c r="BZ776" i="4"/>
  <c r="CB776" i="4" s="1"/>
  <c r="BZ840" i="4"/>
  <c r="CB840" i="4" s="1"/>
  <c r="BZ518" i="4"/>
  <c r="CB518" i="4" s="1"/>
  <c r="BZ519" i="4"/>
  <c r="CB519" i="4" s="1"/>
  <c r="BZ926" i="4"/>
  <c r="CB926" i="4" s="1"/>
  <c r="BZ366" i="4"/>
  <c r="CB366" i="4" s="1"/>
  <c r="BZ57" i="4"/>
  <c r="CB57" i="4" s="1"/>
  <c r="BZ377" i="4"/>
  <c r="CB377" i="4" s="1"/>
  <c r="BZ194" i="4"/>
  <c r="CB194" i="4" s="1"/>
  <c r="BZ76" i="4"/>
  <c r="CB76" i="4" s="1"/>
  <c r="BZ746" i="4"/>
  <c r="CB746" i="4" s="1"/>
  <c r="BZ528" i="4"/>
  <c r="CB528" i="4" s="1"/>
  <c r="BZ747" i="4"/>
  <c r="CB747" i="4" s="1"/>
  <c r="BZ748" i="4"/>
  <c r="CB748" i="4" s="1"/>
  <c r="BZ1091" i="4"/>
  <c r="CB1091" i="4" s="1"/>
  <c r="BZ625" i="4"/>
  <c r="CB625" i="4" s="1"/>
  <c r="BZ751" i="4"/>
  <c r="CB751" i="4" s="1"/>
  <c r="BZ77" i="4"/>
  <c r="CB77" i="4" s="1"/>
  <c r="BZ421" i="4"/>
  <c r="CB421" i="4" s="1"/>
  <c r="BZ536" i="4"/>
  <c r="CB536" i="4" s="1"/>
  <c r="BZ142" i="4"/>
  <c r="CB142" i="4" s="1"/>
  <c r="BZ539" i="4"/>
  <c r="CB539" i="4" s="1"/>
  <c r="BZ628" i="4"/>
  <c r="CB628" i="4" s="1"/>
  <c r="BZ213" i="4"/>
  <c r="CB213" i="4" s="1"/>
  <c r="BZ447" i="4"/>
  <c r="CB447" i="4" s="1"/>
  <c r="BZ450" i="4"/>
  <c r="CB450" i="4" s="1"/>
  <c r="BZ453" i="4"/>
  <c r="CB453" i="4" s="1"/>
  <c r="BZ457" i="4"/>
  <c r="CB457" i="4" s="1"/>
  <c r="BZ461" i="4"/>
  <c r="CB461" i="4" s="1"/>
  <c r="BZ552" i="4"/>
  <c r="CB552" i="4" s="1"/>
  <c r="BS907" i="4"/>
  <c r="BS960" i="4"/>
  <c r="BZ907" i="4"/>
  <c r="CB907" i="4" s="1"/>
  <c r="BZ223" i="4"/>
  <c r="CB223" i="4" s="1"/>
  <c r="BZ960" i="4"/>
  <c r="CB960" i="4" s="1"/>
  <c r="BZ268" i="4"/>
  <c r="CB268" i="4" s="1"/>
  <c r="BZ270" i="4"/>
  <c r="CB270" i="4" s="1"/>
  <c r="BZ974" i="4"/>
  <c r="CB974" i="4" s="1"/>
  <c r="BZ810" i="4"/>
  <c r="CB810" i="4" s="1"/>
  <c r="BZ663" i="4"/>
  <c r="CB663" i="4" s="1"/>
  <c r="BZ124" i="4"/>
  <c r="CB124" i="4" s="1"/>
  <c r="BZ498" i="4"/>
  <c r="CB498" i="4" s="1"/>
  <c r="BZ723" i="4"/>
  <c r="CB723" i="4" s="1"/>
  <c r="BZ666" i="4"/>
  <c r="CB666" i="4" s="1"/>
  <c r="BZ1087" i="4"/>
  <c r="CB1087" i="4" s="1"/>
  <c r="BZ607" i="4"/>
  <c r="CB607" i="4" s="1"/>
  <c r="BZ285" i="4"/>
  <c r="CB285" i="4" s="1"/>
  <c r="BZ932" i="4"/>
  <c r="CB932" i="4" s="1"/>
  <c r="BZ568" i="4"/>
  <c r="CB568" i="4" s="1"/>
  <c r="BZ172" i="4"/>
  <c r="CB172" i="4" s="1"/>
  <c r="BZ502" i="4"/>
  <c r="CB502" i="4" s="1"/>
  <c r="BZ1116" i="4"/>
  <c r="CB1116" i="4" s="1"/>
  <c r="BZ1081" i="4"/>
  <c r="CB1081" i="4" s="1"/>
  <c r="BZ301" i="4"/>
  <c r="CB301" i="4" s="1"/>
  <c r="BZ68" i="4"/>
  <c r="CB68" i="4" s="1"/>
  <c r="BZ938" i="4"/>
  <c r="CB938" i="4" s="1"/>
  <c r="BZ1135" i="4"/>
  <c r="CB1135" i="4" s="1"/>
  <c r="BZ668" i="4"/>
  <c r="CB668" i="4" s="1"/>
  <c r="BZ829" i="4"/>
  <c r="CB829" i="4" s="1"/>
  <c r="BZ320" i="4"/>
  <c r="CB320" i="4" s="1"/>
  <c r="BZ179" i="4"/>
  <c r="CB179" i="4" s="1"/>
  <c r="BZ327" i="4"/>
  <c r="CB327" i="4" s="1"/>
  <c r="BZ671" i="4"/>
  <c r="CB671" i="4" s="1"/>
  <c r="BZ832" i="4"/>
  <c r="CB832" i="4" s="1"/>
  <c r="BZ1020" i="4"/>
  <c r="CB1020" i="4" s="1"/>
  <c r="BZ181" i="4"/>
  <c r="CB181" i="4" s="1"/>
  <c r="BZ577" i="4"/>
  <c r="CB577" i="4" s="1"/>
  <c r="BZ1198" i="4"/>
  <c r="CB1198" i="4" s="1"/>
  <c r="BZ184" i="4"/>
  <c r="CB184" i="4" s="1"/>
  <c r="BZ347" i="4"/>
  <c r="CB347" i="4" s="1"/>
  <c r="BZ350" i="4"/>
  <c r="CB350" i="4" s="1"/>
  <c r="BZ1137" i="4"/>
  <c r="CB1137" i="4" s="1"/>
  <c r="BZ742" i="4"/>
  <c r="CB742" i="4" s="1"/>
  <c r="BZ189" i="4"/>
  <c r="CB189" i="4" s="1"/>
  <c r="BZ520" i="4"/>
  <c r="CB520" i="4" s="1"/>
  <c r="BZ364" i="4"/>
  <c r="CB364" i="4" s="1"/>
  <c r="BZ619" i="4"/>
  <c r="CB619" i="4" s="1"/>
  <c r="BZ192" i="4"/>
  <c r="CB192" i="4" s="1"/>
  <c r="BZ682" i="4"/>
  <c r="CB682" i="4" s="1"/>
  <c r="BZ526" i="4"/>
  <c r="CB526" i="4" s="1"/>
  <c r="BZ383" i="4"/>
  <c r="CB383" i="4" s="1"/>
  <c r="BZ685" i="4"/>
  <c r="CB685" i="4" s="1"/>
  <c r="BZ389" i="4"/>
  <c r="CB389" i="4" s="1"/>
  <c r="BZ622" i="4"/>
  <c r="CB622" i="4" s="1"/>
  <c r="BZ399" i="4"/>
  <c r="CB399" i="4" s="1"/>
  <c r="BZ531" i="4"/>
  <c r="CB531" i="4" s="1"/>
  <c r="BZ141" i="4"/>
  <c r="CB141" i="4" s="1"/>
  <c r="BZ534" i="4"/>
  <c r="CB534" i="4" s="1"/>
  <c r="BZ414" i="4"/>
  <c r="CB414" i="4" s="1"/>
  <c r="BZ422" i="4"/>
  <c r="CB422" i="4" s="1"/>
  <c r="BZ1083" i="4"/>
  <c r="CB1083" i="4" s="1"/>
  <c r="BZ1092" i="4"/>
  <c r="CB1092" i="4" s="1"/>
  <c r="BZ590" i="4"/>
  <c r="CB590" i="4" s="1"/>
  <c r="BZ144" i="4"/>
  <c r="CB144" i="4" s="1"/>
  <c r="BZ441" i="4"/>
  <c r="CB441" i="4" s="1"/>
  <c r="BZ448" i="4"/>
  <c r="CB448" i="4" s="1"/>
  <c r="BZ451" i="4"/>
  <c r="CB451" i="4" s="1"/>
  <c r="BZ942" i="4"/>
  <c r="CB942" i="4" s="1"/>
  <c r="BZ545" i="4"/>
  <c r="CB545" i="4" s="1"/>
  <c r="BZ40" i="4"/>
  <c r="CB40" i="4" s="1"/>
  <c r="BZ553" i="4"/>
  <c r="CB553" i="4" s="1"/>
  <c r="BS109" i="4"/>
  <c r="BS943" i="4"/>
  <c r="BS595" i="4"/>
  <c r="BZ109" i="4"/>
  <c r="CB109" i="4" s="1"/>
  <c r="BZ943" i="4"/>
  <c r="CB943" i="4" s="1"/>
  <c r="BZ595" i="4"/>
  <c r="CB595" i="4" s="1"/>
  <c r="BZ996" i="4"/>
  <c r="CB996" i="4" s="1"/>
  <c r="BZ651" i="4"/>
  <c r="CB651" i="4" s="1"/>
  <c r="BZ1125" i="4"/>
  <c r="CB1125" i="4" s="1"/>
  <c r="BZ795" i="4"/>
  <c r="CB795" i="4" s="1"/>
  <c r="BZ973" i="4"/>
  <c r="CB973" i="4" s="1"/>
  <c r="BZ163" i="4"/>
  <c r="CB163" i="4" s="1"/>
  <c r="BZ265" i="4"/>
  <c r="CB265" i="4" s="1"/>
  <c r="BZ929" i="4"/>
  <c r="CB929" i="4" s="1"/>
  <c r="BZ930" i="4"/>
  <c r="CB930" i="4" s="1"/>
  <c r="BZ718" i="4"/>
  <c r="CB718" i="4" s="1"/>
  <c r="BZ719" i="4"/>
  <c r="CB719" i="4" s="1"/>
  <c r="BZ766" i="4"/>
  <c r="CB766" i="4" s="1"/>
  <c r="BZ813" i="4"/>
  <c r="CB813" i="4" s="1"/>
  <c r="BZ975" i="4"/>
  <c r="CB975" i="4" s="1"/>
  <c r="BZ168" i="4"/>
  <c r="CB168" i="4" s="1"/>
  <c r="BZ769" i="4"/>
  <c r="CB769" i="4" s="1"/>
  <c r="BZ128" i="4"/>
  <c r="CB128" i="4" s="1"/>
  <c r="BZ819" i="4"/>
  <c r="CB819" i="4" s="1"/>
  <c r="BZ1167" i="4"/>
  <c r="CB1167" i="4" s="1"/>
  <c r="BZ169" i="4"/>
  <c r="CB169" i="4" s="1"/>
  <c r="BZ51" i="4"/>
  <c r="CB51" i="4" s="1"/>
  <c r="BZ130" i="4"/>
  <c r="CB130" i="4" s="1"/>
  <c r="BZ173" i="4"/>
  <c r="CB173" i="4" s="1"/>
  <c r="BZ295" i="4"/>
  <c r="CB295" i="4" s="1"/>
  <c r="BZ571" i="4"/>
  <c r="CB571" i="4" s="1"/>
  <c r="BZ827" i="4"/>
  <c r="CB827" i="4" s="1"/>
  <c r="BZ1017" i="4"/>
  <c r="CB1017" i="4" s="1"/>
  <c r="BZ177" i="4"/>
  <c r="CB177" i="4" s="1"/>
  <c r="BZ70" i="4"/>
  <c r="CB70" i="4" s="1"/>
  <c r="BZ828" i="4"/>
  <c r="CB828" i="4" s="1"/>
  <c r="BZ315" i="4"/>
  <c r="CB315" i="4" s="1"/>
  <c r="BZ1136" i="4"/>
  <c r="CB1136" i="4" s="1"/>
  <c r="BZ321" i="4"/>
  <c r="CB321" i="4" s="1"/>
  <c r="BZ670" i="4"/>
  <c r="CB670" i="4" s="1"/>
  <c r="BZ875" i="4"/>
  <c r="CB875" i="4" s="1"/>
  <c r="BZ180" i="4"/>
  <c r="CB180" i="4" s="1"/>
  <c r="BZ332" i="4"/>
  <c r="CB332" i="4" s="1"/>
  <c r="BZ674" i="4"/>
  <c r="CB674" i="4" s="1"/>
  <c r="BZ182" i="4"/>
  <c r="CB182" i="4" s="1"/>
  <c r="BZ578" i="4"/>
  <c r="CB578" i="4" s="1"/>
  <c r="BZ950" i="4"/>
  <c r="CB950" i="4" s="1"/>
  <c r="BZ989" i="4"/>
  <c r="CB989" i="4" s="1"/>
  <c r="BZ54" i="4"/>
  <c r="CB54" i="4" s="1"/>
  <c r="BZ740" i="4"/>
  <c r="CB740" i="4" s="1"/>
  <c r="BZ55" i="4"/>
  <c r="CB55" i="4" s="1"/>
  <c r="BZ1096" i="4"/>
  <c r="CB1096" i="4" s="1"/>
  <c r="BZ357" i="4"/>
  <c r="CB357" i="4" s="1"/>
  <c r="BZ680" i="4"/>
  <c r="CB680" i="4" s="1"/>
  <c r="BZ858" i="4"/>
  <c r="CB858" i="4" s="1"/>
  <c r="BZ367" i="4"/>
  <c r="CB367" i="4" s="1"/>
  <c r="BZ582" i="4"/>
  <c r="CB582" i="4" s="1"/>
  <c r="BZ378" i="4"/>
  <c r="CB378" i="4" s="1"/>
  <c r="BZ195" i="4"/>
  <c r="CB195" i="4" s="1"/>
  <c r="BZ683" i="4"/>
  <c r="CB683" i="4" s="1"/>
  <c r="BZ686" i="4"/>
  <c r="CB686" i="4" s="1"/>
  <c r="BZ390" i="4"/>
  <c r="CB390" i="4" s="1"/>
  <c r="BZ394" i="4"/>
  <c r="CB394" i="4" s="1"/>
  <c r="BZ202" i="4"/>
  <c r="CB202" i="4" s="1"/>
  <c r="BZ624" i="4"/>
  <c r="CB624" i="4" s="1"/>
  <c r="BZ1163" i="4"/>
  <c r="CB1163" i="4" s="1"/>
  <c r="BZ847" i="4"/>
  <c r="CB847" i="4" s="1"/>
  <c r="BZ415" i="4"/>
  <c r="CB415" i="4" s="1"/>
  <c r="BZ423" i="4"/>
  <c r="CB423" i="4" s="1"/>
  <c r="BZ428" i="4"/>
  <c r="CB428" i="4" s="1"/>
  <c r="BZ431" i="4"/>
  <c r="CB431" i="4" s="1"/>
  <c r="BZ210" i="4"/>
  <c r="CB210" i="4" s="1"/>
  <c r="BZ437" i="4"/>
  <c r="CB437" i="4" s="1"/>
  <c r="BZ442" i="4"/>
  <c r="CB442" i="4" s="1"/>
  <c r="BZ1139" i="4"/>
  <c r="CB1139" i="4" s="1"/>
  <c r="BZ631" i="4"/>
  <c r="CB631" i="4" s="1"/>
  <c r="BZ543" i="4"/>
  <c r="CB543" i="4" s="1"/>
  <c r="BZ1151" i="4"/>
  <c r="CB1151" i="4" s="1"/>
  <c r="BZ549" i="4"/>
  <c r="CB549" i="4" s="1"/>
  <c r="BZ148" i="4"/>
  <c r="CB148" i="4" s="1"/>
  <c r="BZ693" i="4"/>
  <c r="CB693" i="4" s="1"/>
  <c r="BZ635" i="4"/>
  <c r="CB635" i="4" s="1"/>
  <c r="BZ222" i="4"/>
  <c r="CB222" i="4" s="1"/>
  <c r="BY42" i="4"/>
  <c r="BY756" i="4"/>
  <c r="BY471" i="4"/>
  <c r="BY692" i="4"/>
  <c r="BY596" i="4"/>
  <c r="BY108" i="4"/>
  <c r="BY964" i="4"/>
  <c r="BY934" i="4"/>
  <c r="BY41" i="4"/>
  <c r="BY472" i="4"/>
  <c r="BY225" i="4"/>
  <c r="BY467" i="4"/>
  <c r="BY907" i="4"/>
  <c r="BY223" i="4"/>
  <c r="BY960" i="4"/>
  <c r="BY693" i="4"/>
  <c r="BY635" i="4"/>
  <c r="BY222" i="4"/>
  <c r="BY474" i="4"/>
  <c r="BY469" i="4"/>
  <c r="BY955" i="4"/>
  <c r="BY227" i="4"/>
  <c r="BY473" i="4"/>
  <c r="BY1023" i="4"/>
  <c r="BY226" i="4"/>
  <c r="BY221" i="4"/>
  <c r="BY850" i="4"/>
  <c r="BY224" i="4"/>
  <c r="BY466" i="4"/>
  <c r="BY109" i="4"/>
  <c r="BY943" i="4"/>
  <c r="BY595" i="4"/>
  <c r="BY110" i="4"/>
  <c r="BY7" i="4"/>
  <c r="BY470" i="4"/>
  <c r="G29" i="2"/>
  <c r="H29" i="2" s="1"/>
  <c r="G31" i="2"/>
  <c r="H31" i="2" s="1"/>
  <c r="BW9" i="1"/>
  <c r="BW11" i="1"/>
  <c r="BW21" i="1"/>
  <c r="BW24" i="1"/>
  <c r="BW32" i="1"/>
  <c r="BW33" i="1"/>
  <c r="BW35" i="1"/>
  <c r="BW36" i="1"/>
  <c r="BW44" i="1"/>
  <c r="BW45" i="1"/>
  <c r="BW47" i="1"/>
  <c r="BW51" i="1"/>
  <c r="BW54" i="1"/>
  <c r="BW55" i="1"/>
  <c r="BV6" i="1"/>
  <c r="BV12" i="1"/>
  <c r="BV17" i="1"/>
  <c r="BV19" i="1"/>
  <c r="BV21" i="1"/>
  <c r="BV23" i="1"/>
  <c r="BV31" i="1"/>
  <c r="BV36" i="1"/>
  <c r="BV43" i="1"/>
  <c r="BV45" i="1"/>
  <c r="BV47" i="1"/>
  <c r="BV48" i="1"/>
  <c r="BV54" i="1"/>
  <c r="BV55" i="1"/>
  <c r="BV57" i="1"/>
  <c r="BU2" i="1"/>
  <c r="BU3" i="1"/>
  <c r="BU7" i="1"/>
  <c r="BU14" i="1"/>
  <c r="BU15" i="1"/>
  <c r="BU19" i="1"/>
  <c r="BU20" i="1"/>
  <c r="BU27" i="1"/>
  <c r="BU31" i="1"/>
  <c r="BU39" i="1"/>
  <c r="BU43" i="1"/>
  <c r="BU44" i="1"/>
  <c r="BU50" i="1"/>
  <c r="BU51" i="1"/>
  <c r="BU56" i="1"/>
  <c r="BU57" i="1"/>
  <c r="BT5" i="1"/>
  <c r="BT6" i="1"/>
  <c r="BT12" i="1"/>
  <c r="BT17" i="1"/>
  <c r="BT22" i="1"/>
  <c r="BT29" i="1"/>
  <c r="BT34" i="1"/>
  <c r="BT36" i="1"/>
  <c r="BT44" i="1"/>
  <c r="BT45" i="1"/>
  <c r="BT48" i="1"/>
  <c r="BT52" i="1"/>
  <c r="BT56" i="1"/>
  <c r="BT58" i="1"/>
  <c r="G42" i="2"/>
  <c r="H42" i="2" s="1"/>
  <c r="G41" i="2"/>
  <c r="H41" i="2" s="1"/>
  <c r="G40" i="2"/>
  <c r="M33" i="2"/>
  <c r="M32" i="2"/>
  <c r="M31" i="2"/>
  <c r="M30" i="2"/>
  <c r="BW3" i="1" s="1"/>
  <c r="M29" i="2"/>
  <c r="M28" i="2"/>
  <c r="L37" i="2"/>
  <c r="M37" i="2" s="1"/>
  <c r="L36" i="2"/>
  <c r="M36" i="2" s="1"/>
  <c r="L35" i="2"/>
  <c r="M35" i="2" s="1"/>
  <c r="L34" i="2"/>
  <c r="M34" i="2" s="1"/>
  <c r="H39" i="2"/>
  <c r="H38" i="2"/>
  <c r="BV53" i="1" s="1"/>
  <c r="H37" i="2"/>
  <c r="H36" i="2"/>
  <c r="H35" i="2"/>
  <c r="BV18" i="1" s="1"/>
  <c r="H34" i="2"/>
  <c r="H33" i="2"/>
  <c r="H32" i="2"/>
  <c r="H30" i="2"/>
  <c r="H28" i="2"/>
  <c r="C35" i="2"/>
  <c r="C34" i="2"/>
  <c r="C33" i="2"/>
  <c r="C32" i="2"/>
  <c r="C31" i="2"/>
  <c r="C30" i="2"/>
  <c r="BT47" i="1" s="1"/>
  <c r="C29" i="2"/>
  <c r="BT3" i="1" s="1"/>
  <c r="C28" i="2"/>
  <c r="B37" i="2"/>
  <c r="C37" i="2" s="1"/>
  <c r="B36" i="2"/>
  <c r="C36" i="2" s="1"/>
  <c r="B47" i="2"/>
  <c r="C47" i="2" s="1"/>
  <c r="C46" i="2"/>
  <c r="BU8" i="1" s="1"/>
  <c r="C45" i="2"/>
  <c r="C44" i="2"/>
  <c r="BU41" i="1" s="1"/>
  <c r="C43" i="2"/>
  <c r="C42" i="2"/>
  <c r="C41" i="2"/>
  <c r="BU17" i="1" s="1"/>
  <c r="CH1293" i="4" l="1"/>
  <c r="CA109" i="4"/>
  <c r="CC109" i="4" s="1"/>
  <c r="CA225" i="4"/>
  <c r="CC225" i="4" s="1"/>
  <c r="CA473" i="4"/>
  <c r="CA943" i="4"/>
  <c r="CC943" i="4" s="1"/>
  <c r="CA907" i="4"/>
  <c r="CA468" i="4"/>
  <c r="CC468" i="4" s="1"/>
  <c r="CE468" i="4" s="1"/>
  <c r="CF468" i="4" s="1"/>
  <c r="CA224" i="4"/>
  <c r="CC224" i="4" s="1"/>
  <c r="CA471" i="4"/>
  <c r="CC471" i="4" s="1"/>
  <c r="CA467" i="4"/>
  <c r="CC467" i="4" s="1"/>
  <c r="CA596" i="4"/>
  <c r="CC596" i="4" s="1"/>
  <c r="CA472" i="4"/>
  <c r="CC472" i="4" s="1"/>
  <c r="CA595" i="4"/>
  <c r="CA960" i="4"/>
  <c r="CC960" i="4" s="1"/>
  <c r="CA227" i="4"/>
  <c r="CC227" i="4" s="1"/>
  <c r="CA41" i="4"/>
  <c r="CC41" i="4" s="1"/>
  <c r="CA1023" i="4"/>
  <c r="CC1023" i="4" s="1"/>
  <c r="CA692" i="4"/>
  <c r="CC692" i="4" s="1"/>
  <c r="CA934" i="4"/>
  <c r="CC934" i="4" s="1"/>
  <c r="CA466" i="4"/>
  <c r="CC466" i="4" s="1"/>
  <c r="CA469" i="4"/>
  <c r="CC469" i="4" s="1"/>
  <c r="CA226" i="4"/>
  <c r="CC226" i="4" s="1"/>
  <c r="CA42" i="4"/>
  <c r="CC42" i="4" s="1"/>
  <c r="CA470" i="4"/>
  <c r="CC470" i="4" s="1"/>
  <c r="CA7" i="4"/>
  <c r="CC7" i="4" s="1"/>
  <c r="CA964" i="4"/>
  <c r="CC964" i="4" s="1"/>
  <c r="CA474" i="4"/>
  <c r="CC474" i="4" s="1"/>
  <c r="CA222" i="4"/>
  <c r="CC222" i="4" s="1"/>
  <c r="CA110" i="4"/>
  <c r="CC110" i="4" s="1"/>
  <c r="CA221" i="4"/>
  <c r="CC221" i="4" s="1"/>
  <c r="CA850" i="4"/>
  <c r="CC850" i="4" s="1"/>
  <c r="CA635" i="4"/>
  <c r="CA756" i="4"/>
  <c r="CA693" i="4"/>
  <c r="CC693" i="4" s="1"/>
  <c r="CE693" i="4" s="1"/>
  <c r="CF693" i="4" s="1"/>
  <c r="CA955" i="4"/>
  <c r="CC955" i="4" s="1"/>
  <c r="CA108" i="4"/>
  <c r="CC108" i="4" s="1"/>
  <c r="CA223" i="4"/>
  <c r="CC223" i="4" s="1"/>
  <c r="CH1278" i="4"/>
  <c r="CH1233" i="4"/>
  <c r="CH1227" i="4"/>
  <c r="CF1275" i="4"/>
  <c r="CH1275" i="4" s="1"/>
  <c r="CH1212" i="4"/>
  <c r="CH1218" i="4"/>
  <c r="CH1269" i="4"/>
  <c r="CH1234" i="4"/>
  <c r="CH1235" i="4"/>
  <c r="CH1284" i="4"/>
  <c r="CH1239" i="4"/>
  <c r="CH1257" i="4"/>
  <c r="CH1258" i="4"/>
  <c r="CH1272" i="4"/>
  <c r="CH1221" i="4"/>
  <c r="CH1222" i="4"/>
  <c r="CH1291" i="4"/>
  <c r="CH1292" i="4"/>
  <c r="CH1282" i="4"/>
  <c r="CH1287" i="4"/>
  <c r="CH1210" i="4"/>
  <c r="CH1248" i="4"/>
  <c r="CH1286" i="4"/>
  <c r="CH1236" i="4"/>
  <c r="CF1242" i="4"/>
  <c r="CH1242" i="4" s="1"/>
  <c r="CF1254" i="4"/>
  <c r="CH1254" i="4" s="1"/>
  <c r="CC1259" i="4"/>
  <c r="CE1259" i="4" s="1"/>
  <c r="CC1279" i="4"/>
  <c r="CE1279" i="4" s="1"/>
  <c r="CC1255" i="4"/>
  <c r="CE1255" i="4" s="1"/>
  <c r="CC1223" i="4"/>
  <c r="CE1223" i="4" s="1"/>
  <c r="CC1276" i="4"/>
  <c r="CE1276" i="4" s="1"/>
  <c r="CC1253" i="4"/>
  <c r="CE1253" i="4" s="1"/>
  <c r="CC1230" i="4"/>
  <c r="CE1230" i="4" s="1"/>
  <c r="CC1285" i="4"/>
  <c r="CE1285" i="4" s="1"/>
  <c r="CC1277" i="4"/>
  <c r="CE1277" i="4" s="1"/>
  <c r="CC1216" i="4"/>
  <c r="CE1216" i="4" s="1"/>
  <c r="CC1229" i="4"/>
  <c r="CE1229" i="4" s="1"/>
  <c r="CC1214" i="4"/>
  <c r="CE1214" i="4" s="1"/>
  <c r="CC1283" i="4"/>
  <c r="CE1283" i="4" s="1"/>
  <c r="CC1240" i="4"/>
  <c r="CE1240" i="4" s="1"/>
  <c r="CC1238" i="4"/>
  <c r="CE1238" i="4" s="1"/>
  <c r="CC1224" i="4"/>
  <c r="CE1224" i="4" s="1"/>
  <c r="CC1209" i="4"/>
  <c r="CE1209" i="4" s="1"/>
  <c r="CC1251" i="4"/>
  <c r="CE1251" i="4" s="1"/>
  <c r="CC1225" i="4"/>
  <c r="CE1225" i="4" s="1"/>
  <c r="CC1231" i="4"/>
  <c r="CE1231" i="4" s="1"/>
  <c r="CC1243" i="4"/>
  <c r="CE1243" i="4" s="1"/>
  <c r="CC1206" i="4"/>
  <c r="CE1206" i="4" s="1"/>
  <c r="CC1281" i="4"/>
  <c r="CE1281" i="4" s="1"/>
  <c r="CC1273" i="4"/>
  <c r="CE1273" i="4" s="1"/>
  <c r="CC1249" i="4"/>
  <c r="CE1249" i="4" s="1"/>
  <c r="CC1241" i="4"/>
  <c r="CE1241" i="4" s="1"/>
  <c r="CC1294" i="4"/>
  <c r="CE1294" i="4" s="1"/>
  <c r="CC1232" i="4"/>
  <c r="CE1232" i="4" s="1"/>
  <c r="CC1219" i="4"/>
  <c r="CE1219" i="4" s="1"/>
  <c r="CC1247" i="4"/>
  <c r="CE1247" i="4" s="1"/>
  <c r="CC1215" i="4"/>
  <c r="CE1215" i="4" s="1"/>
  <c r="CC1220" i="4"/>
  <c r="CE1220" i="4" s="1"/>
  <c r="CC1237" i="4"/>
  <c r="CE1237" i="4" s="1"/>
  <c r="CC1262" i="4"/>
  <c r="CE1262" i="4" s="1"/>
  <c r="CC1245" i="4"/>
  <c r="CE1245" i="4" s="1"/>
  <c r="CC1290" i="4"/>
  <c r="CE1290" i="4" s="1"/>
  <c r="CC1226" i="4"/>
  <c r="CE1226" i="4" s="1"/>
  <c r="CC1252" i="4"/>
  <c r="CE1252" i="4" s="1"/>
  <c r="CC1208" i="4"/>
  <c r="CE1208" i="4" s="1"/>
  <c r="CC1264" i="4"/>
  <c r="CE1264" i="4" s="1"/>
  <c r="CC1217" i="4"/>
  <c r="CE1217" i="4" s="1"/>
  <c r="CC1207" i="4"/>
  <c r="CE1207" i="4" s="1"/>
  <c r="CC1289" i="4"/>
  <c r="CE1289" i="4" s="1"/>
  <c r="CC1266" i="4"/>
  <c r="CE1266" i="4" s="1"/>
  <c r="CC1213" i="4"/>
  <c r="CE1213" i="4" s="1"/>
  <c r="CC1267" i="4"/>
  <c r="CE1267" i="4" s="1"/>
  <c r="CC1288" i="4"/>
  <c r="CE1288" i="4" s="1"/>
  <c r="CC1274" i="4"/>
  <c r="CE1274" i="4" s="1"/>
  <c r="CC1265" i="4"/>
  <c r="CE1265" i="4" s="1"/>
  <c r="CC1211" i="4"/>
  <c r="CE1211" i="4" s="1"/>
  <c r="CC1280" i="4"/>
  <c r="CE1280" i="4" s="1"/>
  <c r="CC1261" i="4"/>
  <c r="CE1261" i="4" s="1"/>
  <c r="CC1250" i="4"/>
  <c r="CE1250" i="4" s="1"/>
  <c r="CC1256" i="4"/>
  <c r="CE1256" i="4" s="1"/>
  <c r="CC1260" i="4"/>
  <c r="CE1260" i="4" s="1"/>
  <c r="CC1228" i="4"/>
  <c r="CE1228" i="4" s="1"/>
  <c r="CF1244" i="4"/>
  <c r="CH1244" i="4" s="1"/>
  <c r="CF1271" i="4"/>
  <c r="CH1271" i="4" s="1"/>
  <c r="CF1246" i="4"/>
  <c r="CH1246" i="4" s="1"/>
  <c r="CF1270" i="4"/>
  <c r="CH1270" i="4" s="1"/>
  <c r="CF1268" i="4"/>
  <c r="CH1268" i="4" s="1"/>
  <c r="BT27" i="1"/>
  <c r="BV13" i="1"/>
  <c r="BW25" i="1"/>
  <c r="BT54" i="1"/>
  <c r="BT33" i="1"/>
  <c r="BW39" i="1"/>
  <c r="BW29" i="1"/>
  <c r="BW48" i="1"/>
  <c r="BV15" i="1"/>
  <c r="BU6" i="1"/>
  <c r="BX6" i="1" s="1"/>
  <c r="BY878" i="4"/>
  <c r="CA878" i="4" s="1"/>
  <c r="BY267" i="4"/>
  <c r="CA267" i="4" s="1"/>
  <c r="BY735" i="4"/>
  <c r="CA735" i="4" s="1"/>
  <c r="BY195" i="4"/>
  <c r="CA195" i="4" s="1"/>
  <c r="BV10" i="1"/>
  <c r="BY1204" i="4"/>
  <c r="CA1204" i="4" s="1"/>
  <c r="BY1122" i="4"/>
  <c r="CA1122" i="4" s="1"/>
  <c r="BT49" i="1"/>
  <c r="BV20" i="1"/>
  <c r="BT28" i="1"/>
  <c r="BU38" i="1"/>
  <c r="BU4" i="1"/>
  <c r="BY113" i="4"/>
  <c r="CA113" i="4" s="1"/>
  <c r="BT57" i="1"/>
  <c r="BY825" i="4"/>
  <c r="CA825" i="4" s="1"/>
  <c r="BY582" i="4"/>
  <c r="CA582" i="4" s="1"/>
  <c r="BY191" i="4"/>
  <c r="CA191" i="4" s="1"/>
  <c r="BV26" i="1"/>
  <c r="BW2" i="1"/>
  <c r="BT23" i="1"/>
  <c r="BU55" i="1"/>
  <c r="BU37" i="1"/>
  <c r="BU13" i="1"/>
  <c r="BV7" i="1"/>
  <c r="BW12" i="1"/>
  <c r="BY726" i="4"/>
  <c r="CA726" i="4" s="1"/>
  <c r="BT25" i="1"/>
  <c r="BY600" i="4"/>
  <c r="CA600" i="4" s="1"/>
  <c r="BY89" i="4"/>
  <c r="BY574" i="4"/>
  <c r="CA574" i="4" s="1"/>
  <c r="BY937" i="4"/>
  <c r="CA937" i="4" s="1"/>
  <c r="BY312" i="4"/>
  <c r="CA312" i="4" s="1"/>
  <c r="BY1076" i="4"/>
  <c r="CA1076" i="4" s="1"/>
  <c r="BY125" i="4"/>
  <c r="CA125" i="4" s="1"/>
  <c r="BY343" i="4"/>
  <c r="BY904" i="4"/>
  <c r="CA904" i="4" s="1"/>
  <c r="BY577" i="4"/>
  <c r="CA577" i="4" s="1"/>
  <c r="BY192" i="4"/>
  <c r="CA192" i="4" s="1"/>
  <c r="BY383" i="4"/>
  <c r="CA383" i="4" s="1"/>
  <c r="BY975" i="4"/>
  <c r="CA975" i="4" s="1"/>
  <c r="BY1136" i="4"/>
  <c r="CA1136" i="4" s="1"/>
  <c r="BY740" i="4"/>
  <c r="CA740" i="4" s="1"/>
  <c r="BY55" i="4"/>
  <c r="CA55" i="4" s="1"/>
  <c r="BY514" i="4"/>
  <c r="CA514" i="4" s="1"/>
  <c r="BY395" i="4"/>
  <c r="CA395" i="4" s="1"/>
  <c r="BY400" i="4"/>
  <c r="CA400" i="4" s="1"/>
  <c r="BY1130" i="4"/>
  <c r="CA1130" i="4" s="1"/>
  <c r="BY1186" i="4"/>
  <c r="CA1186" i="4" s="1"/>
  <c r="BY525" i="4"/>
  <c r="CA525" i="4" s="1"/>
  <c r="BY404" i="4"/>
  <c r="CA404" i="4" s="1"/>
  <c r="BY813" i="4"/>
  <c r="CA813" i="4" s="1"/>
  <c r="BY502" i="4"/>
  <c r="CA502" i="4" s="1"/>
  <c r="BY135" i="4"/>
  <c r="CA135" i="4" s="1"/>
  <c r="BY348" i="4"/>
  <c r="CA348" i="4" s="1"/>
  <c r="BY365" i="4"/>
  <c r="CA365" i="4" s="1"/>
  <c r="BY504" i="4"/>
  <c r="CA504" i="4" s="1"/>
  <c r="BY1040" i="4"/>
  <c r="CA1040" i="4" s="1"/>
  <c r="BY316" i="4"/>
  <c r="CA316" i="4" s="1"/>
  <c r="BY612" i="4"/>
  <c r="CA612" i="4" s="1"/>
  <c r="BY172" i="4"/>
  <c r="CA172" i="4" s="1"/>
  <c r="BY608" i="4"/>
  <c r="CA608" i="4" s="1"/>
  <c r="BY1103" i="4"/>
  <c r="CA1103" i="4" s="1"/>
  <c r="BY575" i="4"/>
  <c r="CA575" i="4" s="1"/>
  <c r="BY579" i="4"/>
  <c r="CA579" i="4" s="1"/>
  <c r="BY369" i="4"/>
  <c r="CA369" i="4" s="1"/>
  <c r="BY103" i="4"/>
  <c r="CA103" i="4" s="1"/>
  <c r="BY370" i="4"/>
  <c r="CA370" i="4" s="1"/>
  <c r="BY198" i="4"/>
  <c r="CA198" i="4" s="1"/>
  <c r="BY402" i="4"/>
  <c r="CA402" i="4" s="1"/>
  <c r="BY185" i="4"/>
  <c r="CA185" i="4" s="1"/>
  <c r="BT51" i="1"/>
  <c r="BX51" i="1" s="1"/>
  <c r="BU10" i="1"/>
  <c r="BY1116" i="4"/>
  <c r="CA1116" i="4" s="1"/>
  <c r="BY65" i="4"/>
  <c r="CA65" i="4" s="1"/>
  <c r="BY588" i="4"/>
  <c r="CA588" i="4" s="1"/>
  <c r="BY461" i="4"/>
  <c r="CA461" i="4" s="1"/>
  <c r="BT11" i="1"/>
  <c r="BY947" i="4"/>
  <c r="CA947" i="4" s="1"/>
  <c r="BY1111" i="4"/>
  <c r="CA1111" i="4" s="1"/>
  <c r="BY620" i="4"/>
  <c r="CA620" i="4" s="1"/>
  <c r="BY1176" i="4"/>
  <c r="CA1176" i="4" s="1"/>
  <c r="BY104" i="4"/>
  <c r="CA104" i="4" s="1"/>
  <c r="BY437" i="4"/>
  <c r="CA437" i="4" s="1"/>
  <c r="BY98" i="4"/>
  <c r="BY73" i="4"/>
  <c r="CA73" i="4" s="1"/>
  <c r="BY694" i="4"/>
  <c r="CA694" i="4" s="1"/>
  <c r="BY69" i="4"/>
  <c r="CA69" i="4" s="1"/>
  <c r="BY397" i="4"/>
  <c r="CA397" i="4" s="1"/>
  <c r="BY783" i="4"/>
  <c r="CA783" i="4" s="1"/>
  <c r="BY1150" i="4"/>
  <c r="CA1150" i="4" s="1"/>
  <c r="BY837" i="4"/>
  <c r="CA837" i="4" s="1"/>
  <c r="BY122" i="4"/>
  <c r="CA122" i="4" s="1"/>
  <c r="BY838" i="4"/>
  <c r="CA838" i="4" s="1"/>
  <c r="BY211" i="4"/>
  <c r="CA211" i="4" s="1"/>
  <c r="BV33" i="1"/>
  <c r="BY729" i="4"/>
  <c r="CA729" i="4" s="1"/>
  <c r="BY967" i="4"/>
  <c r="CA967" i="4" s="1"/>
  <c r="BW13" i="1"/>
  <c r="BU54" i="1"/>
  <c r="BU33" i="1"/>
  <c r="BU9" i="1"/>
  <c r="BU46" i="1"/>
  <c r="BY1017" i="4"/>
  <c r="CA1017" i="4" s="1"/>
  <c r="BY702" i="4"/>
  <c r="CA702" i="4" s="1"/>
  <c r="BY995" i="4"/>
  <c r="CA995" i="4" s="1"/>
  <c r="BY421" i="4"/>
  <c r="CA421" i="4" s="1"/>
  <c r="BY777" i="4"/>
  <c r="CA777" i="4" s="1"/>
  <c r="BY627" i="4"/>
  <c r="CA627" i="4" s="1"/>
  <c r="BY673" i="4"/>
  <c r="CA673" i="4" s="1"/>
  <c r="BY905" i="4"/>
  <c r="CA905" i="4" s="1"/>
  <c r="BY333" i="4"/>
  <c r="CA333" i="4" s="1"/>
  <c r="BY208" i="4"/>
  <c r="CA208" i="4" s="1"/>
  <c r="BY442" i="4"/>
  <c r="CA442" i="4" s="1"/>
  <c r="BT13" i="1"/>
  <c r="BY1039" i="4"/>
  <c r="CA1039" i="4" s="1"/>
  <c r="BV8" i="1"/>
  <c r="BY554" i="4"/>
  <c r="CA554" i="4" s="1"/>
  <c r="BY68" i="4"/>
  <c r="CA68" i="4" s="1"/>
  <c r="BY770" i="4"/>
  <c r="CA770" i="4" s="1"/>
  <c r="BY1143" i="4"/>
  <c r="CA1143" i="4" s="1"/>
  <c r="BY1177" i="4"/>
  <c r="CA1177" i="4" s="1"/>
  <c r="BY309" i="4"/>
  <c r="CA309" i="4" s="1"/>
  <c r="BY509" i="4"/>
  <c r="CA509" i="4" s="1"/>
  <c r="BY306" i="4"/>
  <c r="CA306" i="4" s="1"/>
  <c r="BY677" i="4"/>
  <c r="CA677" i="4" s="1"/>
  <c r="BY1061" i="4"/>
  <c r="CA1061" i="4" s="1"/>
  <c r="BY311" i="4"/>
  <c r="CA311" i="4" s="1"/>
  <c r="BT46" i="1"/>
  <c r="BT21" i="1"/>
  <c r="BU53" i="1"/>
  <c r="BX53" i="1" s="1"/>
  <c r="BU32" i="1"/>
  <c r="BV42" i="1"/>
  <c r="BW57" i="1"/>
  <c r="BW27" i="1"/>
  <c r="BV58" i="1"/>
  <c r="BY479" i="4"/>
  <c r="CA479" i="4" s="1"/>
  <c r="BY782" i="4"/>
  <c r="CA782" i="4" s="1"/>
  <c r="BY396" i="4"/>
  <c r="CA396" i="4" s="1"/>
  <c r="BY845" i="4"/>
  <c r="CA845" i="4" s="1"/>
  <c r="BY79" i="4"/>
  <c r="BY145" i="4"/>
  <c r="CA145" i="4" s="1"/>
  <c r="BY952" i="4"/>
  <c r="CA952" i="4" s="1"/>
  <c r="BY57" i="4"/>
  <c r="CA57" i="4" s="1"/>
  <c r="BY746" i="4"/>
  <c r="CA746" i="4" s="1"/>
  <c r="BY682" i="4"/>
  <c r="CA682" i="4" s="1"/>
  <c r="BU48" i="1"/>
  <c r="BU42" i="1"/>
  <c r="BY59" i="4"/>
  <c r="CA59" i="4" s="1"/>
  <c r="BW23" i="1"/>
  <c r="BT2" i="1"/>
  <c r="BT10" i="1"/>
  <c r="H40" i="2"/>
  <c r="G45" i="2"/>
  <c r="H45" i="2" s="1"/>
  <c r="G44" i="2"/>
  <c r="H44" i="2" s="1"/>
  <c r="BT55" i="1"/>
  <c r="BT41" i="1"/>
  <c r="BU49" i="1"/>
  <c r="BU26" i="1"/>
  <c r="BV24" i="1"/>
  <c r="BV2" i="1"/>
  <c r="BT40" i="1"/>
  <c r="BT9" i="1"/>
  <c r="BU45" i="1"/>
  <c r="BX45" i="1" s="1"/>
  <c r="BU21" i="1"/>
  <c r="BW15" i="1"/>
  <c r="BV30" i="1"/>
  <c r="BV29" i="1"/>
  <c r="BV52" i="1"/>
  <c r="BV40" i="1"/>
  <c r="BV28" i="1"/>
  <c r="BV16" i="1"/>
  <c r="BV51" i="1"/>
  <c r="BV39" i="1"/>
  <c r="BV27" i="1"/>
  <c r="BX27" i="1" s="1"/>
  <c r="BV41" i="1"/>
  <c r="BV50" i="1"/>
  <c r="BV38" i="1"/>
  <c r="BV14" i="1"/>
  <c r="BV49" i="1"/>
  <c r="BV37" i="1"/>
  <c r="BV25" i="1"/>
  <c r="BV35" i="1"/>
  <c r="BV11" i="1"/>
  <c r="G43" i="2"/>
  <c r="H43" i="2" s="1"/>
  <c r="BV46" i="1"/>
  <c r="BV34" i="1"/>
  <c r="BV22" i="1"/>
  <c r="BV9" i="1"/>
  <c r="BV56" i="1"/>
  <c r="BV44" i="1"/>
  <c r="BX44" i="1" s="1"/>
  <c r="BV32" i="1"/>
  <c r="BV5" i="1"/>
  <c r="BV4" i="1"/>
  <c r="BV3" i="1"/>
  <c r="BX3" i="1" s="1"/>
  <c r="BW58" i="1"/>
  <c r="BW46" i="1"/>
  <c r="BW34" i="1"/>
  <c r="BW22" i="1"/>
  <c r="BW10" i="1"/>
  <c r="BW20" i="1"/>
  <c r="BW8" i="1"/>
  <c r="BW43" i="1"/>
  <c r="BW31" i="1"/>
  <c r="BW19" i="1"/>
  <c r="BW7" i="1"/>
  <c r="BW42" i="1"/>
  <c r="BW30" i="1"/>
  <c r="BW18" i="1"/>
  <c r="BW6" i="1"/>
  <c r="BW56" i="1"/>
  <c r="BW53" i="1"/>
  <c r="BW41" i="1"/>
  <c r="BW17" i="1"/>
  <c r="BX17" i="1" s="1"/>
  <c r="BW5" i="1"/>
  <c r="BW52" i="1"/>
  <c r="BW40" i="1"/>
  <c r="BW28" i="1"/>
  <c r="BW16" i="1"/>
  <c r="BW4" i="1"/>
  <c r="BW50" i="1"/>
  <c r="BW38" i="1"/>
  <c r="BW26" i="1"/>
  <c r="BW14" i="1"/>
  <c r="BW49" i="1"/>
  <c r="BW37" i="1"/>
  <c r="BU29" i="1"/>
  <c r="BU5" i="1"/>
  <c r="BU52" i="1"/>
  <c r="BU40" i="1"/>
  <c r="BU28" i="1"/>
  <c r="BU16" i="1"/>
  <c r="BU36" i="1"/>
  <c r="BX36" i="1" s="1"/>
  <c r="BU24" i="1"/>
  <c r="BU12" i="1"/>
  <c r="BU47" i="1"/>
  <c r="BX47" i="1" s="1"/>
  <c r="BU35" i="1"/>
  <c r="BU23" i="1"/>
  <c r="BU11" i="1"/>
  <c r="BU25" i="1"/>
  <c r="BU58" i="1"/>
  <c r="BU34" i="1"/>
  <c r="BU22" i="1"/>
  <c r="BU30" i="1"/>
  <c r="BU18" i="1"/>
  <c r="BT32" i="1"/>
  <c r="BT20" i="1"/>
  <c r="BT8" i="1"/>
  <c r="BT43" i="1"/>
  <c r="BT31" i="1"/>
  <c r="BT19" i="1"/>
  <c r="BT7" i="1"/>
  <c r="BT18" i="1"/>
  <c r="BT30" i="1"/>
  <c r="BT53" i="1"/>
  <c r="BT4" i="1"/>
  <c r="BT15" i="1"/>
  <c r="BT50" i="1"/>
  <c r="BT38" i="1"/>
  <c r="BT26" i="1"/>
  <c r="BT14" i="1"/>
  <c r="BT42" i="1"/>
  <c r="BT16" i="1"/>
  <c r="BT39" i="1"/>
  <c r="BT37" i="1"/>
  <c r="BT24" i="1"/>
  <c r="BT35" i="1"/>
  <c r="BX54" i="1"/>
  <c r="BN2" i="1"/>
  <c r="CA2" i="1" s="1"/>
  <c r="BN3" i="1"/>
  <c r="CA3" i="1" s="1"/>
  <c r="BN4" i="1"/>
  <c r="CA4" i="1" s="1"/>
  <c r="BN5" i="1"/>
  <c r="CA5" i="1" s="1"/>
  <c r="BN6" i="1"/>
  <c r="CA6" i="1" s="1"/>
  <c r="BN7" i="1"/>
  <c r="CA7" i="1" s="1"/>
  <c r="BN8" i="1"/>
  <c r="CA8" i="1" s="1"/>
  <c r="BN9" i="1"/>
  <c r="CA9" i="1" s="1"/>
  <c r="BN10" i="1"/>
  <c r="CA10" i="1" s="1"/>
  <c r="BN11" i="1"/>
  <c r="CA11" i="1" s="1"/>
  <c r="BN12" i="1"/>
  <c r="CA12" i="1" s="1"/>
  <c r="BN13" i="1"/>
  <c r="CA13" i="1" s="1"/>
  <c r="BN14" i="1"/>
  <c r="CA14" i="1" s="1"/>
  <c r="BN15" i="1"/>
  <c r="CA15" i="1" s="1"/>
  <c r="BN16" i="1"/>
  <c r="CA16" i="1" s="1"/>
  <c r="BN17" i="1"/>
  <c r="CA17" i="1" s="1"/>
  <c r="BN18" i="1"/>
  <c r="CA18" i="1" s="1"/>
  <c r="BN19" i="1"/>
  <c r="CA19" i="1" s="1"/>
  <c r="BN20" i="1"/>
  <c r="CA20" i="1" s="1"/>
  <c r="BN21" i="1"/>
  <c r="CA21" i="1" s="1"/>
  <c r="BN22" i="1"/>
  <c r="CA22" i="1" s="1"/>
  <c r="BN23" i="1"/>
  <c r="CA23" i="1" s="1"/>
  <c r="BN24" i="1"/>
  <c r="CA24" i="1" s="1"/>
  <c r="BN25" i="1"/>
  <c r="CA25" i="1" s="1"/>
  <c r="BN26" i="1"/>
  <c r="CA26" i="1" s="1"/>
  <c r="BN27" i="1"/>
  <c r="CA27" i="1" s="1"/>
  <c r="BN28" i="1"/>
  <c r="CA28" i="1" s="1"/>
  <c r="BN29" i="1"/>
  <c r="CA29" i="1" s="1"/>
  <c r="BN30" i="1"/>
  <c r="CA30" i="1" s="1"/>
  <c r="BN31" i="1"/>
  <c r="CA31" i="1" s="1"/>
  <c r="BN32" i="1"/>
  <c r="CA32" i="1" s="1"/>
  <c r="BN33" i="1"/>
  <c r="CA33" i="1" s="1"/>
  <c r="BN34" i="1"/>
  <c r="CA34" i="1" s="1"/>
  <c r="BN35" i="1"/>
  <c r="CA35" i="1" s="1"/>
  <c r="BN36" i="1"/>
  <c r="CA36" i="1" s="1"/>
  <c r="BN37" i="1"/>
  <c r="CA37" i="1" s="1"/>
  <c r="BN38" i="1"/>
  <c r="CA38" i="1" s="1"/>
  <c r="BN39" i="1"/>
  <c r="CA39" i="1" s="1"/>
  <c r="BN40" i="1"/>
  <c r="CA40" i="1" s="1"/>
  <c r="BN41" i="1"/>
  <c r="CA41" i="1" s="1"/>
  <c r="BN42" i="1"/>
  <c r="CA42" i="1" s="1"/>
  <c r="BN43" i="1"/>
  <c r="CA43" i="1" s="1"/>
  <c r="BN44" i="1"/>
  <c r="CA44" i="1" s="1"/>
  <c r="BN45" i="1"/>
  <c r="CA45" i="1" s="1"/>
  <c r="BN46" i="1"/>
  <c r="CA46" i="1" s="1"/>
  <c r="BN47" i="1"/>
  <c r="CA47" i="1" s="1"/>
  <c r="BN48" i="1"/>
  <c r="CA48" i="1" s="1"/>
  <c r="BN49" i="1"/>
  <c r="CA49" i="1" s="1"/>
  <c r="BN50" i="1"/>
  <c r="CA50" i="1" s="1"/>
  <c r="BN51" i="1"/>
  <c r="CA51" i="1" s="1"/>
  <c r="BN52" i="1"/>
  <c r="CA52" i="1" s="1"/>
  <c r="BN53" i="1"/>
  <c r="CA53" i="1" s="1"/>
  <c r="BN54" i="1"/>
  <c r="CA54" i="1" s="1"/>
  <c r="BN55" i="1"/>
  <c r="CA55" i="1" s="1"/>
  <c r="BN56" i="1"/>
  <c r="CA56" i="1" s="1"/>
  <c r="BN57" i="1"/>
  <c r="CA57" i="1" s="1"/>
  <c r="BN58" i="1"/>
  <c r="CA58" i="1" s="1"/>
  <c r="BF2" i="1"/>
  <c r="BX8" i="1" l="1"/>
  <c r="BX23" i="1"/>
  <c r="BX13" i="1"/>
  <c r="BX57" i="1"/>
  <c r="BX33" i="1"/>
  <c r="BX43" i="1"/>
  <c r="BX21" i="1"/>
  <c r="BX15" i="1"/>
  <c r="BX2" i="1"/>
  <c r="BX55" i="1"/>
  <c r="BX38" i="1"/>
  <c r="BX12" i="1"/>
  <c r="BX9" i="1"/>
  <c r="BX39" i="1"/>
  <c r="BX7" i="1"/>
  <c r="CF1256" i="4"/>
  <c r="CH1256" i="4" s="1"/>
  <c r="CF1251" i="4"/>
  <c r="CH1251" i="4" s="1"/>
  <c r="CF1250" i="4"/>
  <c r="CH1250" i="4" s="1"/>
  <c r="CF1219" i="4"/>
  <c r="CH1219" i="4" s="1"/>
  <c r="CF1230" i="4"/>
  <c r="CH1230" i="4" s="1"/>
  <c r="CF1261" i="4"/>
  <c r="CH1261" i="4" s="1"/>
  <c r="CF1264" i="4"/>
  <c r="CH1264" i="4" s="1"/>
  <c r="CF1232" i="4"/>
  <c r="CH1232" i="4" s="1"/>
  <c r="CF1224" i="4"/>
  <c r="CH1224" i="4" s="1"/>
  <c r="CF1253" i="4"/>
  <c r="CH1253" i="4" s="1"/>
  <c r="CF1280" i="4"/>
  <c r="CH1280" i="4" s="1"/>
  <c r="CF1238" i="4"/>
  <c r="CH1238" i="4" s="1"/>
  <c r="CF1208" i="4"/>
  <c r="CH1208" i="4" s="1"/>
  <c r="CF1294" i="4"/>
  <c r="CH1294" i="4" s="1"/>
  <c r="CF1276" i="4"/>
  <c r="CH1276" i="4" s="1"/>
  <c r="CF1211" i="4"/>
  <c r="CH1211" i="4" s="1"/>
  <c r="CF1252" i="4"/>
  <c r="CH1252" i="4" s="1"/>
  <c r="CF1241" i="4"/>
  <c r="CH1241" i="4" s="1"/>
  <c r="CF1240" i="4"/>
  <c r="CH1240" i="4" s="1"/>
  <c r="CF1223" i="4"/>
  <c r="CH1223" i="4" s="1"/>
  <c r="CF1265" i="4"/>
  <c r="CH1265" i="4" s="1"/>
  <c r="CF1226" i="4"/>
  <c r="CH1226" i="4" s="1"/>
  <c r="CF1249" i="4"/>
  <c r="CH1249" i="4" s="1"/>
  <c r="CF1255" i="4"/>
  <c r="CH1255" i="4" s="1"/>
  <c r="CF1274" i="4"/>
  <c r="CH1274" i="4" s="1"/>
  <c r="CF1290" i="4"/>
  <c r="CH1290" i="4" s="1"/>
  <c r="CF1273" i="4"/>
  <c r="CH1273" i="4" s="1"/>
  <c r="CF1283" i="4"/>
  <c r="CH1283" i="4" s="1"/>
  <c r="CF1279" i="4"/>
  <c r="CH1279" i="4" s="1"/>
  <c r="CH468" i="4"/>
  <c r="CF1288" i="4"/>
  <c r="CH1288" i="4" s="1"/>
  <c r="CF1259" i="4"/>
  <c r="CH1259" i="4" s="1"/>
  <c r="CF1245" i="4"/>
  <c r="CH1245" i="4" s="1"/>
  <c r="CF1281" i="4"/>
  <c r="CH1281" i="4" s="1"/>
  <c r="CF1214" i="4"/>
  <c r="CH1214" i="4" s="1"/>
  <c r="CF1267" i="4"/>
  <c r="CH1267" i="4" s="1"/>
  <c r="CF1262" i="4"/>
  <c r="CH1262" i="4" s="1"/>
  <c r="CF1206" i="4"/>
  <c r="CH1206" i="4" s="1"/>
  <c r="CF1229" i="4"/>
  <c r="CH1229" i="4" s="1"/>
  <c r="CF1213" i="4"/>
  <c r="CH1213" i="4" s="1"/>
  <c r="CF1237" i="4"/>
  <c r="CH1237" i="4" s="1"/>
  <c r="CF1243" i="4"/>
  <c r="CH1243" i="4" s="1"/>
  <c r="CF1216" i="4"/>
  <c r="CH1216" i="4" s="1"/>
  <c r="CF1228" i="4"/>
  <c r="CH1228" i="4" s="1"/>
  <c r="CF1266" i="4"/>
  <c r="CH1266" i="4" s="1"/>
  <c r="CF1220" i="4"/>
  <c r="CH1220" i="4" s="1"/>
  <c r="CF1231" i="4"/>
  <c r="CH1231" i="4" s="1"/>
  <c r="CF1277" i="4"/>
  <c r="CH1277" i="4" s="1"/>
  <c r="CF1260" i="4"/>
  <c r="CH1260" i="4" s="1"/>
  <c r="CF1289" i="4"/>
  <c r="CH1289" i="4" s="1"/>
  <c r="CF1215" i="4"/>
  <c r="CH1215" i="4" s="1"/>
  <c r="CF1225" i="4"/>
  <c r="CH1225" i="4" s="1"/>
  <c r="CF1207" i="4"/>
  <c r="CH1207" i="4" s="1"/>
  <c r="CF1247" i="4"/>
  <c r="CH1247" i="4" s="1"/>
  <c r="CF1217" i="4"/>
  <c r="CH1217" i="4" s="1"/>
  <c r="CF1209" i="4"/>
  <c r="CH1209" i="4" s="1"/>
  <c r="CH693" i="4"/>
  <c r="CF1285" i="4"/>
  <c r="CH1285" i="4" s="1"/>
  <c r="CC595" i="4"/>
  <c r="CE595" i="4" s="1"/>
  <c r="CC756" i="4"/>
  <c r="CE756" i="4" s="1"/>
  <c r="CC907" i="4"/>
  <c r="CE907" i="4" s="1"/>
  <c r="CC473" i="4"/>
  <c r="CE473" i="4" s="1"/>
  <c r="CC635" i="4"/>
  <c r="CE635" i="4" s="1"/>
  <c r="CC845" i="4"/>
  <c r="CC837" i="4"/>
  <c r="CE837" i="4" s="1"/>
  <c r="CC1111" i="4"/>
  <c r="CE1111" i="4" s="1"/>
  <c r="CC947" i="4"/>
  <c r="CE947" i="4" s="1"/>
  <c r="CC740" i="4"/>
  <c r="CE740" i="4" s="1"/>
  <c r="CC1204" i="4"/>
  <c r="CE1204" i="4" s="1"/>
  <c r="CC348" i="4"/>
  <c r="CE348" i="4" s="1"/>
  <c r="CC442" i="4"/>
  <c r="CE442" i="4" s="1"/>
  <c r="CC1136" i="4"/>
  <c r="CE1136" i="4" s="1"/>
  <c r="CC702" i="4"/>
  <c r="CE702" i="4" s="1"/>
  <c r="CC579" i="4"/>
  <c r="CE579" i="4" s="1"/>
  <c r="CC502" i="4"/>
  <c r="CE502" i="4" s="1"/>
  <c r="CC333" i="4"/>
  <c r="CE333" i="4" s="1"/>
  <c r="CC726" i="4"/>
  <c r="CE726" i="4" s="1"/>
  <c r="CC1116" i="4"/>
  <c r="CE1116" i="4" s="1"/>
  <c r="CC69" i="4"/>
  <c r="CE69" i="4" s="1"/>
  <c r="CC729" i="4"/>
  <c r="CE729" i="4" s="1"/>
  <c r="CC504" i="4"/>
  <c r="CE504" i="4" s="1"/>
  <c r="CC777" i="4"/>
  <c r="CE777" i="4" s="1"/>
  <c r="CC437" i="4"/>
  <c r="CE437" i="4" s="1"/>
  <c r="CE1023" i="4"/>
  <c r="CE41" i="4"/>
  <c r="CE470" i="4"/>
  <c r="BY324" i="4"/>
  <c r="CA324" i="4" s="1"/>
  <c r="BY1075" i="4"/>
  <c r="CA1075" i="4" s="1"/>
  <c r="BY732" i="4"/>
  <c r="CA732" i="4" s="1"/>
  <c r="BY74" i="4"/>
  <c r="CA74" i="4" s="1"/>
  <c r="BY137" i="4"/>
  <c r="CA137" i="4" s="1"/>
  <c r="BY989" i="4"/>
  <c r="CA989" i="4" s="1"/>
  <c r="BY388" i="4"/>
  <c r="CA388" i="4" s="1"/>
  <c r="BY524" i="4"/>
  <c r="CA524" i="4" s="1"/>
  <c r="BY1195" i="4"/>
  <c r="CA1195" i="4" s="1"/>
  <c r="BY391" i="4"/>
  <c r="CA391" i="4" s="1"/>
  <c r="BY3" i="4"/>
  <c r="CA3" i="4" s="1"/>
  <c r="BY687" i="4"/>
  <c r="CA687" i="4" s="1"/>
  <c r="BY678" i="4"/>
  <c r="CA678" i="4" s="1"/>
  <c r="CE471" i="4"/>
  <c r="BY392" i="4"/>
  <c r="CA392" i="4" s="1"/>
  <c r="BY277" i="4"/>
  <c r="CA277" i="4" s="1"/>
  <c r="BY829" i="4"/>
  <c r="CA829" i="4" s="1"/>
  <c r="BY1042" i="4"/>
  <c r="CA1042" i="4" s="1"/>
  <c r="BY372" i="4"/>
  <c r="CA372" i="4" s="1"/>
  <c r="BY568" i="4"/>
  <c r="CA568" i="4" s="1"/>
  <c r="BY1101" i="4"/>
  <c r="CA1101" i="4" s="1"/>
  <c r="BY352" i="4"/>
  <c r="CA352" i="4" s="1"/>
  <c r="BY48" i="4"/>
  <c r="CA48" i="4" s="1"/>
  <c r="BY142" i="4"/>
  <c r="CA142" i="4" s="1"/>
  <c r="BY1106" i="4"/>
  <c r="CA1106" i="4" s="1"/>
  <c r="BY779" i="4"/>
  <c r="CA779" i="4" s="1"/>
  <c r="BY1170" i="4"/>
  <c r="CA1170" i="4" s="1"/>
  <c r="BY725" i="4"/>
  <c r="CA725" i="4" s="1"/>
  <c r="BY616" i="4"/>
  <c r="CA616" i="4" s="1"/>
  <c r="BY236" i="4"/>
  <c r="CA236" i="4" s="1"/>
  <c r="BY184" i="4"/>
  <c r="CA184" i="4" s="1"/>
  <c r="BY529" i="4"/>
  <c r="CA529" i="4" s="1"/>
  <c r="BY618" i="4"/>
  <c r="CA618" i="4" s="1"/>
  <c r="CE955" i="4"/>
  <c r="BY61" i="4"/>
  <c r="CA61" i="4" s="1"/>
  <c r="BY569" i="4"/>
  <c r="CA569" i="4" s="1"/>
  <c r="BY337" i="4"/>
  <c r="CA337" i="4" s="1"/>
  <c r="CE596" i="4"/>
  <c r="BY389" i="4"/>
  <c r="CA389" i="4" s="1"/>
  <c r="CE467" i="4"/>
  <c r="CE692" i="4"/>
  <c r="CE221" i="4"/>
  <c r="CE223" i="4"/>
  <c r="CE225" i="4"/>
  <c r="BY873" i="4"/>
  <c r="CA873" i="4" s="1"/>
  <c r="BY141" i="4"/>
  <c r="CA141" i="4" s="1"/>
  <c r="BY518" i="4"/>
  <c r="CA518" i="4" s="1"/>
  <c r="CE224" i="4"/>
  <c r="CE960" i="4"/>
  <c r="CE42" i="4"/>
  <c r="BY417" i="4"/>
  <c r="CA417" i="4" s="1"/>
  <c r="CE222" i="4"/>
  <c r="BY827" i="4"/>
  <c r="CA827" i="4" s="1"/>
  <c r="CE964" i="4"/>
  <c r="BY210" i="4"/>
  <c r="CA210" i="4" s="1"/>
  <c r="CE108" i="4"/>
  <c r="CE934" i="4"/>
  <c r="CE466" i="4"/>
  <c r="CE472" i="4"/>
  <c r="CE850" i="4"/>
  <c r="CE109" i="4"/>
  <c r="CE110" i="4"/>
  <c r="CE943" i="4"/>
  <c r="CE226" i="4"/>
  <c r="CE7" i="4"/>
  <c r="CE474" i="4"/>
  <c r="BY959" i="4"/>
  <c r="CA959" i="4" s="1"/>
  <c r="BY733" i="4"/>
  <c r="CA733" i="4" s="1"/>
  <c r="BY377" i="4"/>
  <c r="CA377" i="4" s="1"/>
  <c r="BY294" i="4"/>
  <c r="CA294" i="4" s="1"/>
  <c r="BY1025" i="4"/>
  <c r="CA1025" i="4" s="1"/>
  <c r="CE469" i="4"/>
  <c r="BY1190" i="4"/>
  <c r="CA1190" i="4" s="1"/>
  <c r="BY550" i="4"/>
  <c r="CA550" i="4" s="1"/>
  <c r="BY689" i="4"/>
  <c r="CA689" i="4" s="1"/>
  <c r="BY625" i="4"/>
  <c r="CA625" i="4" s="1"/>
  <c r="CE227" i="4"/>
  <c r="BY950" i="4"/>
  <c r="CA950" i="4" s="1"/>
  <c r="BY515" i="4"/>
  <c r="CA515" i="4" s="1"/>
  <c r="BY238" i="4"/>
  <c r="CA238" i="4" s="1"/>
  <c r="BY433" i="4"/>
  <c r="CA433" i="4" s="1"/>
  <c r="BY939" i="4"/>
  <c r="CA939" i="4" s="1"/>
  <c r="BY570" i="4"/>
  <c r="CA570" i="4" s="1"/>
  <c r="BY36" i="4"/>
  <c r="CA36" i="4" s="1"/>
  <c r="BY330" i="4"/>
  <c r="CA330" i="4" s="1"/>
  <c r="BY1159" i="4"/>
  <c r="CA1159" i="4" s="1"/>
  <c r="BY187" i="4"/>
  <c r="CA187" i="4" s="1"/>
  <c r="BY58" i="4"/>
  <c r="CA58" i="4" s="1"/>
  <c r="BY279" i="4"/>
  <c r="CA279" i="4" s="1"/>
  <c r="BY1127" i="4"/>
  <c r="CA1127" i="4" s="1"/>
  <c r="BY1091" i="4"/>
  <c r="CA1091" i="4" s="1"/>
  <c r="BY1168" i="4"/>
  <c r="CA1168" i="4" s="1"/>
  <c r="BY908" i="4"/>
  <c r="CA908" i="4" s="1"/>
  <c r="BY1065" i="4"/>
  <c r="CA1065" i="4" s="1"/>
  <c r="BY940" i="4"/>
  <c r="CA940" i="4" s="1"/>
  <c r="BY130" i="4"/>
  <c r="CA130" i="4" s="1"/>
  <c r="BY95" i="4"/>
  <c r="CA95" i="4" s="1"/>
  <c r="BY1015" i="4"/>
  <c r="CA1015" i="4" s="1"/>
  <c r="BY772" i="4"/>
  <c r="CA772" i="4" s="1"/>
  <c r="BY300" i="4"/>
  <c r="CA300" i="4" s="1"/>
  <c r="BY163" i="4"/>
  <c r="CA163" i="4" s="1"/>
  <c r="BY583" i="4"/>
  <c r="CA583" i="4" s="1"/>
  <c r="BY676" i="4"/>
  <c r="CA676" i="4" s="1"/>
  <c r="BY833" i="4"/>
  <c r="CA833" i="4" s="1"/>
  <c r="BY23" i="4"/>
  <c r="CA23" i="4" s="1"/>
  <c r="BY425" i="4"/>
  <c r="CA425" i="4" s="1"/>
  <c r="BY44" i="4"/>
  <c r="CA44" i="4" s="1"/>
  <c r="BY936" i="4"/>
  <c r="CA936" i="4" s="1"/>
  <c r="BY1087" i="4"/>
  <c r="CA1087" i="4" s="1"/>
  <c r="BY1172" i="4"/>
  <c r="CA1172" i="4" s="1"/>
  <c r="BY99" i="4"/>
  <c r="CA99" i="4" s="1"/>
  <c r="BY883" i="4"/>
  <c r="CA883" i="4" s="1"/>
  <c r="BY432" i="4"/>
  <c r="CA432" i="4" s="1"/>
  <c r="BY148" i="4"/>
  <c r="CA148" i="4" s="1"/>
  <c r="BY327" i="4"/>
  <c r="CA327" i="4" s="1"/>
  <c r="BY953" i="4"/>
  <c r="CA953" i="4" s="1"/>
  <c r="BY500" i="4"/>
  <c r="CA500" i="4" s="1"/>
  <c r="BY253" i="4"/>
  <c r="CA253" i="4" s="1"/>
  <c r="BY289" i="4"/>
  <c r="CA289" i="4" s="1"/>
  <c r="BY422" i="4"/>
  <c r="CA422" i="4" s="1"/>
  <c r="BY331" i="4"/>
  <c r="CA331" i="4" s="1"/>
  <c r="BY21" i="4"/>
  <c r="CA21" i="4" s="1"/>
  <c r="BY373" i="4"/>
  <c r="CA373" i="4" s="1"/>
  <c r="BY674" i="4"/>
  <c r="CA674" i="4" s="1"/>
  <c r="BY409" i="4"/>
  <c r="CA409" i="4" s="1"/>
  <c r="BY587" i="4"/>
  <c r="CA587" i="4" s="1"/>
  <c r="BY962" i="4"/>
  <c r="CA962" i="4" s="1"/>
  <c r="BY423" i="4"/>
  <c r="CA423" i="4" s="1"/>
  <c r="BY988" i="4"/>
  <c r="CA988" i="4" s="1"/>
  <c r="BY498" i="4"/>
  <c r="CA498" i="4" s="1"/>
  <c r="BY1066" i="4"/>
  <c r="CA1066" i="4" s="1"/>
  <c r="BY438" i="4"/>
  <c r="CA438" i="4" s="1"/>
  <c r="BY345" i="4"/>
  <c r="CA345" i="4" s="1"/>
  <c r="BY194" i="4"/>
  <c r="CA194" i="4" s="1"/>
  <c r="BY1086" i="4"/>
  <c r="CA1086" i="4" s="1"/>
  <c r="BY1167" i="4"/>
  <c r="CA1167" i="4" s="1"/>
  <c r="BY549" i="4"/>
  <c r="CA549" i="4" s="1"/>
  <c r="BY143" i="4"/>
  <c r="CA143" i="4" s="1"/>
  <c r="BY405" i="4"/>
  <c r="CA405" i="4" s="1"/>
  <c r="BY408" i="4"/>
  <c r="CA408" i="4" s="1"/>
  <c r="BY102" i="4"/>
  <c r="CA102" i="4" s="1"/>
  <c r="BY721" i="4"/>
  <c r="CA721" i="4" s="1"/>
  <c r="BY1092" i="4"/>
  <c r="CA1092" i="4" s="1"/>
  <c r="BY812" i="4"/>
  <c r="CA812" i="4" s="1"/>
  <c r="BY415" i="4"/>
  <c r="CA415" i="4" s="1"/>
  <c r="BY751" i="4"/>
  <c r="CA751" i="4" s="1"/>
  <c r="BY197" i="4"/>
  <c r="CA197" i="4" s="1"/>
  <c r="BY325" i="4"/>
  <c r="CA325" i="4" s="1"/>
  <c r="BY906" i="4"/>
  <c r="CA906" i="4" s="1"/>
  <c r="BY385" i="4"/>
  <c r="CA385" i="4" s="1"/>
  <c r="BY847" i="4"/>
  <c r="CA847" i="4" s="1"/>
  <c r="BY440" i="4"/>
  <c r="CA440" i="4" s="1"/>
  <c r="BY186" i="4"/>
  <c r="CA186" i="4" s="1"/>
  <c r="BY505" i="4"/>
  <c r="CA505" i="4" s="1"/>
  <c r="BY1198" i="4"/>
  <c r="CA1198" i="4" s="1"/>
  <c r="BY319" i="4"/>
  <c r="CA319" i="4" s="1"/>
  <c r="BY728" i="4"/>
  <c r="CA728" i="4" s="1"/>
  <c r="BY835" i="4"/>
  <c r="CA835" i="4" s="1"/>
  <c r="BY628" i="4"/>
  <c r="CA628" i="4" s="1"/>
  <c r="BY382" i="4"/>
  <c r="CA382" i="4" s="1"/>
  <c r="BY1028" i="4"/>
  <c r="CA1028" i="4" s="1"/>
  <c r="BY648" i="4"/>
  <c r="CA648" i="4" s="1"/>
  <c r="BY736" i="4"/>
  <c r="CA736" i="4" s="1"/>
  <c r="BY773" i="4"/>
  <c r="CA773" i="4" s="1"/>
  <c r="BY998" i="4"/>
  <c r="CA998" i="4" s="1"/>
  <c r="BY296" i="4"/>
  <c r="CA296" i="4" s="1"/>
  <c r="BY411" i="4"/>
  <c r="CA411" i="4" s="1"/>
  <c r="BY206" i="4"/>
  <c r="CA206" i="4" s="1"/>
  <c r="BY512" i="4"/>
  <c r="CA512" i="4" s="1"/>
  <c r="BY768" i="4"/>
  <c r="CA768" i="4" s="1"/>
  <c r="BY431" i="4"/>
  <c r="CA431" i="4" s="1"/>
  <c r="BY546" i="4"/>
  <c r="CA546" i="4" s="1"/>
  <c r="BY1201" i="4"/>
  <c r="BY441" i="4"/>
  <c r="CA441" i="4" s="1"/>
  <c r="BY67" i="4"/>
  <c r="CA67" i="4" s="1"/>
  <c r="BY1196" i="4"/>
  <c r="CA1196" i="4" s="1"/>
  <c r="BY412" i="4"/>
  <c r="CA412" i="4" s="1"/>
  <c r="BY326" i="4"/>
  <c r="CA326" i="4" s="1"/>
  <c r="BY18" i="4"/>
  <c r="CA18" i="4" s="1"/>
  <c r="BY597" i="4"/>
  <c r="CA597" i="4" s="1"/>
  <c r="BY205" i="4"/>
  <c r="CA205" i="4" s="1"/>
  <c r="CE845" i="4"/>
  <c r="BY530" i="4"/>
  <c r="CA530" i="4" s="1"/>
  <c r="BY53" i="4"/>
  <c r="CA53" i="4" s="1"/>
  <c r="BY1070" i="4"/>
  <c r="CA1070" i="4" s="1"/>
  <c r="BY138" i="4"/>
  <c r="CA138" i="4" s="1"/>
  <c r="BY799" i="4"/>
  <c r="CA799" i="4" s="1"/>
  <c r="BY513" i="4"/>
  <c r="CA513" i="4" s="1"/>
  <c r="BY623" i="4"/>
  <c r="CA623" i="4" s="1"/>
  <c r="BY581" i="4"/>
  <c r="CA581" i="4" s="1"/>
  <c r="BY344" i="4"/>
  <c r="CA344" i="4" s="1"/>
  <c r="BY669" i="4"/>
  <c r="CA669" i="4" s="1"/>
  <c r="BY120" i="4"/>
  <c r="CA120" i="4" s="1"/>
  <c r="BY90" i="4"/>
  <c r="CA90" i="4" s="1"/>
  <c r="BY626" i="4"/>
  <c r="CA626" i="4" s="1"/>
  <c r="BY840" i="4"/>
  <c r="CA840" i="4" s="1"/>
  <c r="BY938" i="4"/>
  <c r="CA938" i="4" s="1"/>
  <c r="BY1068" i="4"/>
  <c r="CA1068" i="4" s="1"/>
  <c r="BY71" i="4"/>
  <c r="CA71" i="4" s="1"/>
  <c r="BY427" i="4"/>
  <c r="CA427" i="4" s="1"/>
  <c r="BY38" i="4"/>
  <c r="CA38" i="4" s="1"/>
  <c r="BY858" i="4"/>
  <c r="CA858" i="4" s="1"/>
  <c r="BY376" i="4"/>
  <c r="CA376" i="4" s="1"/>
  <c r="BY951" i="4"/>
  <c r="CA951" i="4" s="1"/>
  <c r="BY76" i="4"/>
  <c r="CA76" i="4" s="1"/>
  <c r="BY818" i="4"/>
  <c r="CA818" i="4" s="1"/>
  <c r="BY1102" i="4"/>
  <c r="CA1102" i="4" s="1"/>
  <c r="BY576" i="4"/>
  <c r="CA576" i="4" s="1"/>
  <c r="BY97" i="4"/>
  <c r="CA97" i="4" s="1"/>
  <c r="BY580" i="4"/>
  <c r="CA580" i="4" s="1"/>
  <c r="BY54" i="4"/>
  <c r="CA54" i="4" s="1"/>
  <c r="BY859" i="4"/>
  <c r="CA859" i="4" s="1"/>
  <c r="BY196" i="4"/>
  <c r="CA196" i="4" s="1"/>
  <c r="BY20" i="4"/>
  <c r="CA20" i="4" s="1"/>
  <c r="BY519" i="4"/>
  <c r="CA519" i="4" s="1"/>
  <c r="BY355" i="4"/>
  <c r="CA355" i="4" s="1"/>
  <c r="BY16" i="4"/>
  <c r="CA16" i="4" s="1"/>
  <c r="BY982" i="4"/>
  <c r="CA982" i="4" s="1"/>
  <c r="BY659" i="4"/>
  <c r="CA659" i="4" s="1"/>
  <c r="BY51" i="4"/>
  <c r="CA51" i="4" s="1"/>
  <c r="BY954" i="4"/>
  <c r="CA954" i="4" s="1"/>
  <c r="BY323" i="4"/>
  <c r="CA323" i="4" s="1"/>
  <c r="BY806" i="4"/>
  <c r="CA806" i="4" s="1"/>
  <c r="BY116" i="4"/>
  <c r="CA116" i="4" s="1"/>
  <c r="BY979" i="4"/>
  <c r="CA979" i="4" s="1"/>
  <c r="BY1077" i="4"/>
  <c r="CA1077" i="4" s="1"/>
  <c r="BY1044" i="4"/>
  <c r="CA1044" i="4" s="1"/>
  <c r="BY288" i="4"/>
  <c r="CA288" i="4" s="1"/>
  <c r="BY322" i="4"/>
  <c r="CA322" i="4" s="1"/>
  <c r="BY727" i="4"/>
  <c r="CA727" i="4" s="1"/>
  <c r="BY179" i="4"/>
  <c r="CA179" i="4" s="1"/>
  <c r="BY200" i="4"/>
  <c r="CA200" i="4" s="1"/>
  <c r="BY531" i="4"/>
  <c r="CA531" i="4" s="1"/>
  <c r="BY609" i="4"/>
  <c r="CA609" i="4" s="1"/>
  <c r="BY1050" i="4"/>
  <c r="CA1050" i="4" s="1"/>
  <c r="BY353" i="4"/>
  <c r="CA353" i="4" s="1"/>
  <c r="BY941" i="4"/>
  <c r="CA941" i="4" s="1"/>
  <c r="BY830" i="4"/>
  <c r="CA830" i="4" s="1"/>
  <c r="BY517" i="4"/>
  <c r="CA517" i="4" s="1"/>
  <c r="BY139" i="4"/>
  <c r="CA139" i="4" s="1"/>
  <c r="BY381" i="4"/>
  <c r="CA381" i="4" s="1"/>
  <c r="BY1019" i="4"/>
  <c r="CA1019" i="4" s="1"/>
  <c r="BY406" i="4"/>
  <c r="CA406" i="4" s="1"/>
  <c r="BY745" i="4"/>
  <c r="CA745" i="4" s="1"/>
  <c r="BY798" i="4"/>
  <c r="CA798" i="4" s="1"/>
  <c r="BY855" i="4"/>
  <c r="CA855" i="4" s="1"/>
  <c r="BY671" i="4"/>
  <c r="CA671" i="4" s="1"/>
  <c r="BY105" i="4"/>
  <c r="CA105" i="4" s="1"/>
  <c r="BY679" i="4"/>
  <c r="CA679" i="4" s="1"/>
  <c r="BY730" i="4"/>
  <c r="CA730" i="4" s="1"/>
  <c r="BY1129" i="4"/>
  <c r="CA1129" i="4" s="1"/>
  <c r="BY77" i="4"/>
  <c r="CA77" i="4" s="1"/>
  <c r="BY274" i="4"/>
  <c r="CA274" i="4" s="1"/>
  <c r="BY1187" i="4"/>
  <c r="CA1187" i="4" s="1"/>
  <c r="BY29" i="4"/>
  <c r="CA29" i="4" s="1"/>
  <c r="BY459" i="4"/>
  <c r="CA459" i="4" s="1"/>
  <c r="BY537" i="4"/>
  <c r="CA537" i="4" s="1"/>
  <c r="BY891" i="4"/>
  <c r="CA891" i="4" s="1"/>
  <c r="BY9" i="4"/>
  <c r="CA9" i="4" s="1"/>
  <c r="BY980" i="4"/>
  <c r="CA980" i="4" s="1"/>
  <c r="BY317" i="4"/>
  <c r="CA317" i="4" s="1"/>
  <c r="BY695" i="4"/>
  <c r="CA695" i="4" s="1"/>
  <c r="BY218" i="4"/>
  <c r="CA218" i="4" s="1"/>
  <c r="BY862" i="4"/>
  <c r="CA862" i="4" s="1"/>
  <c r="BY1096" i="4"/>
  <c r="CA1096" i="4" s="1"/>
  <c r="BY27" i="4"/>
  <c r="CA27" i="4" s="1"/>
  <c r="BY795" i="4"/>
  <c r="CA795" i="4" s="1"/>
  <c r="BY328" i="4"/>
  <c r="CA328" i="4" s="1"/>
  <c r="BY571" i="4"/>
  <c r="CA571" i="4" s="1"/>
  <c r="BY805" i="4"/>
  <c r="CA805" i="4" s="1"/>
  <c r="BY31" i="4"/>
  <c r="CA31" i="4" s="1"/>
  <c r="BY22" i="4"/>
  <c r="CA22" i="4" s="1"/>
  <c r="BY1021" i="4"/>
  <c r="CA1021" i="4" s="1"/>
  <c r="BY166" i="4"/>
  <c r="CA166" i="4" s="1"/>
  <c r="BY332" i="4"/>
  <c r="CA332" i="4" s="1"/>
  <c r="BY532" i="4"/>
  <c r="CA532" i="4" s="1"/>
  <c r="BY864" i="4"/>
  <c r="CA864" i="4" s="1"/>
  <c r="BY1083" i="4"/>
  <c r="CA1083" i="4" s="1"/>
  <c r="BY188" i="4"/>
  <c r="CA188" i="4" s="1"/>
  <c r="BY834" i="4"/>
  <c r="CA834" i="4" s="1"/>
  <c r="BY1001" i="4"/>
  <c r="CA1001" i="4" s="1"/>
  <c r="BY82" i="4"/>
  <c r="CA82" i="4" s="1"/>
  <c r="BY764" i="4"/>
  <c r="CA764" i="4" s="1"/>
  <c r="BY832" i="4"/>
  <c r="CA832" i="4" s="1"/>
  <c r="BY33" i="4"/>
  <c r="CA33" i="4" s="1"/>
  <c r="BY615" i="4"/>
  <c r="CA615" i="4" s="1"/>
  <c r="BY303" i="4"/>
  <c r="CA303" i="4" s="1"/>
  <c r="BY644" i="4"/>
  <c r="CA644" i="4" s="1"/>
  <c r="BY972" i="4"/>
  <c r="CA972" i="4" s="1"/>
  <c r="BY966" i="4"/>
  <c r="CA966" i="4" s="1"/>
  <c r="BY607" i="4"/>
  <c r="CA607" i="4" s="1"/>
  <c r="BY977" i="4"/>
  <c r="CA977" i="4" s="1"/>
  <c r="BY1107" i="4"/>
  <c r="CA1107" i="4" s="1"/>
  <c r="BY791" i="4"/>
  <c r="CA791" i="4" s="1"/>
  <c r="BY426" i="4"/>
  <c r="CA426" i="4" s="1"/>
  <c r="BY399" i="4"/>
  <c r="CA399" i="4" s="1"/>
  <c r="BY902" i="4"/>
  <c r="CA902" i="4" s="1"/>
  <c r="BY872" i="4"/>
  <c r="CA872" i="4" s="1"/>
  <c r="BY313" i="4"/>
  <c r="CA313" i="4" s="1"/>
  <c r="BY1189" i="4"/>
  <c r="CA1189" i="4" s="1"/>
  <c r="BY390" i="4"/>
  <c r="CA390" i="4" s="1"/>
  <c r="BY547" i="4"/>
  <c r="CA547" i="4" s="1"/>
  <c r="BY351" i="4"/>
  <c r="CA351" i="4" s="1"/>
  <c r="BY624" i="4"/>
  <c r="CA624" i="4" s="1"/>
  <c r="BY368" i="4"/>
  <c r="CA368" i="4" s="1"/>
  <c r="BY848" i="4"/>
  <c r="CA848" i="4" s="1"/>
  <c r="BY1134" i="4"/>
  <c r="CA1134" i="4" s="1"/>
  <c r="BY367" i="4"/>
  <c r="CA367" i="4" s="1"/>
  <c r="BY140" i="4"/>
  <c r="CA140" i="4" s="1"/>
  <c r="BY307" i="4"/>
  <c r="CA307" i="4" s="1"/>
  <c r="BY868" i="4"/>
  <c r="CA868" i="4" s="1"/>
  <c r="BY836" i="4"/>
  <c r="CA836" i="4" s="1"/>
  <c r="BY860" i="4"/>
  <c r="CA860" i="4" s="1"/>
  <c r="BY34" i="4"/>
  <c r="CA34" i="4" s="1"/>
  <c r="BY305" i="4"/>
  <c r="CA305" i="4" s="1"/>
  <c r="BY379" i="4"/>
  <c r="CA379" i="4" s="1"/>
  <c r="BY508" i="4"/>
  <c r="CA508" i="4" s="1"/>
  <c r="BY1118" i="4"/>
  <c r="CA1118" i="4" s="1"/>
  <c r="BY963" i="4"/>
  <c r="CA963" i="4" s="1"/>
  <c r="BY339" i="4"/>
  <c r="CA339" i="4" s="1"/>
  <c r="BY286" i="4"/>
  <c r="CA286" i="4" s="1"/>
  <c r="BY273" i="4"/>
  <c r="CA273" i="4" s="1"/>
  <c r="BY828" i="4"/>
  <c r="CA828" i="4" s="1"/>
  <c r="BY619" i="4"/>
  <c r="CA619" i="4" s="1"/>
  <c r="BY663" i="4"/>
  <c r="CA663" i="4" s="1"/>
  <c r="BY685" i="4"/>
  <c r="CA685" i="4" s="1"/>
  <c r="BY691" i="4"/>
  <c r="CA691" i="4" s="1"/>
  <c r="BY752" i="4"/>
  <c r="CA752" i="4" s="1"/>
  <c r="BY418" i="4"/>
  <c r="CA418" i="4" s="1"/>
  <c r="BY591" i="4"/>
  <c r="CA591" i="4" s="1"/>
  <c r="BY212" i="4"/>
  <c r="CA212" i="4" s="1"/>
  <c r="BY295" i="4"/>
  <c r="CA295" i="4" s="1"/>
  <c r="BY363" i="4"/>
  <c r="CA363" i="4" s="1"/>
  <c r="BY781" i="4"/>
  <c r="CA781" i="4" s="1"/>
  <c r="BY617" i="4"/>
  <c r="CA617" i="4" s="1"/>
  <c r="BY127" i="4"/>
  <c r="CA127" i="4" s="1"/>
  <c r="BY516" i="4"/>
  <c r="CA516" i="4" s="1"/>
  <c r="BY528" i="4"/>
  <c r="CA528" i="4" s="1"/>
  <c r="BY350" i="4"/>
  <c r="CA350" i="4" s="1"/>
  <c r="BY948" i="4"/>
  <c r="CA948" i="4" s="1"/>
  <c r="BY340" i="4"/>
  <c r="CA340" i="4" s="1"/>
  <c r="BY183" i="4"/>
  <c r="CA183" i="4" s="1"/>
  <c r="BY35" i="4"/>
  <c r="CA35" i="4" s="1"/>
  <c r="BY841" i="4"/>
  <c r="CA841" i="4" s="1"/>
  <c r="BY877" i="4"/>
  <c r="CA877" i="4" s="1"/>
  <c r="BY667" i="4"/>
  <c r="CA667" i="4" s="1"/>
  <c r="BY387" i="4"/>
  <c r="CA387" i="4" s="1"/>
  <c r="BY586" i="4"/>
  <c r="CA586" i="4" s="1"/>
  <c r="BY403" i="4"/>
  <c r="CA403" i="4" s="1"/>
  <c r="BY584" i="4"/>
  <c r="CA584" i="4" s="1"/>
  <c r="BY856" i="4"/>
  <c r="CA856" i="4" s="1"/>
  <c r="BY683" i="4"/>
  <c r="CA683" i="4" s="1"/>
  <c r="BY213" i="4"/>
  <c r="CA213" i="4" s="1"/>
  <c r="BY94" i="4"/>
  <c r="CA94" i="4" s="1"/>
  <c r="BY1097" i="4"/>
  <c r="BY64" i="4"/>
  <c r="CA64" i="4" s="1"/>
  <c r="BY1008" i="4"/>
  <c r="CA1008" i="4" s="1"/>
  <c r="BY1163" i="4"/>
  <c r="CA1163" i="4" s="1"/>
  <c r="BY1020" i="4"/>
  <c r="CA1020" i="4" s="1"/>
  <c r="BY501" i="4"/>
  <c r="CA501" i="4" s="1"/>
  <c r="BY742" i="4"/>
  <c r="CA742" i="4" s="1"/>
  <c r="BY533" i="4"/>
  <c r="CA533" i="4" s="1"/>
  <c r="BY1038" i="4"/>
  <c r="CA1038" i="4" s="1"/>
  <c r="BY180" i="4"/>
  <c r="CA180" i="4" s="1"/>
  <c r="BY176" i="4"/>
  <c r="CA176" i="4" s="1"/>
  <c r="BY1082" i="4"/>
  <c r="CA1082" i="4" s="1"/>
  <c r="BY775" i="4"/>
  <c r="CA775" i="4" s="1"/>
  <c r="BY144" i="4"/>
  <c r="CA144" i="4" s="1"/>
  <c r="BY573" i="4"/>
  <c r="CA573" i="4" s="1"/>
  <c r="BY346" i="4"/>
  <c r="CA346" i="4" s="1"/>
  <c r="BY19" i="4"/>
  <c r="CA19" i="4" s="1"/>
  <c r="BY50" i="4"/>
  <c r="CA50" i="4" s="1"/>
  <c r="BY521" i="4"/>
  <c r="CA521" i="4" s="1"/>
  <c r="BY2" i="4"/>
  <c r="BY190" i="4"/>
  <c r="CA190" i="4" s="1"/>
  <c r="BY393" i="4"/>
  <c r="CA393" i="4" s="1"/>
  <c r="BY748" i="4"/>
  <c r="CA748" i="4" s="1"/>
  <c r="BY283" i="4"/>
  <c r="CA283" i="4" s="1"/>
  <c r="BY771" i="4"/>
  <c r="CA771" i="4" s="1"/>
  <c r="BY398" i="4"/>
  <c r="CA398" i="4" s="1"/>
  <c r="BY614" i="4"/>
  <c r="CA614" i="4" s="1"/>
  <c r="BY1202" i="4"/>
  <c r="CA1202" i="4" s="1"/>
  <c r="BY318" i="4"/>
  <c r="CA318" i="4" s="1"/>
  <c r="BY1128" i="4"/>
  <c r="BY72" i="4"/>
  <c r="CA72" i="4" s="1"/>
  <c r="BY495" i="4"/>
  <c r="CA495" i="4" s="1"/>
  <c r="BY70" i="4"/>
  <c r="CA70" i="4" s="1"/>
  <c r="BY1067" i="4"/>
  <c r="CA1067" i="4" s="1"/>
  <c r="BY364" i="4"/>
  <c r="CA364" i="4" s="1"/>
  <c r="BY1135" i="4"/>
  <c r="CA1135" i="4" s="1"/>
  <c r="BY360" i="4"/>
  <c r="CA360" i="4" s="1"/>
  <c r="BY610" i="4"/>
  <c r="CA610" i="4" s="1"/>
  <c r="BY1138" i="4"/>
  <c r="CA1138" i="4" s="1"/>
  <c r="BY778" i="4"/>
  <c r="CA778" i="4" s="1"/>
  <c r="BY202" i="4"/>
  <c r="CA202" i="4" s="1"/>
  <c r="BY290" i="4"/>
  <c r="CA290" i="4" s="1"/>
  <c r="BY737" i="4"/>
  <c r="CA737" i="4" s="1"/>
  <c r="BY193" i="4"/>
  <c r="CA193" i="4" s="1"/>
  <c r="BY1108" i="4"/>
  <c r="CA1108" i="4" s="1"/>
  <c r="BY386" i="4"/>
  <c r="CA386" i="4" s="1"/>
  <c r="BY460" i="4"/>
  <c r="CA460" i="4" s="1"/>
  <c r="BY839" i="4"/>
  <c r="CA839" i="4" s="1"/>
  <c r="BY75" i="4"/>
  <c r="CA75" i="4" s="1"/>
  <c r="BY686" i="4"/>
  <c r="CA686" i="4" s="1"/>
  <c r="BY747" i="4"/>
  <c r="CA747" i="4" s="1"/>
  <c r="BY293" i="4"/>
  <c r="CA293" i="4" s="1"/>
  <c r="BY724" i="4"/>
  <c r="CA724" i="4" s="1"/>
  <c r="BY37" i="4"/>
  <c r="CA37" i="4" s="1"/>
  <c r="BY738" i="4"/>
  <c r="CA738" i="4" s="1"/>
  <c r="BY292" i="4"/>
  <c r="CA292" i="4" s="1"/>
  <c r="BY681" i="4"/>
  <c r="CA681" i="4" s="1"/>
  <c r="BY126" i="4"/>
  <c r="CA126" i="4" s="1"/>
  <c r="BY520" i="4"/>
  <c r="CA520" i="4" s="1"/>
  <c r="BY556" i="4"/>
  <c r="CA556" i="4" s="1"/>
  <c r="BY897" i="4"/>
  <c r="CA897" i="4" s="1"/>
  <c r="BY924" i="4"/>
  <c r="CA924" i="4" s="1"/>
  <c r="BY1152" i="4"/>
  <c r="CA1152" i="4" s="1"/>
  <c r="BY1005" i="4"/>
  <c r="CA1005" i="4" s="1"/>
  <c r="BY680" i="4"/>
  <c r="CA680" i="4" s="1"/>
  <c r="BY420" i="4"/>
  <c r="CA420" i="4" s="1"/>
  <c r="BY356" i="4"/>
  <c r="CA356" i="4" s="1"/>
  <c r="BY892" i="4"/>
  <c r="CA892" i="4" s="1"/>
  <c r="BY984" i="4"/>
  <c r="CA984" i="4" s="1"/>
  <c r="BY969" i="4"/>
  <c r="CA969" i="4" s="1"/>
  <c r="BY1078" i="4"/>
  <c r="BY237" i="4"/>
  <c r="CA237" i="4" s="1"/>
  <c r="BY413" i="4"/>
  <c r="CA413" i="4" s="1"/>
  <c r="BY5" i="4"/>
  <c r="CA5" i="4" s="1"/>
  <c r="BY1012" i="4"/>
  <c r="CA1012" i="4" s="1"/>
  <c r="BY244" i="4"/>
  <c r="CA244" i="4" s="1"/>
  <c r="BY1114" i="4"/>
  <c r="CA1114" i="4" s="1"/>
  <c r="BY407" i="4"/>
  <c r="CA407" i="4" s="1"/>
  <c r="BY282" i="4"/>
  <c r="CA282" i="4" s="1"/>
  <c r="BY1137" i="4"/>
  <c r="CA1137" i="4" s="1"/>
  <c r="BY493" i="4"/>
  <c r="CA493" i="4" s="1"/>
  <c r="BY1126" i="4"/>
  <c r="CA1126" i="4" s="1"/>
  <c r="BY428" i="4"/>
  <c r="CA428" i="4" s="1"/>
  <c r="BY1024" i="4"/>
  <c r="CA1024" i="4" s="1"/>
  <c r="BY743" i="4"/>
  <c r="CA743" i="4" s="1"/>
  <c r="BY429" i="4"/>
  <c r="CA429" i="4" s="1"/>
  <c r="BY535" i="4"/>
  <c r="CA535" i="4" s="1"/>
  <c r="BY1022" i="4"/>
  <c r="CA1022" i="4" s="1"/>
  <c r="BY15" i="4"/>
  <c r="CA15" i="4" s="1"/>
  <c r="BY1179" i="4"/>
  <c r="CA1179" i="4" s="1"/>
  <c r="BY304" i="4"/>
  <c r="CA304" i="4" s="1"/>
  <c r="BY354" i="4"/>
  <c r="CA354" i="4" s="1"/>
  <c r="BY1146" i="4"/>
  <c r="CA1146" i="4" s="1"/>
  <c r="BY672" i="4"/>
  <c r="CA672" i="4" s="1"/>
  <c r="BY189" i="4"/>
  <c r="CA189" i="4" s="1"/>
  <c r="BY1011" i="4"/>
  <c r="CA1011" i="4" s="1"/>
  <c r="BY465" i="4"/>
  <c r="CA465" i="4" s="1"/>
  <c r="BX18" i="1"/>
  <c r="BY52" i="4"/>
  <c r="CA52" i="4" s="1"/>
  <c r="BX48" i="1"/>
  <c r="BY410" i="4"/>
  <c r="CA410" i="4" s="1"/>
  <c r="BY358" i="4"/>
  <c r="CA358" i="4" s="1"/>
  <c r="BX10" i="1"/>
  <c r="BY929" i="4"/>
  <c r="CA929" i="4" s="1"/>
  <c r="BY594" i="4"/>
  <c r="BX35" i="1"/>
  <c r="BX49" i="1"/>
  <c r="BY45" i="4"/>
  <c r="CA45" i="4" s="1"/>
  <c r="BY375" i="4"/>
  <c r="BY552" i="4"/>
  <c r="CA552" i="4" s="1"/>
  <c r="BY1104" i="4"/>
  <c r="CA1104" i="4" s="1"/>
  <c r="BY1000" i="4"/>
  <c r="CA1000" i="4" s="1"/>
  <c r="BY335" i="4"/>
  <c r="CA335" i="4" s="1"/>
  <c r="BY334" i="4"/>
  <c r="CA334" i="4" s="1"/>
  <c r="BY708" i="4"/>
  <c r="CA708" i="4" s="1"/>
  <c r="BY168" i="4"/>
  <c r="CA168" i="4" s="1"/>
  <c r="BY169" i="4"/>
  <c r="CA169" i="4" s="1"/>
  <c r="BY824" i="4"/>
  <c r="CA824" i="4" s="1"/>
  <c r="BY132" i="4"/>
  <c r="CA132" i="4" s="1"/>
  <c r="BY291" i="4"/>
  <c r="CA291" i="4" s="1"/>
  <c r="BY786" i="4"/>
  <c r="CA786" i="4" s="1"/>
  <c r="BY1080" i="4"/>
  <c r="CA1080" i="4" s="1"/>
  <c r="BY481" i="4"/>
  <c r="CA481" i="4" s="1"/>
  <c r="BY1155" i="4"/>
  <c r="CA1155" i="4" s="1"/>
  <c r="BY930" i="4"/>
  <c r="CA930" i="4" s="1"/>
  <c r="BY655" i="4"/>
  <c r="CA655" i="4" s="1"/>
  <c r="BY766" i="4"/>
  <c r="CA766" i="4" s="1"/>
  <c r="BY900" i="4"/>
  <c r="CA900" i="4" s="1"/>
  <c r="BY265" i="4"/>
  <c r="CA265" i="4" s="1"/>
  <c r="BY800" i="4"/>
  <c r="CA800" i="4" s="1"/>
  <c r="BY804" i="4"/>
  <c r="CA804" i="4" s="1"/>
  <c r="BY263" i="4"/>
  <c r="CA263" i="4" s="1"/>
  <c r="BY660" i="4"/>
  <c r="CA660" i="4" s="1"/>
  <c r="BY561" i="4"/>
  <c r="CA561" i="4" s="1"/>
  <c r="BY260" i="4"/>
  <c r="CA260" i="4" s="1"/>
  <c r="BY560" i="4"/>
  <c r="CA560" i="4" s="1"/>
  <c r="BY710" i="4"/>
  <c r="CA710" i="4" s="1"/>
  <c r="BY996" i="4"/>
  <c r="CA996" i="4" s="1"/>
  <c r="BY1153" i="4"/>
  <c r="CA1153" i="4" s="1"/>
  <c r="BY1046" i="4"/>
  <c r="CA1046" i="4" s="1"/>
  <c r="BY956" i="4"/>
  <c r="CA956" i="4" s="1"/>
  <c r="BY160" i="4"/>
  <c r="CA160" i="4" s="1"/>
  <c r="BY1182" i="4"/>
  <c r="BY903" i="4"/>
  <c r="CA903" i="4" s="1"/>
  <c r="BY852" i="4"/>
  <c r="CA852" i="4" s="1"/>
  <c r="BY997" i="4"/>
  <c r="CA997" i="4" s="1"/>
  <c r="BY650" i="4"/>
  <c r="CA650" i="4" s="1"/>
  <c r="BY893" i="4"/>
  <c r="CA893" i="4" s="1"/>
  <c r="BY880" i="4"/>
  <c r="CA880" i="4" s="1"/>
  <c r="BY944" i="4"/>
  <c r="CA944" i="4" s="1"/>
  <c r="BY895" i="4"/>
  <c r="CA895" i="4" s="1"/>
  <c r="BY112" i="4"/>
  <c r="CA112" i="4" s="1"/>
  <c r="BY697" i="4"/>
  <c r="CA697" i="4" s="1"/>
  <c r="BY844" i="4"/>
  <c r="CA844" i="4" s="1"/>
  <c r="BX58" i="1"/>
  <c r="BY526" i="4"/>
  <c r="CA526" i="4" s="1"/>
  <c r="BY32" i="4"/>
  <c r="CA32" i="4" s="1"/>
  <c r="BY463" i="4"/>
  <c r="BY1175" i="4"/>
  <c r="CA1175" i="4" s="1"/>
  <c r="BY26" i="4"/>
  <c r="BY14" i="4"/>
  <c r="CA14" i="4" s="1"/>
  <c r="BY174" i="4"/>
  <c r="CA174" i="4" s="1"/>
  <c r="BY129" i="4"/>
  <c r="CA129" i="4" s="1"/>
  <c r="BY1133" i="4"/>
  <c r="CA1133" i="4" s="1"/>
  <c r="BY302" i="4"/>
  <c r="CA302" i="4" s="1"/>
  <c r="BY1178" i="4"/>
  <c r="CA1178" i="4" s="1"/>
  <c r="BY480" i="4"/>
  <c r="CA480" i="4" s="1"/>
  <c r="BY491" i="4"/>
  <c r="CA491" i="4" s="1"/>
  <c r="BY284" i="4"/>
  <c r="CA284" i="4" s="1"/>
  <c r="BY718" i="4"/>
  <c r="CA718" i="4" s="1"/>
  <c r="BY809" i="4"/>
  <c r="CA809" i="4" s="1"/>
  <c r="BY121" i="4"/>
  <c r="CA121" i="4" s="1"/>
  <c r="BY922" i="4"/>
  <c r="CA922" i="4" s="1"/>
  <c r="BY494" i="4"/>
  <c r="CA494" i="4" s="1"/>
  <c r="BY492" i="4"/>
  <c r="CA492" i="4" s="1"/>
  <c r="BY711" i="4"/>
  <c r="CA711" i="4" s="1"/>
  <c r="BY1072" i="4"/>
  <c r="CA1072" i="4" s="1"/>
  <c r="BY701" i="4"/>
  <c r="CA701" i="4" s="1"/>
  <c r="BY1013" i="4"/>
  <c r="CA1013" i="4" s="1"/>
  <c r="BY1014" i="4"/>
  <c r="CA1014" i="4" s="1"/>
  <c r="BY85" i="4"/>
  <c r="CA85" i="4" s="1"/>
  <c r="BY1049" i="4"/>
  <c r="CA1049" i="4" s="1"/>
  <c r="BY232" i="4"/>
  <c r="CA232" i="4" s="1"/>
  <c r="BY1079" i="4"/>
  <c r="CA1079" i="4" s="1"/>
  <c r="BY1004" i="4"/>
  <c r="CA1004" i="4" s="1"/>
  <c r="BY867" i="4"/>
  <c r="BY1140" i="4"/>
  <c r="CA1140" i="4" s="1"/>
  <c r="BY957" i="4"/>
  <c r="CA957" i="4" s="1"/>
  <c r="BY649" i="4"/>
  <c r="CA649" i="4" s="1"/>
  <c r="BY642" i="4"/>
  <c r="CA642" i="4" s="1"/>
  <c r="BY890" i="4"/>
  <c r="CA890" i="4" s="1"/>
  <c r="BY1052" i="4"/>
  <c r="CA1052" i="4" s="1"/>
  <c r="BY557" i="4"/>
  <c r="CA557" i="4" s="1"/>
  <c r="BY1035" i="4"/>
  <c r="CA1035" i="4" s="1"/>
  <c r="BY228" i="4"/>
  <c r="CA228" i="4" s="1"/>
  <c r="BY935" i="4"/>
  <c r="CA935" i="4" s="1"/>
  <c r="BY151" i="4"/>
  <c r="CA151" i="4" s="1"/>
  <c r="BY207" i="4"/>
  <c r="CA207" i="4" s="1"/>
  <c r="BY522" i="4"/>
  <c r="CA522" i="4" s="1"/>
  <c r="BY863" i="4"/>
  <c r="CA863" i="4" s="1"/>
  <c r="BY78" i="4"/>
  <c r="CA78" i="4" s="1"/>
  <c r="BX46" i="1"/>
  <c r="BY380" i="4"/>
  <c r="CA380" i="4" s="1"/>
  <c r="BY842" i="4"/>
  <c r="CA842" i="4" s="1"/>
  <c r="BY209" i="4"/>
  <c r="CA209" i="4" s="1"/>
  <c r="BY621" i="4"/>
  <c r="CA621" i="4" s="1"/>
  <c r="BY861" i="4"/>
  <c r="CA861" i="4" s="1"/>
  <c r="BY523" i="4"/>
  <c r="CA523" i="4" s="1"/>
  <c r="BY443" i="4"/>
  <c r="CA443" i="4" s="1"/>
  <c r="BY199" i="4"/>
  <c r="CA199" i="4" s="1"/>
  <c r="BY181" i="4"/>
  <c r="CA181" i="4" s="1"/>
  <c r="BY510" i="4"/>
  <c r="CA510" i="4" s="1"/>
  <c r="BY1160" i="4"/>
  <c r="BY1158" i="4"/>
  <c r="CA1158" i="4" s="1"/>
  <c r="BY774" i="4"/>
  <c r="CA774" i="4" s="1"/>
  <c r="BY611" i="4"/>
  <c r="CA611" i="4" s="1"/>
  <c r="BY362" i="4"/>
  <c r="CA362" i="4" s="1"/>
  <c r="BY96" i="4"/>
  <c r="CA96" i="4" s="1"/>
  <c r="BY820" i="4"/>
  <c r="CA820" i="4" s="1"/>
  <c r="BY157" i="4"/>
  <c r="CA157" i="4" s="1"/>
  <c r="BY503" i="4"/>
  <c r="CA503" i="4" s="1"/>
  <c r="BY329" i="4"/>
  <c r="CA329" i="4" s="1"/>
  <c r="BY1045" i="4"/>
  <c r="CA1045" i="4" s="1"/>
  <c r="BY30" i="4"/>
  <c r="CA30" i="4" s="1"/>
  <c r="BY171" i="4"/>
  <c r="CA171" i="4" s="1"/>
  <c r="BY287" i="4"/>
  <c r="CA287" i="4" s="1"/>
  <c r="BY567" i="4"/>
  <c r="CA567" i="4" s="1"/>
  <c r="BY1145" i="4"/>
  <c r="CA1145" i="4" s="1"/>
  <c r="BY483" i="4"/>
  <c r="CA483" i="4" s="1"/>
  <c r="BY507" i="4"/>
  <c r="CA507" i="4" s="1"/>
  <c r="BY719" i="4"/>
  <c r="CA719" i="4" s="1"/>
  <c r="BY814" i="4"/>
  <c r="CA814" i="4" s="1"/>
  <c r="BY757" i="4"/>
  <c r="CA757" i="4" s="1"/>
  <c r="BY153" i="4"/>
  <c r="CA153" i="4" s="1"/>
  <c r="BY128" i="4"/>
  <c r="CA128" i="4" s="1"/>
  <c r="BY807" i="4"/>
  <c r="CA807" i="4" s="1"/>
  <c r="BY923" i="4"/>
  <c r="CA923" i="4" s="1"/>
  <c r="BY88" i="4"/>
  <c r="CA88" i="4" s="1"/>
  <c r="BY262" i="4"/>
  <c r="CA262" i="4" s="1"/>
  <c r="BY266" i="4"/>
  <c r="BY714" i="4"/>
  <c r="CA714" i="4" s="1"/>
  <c r="BY233" i="4"/>
  <c r="CA233" i="4" s="1"/>
  <c r="BY264" i="4"/>
  <c r="CA264" i="4" s="1"/>
  <c r="BY987" i="4"/>
  <c r="CA987" i="4" s="1"/>
  <c r="BY920" i="4"/>
  <c r="CA920" i="4" s="1"/>
  <c r="BY793" i="4"/>
  <c r="CA793" i="4" s="1"/>
  <c r="BY869" i="4"/>
  <c r="CA869" i="4" s="1"/>
  <c r="BY1191" i="4"/>
  <c r="CA1191" i="4" s="1"/>
  <c r="BY240" i="4"/>
  <c r="CA240" i="4" s="1"/>
  <c r="BY1010" i="4"/>
  <c r="CA1010" i="4" s="1"/>
  <c r="BY81" i="4"/>
  <c r="CA81" i="4" s="1"/>
  <c r="BY917" i="4"/>
  <c r="CA917" i="4" s="1"/>
  <c r="BY159" i="4"/>
  <c r="CA159" i="4" s="1"/>
  <c r="BY946" i="4"/>
  <c r="CA946" i="4" s="1"/>
  <c r="BY709" i="4"/>
  <c r="CA709" i="4" s="1"/>
  <c r="BY1071" i="4"/>
  <c r="CA1071" i="4" s="1"/>
  <c r="BY250" i="4"/>
  <c r="CA250" i="4" s="1"/>
  <c r="BY700" i="4"/>
  <c r="CA700" i="4" s="1"/>
  <c r="BY239" i="4"/>
  <c r="CA239" i="4" s="1"/>
  <c r="BY707" i="4"/>
  <c r="CA707" i="4" s="1"/>
  <c r="BY646" i="4"/>
  <c r="CA646" i="4" s="1"/>
  <c r="BY1003" i="4"/>
  <c r="CA1003" i="4" s="1"/>
  <c r="BY909" i="4"/>
  <c r="CA909" i="4" s="1"/>
  <c r="BY230" i="4"/>
  <c r="CA230" i="4" s="1"/>
  <c r="BY458" i="4"/>
  <c r="CA458" i="4" s="1"/>
  <c r="BY40" i="4"/>
  <c r="CA40" i="4" s="1"/>
  <c r="BY1188" i="4"/>
  <c r="CA1188" i="4" s="1"/>
  <c r="BY749" i="4"/>
  <c r="CA749" i="4" s="1"/>
  <c r="BY585" i="4"/>
  <c r="CA585" i="4" s="1"/>
  <c r="BY1041" i="4"/>
  <c r="CA1041" i="4" s="1"/>
  <c r="BY1059" i="4"/>
  <c r="CA1059" i="4" s="1"/>
  <c r="BY359" i="4"/>
  <c r="CA359" i="4" s="1"/>
  <c r="BY297" i="4"/>
  <c r="CA297" i="4" s="1"/>
  <c r="BY1169" i="4"/>
  <c r="CA1169" i="4" s="1"/>
  <c r="BY301" i="4"/>
  <c r="CA301" i="4" s="1"/>
  <c r="BY298" i="4"/>
  <c r="CA298" i="4" s="1"/>
  <c r="BY1200" i="4"/>
  <c r="BY1057" i="4"/>
  <c r="CA1057" i="4" s="1"/>
  <c r="BY823" i="4"/>
  <c r="CA823" i="4" s="1"/>
  <c r="BY430" i="4"/>
  <c r="CA430" i="4" s="1"/>
  <c r="BY684" i="4"/>
  <c r="CA684" i="4" s="1"/>
  <c r="BY235" i="4"/>
  <c r="CA235" i="4" s="1"/>
  <c r="BY1063" i="4"/>
  <c r="CA1063" i="4" s="1"/>
  <c r="BY666" i="4"/>
  <c r="CA666" i="4" s="1"/>
  <c r="BY715" i="4"/>
  <c r="CA715" i="4" s="1"/>
  <c r="BY794" i="4"/>
  <c r="CA794" i="4" s="1"/>
  <c r="BY870" i="4"/>
  <c r="CA870" i="4" s="1"/>
  <c r="BY763" i="4"/>
  <c r="CA763" i="4" s="1"/>
  <c r="BY921" i="4"/>
  <c r="CA921" i="4" s="1"/>
  <c r="BY656" i="4"/>
  <c r="CA656" i="4" s="1"/>
  <c r="BY602" i="4"/>
  <c r="CA602" i="4" s="1"/>
  <c r="BY601" i="4"/>
  <c r="CA601" i="4" s="1"/>
  <c r="BY981" i="4"/>
  <c r="CA981" i="4" s="1"/>
  <c r="BY1148" i="4"/>
  <c r="CA1148" i="4" s="1"/>
  <c r="BY1074" i="4"/>
  <c r="CA1074" i="4" s="1"/>
  <c r="BY1124" i="4"/>
  <c r="CA1124" i="4" s="1"/>
  <c r="BY653" i="4"/>
  <c r="CA653" i="4" s="1"/>
  <c r="BY259" i="4"/>
  <c r="CA259" i="4" s="1"/>
  <c r="BY1027" i="4"/>
  <c r="CA1027" i="4" s="1"/>
  <c r="BY787" i="4"/>
  <c r="CA787" i="4" s="1"/>
  <c r="BY1193" i="4"/>
  <c r="CA1193" i="4" s="1"/>
  <c r="BY1048" i="4"/>
  <c r="CA1048" i="4" s="1"/>
  <c r="BY1089" i="4"/>
  <c r="CA1089" i="4" s="1"/>
  <c r="BY919" i="4"/>
  <c r="CA919" i="4" s="1"/>
  <c r="BY255" i="4"/>
  <c r="CA255" i="4" s="1"/>
  <c r="BY1165" i="4"/>
  <c r="CA1165" i="4" s="1"/>
  <c r="BY1197" i="4"/>
  <c r="CA1197" i="4" s="1"/>
  <c r="BY759" i="4"/>
  <c r="CA759" i="4" s="1"/>
  <c r="BY1032" i="4"/>
  <c r="CA1032" i="4" s="1"/>
  <c r="BY248" i="4"/>
  <c r="CA248" i="4" s="1"/>
  <c r="BY645" i="4"/>
  <c r="CA645" i="4" s="1"/>
  <c r="BY158" i="4"/>
  <c r="CA158" i="4" s="1"/>
  <c r="BY1183" i="4"/>
  <c r="CA1183" i="4" s="1"/>
  <c r="BY1185" i="4"/>
  <c r="CA1185" i="4" s="1"/>
  <c r="BY475" i="4"/>
  <c r="CA475" i="4" s="1"/>
  <c r="BX11" i="1"/>
  <c r="BY203" i="4"/>
  <c r="CA203" i="4" s="1"/>
  <c r="BY634" i="4"/>
  <c r="BY744" i="4"/>
  <c r="CA744" i="4" s="1"/>
  <c r="BY401" i="4"/>
  <c r="CA401" i="4" s="1"/>
  <c r="BY462" i="4"/>
  <c r="CA462" i="4" s="1"/>
  <c r="BY1157" i="4"/>
  <c r="CA1157" i="4" s="1"/>
  <c r="BY527" i="4"/>
  <c r="CA527" i="4" s="1"/>
  <c r="BY776" i="4"/>
  <c r="CA776" i="4" s="1"/>
  <c r="BY949" i="4"/>
  <c r="CA949" i="4" s="1"/>
  <c r="BY101" i="4"/>
  <c r="BY314" i="4"/>
  <c r="CA314" i="4" s="1"/>
  <c r="BY182" i="4"/>
  <c r="CA182" i="4" s="1"/>
  <c r="BY1154" i="4"/>
  <c r="CA1154" i="4" s="1"/>
  <c r="BY1112" i="4"/>
  <c r="CA1112" i="4" s="1"/>
  <c r="BY1031" i="4"/>
  <c r="CA1031" i="4" s="1"/>
  <c r="BY622" i="4"/>
  <c r="CA622" i="4" s="1"/>
  <c r="BY177" i="4"/>
  <c r="CA177" i="4" s="1"/>
  <c r="BY784" i="4"/>
  <c r="CA784" i="4" s="1"/>
  <c r="BY698" i="4"/>
  <c r="CA698" i="4" s="1"/>
  <c r="BY1205" i="4"/>
  <c r="CA1205" i="4" s="1"/>
  <c r="BY974" i="4"/>
  <c r="CA974" i="4" s="1"/>
  <c r="BY712" i="4"/>
  <c r="CA712" i="4" s="1"/>
  <c r="BY723" i="4"/>
  <c r="CA723" i="4" s="1"/>
  <c r="BY91" i="4"/>
  <c r="CA91" i="4" s="1"/>
  <c r="BY658" i="4"/>
  <c r="CA658" i="4" s="1"/>
  <c r="BY119" i="4"/>
  <c r="CA119" i="4" s="1"/>
  <c r="BY762" i="4"/>
  <c r="CA762" i="4" s="1"/>
  <c r="BY796" i="4"/>
  <c r="CA796" i="4" s="1"/>
  <c r="BY654" i="4"/>
  <c r="CA654" i="4" s="1"/>
  <c r="BY761" i="4"/>
  <c r="CA761" i="4" s="1"/>
  <c r="BY13" i="4"/>
  <c r="CA13" i="4" s="1"/>
  <c r="BY1037" i="4"/>
  <c r="CA1037" i="4" s="1"/>
  <c r="BY1141" i="4"/>
  <c r="CA1141" i="4" s="1"/>
  <c r="BY599" i="4"/>
  <c r="CA599" i="4" s="1"/>
  <c r="BY1098" i="4"/>
  <c r="CA1098" i="4" s="1"/>
  <c r="BY241" i="4"/>
  <c r="CA241" i="4" s="1"/>
  <c r="BY152" i="4"/>
  <c r="CA152" i="4" s="1"/>
  <c r="BY1117" i="4"/>
  <c r="CA1117" i="4" s="1"/>
  <c r="BY886" i="4"/>
  <c r="CA886" i="4" s="1"/>
  <c r="BY257" i="4"/>
  <c r="CA257" i="4" s="1"/>
  <c r="BY558" i="4"/>
  <c r="CA558" i="4" s="1"/>
  <c r="BY965" i="4"/>
  <c r="CA965" i="4" s="1"/>
  <c r="BY1164" i="4"/>
  <c r="CA1164" i="4" s="1"/>
  <c r="BY993" i="4"/>
  <c r="CA993" i="4" s="1"/>
  <c r="BY881" i="4"/>
  <c r="CA881" i="4" s="1"/>
  <c r="BY706" i="4"/>
  <c r="CA706" i="4" s="1"/>
  <c r="BY1084" i="4"/>
  <c r="CA1084" i="4" s="1"/>
  <c r="BY243" i="4"/>
  <c r="CA243" i="4" s="1"/>
  <c r="BY643" i="4"/>
  <c r="CA643" i="4" s="1"/>
  <c r="BY111" i="4"/>
  <c r="CA111" i="4" s="1"/>
  <c r="BY851" i="4"/>
  <c r="CA851" i="4" s="1"/>
  <c r="BY548" i="4"/>
  <c r="CA548" i="4" s="1"/>
  <c r="BY539" i="4"/>
  <c r="BY780" i="4"/>
  <c r="CA780" i="4" s="1"/>
  <c r="BY690" i="4"/>
  <c r="CA690" i="4" s="1"/>
  <c r="BY106" i="4"/>
  <c r="CA106" i="4" s="1"/>
  <c r="BY349" i="4"/>
  <c r="CA349" i="4" s="1"/>
  <c r="BY1060" i="4"/>
  <c r="CA1060" i="4" s="1"/>
  <c r="BY884" i="4"/>
  <c r="CA884" i="4" s="1"/>
  <c r="BY341" i="4"/>
  <c r="CA341" i="4" s="1"/>
  <c r="BY464" i="4"/>
  <c r="CA464" i="4" s="1"/>
  <c r="BY136" i="4"/>
  <c r="CA136" i="4" s="1"/>
  <c r="BY308" i="4"/>
  <c r="CA308" i="4" s="1"/>
  <c r="BY1056" i="4"/>
  <c r="CA1056" i="4" s="1"/>
  <c r="BY93" i="4"/>
  <c r="CA93" i="4" s="1"/>
  <c r="BY1088" i="4"/>
  <c r="CA1088" i="4" s="1"/>
  <c r="BY49" i="4"/>
  <c r="CA49" i="4" s="1"/>
  <c r="BY1131" i="4"/>
  <c r="CA1131" i="4" s="1"/>
  <c r="BY817" i="4"/>
  <c r="CA817" i="4" s="1"/>
  <c r="BY613" i="4"/>
  <c r="CA613" i="4" s="1"/>
  <c r="BY511" i="4"/>
  <c r="CA511" i="4" s="1"/>
  <c r="BY320" i="4"/>
  <c r="CA320" i="4" s="1"/>
  <c r="BY234" i="4"/>
  <c r="CA234" i="4" s="1"/>
  <c r="BY268" i="4"/>
  <c r="CA268" i="4" s="1"/>
  <c r="BY664" i="4"/>
  <c r="BY124" i="4"/>
  <c r="CA124" i="4" s="1"/>
  <c r="BY657" i="4"/>
  <c r="CA657" i="4" s="1"/>
  <c r="BY87" i="4"/>
  <c r="CA87" i="4" s="1"/>
  <c r="BY565" i="4"/>
  <c r="CA565" i="4" s="1"/>
  <c r="BY816" i="4"/>
  <c r="CA816" i="4" s="1"/>
  <c r="BY562" i="4"/>
  <c r="CA562" i="4" s="1"/>
  <c r="BY439" i="4"/>
  <c r="CA439" i="4" s="1"/>
  <c r="BY578" i="4"/>
  <c r="CA578" i="4" s="1"/>
  <c r="BY162" i="4"/>
  <c r="CA162" i="4" s="1"/>
  <c r="BY1192" i="4"/>
  <c r="CA1192" i="4" s="1"/>
  <c r="BY792" i="4"/>
  <c r="CA792" i="4" s="1"/>
  <c r="BY790" i="4"/>
  <c r="CA790" i="4" s="1"/>
  <c r="BY242" i="4"/>
  <c r="CA242" i="4" s="1"/>
  <c r="BY11" i="4"/>
  <c r="CA11" i="4" s="1"/>
  <c r="BY477" i="4"/>
  <c r="CA477" i="4" s="1"/>
  <c r="BY1009" i="4"/>
  <c r="CA1009" i="4" s="1"/>
  <c r="BY1203" i="4"/>
  <c r="CA1203" i="4" s="1"/>
  <c r="BY1094" i="4"/>
  <c r="CA1094" i="4" s="1"/>
  <c r="BY1054" i="4"/>
  <c r="CA1054" i="4" s="1"/>
  <c r="BY486" i="4"/>
  <c r="CA486" i="4" s="1"/>
  <c r="BY485" i="4"/>
  <c r="CA485" i="4" s="1"/>
  <c r="BY927" i="4"/>
  <c r="CA927" i="4" s="1"/>
  <c r="BY161" i="4"/>
  <c r="CA161" i="4" s="1"/>
  <c r="BY1051" i="4"/>
  <c r="CA1051" i="4" s="1"/>
  <c r="BY245" i="4"/>
  <c r="CA245" i="4" s="1"/>
  <c r="BY789" i="4"/>
  <c r="CA789" i="4" s="1"/>
  <c r="BY696" i="4"/>
  <c r="CA696" i="4" s="1"/>
  <c r="BY885" i="4"/>
  <c r="CA885" i="4" s="1"/>
  <c r="BY219" i="4"/>
  <c r="BX16" i="1"/>
  <c r="BX4" i="1"/>
  <c r="BY100" i="4"/>
  <c r="CA100" i="4" s="1"/>
  <c r="BY629" i="4"/>
  <c r="BY17" i="4"/>
  <c r="CA17" i="4" s="1"/>
  <c r="BY933" i="4"/>
  <c r="CA933" i="4" s="1"/>
  <c r="BY6" i="4"/>
  <c r="CA6" i="4" s="1"/>
  <c r="BY931" i="4"/>
  <c r="CA931" i="4" s="1"/>
  <c r="BY170" i="4"/>
  <c r="CA170" i="4" s="1"/>
  <c r="BY378" i="4"/>
  <c r="CA378" i="4" s="1"/>
  <c r="BY572" i="4"/>
  <c r="CA572" i="4" s="1"/>
  <c r="BY555" i="4"/>
  <c r="CA555" i="4" s="1"/>
  <c r="BY854" i="4"/>
  <c r="CA854" i="4" s="1"/>
  <c r="BY167" i="4"/>
  <c r="BY810" i="4"/>
  <c r="CA810" i="4" s="1"/>
  <c r="BY662" i="4"/>
  <c r="CA662" i="4" s="1"/>
  <c r="BY815" i="4"/>
  <c r="CA815" i="4" s="1"/>
  <c r="BY490" i="4"/>
  <c r="CA490" i="4" s="1"/>
  <c r="BY976" i="4"/>
  <c r="CA976" i="4" s="1"/>
  <c r="BY720" i="4"/>
  <c r="CA720" i="4" s="1"/>
  <c r="BY499" i="4"/>
  <c r="CA499" i="4" s="1"/>
  <c r="BY973" i="4"/>
  <c r="CA973" i="4" s="1"/>
  <c r="BY716" i="4"/>
  <c r="CA716" i="4" s="1"/>
  <c r="BY538" i="4"/>
  <c r="CA538" i="4" s="1"/>
  <c r="BY1069" i="4"/>
  <c r="CA1069" i="4" s="1"/>
  <c r="BY1064" i="4"/>
  <c r="CA1064" i="4" s="1"/>
  <c r="BY1125" i="4"/>
  <c r="CA1125" i="4" s="1"/>
  <c r="BY1043" i="4"/>
  <c r="CA1043" i="4" s="1"/>
  <c r="BY1047" i="4"/>
  <c r="CA1047" i="4" s="1"/>
  <c r="BY911" i="4"/>
  <c r="CA911" i="4" s="1"/>
  <c r="BY1119" i="4"/>
  <c r="CA1119" i="4" s="1"/>
  <c r="BY945" i="4"/>
  <c r="CA945" i="4" s="1"/>
  <c r="BY866" i="4"/>
  <c r="CA866" i="4" s="1"/>
  <c r="BY489" i="4"/>
  <c r="CA489" i="4" s="1"/>
  <c r="BY647" i="4"/>
  <c r="CA647" i="4" s="1"/>
  <c r="BY487" i="4"/>
  <c r="CA487" i="4" s="1"/>
  <c r="BY252" i="4"/>
  <c r="CA252" i="4" s="1"/>
  <c r="BY246" i="4"/>
  <c r="CA246" i="4" s="1"/>
  <c r="BY63" i="4"/>
  <c r="CA63" i="4" s="1"/>
  <c r="BY985" i="4"/>
  <c r="CA985" i="4" s="1"/>
  <c r="BY1030" i="4"/>
  <c r="CA1030" i="4" s="1"/>
  <c r="BY231" i="4"/>
  <c r="CA231" i="4" s="1"/>
  <c r="BY229" i="4"/>
  <c r="CA229" i="4" s="1"/>
  <c r="BY1036" i="4"/>
  <c r="CA1036" i="4" s="1"/>
  <c r="BX20" i="1"/>
  <c r="BY414" i="4"/>
  <c r="CA414" i="4" s="1"/>
  <c r="BY846" i="4"/>
  <c r="CA846" i="4" s="1"/>
  <c r="BY641" i="4"/>
  <c r="CA641" i="4" s="1"/>
  <c r="BX40" i="1"/>
  <c r="BY536" i="4"/>
  <c r="CA536" i="4" s="1"/>
  <c r="BY434" i="4"/>
  <c r="CA434" i="4" s="1"/>
  <c r="BY435" i="4"/>
  <c r="CA435" i="4" s="1"/>
  <c r="BY384" i="4"/>
  <c r="CA384" i="4" s="1"/>
  <c r="BY416" i="4"/>
  <c r="CA416" i="4" s="1"/>
  <c r="BY118" i="4"/>
  <c r="CA118" i="4" s="1"/>
  <c r="BY978" i="4"/>
  <c r="CA978" i="4" s="1"/>
  <c r="BY347" i="4"/>
  <c r="CA347" i="4" s="1"/>
  <c r="BY310" i="4"/>
  <c r="CA310" i="4" s="1"/>
  <c r="BY857" i="4"/>
  <c r="CA857" i="4" s="1"/>
  <c r="BY734" i="4"/>
  <c r="CA734" i="4" s="1"/>
  <c r="BY876" i="4"/>
  <c r="CA876" i="4" s="1"/>
  <c r="BY739" i="4"/>
  <c r="CA739" i="4" s="1"/>
  <c r="BY668" i="4"/>
  <c r="CA668" i="4" s="1"/>
  <c r="BY1016" i="4"/>
  <c r="CA1016" i="4" s="1"/>
  <c r="BY1081" i="4"/>
  <c r="CA1081" i="4" s="1"/>
  <c r="BY633" i="4"/>
  <c r="BY285" i="4"/>
  <c r="CA285" i="4" s="1"/>
  <c r="BY822" i="4"/>
  <c r="CA822" i="4" s="1"/>
  <c r="BY92" i="4"/>
  <c r="CA92" i="4" s="1"/>
  <c r="BY1018" i="4"/>
  <c r="CA1018" i="4" s="1"/>
  <c r="BY722" i="4"/>
  <c r="CA722" i="4" s="1"/>
  <c r="BY1132" i="4"/>
  <c r="CA1132" i="4" s="1"/>
  <c r="BY83" i="4"/>
  <c r="CA83" i="4" s="1"/>
  <c r="BY117" i="4"/>
  <c r="CA117" i="4" s="1"/>
  <c r="BY164" i="4"/>
  <c r="CA164" i="4" s="1"/>
  <c r="BY961" i="4"/>
  <c r="CA961" i="4" s="1"/>
  <c r="BY270" i="4"/>
  <c r="CA270" i="4" s="1"/>
  <c r="BY269" i="4"/>
  <c r="CA269" i="4" s="1"/>
  <c r="BY661" i="4"/>
  <c r="CA661" i="4" s="1"/>
  <c r="BY261" i="4"/>
  <c r="CA261" i="4" s="1"/>
  <c r="BY1142" i="4"/>
  <c r="BY271" i="4"/>
  <c r="CA271" i="4" s="1"/>
  <c r="BY275" i="4"/>
  <c r="CA275" i="4" s="1"/>
  <c r="BY803" i="4"/>
  <c r="CA803" i="4" s="1"/>
  <c r="BY419" i="4"/>
  <c r="CA419" i="4" s="1"/>
  <c r="BY1174" i="4"/>
  <c r="CA1174" i="4" s="1"/>
  <c r="BY1100" i="4"/>
  <c r="CA1100" i="4" s="1"/>
  <c r="BY652" i="4"/>
  <c r="CA652" i="4" s="1"/>
  <c r="BY651" i="4"/>
  <c r="CA651" i="4" s="1"/>
  <c r="BY155" i="4"/>
  <c r="CA155" i="4" s="1"/>
  <c r="BY62" i="4"/>
  <c r="CA62" i="4" s="1"/>
  <c r="BY476" i="4"/>
  <c r="CA476" i="4" s="1"/>
  <c r="BY990" i="4"/>
  <c r="CA990" i="4" s="1"/>
  <c r="BY913" i="4"/>
  <c r="CA913" i="4" s="1"/>
  <c r="BY992" i="4"/>
  <c r="CA992" i="4" s="1"/>
  <c r="BY916" i="4"/>
  <c r="CA916" i="4" s="1"/>
  <c r="BY853" i="4"/>
  <c r="CA853" i="4" s="1"/>
  <c r="BY1115" i="4"/>
  <c r="CA1115" i="4" s="1"/>
  <c r="BY251" i="4"/>
  <c r="CA251" i="4" s="1"/>
  <c r="BY894" i="4"/>
  <c r="CA894" i="4" s="1"/>
  <c r="BY1123" i="4"/>
  <c r="CA1123" i="4" s="1"/>
  <c r="BY488" i="4"/>
  <c r="CA488" i="4" s="1"/>
  <c r="BY704" i="4"/>
  <c r="CA704" i="4" s="1"/>
  <c r="BY1029" i="4"/>
  <c r="CA1029" i="4" s="1"/>
  <c r="BY1073" i="4"/>
  <c r="CA1073" i="4" s="1"/>
  <c r="BY1161" i="4"/>
  <c r="CA1161" i="4" s="1"/>
  <c r="BY640" i="4"/>
  <c r="CA640" i="4" s="1"/>
  <c r="BY10" i="4"/>
  <c r="CA10" i="4" s="1"/>
  <c r="BY1120" i="4"/>
  <c r="CA1120" i="4" s="1"/>
  <c r="BY115" i="4"/>
  <c r="CA115" i="4" s="1"/>
  <c r="BY1139" i="4"/>
  <c r="CA1139" i="4" s="1"/>
  <c r="BY631" i="4"/>
  <c r="CA631" i="4" s="1"/>
  <c r="BY543" i="4"/>
  <c r="CA543" i="4" s="1"/>
  <c r="BY1151" i="4"/>
  <c r="CA1151" i="4" s="1"/>
  <c r="BY540" i="4"/>
  <c r="CA540" i="4" s="1"/>
  <c r="BY24" i="4"/>
  <c r="CA24" i="4" s="1"/>
  <c r="BY146" i="4"/>
  <c r="CA146" i="4" s="1"/>
  <c r="BY755" i="4"/>
  <c r="CA755" i="4" s="1"/>
  <c r="BY1113" i="4"/>
  <c r="CA1113" i="4" s="1"/>
  <c r="BY147" i="4"/>
  <c r="CA147" i="4" s="1"/>
  <c r="BY217" i="4"/>
  <c r="CA217" i="4" s="1"/>
  <c r="BY874" i="4"/>
  <c r="CA874" i="4" s="1"/>
  <c r="BY630" i="4"/>
  <c r="CA630" i="4" s="1"/>
  <c r="BY452" i="4"/>
  <c r="CA452" i="4" s="1"/>
  <c r="BY849" i="4"/>
  <c r="CA849" i="4" s="1"/>
  <c r="BY444" i="4"/>
  <c r="CA444" i="4" s="1"/>
  <c r="BY754" i="4"/>
  <c r="CA754" i="4" s="1"/>
  <c r="BY214" i="4"/>
  <c r="CA214" i="4" s="1"/>
  <c r="BY454" i="4"/>
  <c r="CA454" i="4" s="1"/>
  <c r="BY445" i="4"/>
  <c r="CA445" i="4" s="1"/>
  <c r="BY107" i="4"/>
  <c r="CA107" i="4" s="1"/>
  <c r="BY592" i="4"/>
  <c r="CA592" i="4" s="1"/>
  <c r="BY80" i="4"/>
  <c r="CA80" i="4" s="1"/>
  <c r="BY455" i="4"/>
  <c r="CA455" i="4" s="1"/>
  <c r="BY56" i="4"/>
  <c r="CA56" i="4" s="1"/>
  <c r="BY541" i="4"/>
  <c r="CA541" i="4" s="1"/>
  <c r="BY1180" i="4"/>
  <c r="CA1180" i="4" s="1"/>
  <c r="BY215" i="4"/>
  <c r="CA215" i="4" s="1"/>
  <c r="BY544" i="4"/>
  <c r="CA544" i="4" s="1"/>
  <c r="BY446" i="4"/>
  <c r="CA446" i="4" s="1"/>
  <c r="BY542" i="4"/>
  <c r="CA542" i="4" s="1"/>
  <c r="BY593" i="4"/>
  <c r="CA593" i="4" s="1"/>
  <c r="BY456" i="4"/>
  <c r="CA456" i="4" s="1"/>
  <c r="BY879" i="4"/>
  <c r="CA879" i="4" s="1"/>
  <c r="BY25" i="4"/>
  <c r="CA25" i="4" s="1"/>
  <c r="BY216" i="4"/>
  <c r="CA216" i="4" s="1"/>
  <c r="BY1199" i="4"/>
  <c r="CA1199" i="4" s="1"/>
  <c r="BY447" i="4"/>
  <c r="CA447" i="4" s="1"/>
  <c r="BY450" i="4"/>
  <c r="CA450" i="4" s="1"/>
  <c r="BY453" i="4"/>
  <c r="CA453" i="4" s="1"/>
  <c r="BY457" i="4"/>
  <c r="CA457" i="4" s="1"/>
  <c r="BY448" i="4"/>
  <c r="CA448" i="4" s="1"/>
  <c r="BY451" i="4"/>
  <c r="BY942" i="4"/>
  <c r="CA942" i="4" s="1"/>
  <c r="BY545" i="4"/>
  <c r="CA545" i="4" s="1"/>
  <c r="BY553" i="4"/>
  <c r="CA553" i="4" s="1"/>
  <c r="BY534" i="4"/>
  <c r="CA534" i="4" s="1"/>
  <c r="BY436" i="4"/>
  <c r="CA436" i="4" s="1"/>
  <c r="BY394" i="4"/>
  <c r="CA394" i="4" s="1"/>
  <c r="BY968" i="4"/>
  <c r="CA968" i="4" s="1"/>
  <c r="BY134" i="4"/>
  <c r="CA134" i="4" s="1"/>
  <c r="BY675" i="4"/>
  <c r="CA675" i="4" s="1"/>
  <c r="BY1156" i="4"/>
  <c r="CA1156" i="4" s="1"/>
  <c r="BY357" i="4"/>
  <c r="CA357" i="4" s="1"/>
  <c r="BY875" i="4"/>
  <c r="CA875" i="4" s="1"/>
  <c r="BY506" i="4"/>
  <c r="CA506" i="4" s="1"/>
  <c r="BY826" i="4"/>
  <c r="CA826" i="4" s="1"/>
  <c r="BY882" i="4"/>
  <c r="CA882" i="4" s="1"/>
  <c r="BY1109" i="4"/>
  <c r="CA1109" i="4" s="1"/>
  <c r="BY281" i="4"/>
  <c r="CA281" i="4" s="1"/>
  <c r="BY280" i="4"/>
  <c r="CA280" i="4" s="1"/>
  <c r="BY278" i="4"/>
  <c r="CA278" i="4" s="1"/>
  <c r="BY1058" i="4"/>
  <c r="CA1058" i="4" s="1"/>
  <c r="BY66" i="4"/>
  <c r="CA66" i="4" s="1"/>
  <c r="BY566" i="4"/>
  <c r="CA566" i="4" s="1"/>
  <c r="BY932" i="4"/>
  <c r="CA932" i="4" s="1"/>
  <c r="BY1147" i="4"/>
  <c r="BY1181" i="4"/>
  <c r="CA1181" i="4" s="1"/>
  <c r="BY928" i="4"/>
  <c r="CA928" i="4" s="1"/>
  <c r="BY1055" i="4"/>
  <c r="CA1055" i="4" s="1"/>
  <c r="BY802" i="4"/>
  <c r="CA802" i="4" s="1"/>
  <c r="BY1149" i="4"/>
  <c r="CA1149" i="4" s="1"/>
  <c r="BY811" i="4"/>
  <c r="CA811" i="4" s="1"/>
  <c r="BY165" i="4"/>
  <c r="CA165" i="4" s="1"/>
  <c r="BY958" i="4"/>
  <c r="CA958" i="4" s="1"/>
  <c r="BY605" i="4"/>
  <c r="CA605" i="4" s="1"/>
  <c r="BY801" i="4"/>
  <c r="CA801" i="4" s="1"/>
  <c r="BY1099" i="4"/>
  <c r="CA1099" i="4" s="1"/>
  <c r="BY1090" i="4"/>
  <c r="CA1090" i="4" s="1"/>
  <c r="BY1184" i="4"/>
  <c r="BY1110" i="4"/>
  <c r="CA1110" i="4" s="1"/>
  <c r="BY1166" i="4"/>
  <c r="CA1166" i="4" s="1"/>
  <c r="BY150" i="4"/>
  <c r="CA150" i="4" s="1"/>
  <c r="BY1002" i="4"/>
  <c r="CA1002" i="4" s="1"/>
  <c r="BY43" i="4"/>
  <c r="CA43" i="4" s="1"/>
  <c r="BY898" i="4"/>
  <c r="CA898" i="4" s="1"/>
  <c r="BY970" i="4"/>
  <c r="CA970" i="4" s="1"/>
  <c r="BY28" i="4"/>
  <c r="CA28" i="4" s="1"/>
  <c r="BY1085" i="4"/>
  <c r="CA1085" i="4" s="1"/>
  <c r="BY914" i="4"/>
  <c r="CA914" i="4" s="1"/>
  <c r="BY1194" i="4"/>
  <c r="CA1194" i="4" s="1"/>
  <c r="BY1173" i="4"/>
  <c r="CA1173" i="4" s="1"/>
  <c r="BY915" i="4"/>
  <c r="CA915" i="4" s="1"/>
  <c r="BY84" i="4"/>
  <c r="CA84" i="4" s="1"/>
  <c r="BY1033" i="4"/>
  <c r="CA1033" i="4" s="1"/>
  <c r="BY39" i="4"/>
  <c r="CA39" i="4" s="1"/>
  <c r="BY991" i="4"/>
  <c r="CA991" i="4" s="1"/>
  <c r="BY1162" i="4"/>
  <c r="CA1162" i="4" s="1"/>
  <c r="BY639" i="4"/>
  <c r="CA639" i="4" s="1"/>
  <c r="BX24" i="1"/>
  <c r="BY366" i="4"/>
  <c r="CA366" i="4" s="1"/>
  <c r="BY374" i="4"/>
  <c r="CA374" i="4" s="1"/>
  <c r="BY60" i="4"/>
  <c r="CA60" i="4" s="1"/>
  <c r="BY688" i="4"/>
  <c r="CA688" i="4" s="1"/>
  <c r="BY204" i="4"/>
  <c r="CA204" i="4" s="1"/>
  <c r="BY338" i="4"/>
  <c r="CA338" i="4" s="1"/>
  <c r="BY887" i="4"/>
  <c r="CA887" i="4" s="1"/>
  <c r="BY831" i="4"/>
  <c r="CA831" i="4" s="1"/>
  <c r="BY342" i="4"/>
  <c r="CA342" i="4" s="1"/>
  <c r="BY741" i="4"/>
  <c r="CA741" i="4" s="1"/>
  <c r="BY220" i="4"/>
  <c r="CA220" i="4" s="1"/>
  <c r="BY670" i="4"/>
  <c r="CA670" i="4" s="1"/>
  <c r="BY8" i="4"/>
  <c r="CA8" i="4" s="1"/>
  <c r="BY637" i="4"/>
  <c r="CA637" i="4" s="1"/>
  <c r="BY249" i="4"/>
  <c r="CA249" i="4" s="1"/>
  <c r="BY173" i="4"/>
  <c r="CA173" i="4" s="1"/>
  <c r="BY551" i="4"/>
  <c r="CA551" i="4" s="1"/>
  <c r="BY276" i="4"/>
  <c r="CA276" i="4" s="1"/>
  <c r="BY999" i="4"/>
  <c r="CA999" i="4" s="1"/>
  <c r="BY133" i="4"/>
  <c r="CA133" i="4" s="1"/>
  <c r="BY123" i="4"/>
  <c r="CA123" i="4" s="1"/>
  <c r="BY889" i="4"/>
  <c r="CA889" i="4" s="1"/>
  <c r="BY821" i="4"/>
  <c r="CA821" i="4" s="1"/>
  <c r="BY632" i="4"/>
  <c r="CA632" i="4" s="1"/>
  <c r="BY769" i="4"/>
  <c r="CA769" i="4" s="1"/>
  <c r="BY1144" i="4"/>
  <c r="CA1144" i="4" s="1"/>
  <c r="BY665" i="4"/>
  <c r="CA665" i="4" s="1"/>
  <c r="BY797" i="4"/>
  <c r="CA797" i="4" s="1"/>
  <c r="BY1171" i="4"/>
  <c r="CA1171" i="4" s="1"/>
  <c r="BY871" i="4"/>
  <c r="CA871" i="4" s="1"/>
  <c r="BY717" i="4"/>
  <c r="CA717" i="4" s="1"/>
  <c r="BY497" i="4"/>
  <c r="CA497" i="4" s="1"/>
  <c r="BY272" i="4"/>
  <c r="CA272" i="4" s="1"/>
  <c r="BY563" i="4"/>
  <c r="CA563" i="4" s="1"/>
  <c r="BY604" i="4"/>
  <c r="CA604" i="4" s="1"/>
  <c r="BY713" i="4"/>
  <c r="CA713" i="4" s="1"/>
  <c r="BY899" i="4"/>
  <c r="CA899" i="4" s="1"/>
  <c r="BY760" i="4"/>
  <c r="CA760" i="4" s="1"/>
  <c r="BY559" i="4"/>
  <c r="CA559" i="4" s="1"/>
  <c r="BY699" i="4"/>
  <c r="CA699" i="4" s="1"/>
  <c r="BY482" i="4"/>
  <c r="CA482" i="4" s="1"/>
  <c r="BY1121" i="4"/>
  <c r="CA1121" i="4" s="1"/>
  <c r="BY1062" i="4"/>
  <c r="CA1062" i="4" s="1"/>
  <c r="BY254" i="4"/>
  <c r="CA254" i="4" s="1"/>
  <c r="BY12" i="4"/>
  <c r="CA12" i="4" s="1"/>
  <c r="BY256" i="4"/>
  <c r="CA256" i="4" s="1"/>
  <c r="BY258" i="4"/>
  <c r="CA258" i="4" s="1"/>
  <c r="BY758" i="4"/>
  <c r="CA758" i="4" s="1"/>
  <c r="BY896" i="4"/>
  <c r="CA896" i="4" s="1"/>
  <c r="BY1053" i="4"/>
  <c r="CA1053" i="4" s="1"/>
  <c r="BY247" i="4"/>
  <c r="CA247" i="4" s="1"/>
  <c r="BY753" i="4"/>
  <c r="CA753" i="4" s="1"/>
  <c r="BY1093" i="4"/>
  <c r="CA1093" i="4" s="1"/>
  <c r="BY114" i="4"/>
  <c r="CA114" i="4" s="1"/>
  <c r="BY590" i="4"/>
  <c r="BY926" i="4"/>
  <c r="CA926" i="4" s="1"/>
  <c r="BY589" i="4"/>
  <c r="CA589" i="4" s="1"/>
  <c r="BY371" i="4"/>
  <c r="CA371" i="4" s="1"/>
  <c r="BY750" i="4"/>
  <c r="CA750" i="4" s="1"/>
  <c r="BY201" i="4"/>
  <c r="CA201" i="4" s="1"/>
  <c r="BY843" i="4"/>
  <c r="CA843" i="4" s="1"/>
  <c r="BY424" i="4"/>
  <c r="CA424" i="4" s="1"/>
  <c r="BY4" i="4"/>
  <c r="CA4" i="4" s="1"/>
  <c r="BY361" i="4"/>
  <c r="CA361" i="4" s="1"/>
  <c r="BY925" i="4"/>
  <c r="CA925" i="4" s="1"/>
  <c r="BY336" i="4"/>
  <c r="CA336" i="4" s="1"/>
  <c r="BY178" i="4"/>
  <c r="CA178" i="4" s="1"/>
  <c r="BY149" i="4"/>
  <c r="CA149" i="4" s="1"/>
  <c r="BY315" i="4"/>
  <c r="CA315" i="4" s="1"/>
  <c r="BY321" i="4"/>
  <c r="CA321" i="4" s="1"/>
  <c r="BY299" i="4"/>
  <c r="CA299" i="4" s="1"/>
  <c r="BY731" i="4"/>
  <c r="CA731" i="4" s="1"/>
  <c r="BY564" i="4"/>
  <c r="CA564" i="4" s="1"/>
  <c r="BY767" i="4"/>
  <c r="CA767" i="4" s="1"/>
  <c r="BY175" i="4"/>
  <c r="CA175" i="4" s="1"/>
  <c r="BY156" i="4"/>
  <c r="CA156" i="4" s="1"/>
  <c r="BY901" i="4"/>
  <c r="CA901" i="4" s="1"/>
  <c r="BY449" i="4"/>
  <c r="CA449" i="4" s="1"/>
  <c r="BY131" i="4"/>
  <c r="CA131" i="4" s="1"/>
  <c r="BY1007" i="4"/>
  <c r="CA1007" i="4" s="1"/>
  <c r="BY154" i="4"/>
  <c r="CA154" i="4" s="1"/>
  <c r="BY478" i="4"/>
  <c r="CA478" i="4" s="1"/>
  <c r="BY636" i="4"/>
  <c r="CA636" i="4" s="1"/>
  <c r="BY819" i="4"/>
  <c r="CA819" i="4" s="1"/>
  <c r="BY888" i="4"/>
  <c r="CA888" i="4" s="1"/>
  <c r="BY808" i="4"/>
  <c r="CA808" i="4" s="1"/>
  <c r="BY765" i="4"/>
  <c r="CA765" i="4" s="1"/>
  <c r="BY496" i="4"/>
  <c r="CA496" i="4" s="1"/>
  <c r="BY606" i="4"/>
  <c r="CA606" i="4" s="1"/>
  <c r="BY986" i="4"/>
  <c r="CA986" i="4" s="1"/>
  <c r="BY603" i="4"/>
  <c r="CA603" i="4" s="1"/>
  <c r="BY1026" i="4"/>
  <c r="CA1026" i="4" s="1"/>
  <c r="BY1095" i="4"/>
  <c r="CA1095" i="4" s="1"/>
  <c r="BY918" i="4"/>
  <c r="CA918" i="4" s="1"/>
  <c r="BY86" i="4"/>
  <c r="CA86" i="4" s="1"/>
  <c r="BY865" i="4"/>
  <c r="CA865" i="4" s="1"/>
  <c r="BY788" i="4"/>
  <c r="CA788" i="4" s="1"/>
  <c r="BY912" i="4"/>
  <c r="CA912" i="4" s="1"/>
  <c r="BY983" i="4"/>
  <c r="CA983" i="4" s="1"/>
  <c r="BY46" i="4"/>
  <c r="CA46" i="4" s="1"/>
  <c r="BY994" i="4"/>
  <c r="CA994" i="4" s="1"/>
  <c r="BY1105" i="4"/>
  <c r="CA1105" i="4" s="1"/>
  <c r="BY1006" i="4"/>
  <c r="CA1006" i="4" s="1"/>
  <c r="BY47" i="4"/>
  <c r="CA47" i="4" s="1"/>
  <c r="BY598" i="4"/>
  <c r="CA598" i="4" s="1"/>
  <c r="BY971" i="4"/>
  <c r="CA971" i="4" s="1"/>
  <c r="BY484" i="4"/>
  <c r="CA484" i="4" s="1"/>
  <c r="BY705" i="4"/>
  <c r="CA705" i="4" s="1"/>
  <c r="BY1034" i="4"/>
  <c r="CA1034" i="4" s="1"/>
  <c r="BY703" i="4"/>
  <c r="CA703" i="4" s="1"/>
  <c r="BY910" i="4"/>
  <c r="CA910" i="4" s="1"/>
  <c r="BY785" i="4"/>
  <c r="CA785" i="4" s="1"/>
  <c r="BY638" i="4"/>
  <c r="CA638" i="4" s="1"/>
  <c r="BX52" i="1"/>
  <c r="BX41" i="1"/>
  <c r="BX25" i="1"/>
  <c r="BX28" i="1"/>
  <c r="BX37" i="1"/>
  <c r="BX56" i="1"/>
  <c r="BX14" i="1"/>
  <c r="BX50" i="1"/>
  <c r="BX32" i="1"/>
  <c r="BX30" i="1"/>
  <c r="BX29" i="1"/>
  <c r="BX34" i="1"/>
  <c r="BX22" i="1"/>
  <c r="BX5" i="1"/>
  <c r="BX19" i="1"/>
  <c r="BX42" i="1"/>
  <c r="BX31" i="1"/>
  <c r="BX26" i="1"/>
  <c r="BO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M2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L2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J11" i="2"/>
  <c r="J10" i="2"/>
  <c r="J18" i="2"/>
  <c r="J17" i="2"/>
  <c r="R58" i="1"/>
  <c r="Q58" i="1" s="1"/>
  <c r="BD58" i="1" s="1"/>
  <c r="BZ58" i="1" s="1"/>
  <c r="R57" i="1"/>
  <c r="Q57" i="1" s="1"/>
  <c r="BD57" i="1" s="1"/>
  <c r="R56" i="1"/>
  <c r="Q56" i="1" s="1"/>
  <c r="BD56" i="1" s="1"/>
  <c r="BZ56" i="1" s="1"/>
  <c r="R55" i="1"/>
  <c r="Q55" i="1" s="1"/>
  <c r="BD55" i="1" s="1"/>
  <c r="R54" i="1"/>
  <c r="Q54" i="1" s="1"/>
  <c r="BD54" i="1" s="1"/>
  <c r="BZ54" i="1" s="1"/>
  <c r="R53" i="1"/>
  <c r="Q53" i="1" s="1"/>
  <c r="BD53" i="1" s="1"/>
  <c r="R52" i="1"/>
  <c r="Q52" i="1" s="1"/>
  <c r="BD52" i="1" s="1"/>
  <c r="R51" i="1"/>
  <c r="Q51" i="1" s="1"/>
  <c r="BD51" i="1" s="1"/>
  <c r="R50" i="1"/>
  <c r="Q50" i="1" s="1"/>
  <c r="BD50" i="1" s="1"/>
  <c r="R49" i="1"/>
  <c r="Q49" i="1" s="1"/>
  <c r="BD49" i="1" s="1"/>
  <c r="R48" i="1"/>
  <c r="Q48" i="1" s="1"/>
  <c r="BD48" i="1" s="1"/>
  <c r="BZ48" i="1" s="1"/>
  <c r="R47" i="1"/>
  <c r="Q47" i="1" s="1"/>
  <c r="BD47" i="1" s="1"/>
  <c r="R46" i="1"/>
  <c r="Q46" i="1" s="1"/>
  <c r="BD46" i="1" s="1"/>
  <c r="R45" i="1"/>
  <c r="Q45" i="1" s="1"/>
  <c r="BD45" i="1" s="1"/>
  <c r="R44" i="1"/>
  <c r="Q44" i="1" s="1"/>
  <c r="BD44" i="1" s="1"/>
  <c r="R43" i="1"/>
  <c r="Q43" i="1" s="1"/>
  <c r="BD43" i="1" s="1"/>
  <c r="R42" i="1"/>
  <c r="Q42" i="1" s="1"/>
  <c r="BD42" i="1" s="1"/>
  <c r="R41" i="1"/>
  <c r="Q41" i="1" s="1"/>
  <c r="BD41" i="1" s="1"/>
  <c r="R40" i="1"/>
  <c r="Q40" i="1" s="1"/>
  <c r="BD40" i="1" s="1"/>
  <c r="R39" i="1"/>
  <c r="Q39" i="1" s="1"/>
  <c r="BD39" i="1" s="1"/>
  <c r="R38" i="1"/>
  <c r="Q38" i="1" s="1"/>
  <c r="BD38" i="1" s="1"/>
  <c r="R37" i="1"/>
  <c r="Q37" i="1" s="1"/>
  <c r="BD37" i="1" s="1"/>
  <c r="R36" i="1"/>
  <c r="Q36" i="1" s="1"/>
  <c r="BD36" i="1" s="1"/>
  <c r="BZ36" i="1" s="1"/>
  <c r="R35" i="1"/>
  <c r="Q35" i="1" s="1"/>
  <c r="BD35" i="1" s="1"/>
  <c r="R34" i="1"/>
  <c r="Q34" i="1" s="1"/>
  <c r="BD34" i="1" s="1"/>
  <c r="BZ34" i="1" s="1"/>
  <c r="R33" i="1"/>
  <c r="Q33" i="1" s="1"/>
  <c r="BD33" i="1" s="1"/>
  <c r="R32" i="1"/>
  <c r="Q32" i="1" s="1"/>
  <c r="BD32" i="1" s="1"/>
  <c r="BZ32" i="1" s="1"/>
  <c r="R31" i="1"/>
  <c r="Q31" i="1" s="1"/>
  <c r="BD31" i="1" s="1"/>
  <c r="R30" i="1"/>
  <c r="Q30" i="1" s="1"/>
  <c r="BD30" i="1" s="1"/>
  <c r="BZ30" i="1" s="1"/>
  <c r="R29" i="1"/>
  <c r="Q29" i="1" s="1"/>
  <c r="BD29" i="1" s="1"/>
  <c r="R28" i="1"/>
  <c r="Q28" i="1" s="1"/>
  <c r="BD28" i="1" s="1"/>
  <c r="R27" i="1"/>
  <c r="Q27" i="1" s="1"/>
  <c r="BD27" i="1" s="1"/>
  <c r="R26" i="1"/>
  <c r="Q26" i="1" s="1"/>
  <c r="BD26" i="1" s="1"/>
  <c r="R25" i="1"/>
  <c r="Q25" i="1" s="1"/>
  <c r="BD25" i="1" s="1"/>
  <c r="R24" i="1"/>
  <c r="Q24" i="1" s="1"/>
  <c r="BD24" i="1" s="1"/>
  <c r="BZ24" i="1" s="1"/>
  <c r="R23" i="1"/>
  <c r="Q23" i="1" s="1"/>
  <c r="BD23" i="1" s="1"/>
  <c r="R22" i="1"/>
  <c r="Q22" i="1" s="1"/>
  <c r="BD22" i="1" s="1"/>
  <c r="R21" i="1"/>
  <c r="Q21" i="1" s="1"/>
  <c r="BD21" i="1" s="1"/>
  <c r="R20" i="1"/>
  <c r="Q20" i="1" s="1"/>
  <c r="BD20" i="1" s="1"/>
  <c r="R19" i="1"/>
  <c r="Q19" i="1" s="1"/>
  <c r="BD19" i="1" s="1"/>
  <c r="R18" i="1"/>
  <c r="Q18" i="1" s="1"/>
  <c r="BD18" i="1" s="1"/>
  <c r="R17" i="1"/>
  <c r="Q17" i="1" s="1"/>
  <c r="BD17" i="1" s="1"/>
  <c r="R16" i="1"/>
  <c r="Q16" i="1" s="1"/>
  <c r="BD16" i="1" s="1"/>
  <c r="R15" i="1"/>
  <c r="Q15" i="1" s="1"/>
  <c r="BD15" i="1" s="1"/>
  <c r="R14" i="1"/>
  <c r="Q14" i="1" s="1"/>
  <c r="BD14" i="1" s="1"/>
  <c r="R13" i="1"/>
  <c r="Q13" i="1" s="1"/>
  <c r="BD13" i="1" s="1"/>
  <c r="R12" i="1"/>
  <c r="Q12" i="1" s="1"/>
  <c r="BD12" i="1" s="1"/>
  <c r="BZ12" i="1" s="1"/>
  <c r="R11" i="1"/>
  <c r="Q11" i="1" s="1"/>
  <c r="BD11" i="1" s="1"/>
  <c r="BZ11" i="1" s="1"/>
  <c r="R10" i="1"/>
  <c r="Q10" i="1" s="1"/>
  <c r="BD10" i="1" s="1"/>
  <c r="BZ10" i="1" s="1"/>
  <c r="R9" i="1"/>
  <c r="Q9" i="1" s="1"/>
  <c r="BD9" i="1" s="1"/>
  <c r="R8" i="1"/>
  <c r="Q8" i="1" s="1"/>
  <c r="BD8" i="1" s="1"/>
  <c r="BZ8" i="1" s="1"/>
  <c r="R7" i="1"/>
  <c r="Q7" i="1" s="1"/>
  <c r="BD7" i="1" s="1"/>
  <c r="R6" i="1"/>
  <c r="Q6" i="1" s="1"/>
  <c r="BD6" i="1" s="1"/>
  <c r="BZ6" i="1" s="1"/>
  <c r="R5" i="1"/>
  <c r="Q5" i="1" s="1"/>
  <c r="BD5" i="1" s="1"/>
  <c r="R4" i="1"/>
  <c r="Q4" i="1" s="1"/>
  <c r="BD4" i="1" s="1"/>
  <c r="R3" i="1"/>
  <c r="Q3" i="1" s="1"/>
  <c r="BD3" i="1" s="1"/>
  <c r="R2" i="1"/>
  <c r="Q2" i="1" s="1"/>
  <c r="BD2" i="1" s="1"/>
  <c r="BZ44" i="1" l="1"/>
  <c r="BZ22" i="1"/>
  <c r="BZ46" i="1"/>
  <c r="BZ20" i="1"/>
  <c r="BZ23" i="1"/>
  <c r="BZ25" i="1"/>
  <c r="BZ2" i="1"/>
  <c r="BZ26" i="1"/>
  <c r="BZ4" i="1"/>
  <c r="BZ28" i="1"/>
  <c r="BZ52" i="1"/>
  <c r="BZ37" i="1"/>
  <c r="BZ38" i="1"/>
  <c r="BZ13" i="1"/>
  <c r="BZ40" i="1"/>
  <c r="BZ14" i="1"/>
  <c r="BZ42" i="1"/>
  <c r="BZ16" i="1"/>
  <c r="BZ18" i="1"/>
  <c r="BZ7" i="1"/>
  <c r="BZ19" i="1"/>
  <c r="BZ31" i="1"/>
  <c r="BZ43" i="1"/>
  <c r="BZ55" i="1"/>
  <c r="BY50" i="1"/>
  <c r="CB50" i="1" s="1"/>
  <c r="BY38" i="1"/>
  <c r="CB38" i="1" s="1"/>
  <c r="BY26" i="1"/>
  <c r="CB26" i="1" s="1"/>
  <c r="BY14" i="1"/>
  <c r="CB14" i="1" s="1"/>
  <c r="BL1128" i="4"/>
  <c r="BS1128" i="4" s="1"/>
  <c r="CA1128" i="4" s="1"/>
  <c r="BL1200" i="4"/>
  <c r="BS1200" i="4" s="1"/>
  <c r="CA1200" i="4" s="1"/>
  <c r="CC1200" i="4" s="1"/>
  <c r="CE1200" i="4" s="1"/>
  <c r="BL1201" i="4"/>
  <c r="BS1201" i="4" s="1"/>
  <c r="CA1201" i="4" s="1"/>
  <c r="BL375" i="4"/>
  <c r="BS375" i="4" s="1"/>
  <c r="BL664" i="4"/>
  <c r="BS664" i="4" s="1"/>
  <c r="CA664" i="4" s="1"/>
  <c r="BL89" i="4"/>
  <c r="BS89" i="4" s="1"/>
  <c r="CA89" i="4" s="1"/>
  <c r="BL101" i="4"/>
  <c r="BS101" i="4" s="1"/>
  <c r="CA101" i="4" s="1"/>
  <c r="CC101" i="4" s="1"/>
  <c r="CE101" i="4" s="1"/>
  <c r="BL1182" i="4"/>
  <c r="BS1182" i="4" s="1"/>
  <c r="CA1182" i="4" s="1"/>
  <c r="BL343" i="4"/>
  <c r="BS343" i="4" s="1"/>
  <c r="CA343" i="4" s="1"/>
  <c r="BL451" i="4"/>
  <c r="BS451" i="4" s="1"/>
  <c r="CA451" i="4" s="1"/>
  <c r="CC451" i="4" s="1"/>
  <c r="CE451" i="4" s="1"/>
  <c r="BL1147" i="4"/>
  <c r="BS1147" i="4" s="1"/>
  <c r="CA1147" i="4" s="1"/>
  <c r="BL98" i="4"/>
  <c r="BS98" i="4" s="1"/>
  <c r="CA98" i="4" s="1"/>
  <c r="BL266" i="4"/>
  <c r="BS266" i="4" s="1"/>
  <c r="CA266" i="4" s="1"/>
  <c r="CC266" i="4" s="1"/>
  <c r="CE266" i="4" s="1"/>
  <c r="BL1142" i="4"/>
  <c r="BS1142" i="4" s="1"/>
  <c r="CA1142" i="4" s="1"/>
  <c r="CC1142" i="4" s="1"/>
  <c r="CE1142" i="4" s="1"/>
  <c r="BL79" i="4"/>
  <c r="BS79" i="4" s="1"/>
  <c r="CA79" i="4" s="1"/>
  <c r="CC79" i="4" s="1"/>
  <c r="CE79" i="4" s="1"/>
  <c r="CA375" i="4"/>
  <c r="BZ50" i="1"/>
  <c r="BY2" i="1"/>
  <c r="CB2" i="1" s="1"/>
  <c r="CC2" i="1" s="1"/>
  <c r="CA2" i="4"/>
  <c r="CC2" i="4" s="1"/>
  <c r="CE2" i="4" s="1"/>
  <c r="CA1160" i="4"/>
  <c r="CC1160" i="4" s="1"/>
  <c r="CA633" i="4"/>
  <c r="CC633" i="4" s="1"/>
  <c r="CA634" i="4"/>
  <c r="CC634" i="4" s="1"/>
  <c r="CA867" i="4"/>
  <c r="CC867" i="4" s="1"/>
  <c r="CA629" i="4"/>
  <c r="CC629" i="4" s="1"/>
  <c r="CA26" i="4"/>
  <c r="CC26" i="4" s="1"/>
  <c r="CA594" i="4"/>
  <c r="CC594" i="4" s="1"/>
  <c r="CA167" i="4"/>
  <c r="CC167" i="4" s="1"/>
  <c r="CA463" i="4"/>
  <c r="CC463" i="4" s="1"/>
  <c r="CA1097" i="4"/>
  <c r="CC1097" i="4" s="1"/>
  <c r="CA590" i="4"/>
  <c r="CC590" i="4" s="1"/>
  <c r="CA219" i="4"/>
  <c r="CC219" i="4" s="1"/>
  <c r="CA539" i="4"/>
  <c r="CC539" i="4" s="1"/>
  <c r="CA1078" i="4"/>
  <c r="CC1078" i="4" s="1"/>
  <c r="CA1184" i="4"/>
  <c r="CC1184" i="4" s="1"/>
  <c r="CF740" i="4"/>
  <c r="CH740" i="4" s="1"/>
  <c r="CF777" i="4"/>
  <c r="CH777" i="4" s="1"/>
  <c r="CF729" i="4"/>
  <c r="CH729" i="4" s="1"/>
  <c r="CF504" i="4"/>
  <c r="CH504" i="4" s="1"/>
  <c r="CF223" i="4"/>
  <c r="CH223" i="4" s="1"/>
  <c r="CF437" i="4"/>
  <c r="CH437" i="4" s="1"/>
  <c r="CF474" i="4"/>
  <c r="CH474" i="4" s="1"/>
  <c r="CF964" i="4"/>
  <c r="CH964" i="4" s="1"/>
  <c r="CF221" i="4"/>
  <c r="CH221" i="4" s="1"/>
  <c r="CF635" i="4"/>
  <c r="CH635" i="4" s="1"/>
  <c r="CF947" i="4"/>
  <c r="CH947" i="4" s="1"/>
  <c r="CF227" i="4"/>
  <c r="CH227" i="4" s="1"/>
  <c r="CF7" i="4"/>
  <c r="CH7" i="4" s="1"/>
  <c r="CF692" i="4"/>
  <c r="CH692" i="4" s="1"/>
  <c r="CF473" i="4"/>
  <c r="CH473" i="4" s="1"/>
  <c r="CF1111" i="4"/>
  <c r="CH1111" i="4" s="1"/>
  <c r="CF226" i="4"/>
  <c r="CH226" i="4" s="1"/>
  <c r="CF222" i="4"/>
  <c r="CH222" i="4" s="1"/>
  <c r="CF467" i="4"/>
  <c r="CH467" i="4" s="1"/>
  <c r="CF907" i="4"/>
  <c r="CH907" i="4" s="1"/>
  <c r="CF69" i="4"/>
  <c r="CH69" i="4" s="1"/>
  <c r="CF943" i="4"/>
  <c r="CH943" i="4" s="1"/>
  <c r="CF726" i="4"/>
  <c r="CH726" i="4" s="1"/>
  <c r="CF756" i="4"/>
  <c r="CH756" i="4" s="1"/>
  <c r="CF442" i="4"/>
  <c r="CH442" i="4" s="1"/>
  <c r="CF845" i="4"/>
  <c r="CH845" i="4" s="1"/>
  <c r="CF110" i="4"/>
  <c r="CH110" i="4" s="1"/>
  <c r="CF42" i="4"/>
  <c r="CH42" i="4" s="1"/>
  <c r="CF596" i="4"/>
  <c r="CH596" i="4" s="1"/>
  <c r="CF471" i="4"/>
  <c r="CH471" i="4" s="1"/>
  <c r="CF595" i="4"/>
  <c r="CH595" i="4" s="1"/>
  <c r="CF109" i="4"/>
  <c r="CH109" i="4" s="1"/>
  <c r="CF960" i="4"/>
  <c r="CH960" i="4" s="1"/>
  <c r="CF348" i="4"/>
  <c r="CH348" i="4" s="1"/>
  <c r="CF469" i="4"/>
  <c r="CH469" i="4" s="1"/>
  <c r="CF850" i="4"/>
  <c r="CH850" i="4" s="1"/>
  <c r="CF224" i="4"/>
  <c r="CH224" i="4" s="1"/>
  <c r="CF470" i="4"/>
  <c r="CH470" i="4" s="1"/>
  <c r="CF1136" i="4"/>
  <c r="CH1136" i="4" s="1"/>
  <c r="CF472" i="4"/>
  <c r="CH472" i="4" s="1"/>
  <c r="CF41" i="4"/>
  <c r="CH41" i="4" s="1"/>
  <c r="CF702" i="4"/>
  <c r="CH702" i="4" s="1"/>
  <c r="CF837" i="4"/>
  <c r="CH837" i="4" s="1"/>
  <c r="CF1116" i="4"/>
  <c r="CH1116" i="4" s="1"/>
  <c r="CF466" i="4"/>
  <c r="CH466" i="4" s="1"/>
  <c r="CF955" i="4"/>
  <c r="CH955" i="4" s="1"/>
  <c r="CF1023" i="4"/>
  <c r="CH1023" i="4" s="1"/>
  <c r="CF502" i="4"/>
  <c r="CH502" i="4" s="1"/>
  <c r="CF1204" i="4"/>
  <c r="CH1204" i="4" s="1"/>
  <c r="CF934" i="4"/>
  <c r="CH934" i="4" s="1"/>
  <c r="CF579" i="4"/>
  <c r="CH579" i="4" s="1"/>
  <c r="CF333" i="4"/>
  <c r="CH333" i="4" s="1"/>
  <c r="CF108" i="4"/>
  <c r="CH108" i="4" s="1"/>
  <c r="CF225" i="4"/>
  <c r="CH225" i="4" s="1"/>
  <c r="CC402" i="4"/>
  <c r="CE402" i="4" s="1"/>
  <c r="CC122" i="4"/>
  <c r="CE122" i="4" s="1"/>
  <c r="CC878" i="4"/>
  <c r="CE878" i="4" s="1"/>
  <c r="CC198" i="4"/>
  <c r="CE198" i="4" s="1"/>
  <c r="CC312" i="4"/>
  <c r="CE312" i="4" s="1"/>
  <c r="CC208" i="4"/>
  <c r="CE208" i="4" s="1"/>
  <c r="CC135" i="4"/>
  <c r="CE135" i="4" s="1"/>
  <c r="CC514" i="4"/>
  <c r="CE514" i="4" s="1"/>
  <c r="CC125" i="4"/>
  <c r="CE125" i="4" s="1"/>
  <c r="CC554" i="4"/>
  <c r="CE554" i="4" s="1"/>
  <c r="CC838" i="4"/>
  <c r="CE838" i="4" s="1"/>
  <c r="CC113" i="4"/>
  <c r="CE113" i="4" s="1"/>
  <c r="CC995" i="4"/>
  <c r="CE995" i="4" s="1"/>
  <c r="CC620" i="4"/>
  <c r="CE620" i="4" s="1"/>
  <c r="CC306" i="4"/>
  <c r="CE306" i="4" s="1"/>
  <c r="CC369" i="4"/>
  <c r="CE369" i="4" s="1"/>
  <c r="CC1122" i="4"/>
  <c r="CE1122" i="4" s="1"/>
  <c r="CC400" i="4"/>
  <c r="CE400" i="4" s="1"/>
  <c r="CC343" i="4"/>
  <c r="CE343" i="4" s="1"/>
  <c r="CC904" i="4"/>
  <c r="CE904" i="4" s="1"/>
  <c r="CC577" i="4"/>
  <c r="CE577" i="4" s="1"/>
  <c r="CC267" i="4"/>
  <c r="CE267" i="4" s="1"/>
  <c r="CC1176" i="4"/>
  <c r="CE1176" i="4" s="1"/>
  <c r="CC479" i="4"/>
  <c r="CE479" i="4" s="1"/>
  <c r="CC783" i="4"/>
  <c r="CE783" i="4" s="1"/>
  <c r="CC937" i="4"/>
  <c r="CE937" i="4" s="1"/>
  <c r="CC316" i="4"/>
  <c r="CE316" i="4" s="1"/>
  <c r="CC1130" i="4"/>
  <c r="CE1130" i="4" s="1"/>
  <c r="CC1186" i="4"/>
  <c r="CE1186" i="4" s="1"/>
  <c r="CC525" i="4"/>
  <c r="CE525" i="4" s="1"/>
  <c r="CC575" i="4"/>
  <c r="CE575" i="4" s="1"/>
  <c r="CC59" i="4"/>
  <c r="CE59" i="4" s="1"/>
  <c r="CC55" i="4"/>
  <c r="CE55" i="4" s="1"/>
  <c r="CC185" i="4"/>
  <c r="CE185" i="4" s="1"/>
  <c r="CC612" i="4"/>
  <c r="CE612" i="4" s="1"/>
  <c r="CC172" i="4"/>
  <c r="CE172" i="4" s="1"/>
  <c r="CC608" i="4"/>
  <c r="CE608" i="4" s="1"/>
  <c r="CC192" i="4"/>
  <c r="CE192" i="4" s="1"/>
  <c r="CC195" i="4"/>
  <c r="CE195" i="4" s="1"/>
  <c r="CC103" i="4"/>
  <c r="CE103" i="4" s="1"/>
  <c r="CC677" i="4"/>
  <c r="CE677" i="4" s="1"/>
  <c r="CC365" i="4"/>
  <c r="CE365" i="4" s="1"/>
  <c r="CC104" i="4"/>
  <c r="CE104" i="4" s="1"/>
  <c r="CC98" i="4"/>
  <c r="CE98" i="4" s="1"/>
  <c r="CC404" i="4"/>
  <c r="CE404" i="4" s="1"/>
  <c r="CC582" i="4"/>
  <c r="CE582" i="4" s="1"/>
  <c r="CC1150" i="4"/>
  <c r="CE1150" i="4" s="1"/>
  <c r="CC782" i="4"/>
  <c r="CE782" i="4" s="1"/>
  <c r="CC370" i="4"/>
  <c r="CE370" i="4" s="1"/>
  <c r="CC211" i="4"/>
  <c r="CE211" i="4" s="1"/>
  <c r="CC73" i="4"/>
  <c r="CE73" i="4" s="1"/>
  <c r="CC1103" i="4"/>
  <c r="CE1103" i="4" s="1"/>
  <c r="CC600" i="4"/>
  <c r="CE600" i="4" s="1"/>
  <c r="CC396" i="4"/>
  <c r="CE396" i="4" s="1"/>
  <c r="CC421" i="4"/>
  <c r="CE421" i="4" s="1"/>
  <c r="CC770" i="4"/>
  <c r="CE770" i="4" s="1"/>
  <c r="CC627" i="4"/>
  <c r="CE627" i="4" s="1"/>
  <c r="CC967" i="4"/>
  <c r="CE967" i="4" s="1"/>
  <c r="CC65" i="4"/>
  <c r="CE65" i="4" s="1"/>
  <c r="CC975" i="4"/>
  <c r="CE975" i="4" s="1"/>
  <c r="CC1061" i="4"/>
  <c r="CE1061" i="4" s="1"/>
  <c r="CC68" i="4"/>
  <c r="CE68" i="4" s="1"/>
  <c r="CC57" i="4"/>
  <c r="CE57" i="4" s="1"/>
  <c r="CC1143" i="4"/>
  <c r="CE1143" i="4" s="1"/>
  <c r="CC673" i="4"/>
  <c r="CE673" i="4" s="1"/>
  <c r="CC694" i="4"/>
  <c r="CE694" i="4" s="1"/>
  <c r="CC145" i="4"/>
  <c r="CE145" i="4" s="1"/>
  <c r="CC1017" i="4"/>
  <c r="CE1017" i="4" s="1"/>
  <c r="CC1076" i="4"/>
  <c r="CE1076" i="4" s="1"/>
  <c r="CC952" i="4"/>
  <c r="CE952" i="4" s="1"/>
  <c r="CC735" i="4"/>
  <c r="CE735" i="4" s="1"/>
  <c r="CC746" i="4"/>
  <c r="CE746" i="4" s="1"/>
  <c r="CC1177" i="4"/>
  <c r="CE1177" i="4" s="1"/>
  <c r="CC905" i="4"/>
  <c r="CE905" i="4" s="1"/>
  <c r="CC191" i="4"/>
  <c r="CE191" i="4" s="1"/>
  <c r="CC574" i="4"/>
  <c r="CE574" i="4" s="1"/>
  <c r="CC1039" i="4"/>
  <c r="CE1039" i="4" s="1"/>
  <c r="CC395" i="4"/>
  <c r="CE395" i="4" s="1"/>
  <c r="CC383" i="4"/>
  <c r="CE383" i="4" s="1"/>
  <c r="CC813" i="4"/>
  <c r="CE813" i="4" s="1"/>
  <c r="CC825" i="4"/>
  <c r="CE825" i="4" s="1"/>
  <c r="CC682" i="4"/>
  <c r="CE682" i="4" s="1"/>
  <c r="CC309" i="4"/>
  <c r="CE309" i="4" s="1"/>
  <c r="CC461" i="4"/>
  <c r="CE461" i="4" s="1"/>
  <c r="CC89" i="4"/>
  <c r="CE89" i="4" s="1"/>
  <c r="CC311" i="4"/>
  <c r="CE311" i="4" s="1"/>
  <c r="CC1040" i="4"/>
  <c r="CE1040" i="4" s="1"/>
  <c r="CC509" i="4"/>
  <c r="CE509" i="4" s="1"/>
  <c r="CC588" i="4"/>
  <c r="CE588" i="4" s="1"/>
  <c r="CC397" i="4"/>
  <c r="CE397" i="4" s="1"/>
  <c r="CC865" i="4"/>
  <c r="CC605" i="4"/>
  <c r="CE605" i="4" s="1"/>
  <c r="CC155" i="4"/>
  <c r="CE155" i="4" s="1"/>
  <c r="CC792" i="4"/>
  <c r="CE792" i="4" s="1"/>
  <c r="CC235" i="4"/>
  <c r="CE235" i="4" s="1"/>
  <c r="CC494" i="4"/>
  <c r="CE494" i="4" s="1"/>
  <c r="CC420" i="4"/>
  <c r="CE420" i="4" s="1"/>
  <c r="CC139" i="4"/>
  <c r="CC431" i="4"/>
  <c r="CE431" i="4" s="1"/>
  <c r="CC187" i="4"/>
  <c r="CC1170" i="4"/>
  <c r="CC484" i="4"/>
  <c r="CC86" i="4"/>
  <c r="CC636" i="4"/>
  <c r="CE636" i="4" s="1"/>
  <c r="CC299" i="4"/>
  <c r="CE299" i="4" s="1"/>
  <c r="CC750" i="4"/>
  <c r="CC258" i="4"/>
  <c r="CE258" i="4" s="1"/>
  <c r="CC604" i="4"/>
  <c r="CC821" i="4"/>
  <c r="CE821" i="4" s="1"/>
  <c r="CC970" i="4"/>
  <c r="CC958" i="4"/>
  <c r="CE958" i="4" s="1"/>
  <c r="CC1058" i="4"/>
  <c r="CC134" i="4"/>
  <c r="CC450" i="4"/>
  <c r="CE450" i="4" s="1"/>
  <c r="CC1180" i="4"/>
  <c r="CC849" i="4"/>
  <c r="CE849" i="4" s="1"/>
  <c r="CC1123" i="4"/>
  <c r="CE1123" i="4" s="1"/>
  <c r="CC651" i="4"/>
  <c r="CE651" i="4" s="1"/>
  <c r="CC384" i="4"/>
  <c r="CE384" i="4" s="1"/>
  <c r="CC1030" i="4"/>
  <c r="CE1030" i="4" s="1"/>
  <c r="CC1047" i="4"/>
  <c r="CE1047" i="4" s="1"/>
  <c r="CC815" i="4"/>
  <c r="CC17" i="4"/>
  <c r="CE17" i="4" s="1"/>
  <c r="CC927" i="4"/>
  <c r="CC1192" i="4"/>
  <c r="CC464" i="4"/>
  <c r="CC643" i="4"/>
  <c r="CC1154" i="4"/>
  <c r="CE1154" i="4" s="1"/>
  <c r="CC203" i="4"/>
  <c r="CE203" i="4" s="1"/>
  <c r="CC255" i="4"/>
  <c r="CE255" i="4" s="1"/>
  <c r="CC981" i="4"/>
  <c r="CE981" i="4" s="1"/>
  <c r="CC684" i="4"/>
  <c r="CE684" i="4" s="1"/>
  <c r="CC585" i="4"/>
  <c r="CE585" i="4" s="1"/>
  <c r="CC250" i="4"/>
  <c r="CC757" i="4"/>
  <c r="CC503" i="4"/>
  <c r="CC1004" i="4"/>
  <c r="CC922" i="4"/>
  <c r="CC14" i="4"/>
  <c r="CC880" i="4"/>
  <c r="CE880" i="4" s="1"/>
  <c r="CC710" i="4"/>
  <c r="CE710" i="4" s="1"/>
  <c r="CC930" i="4"/>
  <c r="CE930" i="4" s="1"/>
  <c r="CC335" i="4"/>
  <c r="CE335" i="4" s="1"/>
  <c r="CC15" i="4"/>
  <c r="CE15" i="4" s="1"/>
  <c r="CC1114" i="4"/>
  <c r="CE1114" i="4" s="1"/>
  <c r="CC202" i="4"/>
  <c r="CC318" i="4"/>
  <c r="CC19" i="4"/>
  <c r="CC1020" i="4"/>
  <c r="CC387" i="4"/>
  <c r="CE387" i="4" s="1"/>
  <c r="CC617" i="4"/>
  <c r="CC828" i="4"/>
  <c r="CE828" i="4" s="1"/>
  <c r="CC313" i="4"/>
  <c r="CE313" i="4" s="1"/>
  <c r="CC303" i="4"/>
  <c r="CE303" i="4" s="1"/>
  <c r="CC1129" i="4"/>
  <c r="CE1129" i="4" s="1"/>
  <c r="CC517" i="4"/>
  <c r="CE517" i="4" s="1"/>
  <c r="CC1044" i="4"/>
  <c r="CE1044" i="4" s="1"/>
  <c r="CC519" i="4"/>
  <c r="CC376" i="4"/>
  <c r="CC344" i="4"/>
  <c r="CC751" i="4"/>
  <c r="CC194" i="4"/>
  <c r="CE194" i="4" s="1"/>
  <c r="CC1015" i="4"/>
  <c r="CC1159" i="4"/>
  <c r="CE1159" i="4" s="1"/>
  <c r="CC550" i="4"/>
  <c r="CE550" i="4" s="1"/>
  <c r="CC779" i="4"/>
  <c r="CE779" i="4" s="1"/>
  <c r="CC28" i="4"/>
  <c r="CC944" i="4"/>
  <c r="CE944" i="4" s="1"/>
  <c r="CC918" i="4"/>
  <c r="CE918" i="4" s="1"/>
  <c r="CC563" i="4"/>
  <c r="CC631" i="4"/>
  <c r="CC961" i="4"/>
  <c r="CC985" i="4"/>
  <c r="CC662" i="4"/>
  <c r="CE662" i="4" s="1"/>
  <c r="CC162" i="4"/>
  <c r="CC243" i="4"/>
  <c r="CE243" i="4" s="1"/>
  <c r="CC241" i="4"/>
  <c r="CE241" i="4" s="1"/>
  <c r="CC919" i="4"/>
  <c r="CE919" i="4" s="1"/>
  <c r="CC601" i="4"/>
  <c r="CE601" i="4" s="1"/>
  <c r="CC1071" i="4"/>
  <c r="CE1071" i="4" s="1"/>
  <c r="CC987" i="4"/>
  <c r="CE987" i="4" s="1"/>
  <c r="CC157" i="4"/>
  <c r="CC523" i="4"/>
  <c r="CE523" i="4" s="1"/>
  <c r="CC935" i="4"/>
  <c r="CE935" i="4" s="1"/>
  <c r="CC1079" i="4"/>
  <c r="CC560" i="4"/>
  <c r="CC1155" i="4"/>
  <c r="CE1155" i="4" s="1"/>
  <c r="CC1000" i="4"/>
  <c r="CE1000" i="4" s="1"/>
  <c r="CC244" i="4"/>
  <c r="CE244" i="4" s="1"/>
  <c r="CC1005" i="4"/>
  <c r="CE1005" i="4" s="1"/>
  <c r="CC293" i="4"/>
  <c r="CE293" i="4" s="1"/>
  <c r="CC778" i="4"/>
  <c r="CE778" i="4" s="1"/>
  <c r="CC1202" i="4"/>
  <c r="CE1202" i="4" s="1"/>
  <c r="CC346" i="4"/>
  <c r="CC1163" i="4"/>
  <c r="CE1163" i="4" s="1"/>
  <c r="CC781" i="4"/>
  <c r="CC273" i="4"/>
  <c r="CE273" i="4" s="1"/>
  <c r="CC615" i="4"/>
  <c r="CC166" i="4"/>
  <c r="CC695" i="4"/>
  <c r="CE695" i="4" s="1"/>
  <c r="CC730" i="4"/>
  <c r="CE730" i="4" s="1"/>
  <c r="CC830" i="4"/>
  <c r="CE830" i="4" s="1"/>
  <c r="CC1077" i="4"/>
  <c r="CE1077" i="4" s="1"/>
  <c r="CC20" i="4"/>
  <c r="CE20" i="4" s="1"/>
  <c r="CC858" i="4"/>
  <c r="CE858" i="4" s="1"/>
  <c r="CC581" i="4"/>
  <c r="CC205" i="4"/>
  <c r="CE205" i="4" s="1"/>
  <c r="CC415" i="4"/>
  <c r="CC345" i="4"/>
  <c r="CE345" i="4" s="1"/>
  <c r="CC331" i="4"/>
  <c r="CC1087" i="4"/>
  <c r="CE1087" i="4" s="1"/>
  <c r="CC95" i="4"/>
  <c r="CE95" i="4" s="1"/>
  <c r="CC330" i="4"/>
  <c r="CE330" i="4" s="1"/>
  <c r="CC324" i="4"/>
  <c r="CE324" i="4" s="1"/>
  <c r="CC444" i="4"/>
  <c r="CE444" i="4" s="1"/>
  <c r="CC933" i="4"/>
  <c r="CE933" i="4" s="1"/>
  <c r="CC1165" i="4"/>
  <c r="CE1165" i="4" s="1"/>
  <c r="CC329" i="4"/>
  <c r="CE329" i="4" s="1"/>
  <c r="CC407" i="4"/>
  <c r="CE407" i="4" s="1"/>
  <c r="CC197" i="4"/>
  <c r="CC321" i="4"/>
  <c r="CC741" i="4"/>
  <c r="CC968" i="4"/>
  <c r="CC447" i="4"/>
  <c r="CE447" i="4" s="1"/>
  <c r="CC452" i="4"/>
  <c r="CE452" i="4" s="1"/>
  <c r="CC652" i="4"/>
  <c r="CE652" i="4" s="1"/>
  <c r="CC1016" i="4"/>
  <c r="CE1016" i="4" s="1"/>
  <c r="CC435" i="4"/>
  <c r="CE435" i="4" s="1"/>
  <c r="CC485" i="4"/>
  <c r="CE485" i="4" s="1"/>
  <c r="CC341" i="4"/>
  <c r="CC814" i="4"/>
  <c r="CE814" i="4" s="1"/>
  <c r="CC598" i="4"/>
  <c r="CC1095" i="4"/>
  <c r="CC315" i="4"/>
  <c r="CE315" i="4" s="1"/>
  <c r="CC12" i="4"/>
  <c r="CE12" i="4" s="1"/>
  <c r="CC123" i="4"/>
  <c r="CE123" i="4" s="1"/>
  <c r="CC991" i="4"/>
  <c r="CE991" i="4" s="1"/>
  <c r="CC811" i="4"/>
  <c r="CE811" i="4" s="1"/>
  <c r="CC280" i="4"/>
  <c r="CE280" i="4" s="1"/>
  <c r="CC394" i="4"/>
  <c r="CE394" i="4" s="1"/>
  <c r="CC56" i="4"/>
  <c r="CE56" i="4" s="1"/>
  <c r="CC1139" i="4"/>
  <c r="CE1139" i="4" s="1"/>
  <c r="CC1100" i="4"/>
  <c r="CE1100" i="4" s="1"/>
  <c r="CC164" i="4"/>
  <c r="CE164" i="4" s="1"/>
  <c r="CC668" i="4"/>
  <c r="CE668" i="4" s="1"/>
  <c r="CC63" i="4"/>
  <c r="CC1125" i="4"/>
  <c r="CC810" i="4"/>
  <c r="CE810" i="4" s="1"/>
  <c r="CC486" i="4"/>
  <c r="CE486" i="4" s="1"/>
  <c r="CC511" i="4"/>
  <c r="CE511" i="4" s="1"/>
  <c r="CC1084" i="4"/>
  <c r="CE1084" i="4" s="1"/>
  <c r="CC723" i="4"/>
  <c r="CE723" i="4" s="1"/>
  <c r="CC475" i="4"/>
  <c r="CE475" i="4" s="1"/>
  <c r="CC1089" i="4"/>
  <c r="CC602" i="4"/>
  <c r="CE602" i="4" s="1"/>
  <c r="CC1188" i="4"/>
  <c r="CE1188" i="4" s="1"/>
  <c r="CC264" i="4"/>
  <c r="CC820" i="4"/>
  <c r="CE820" i="4" s="1"/>
  <c r="CC861" i="4"/>
  <c r="CE861" i="4" s="1"/>
  <c r="CC228" i="4"/>
  <c r="CE228" i="4" s="1"/>
  <c r="CC809" i="4"/>
  <c r="CE809" i="4" s="1"/>
  <c r="CC1175" i="4"/>
  <c r="CE1175" i="4" s="1"/>
  <c r="CC650" i="4"/>
  <c r="CE650" i="4" s="1"/>
  <c r="CC481" i="4"/>
  <c r="CE481" i="4" s="1"/>
  <c r="CC52" i="4"/>
  <c r="CE52" i="4" s="1"/>
  <c r="CC1012" i="4"/>
  <c r="CE1012" i="4" s="1"/>
  <c r="CC747" i="4"/>
  <c r="CE747" i="4" s="1"/>
  <c r="CC614" i="4"/>
  <c r="CC573" i="4"/>
  <c r="CC1008" i="4"/>
  <c r="CE1008" i="4" s="1"/>
  <c r="CC363" i="4"/>
  <c r="CE363" i="4" s="1"/>
  <c r="CC140" i="4"/>
  <c r="CE140" i="4" s="1"/>
  <c r="CC33" i="4"/>
  <c r="CE33" i="4" s="1"/>
  <c r="CC317" i="4"/>
  <c r="CE317" i="4" s="1"/>
  <c r="CC941" i="4"/>
  <c r="CC979" i="4"/>
  <c r="CE979" i="4" s="1"/>
  <c r="CC196" i="4"/>
  <c r="CE196" i="4" s="1"/>
  <c r="CC623" i="4"/>
  <c r="CE623" i="4" s="1"/>
  <c r="CC597" i="4"/>
  <c r="CE597" i="4" s="1"/>
  <c r="CC206" i="4"/>
  <c r="CE206" i="4" s="1"/>
  <c r="CC812" i="4"/>
  <c r="CC422" i="4"/>
  <c r="CE422" i="4" s="1"/>
  <c r="CC130" i="4"/>
  <c r="CE130" i="4" s="1"/>
  <c r="CC36" i="4"/>
  <c r="CE36" i="4" s="1"/>
  <c r="CC215" i="4"/>
  <c r="CE215" i="4" s="1"/>
  <c r="CC911" i="4"/>
  <c r="CE911" i="4" s="1"/>
  <c r="CC136" i="4"/>
  <c r="CE136" i="4" s="1"/>
  <c r="CC1041" i="4"/>
  <c r="CE1041" i="4" s="1"/>
  <c r="CC207" i="4"/>
  <c r="CE207" i="4" s="1"/>
  <c r="CC501" i="4"/>
  <c r="CC77" i="4"/>
  <c r="CE77" i="4" s="1"/>
  <c r="CC669" i="4"/>
  <c r="CE669" i="4" s="1"/>
  <c r="CC772" i="4"/>
  <c r="CC1115" i="4"/>
  <c r="CC117" i="4"/>
  <c r="CC739" i="4"/>
  <c r="CE739" i="4" s="1"/>
  <c r="CC536" i="4"/>
  <c r="CE536" i="4" s="1"/>
  <c r="CC439" i="4"/>
  <c r="CE439" i="4" s="1"/>
  <c r="CC1060" i="4"/>
  <c r="CE1060" i="4" s="1"/>
  <c r="CC706" i="4"/>
  <c r="CE706" i="4" s="1"/>
  <c r="CC599" i="4"/>
  <c r="CE599" i="4" s="1"/>
  <c r="CC712" i="4"/>
  <c r="CC1048" i="4"/>
  <c r="CE1048" i="4" s="1"/>
  <c r="CC656" i="4"/>
  <c r="CE656" i="4" s="1"/>
  <c r="CC1057" i="4"/>
  <c r="CC946" i="4"/>
  <c r="CE946" i="4" s="1"/>
  <c r="CC507" i="4"/>
  <c r="CE507" i="4" s="1"/>
  <c r="CC96" i="4"/>
  <c r="CE96" i="4" s="1"/>
  <c r="CC621" i="4"/>
  <c r="CE621" i="4" s="1"/>
  <c r="CC1035" i="4"/>
  <c r="CE1035" i="4" s="1"/>
  <c r="CC1049" i="4"/>
  <c r="CE1049" i="4" s="1"/>
  <c r="CC997" i="4"/>
  <c r="CE997" i="4" s="1"/>
  <c r="CC561" i="4"/>
  <c r="CE561" i="4" s="1"/>
  <c r="CC1080" i="4"/>
  <c r="CE1080" i="4" s="1"/>
  <c r="CC429" i="4"/>
  <c r="CE429" i="4" s="1"/>
  <c r="CC924" i="4"/>
  <c r="CE924" i="4" s="1"/>
  <c r="CC686" i="4"/>
  <c r="CE686" i="4" s="1"/>
  <c r="CC610" i="4"/>
  <c r="CE610" i="4" s="1"/>
  <c r="CC398" i="4"/>
  <c r="CE398" i="4" s="1"/>
  <c r="CC841" i="4"/>
  <c r="CE841" i="4" s="1"/>
  <c r="CC295" i="4"/>
  <c r="CE295" i="4" s="1"/>
  <c r="CC339" i="4"/>
  <c r="CE339" i="4" s="1"/>
  <c r="CC399" i="4"/>
  <c r="CE399" i="4" s="1"/>
  <c r="CC22" i="4"/>
  <c r="CE22" i="4" s="1"/>
  <c r="CC980" i="4"/>
  <c r="CE980" i="4" s="1"/>
  <c r="CC105" i="4"/>
  <c r="CE105" i="4" s="1"/>
  <c r="CC353" i="4"/>
  <c r="CE353" i="4" s="1"/>
  <c r="CC427" i="4"/>
  <c r="CE427" i="4" s="1"/>
  <c r="CC513" i="4"/>
  <c r="CC18" i="4"/>
  <c r="CE18" i="4" s="1"/>
  <c r="CC1198" i="4"/>
  <c r="CE1198" i="4" s="1"/>
  <c r="CC289" i="4"/>
  <c r="CE289" i="4" s="1"/>
  <c r="CC44" i="4"/>
  <c r="CE44" i="4" s="1"/>
  <c r="CC940" i="4"/>
  <c r="CE940" i="4" s="1"/>
  <c r="CC61" i="4"/>
  <c r="CE61" i="4" s="1"/>
  <c r="CC48" i="4"/>
  <c r="CE48" i="4" s="1"/>
  <c r="CC3" i="4"/>
  <c r="CE3" i="4" s="1"/>
  <c r="CC717" i="4"/>
  <c r="CE717" i="4" s="1"/>
  <c r="CC150" i="4"/>
  <c r="CE150" i="4" s="1"/>
  <c r="CC1109" i="4"/>
  <c r="CE1109" i="4" s="1"/>
  <c r="CC25" i="4"/>
  <c r="CE25" i="4" s="1"/>
  <c r="CC217" i="4"/>
  <c r="CE217" i="4" s="1"/>
  <c r="CC1120" i="4"/>
  <c r="CE1120" i="4" s="1"/>
  <c r="CC853" i="4"/>
  <c r="CE853" i="4" s="1"/>
  <c r="CC252" i="4"/>
  <c r="CE252" i="4" s="1"/>
  <c r="CC1069" i="4"/>
  <c r="CE1069" i="4" s="1"/>
  <c r="CC854" i="4"/>
  <c r="CE854" i="4" s="1"/>
  <c r="CC562" i="4"/>
  <c r="CE562" i="4" s="1"/>
  <c r="CC349" i="4"/>
  <c r="CE349" i="4" s="1"/>
  <c r="CC881" i="4"/>
  <c r="CE881" i="4" s="1"/>
  <c r="CC1141" i="4"/>
  <c r="CE1141" i="4" s="1"/>
  <c r="CC1193" i="4"/>
  <c r="CC921" i="4"/>
  <c r="CE921" i="4" s="1"/>
  <c r="CC458" i="4"/>
  <c r="CE458" i="4" s="1"/>
  <c r="CC159" i="4"/>
  <c r="CE159" i="4" s="1"/>
  <c r="CC483" i="4"/>
  <c r="CE483" i="4" s="1"/>
  <c r="CC362" i="4"/>
  <c r="CE362" i="4" s="1"/>
  <c r="CC209" i="4"/>
  <c r="CE209" i="4" s="1"/>
  <c r="CC557" i="4"/>
  <c r="CE557" i="4" s="1"/>
  <c r="CC32" i="4"/>
  <c r="CC852" i="4"/>
  <c r="CE852" i="4" s="1"/>
  <c r="CC660" i="4"/>
  <c r="CE660" i="4" s="1"/>
  <c r="CC375" i="4"/>
  <c r="CE375" i="4" s="1"/>
  <c r="CC743" i="4"/>
  <c r="CE743" i="4" s="1"/>
  <c r="CC413" i="4"/>
  <c r="CE413" i="4" s="1"/>
  <c r="CC897" i="4"/>
  <c r="CE897" i="4" s="1"/>
  <c r="CC775" i="4"/>
  <c r="CE775" i="4" s="1"/>
  <c r="CC35" i="4"/>
  <c r="CE35" i="4" s="1"/>
  <c r="CC212" i="4"/>
  <c r="CE212" i="4" s="1"/>
  <c r="CC1134" i="4"/>
  <c r="CE1134" i="4" s="1"/>
  <c r="CC764" i="4"/>
  <c r="CE764" i="4" s="1"/>
  <c r="CC31" i="4"/>
  <c r="CE31" i="4" s="1"/>
  <c r="CC9" i="4"/>
  <c r="CE9" i="4" s="1"/>
  <c r="CC54" i="4"/>
  <c r="CE54" i="4" s="1"/>
  <c r="CC71" i="4"/>
  <c r="CE71" i="4" s="1"/>
  <c r="CC799" i="4"/>
  <c r="CE799" i="4" s="1"/>
  <c r="CC296" i="4"/>
  <c r="CE296" i="4" s="1"/>
  <c r="CC721" i="4"/>
  <c r="CE721" i="4" s="1"/>
  <c r="CC498" i="4"/>
  <c r="CE498" i="4" s="1"/>
  <c r="CC253" i="4"/>
  <c r="CE253" i="4" s="1"/>
  <c r="CC294" i="4"/>
  <c r="CE294" i="4" s="1"/>
  <c r="CC141" i="4"/>
  <c r="CE141" i="4" s="1"/>
  <c r="CC352" i="4"/>
  <c r="CE352" i="4" s="1"/>
  <c r="CC819" i="4"/>
  <c r="CE819" i="4" s="1"/>
  <c r="CC269" i="4"/>
  <c r="CE269" i="4" s="1"/>
  <c r="CC161" i="4"/>
  <c r="CE161" i="4" s="1"/>
  <c r="CC1112" i="4"/>
  <c r="CE1112" i="4" s="1"/>
  <c r="CC358" i="4"/>
  <c r="CE358" i="4" s="1"/>
  <c r="CC288" i="4"/>
  <c r="CC898" i="4"/>
  <c r="CE898" i="4" s="1"/>
  <c r="CC47" i="4"/>
  <c r="CE47" i="4" s="1"/>
  <c r="CC39" i="4"/>
  <c r="CE39" i="4" s="1"/>
  <c r="CC1054" i="4"/>
  <c r="CE1054" i="4" s="1"/>
  <c r="CC178" i="4"/>
  <c r="CE178" i="4" s="1"/>
  <c r="CC802" i="4"/>
  <c r="CE802" i="4" s="1"/>
  <c r="CC336" i="4"/>
  <c r="CE336" i="4" s="1"/>
  <c r="CC114" i="4"/>
  <c r="CE114" i="4" s="1"/>
  <c r="CC1121" i="4"/>
  <c r="CE1121" i="4" s="1"/>
  <c r="CC276" i="4"/>
  <c r="CE276" i="4" s="1"/>
  <c r="CC338" i="4"/>
  <c r="CE338" i="4" s="1"/>
  <c r="CC84" i="4"/>
  <c r="CE84" i="4" s="1"/>
  <c r="CC1166" i="4"/>
  <c r="CE1166" i="4" s="1"/>
  <c r="CC1055" i="4"/>
  <c r="CE1055" i="4" s="1"/>
  <c r="CC592" i="4"/>
  <c r="CE592" i="4" s="1"/>
  <c r="CC147" i="4"/>
  <c r="CE147" i="4" s="1"/>
  <c r="CC10" i="4"/>
  <c r="CE10" i="4" s="1"/>
  <c r="CC803" i="4"/>
  <c r="CE803" i="4" s="1"/>
  <c r="CC734" i="4"/>
  <c r="CE734" i="4" s="1"/>
  <c r="CC641" i="4"/>
  <c r="CE641" i="4" s="1"/>
  <c r="CC487" i="4"/>
  <c r="CE487" i="4" s="1"/>
  <c r="CC816" i="4"/>
  <c r="CE816" i="4" s="1"/>
  <c r="CC1131" i="4"/>
  <c r="CE1131" i="4" s="1"/>
  <c r="CC106" i="4"/>
  <c r="CE106" i="4" s="1"/>
  <c r="CC1037" i="4"/>
  <c r="CE1037" i="4" s="1"/>
  <c r="CC776" i="4"/>
  <c r="CE776" i="4" s="1"/>
  <c r="CC158" i="4"/>
  <c r="CE158" i="4" s="1"/>
  <c r="CC787" i="4"/>
  <c r="CE787" i="4" s="1"/>
  <c r="CC917" i="4"/>
  <c r="CE917" i="4" s="1"/>
  <c r="CC1145" i="4"/>
  <c r="CE1145" i="4" s="1"/>
  <c r="CC842" i="4"/>
  <c r="CE842" i="4" s="1"/>
  <c r="CC1014" i="4"/>
  <c r="CE1014" i="4" s="1"/>
  <c r="CC491" i="4"/>
  <c r="CE491" i="4" s="1"/>
  <c r="CC526" i="4"/>
  <c r="CE526" i="4" s="1"/>
  <c r="CC45" i="4"/>
  <c r="CE45" i="4" s="1"/>
  <c r="CC1011" i="4"/>
  <c r="CE1011" i="4" s="1"/>
  <c r="CC1024" i="4"/>
  <c r="CE1024" i="4" s="1"/>
  <c r="CC556" i="4"/>
  <c r="CE556" i="4" s="1"/>
  <c r="CC1135" i="4"/>
  <c r="CE1135" i="4" s="1"/>
  <c r="CC283" i="4"/>
  <c r="CE283" i="4" s="1"/>
  <c r="CC1082" i="4"/>
  <c r="CE1082" i="4" s="1"/>
  <c r="CC1118" i="4"/>
  <c r="CE1118" i="4" s="1"/>
  <c r="CC848" i="4"/>
  <c r="CE848" i="4" s="1"/>
  <c r="CC791" i="4"/>
  <c r="CE791" i="4" s="1"/>
  <c r="CC805" i="4"/>
  <c r="CE805" i="4" s="1"/>
  <c r="CC855" i="4"/>
  <c r="CE855" i="4" s="1"/>
  <c r="CC609" i="4"/>
  <c r="CE609" i="4" s="1"/>
  <c r="CC323" i="4"/>
  <c r="CE323" i="4" s="1"/>
  <c r="CC412" i="4"/>
  <c r="CE412" i="4" s="1"/>
  <c r="CC998" i="4"/>
  <c r="CE998" i="4" s="1"/>
  <c r="CC186" i="4"/>
  <c r="CE186" i="4" s="1"/>
  <c r="CC988" i="4"/>
  <c r="CE988" i="4" s="1"/>
  <c r="CC908" i="4"/>
  <c r="CE908" i="4" s="1"/>
  <c r="CC433" i="4"/>
  <c r="CE433" i="4" s="1"/>
  <c r="CC731" i="4"/>
  <c r="CE731" i="4" s="1"/>
  <c r="CC268" i="4"/>
  <c r="CE268" i="4" s="1"/>
  <c r="CC1148" i="4"/>
  <c r="CE1148" i="4" s="1"/>
  <c r="CC334" i="4"/>
  <c r="CE334" i="4" s="1"/>
  <c r="CC50" i="4"/>
  <c r="CE50" i="4" s="1"/>
  <c r="CC689" i="4"/>
  <c r="CE689" i="4" s="1"/>
  <c r="CC1007" i="4"/>
  <c r="CE1007" i="4" s="1"/>
  <c r="CC497" i="4"/>
  <c r="CE497" i="4" s="1"/>
  <c r="CC1149" i="4"/>
  <c r="CE1149" i="4" s="1"/>
  <c r="CC246" i="4"/>
  <c r="CE246" i="4" s="1"/>
  <c r="CC999" i="4"/>
  <c r="CE999" i="4" s="1"/>
  <c r="CC638" i="4"/>
  <c r="CE638" i="4" s="1"/>
  <c r="CC901" i="4"/>
  <c r="CE901" i="4" s="1"/>
  <c r="CC1093" i="4"/>
  <c r="CE1093" i="4" s="1"/>
  <c r="CC482" i="4"/>
  <c r="CE482" i="4" s="1"/>
  <c r="CC1171" i="4"/>
  <c r="CE1171" i="4" s="1"/>
  <c r="CC204" i="4"/>
  <c r="CE204" i="4" s="1"/>
  <c r="CC1110" i="4"/>
  <c r="CE1110" i="4" s="1"/>
  <c r="CC928" i="4"/>
  <c r="CE928" i="4" s="1"/>
  <c r="CC456" i="4"/>
  <c r="CE456" i="4" s="1"/>
  <c r="CC1113" i="4"/>
  <c r="CE1113" i="4" s="1"/>
  <c r="CC992" i="4"/>
  <c r="CE992" i="4" s="1"/>
  <c r="CC722" i="4"/>
  <c r="CE722" i="4" s="1"/>
  <c r="CC846" i="4"/>
  <c r="CE846" i="4" s="1"/>
  <c r="CC647" i="4"/>
  <c r="CE647" i="4" s="1"/>
  <c r="CC885" i="4"/>
  <c r="CE885" i="4" s="1"/>
  <c r="CC565" i="4"/>
  <c r="CE565" i="4" s="1"/>
  <c r="CC690" i="4"/>
  <c r="CE690" i="4" s="1"/>
  <c r="CC1164" i="4"/>
  <c r="CE1164" i="4" s="1"/>
  <c r="CC13" i="4"/>
  <c r="CE13" i="4" s="1"/>
  <c r="CC527" i="4"/>
  <c r="CE527" i="4" s="1"/>
  <c r="CC645" i="4"/>
  <c r="CE645" i="4" s="1"/>
  <c r="CC301" i="4"/>
  <c r="CE301" i="4" s="1"/>
  <c r="CC81" i="4"/>
  <c r="CE81" i="4" s="1"/>
  <c r="CC567" i="4"/>
  <c r="CE567" i="4" s="1"/>
  <c r="CC774" i="4"/>
  <c r="CE774" i="4" s="1"/>
  <c r="CC380" i="4"/>
  <c r="CE380" i="4" s="1"/>
  <c r="CC1013" i="4"/>
  <c r="CE1013" i="4" s="1"/>
  <c r="CC480" i="4"/>
  <c r="CE480" i="4" s="1"/>
  <c r="CC132" i="4"/>
  <c r="CE132" i="4" s="1"/>
  <c r="CC428" i="4"/>
  <c r="CE428" i="4" s="1"/>
  <c r="CC460" i="4"/>
  <c r="CE460" i="4" s="1"/>
  <c r="CC748" i="4"/>
  <c r="CE748" i="4" s="1"/>
  <c r="CC213" i="4"/>
  <c r="CE213" i="4" s="1"/>
  <c r="CC340" i="4"/>
  <c r="CE340" i="4" s="1"/>
  <c r="CC368" i="4"/>
  <c r="CE368" i="4" s="1"/>
  <c r="CC1001" i="4"/>
  <c r="CE1001" i="4" s="1"/>
  <c r="CC537" i="4"/>
  <c r="CE537" i="4" s="1"/>
  <c r="CC531" i="4"/>
  <c r="CE531" i="4" s="1"/>
  <c r="CC97" i="4"/>
  <c r="CE97" i="4" s="1"/>
  <c r="CC938" i="4"/>
  <c r="CE938" i="4" s="1"/>
  <c r="CC773" i="4"/>
  <c r="CE773" i="4" s="1"/>
  <c r="CC408" i="4"/>
  <c r="CE408" i="4" s="1"/>
  <c r="CC423" i="4"/>
  <c r="CE423" i="4" s="1"/>
  <c r="CC953" i="4"/>
  <c r="CE953" i="4" s="1"/>
  <c r="CC1168" i="4"/>
  <c r="CE1168" i="4" s="1"/>
  <c r="CC733" i="4"/>
  <c r="CE733" i="4" s="1"/>
  <c r="CC529" i="4"/>
  <c r="CE529" i="4" s="1"/>
  <c r="CC201" i="4"/>
  <c r="CE201" i="4" s="1"/>
  <c r="CC416" i="4"/>
  <c r="CE416" i="4" s="1"/>
  <c r="CC37" i="4"/>
  <c r="CE37" i="4" s="1"/>
  <c r="CC373" i="4"/>
  <c r="CE373" i="4" s="1"/>
  <c r="CC149" i="4"/>
  <c r="CE149" i="4" s="1"/>
  <c r="CC133" i="4"/>
  <c r="CE133" i="4" s="1"/>
  <c r="CC1064" i="4"/>
  <c r="CE1064" i="4" s="1"/>
  <c r="CC887" i="4"/>
  <c r="CE887" i="4" s="1"/>
  <c r="CC46" i="4"/>
  <c r="CE46" i="4" s="1"/>
  <c r="CC156" i="4"/>
  <c r="CE156" i="4" s="1"/>
  <c r="CC753" i="4"/>
  <c r="CE753" i="4" s="1"/>
  <c r="CC699" i="4"/>
  <c r="CE699" i="4" s="1"/>
  <c r="CC688" i="4"/>
  <c r="CE688" i="4" s="1"/>
  <c r="CC1181" i="4"/>
  <c r="CE1181" i="4" s="1"/>
  <c r="CC942" i="4"/>
  <c r="CE942" i="4" s="1"/>
  <c r="CC445" i="4"/>
  <c r="CE445" i="4" s="1"/>
  <c r="CC1161" i="4"/>
  <c r="CE1161" i="4" s="1"/>
  <c r="CC913" i="4"/>
  <c r="CE913" i="4" s="1"/>
  <c r="CC271" i="4"/>
  <c r="CE271" i="4" s="1"/>
  <c r="CC310" i="4"/>
  <c r="CE310" i="4" s="1"/>
  <c r="CC489" i="4"/>
  <c r="CE489" i="4" s="1"/>
  <c r="CC378" i="4"/>
  <c r="CE378" i="4" s="1"/>
  <c r="CC477" i="4"/>
  <c r="CE477" i="4" s="1"/>
  <c r="CC1088" i="4"/>
  <c r="CE1088" i="4" s="1"/>
  <c r="CC780" i="4"/>
  <c r="CE780" i="4" s="1"/>
  <c r="CC965" i="4"/>
  <c r="CE965" i="4" s="1"/>
  <c r="CC784" i="4"/>
  <c r="CE784" i="4" s="1"/>
  <c r="CC248" i="4"/>
  <c r="CE248" i="4" s="1"/>
  <c r="CC794" i="4"/>
  <c r="CE794" i="4" s="1"/>
  <c r="CC1003" i="4"/>
  <c r="CE1003" i="4" s="1"/>
  <c r="CC88" i="4"/>
  <c r="CE88" i="4" s="1"/>
  <c r="CC287" i="4"/>
  <c r="CE287" i="4" s="1"/>
  <c r="CC1158" i="4"/>
  <c r="CE1158" i="4" s="1"/>
  <c r="CC701" i="4"/>
  <c r="CE701" i="4" s="1"/>
  <c r="CC844" i="4"/>
  <c r="CE844" i="4" s="1"/>
  <c r="CC800" i="4"/>
  <c r="CE800" i="4" s="1"/>
  <c r="CC672" i="4"/>
  <c r="CE672" i="4" s="1"/>
  <c r="CC969" i="4"/>
  <c r="CE969" i="4" s="1"/>
  <c r="CC126" i="4"/>
  <c r="CE126" i="4" s="1"/>
  <c r="CC386" i="4"/>
  <c r="CE386" i="4" s="1"/>
  <c r="CC393" i="4"/>
  <c r="CE393" i="4" s="1"/>
  <c r="CC683" i="4"/>
  <c r="CE683" i="4" s="1"/>
  <c r="CC752" i="4"/>
  <c r="CE752" i="4" s="1"/>
  <c r="CC624" i="4"/>
  <c r="CE624" i="4" s="1"/>
  <c r="CC834" i="4"/>
  <c r="CE834" i="4" s="1"/>
  <c r="CC328" i="4"/>
  <c r="CE328" i="4" s="1"/>
  <c r="CC459" i="4"/>
  <c r="CE459" i="4" s="1"/>
  <c r="CC200" i="4"/>
  <c r="CE200" i="4" s="1"/>
  <c r="CC576" i="4"/>
  <c r="CE576" i="4" s="1"/>
  <c r="CC53" i="4"/>
  <c r="CE53" i="4" s="1"/>
  <c r="CC962" i="4"/>
  <c r="CE962" i="4" s="1"/>
  <c r="CC210" i="4"/>
  <c r="CE210" i="4" s="1"/>
  <c r="CC184" i="4"/>
  <c r="CE184" i="4" s="1"/>
  <c r="CC670" i="4"/>
  <c r="CE670" i="4" s="1"/>
  <c r="CC1151" i="4"/>
  <c r="CE1151" i="4" s="1"/>
  <c r="CC793" i="4"/>
  <c r="CE793" i="4" s="1"/>
  <c r="CC644" i="4"/>
  <c r="CE644" i="4" s="1"/>
  <c r="CC355" i="4"/>
  <c r="CE355" i="4" s="1"/>
  <c r="CC628" i="4"/>
  <c r="CE628" i="4" s="1"/>
  <c r="CC1162" i="4"/>
  <c r="CE1162" i="4" s="1"/>
  <c r="CC1002" i="4"/>
  <c r="CE1002" i="4" s="1"/>
  <c r="CC983" i="4"/>
  <c r="CE983" i="4" s="1"/>
  <c r="CC765" i="4"/>
  <c r="CE765" i="4" s="1"/>
  <c r="CC175" i="4"/>
  <c r="CE175" i="4" s="1"/>
  <c r="CC559" i="4"/>
  <c r="CE559" i="4" s="1"/>
  <c r="CC665" i="4"/>
  <c r="CE665" i="4" s="1"/>
  <c r="CC249" i="4"/>
  <c r="CE249" i="4" s="1"/>
  <c r="CC875" i="4"/>
  <c r="CE875" i="4" s="1"/>
  <c r="CC542" i="4"/>
  <c r="CE542" i="4" s="1"/>
  <c r="CC454" i="4"/>
  <c r="CE454" i="4" s="1"/>
  <c r="CC146" i="4"/>
  <c r="CE146" i="4" s="1"/>
  <c r="CC1073" i="4"/>
  <c r="CE1073" i="4" s="1"/>
  <c r="CC990" i="4"/>
  <c r="CE990" i="4" s="1"/>
  <c r="CC170" i="4"/>
  <c r="CE170" i="4" s="1"/>
  <c r="CC789" i="4"/>
  <c r="CE789" i="4" s="1"/>
  <c r="CC11" i="4"/>
  <c r="CE11" i="4" s="1"/>
  <c r="CC654" i="4"/>
  <c r="CE654" i="4" s="1"/>
  <c r="CC177" i="4"/>
  <c r="CE177" i="4" s="1"/>
  <c r="CC646" i="4"/>
  <c r="CE646" i="4" s="1"/>
  <c r="CC240" i="4"/>
  <c r="CE240" i="4" s="1"/>
  <c r="CC649" i="4"/>
  <c r="CE649" i="4" s="1"/>
  <c r="CC1072" i="4"/>
  <c r="CE1072" i="4" s="1"/>
  <c r="CC302" i="4"/>
  <c r="CE302" i="4" s="1"/>
  <c r="CC956" i="4"/>
  <c r="CE956" i="4" s="1"/>
  <c r="CC169" i="4"/>
  <c r="CE169" i="4" s="1"/>
  <c r="CC1146" i="4"/>
  <c r="CE1146" i="4" s="1"/>
  <c r="CC493" i="4"/>
  <c r="CE493" i="4" s="1"/>
  <c r="CC70" i="4"/>
  <c r="CE70" i="4" s="1"/>
  <c r="CC190" i="4"/>
  <c r="CE190" i="4" s="1"/>
  <c r="CC305" i="4"/>
  <c r="CE305" i="4" s="1"/>
  <c r="CC351" i="4"/>
  <c r="CE351" i="4" s="1"/>
  <c r="CC607" i="4"/>
  <c r="CE607" i="4" s="1"/>
  <c r="CC406" i="4"/>
  <c r="CE406" i="4" s="1"/>
  <c r="CC626" i="4"/>
  <c r="CE626" i="4" s="1"/>
  <c r="CC648" i="4"/>
  <c r="CE648" i="4" s="1"/>
  <c r="CC758" i="4"/>
  <c r="CE758" i="4" s="1"/>
  <c r="CC231" i="4"/>
  <c r="CE231" i="4" s="1"/>
  <c r="CC996" i="4"/>
  <c r="CE996" i="4" s="1"/>
  <c r="CC532" i="4"/>
  <c r="CE532" i="4" s="1"/>
  <c r="CC424" i="4"/>
  <c r="CE424" i="4" s="1"/>
  <c r="CC760" i="4"/>
  <c r="CE760" i="4" s="1"/>
  <c r="CC637" i="4"/>
  <c r="CE637" i="4" s="1"/>
  <c r="CC448" i="4"/>
  <c r="CE448" i="4" s="1"/>
  <c r="CC261" i="4"/>
  <c r="CE261" i="4" s="1"/>
  <c r="CC822" i="4"/>
  <c r="CE822" i="4" s="1"/>
  <c r="CC945" i="4"/>
  <c r="CE945" i="4" s="1"/>
  <c r="CC245" i="4"/>
  <c r="CE245" i="4" s="1"/>
  <c r="CC1056" i="4"/>
  <c r="CE1056" i="4" s="1"/>
  <c r="CC257" i="4"/>
  <c r="CE257" i="4" s="1"/>
  <c r="CC759" i="4"/>
  <c r="CE759" i="4" s="1"/>
  <c r="CC807" i="4"/>
  <c r="CE807" i="4" s="1"/>
  <c r="CC510" i="4"/>
  <c r="CE510" i="4" s="1"/>
  <c r="CC1133" i="4"/>
  <c r="CE1133" i="4" s="1"/>
  <c r="CC900" i="4"/>
  <c r="CE900" i="4" s="1"/>
  <c r="CC168" i="4"/>
  <c r="CE168" i="4" s="1"/>
  <c r="CC354" i="4"/>
  <c r="CE354" i="4" s="1"/>
  <c r="CC193" i="4"/>
  <c r="CE193" i="4" s="1"/>
  <c r="CC584" i="4"/>
  <c r="CE584" i="4" s="1"/>
  <c r="CC528" i="4"/>
  <c r="CE528" i="4" s="1"/>
  <c r="CC547" i="4"/>
  <c r="CE547" i="4" s="1"/>
  <c r="CC982" i="4"/>
  <c r="CE982" i="4" s="1"/>
  <c r="CC818" i="4"/>
  <c r="CE818" i="4" s="1"/>
  <c r="CC1028" i="4"/>
  <c r="CE1028" i="4" s="1"/>
  <c r="CC127" i="4"/>
  <c r="CE127" i="4" s="1"/>
  <c r="CC914" i="4"/>
  <c r="CE914" i="4" s="1"/>
  <c r="CC896" i="4"/>
  <c r="CE896" i="4" s="1"/>
  <c r="CC366" i="4"/>
  <c r="CE366" i="4" s="1"/>
  <c r="CC566" i="4"/>
  <c r="CE566" i="4" s="1"/>
  <c r="CC62" i="4"/>
  <c r="CE62" i="4" s="1"/>
  <c r="CC1074" i="4"/>
  <c r="CE1074" i="4" s="1"/>
  <c r="CC869" i="4"/>
  <c r="CE869" i="4" s="1"/>
  <c r="CC522" i="4"/>
  <c r="CE522" i="4" s="1"/>
  <c r="CC129" i="4"/>
  <c r="CE129" i="4" s="1"/>
  <c r="CC708" i="4"/>
  <c r="CE708" i="4" s="1"/>
  <c r="CC356" i="4"/>
  <c r="CE356" i="4" s="1"/>
  <c r="CC864" i="4"/>
  <c r="CE864" i="4" s="1"/>
  <c r="CE1015" i="4"/>
  <c r="CE1170" i="4"/>
  <c r="CE772" i="4"/>
  <c r="CE331" i="4"/>
  <c r="CE197" i="4"/>
  <c r="CE415" i="4"/>
  <c r="CE812" i="4"/>
  <c r="CE187" i="4"/>
  <c r="CE751" i="4"/>
  <c r="CE961" i="4"/>
  <c r="CE157" i="4"/>
  <c r="CE581" i="4"/>
  <c r="CE598" i="4"/>
  <c r="CE1095" i="4"/>
  <c r="CE63" i="4"/>
  <c r="CE1125" i="4"/>
  <c r="CE1089" i="4"/>
  <c r="CE264" i="4"/>
  <c r="CE614" i="4"/>
  <c r="CE573" i="4"/>
  <c r="CE941" i="4"/>
  <c r="CE321" i="4"/>
  <c r="CE615" i="4"/>
  <c r="CE1115" i="4"/>
  <c r="CE117" i="4"/>
  <c r="CE712" i="4"/>
  <c r="CE1057" i="4"/>
  <c r="CE513" i="4"/>
  <c r="CE1193" i="4"/>
  <c r="CE32" i="4"/>
  <c r="CE985" i="4"/>
  <c r="CE741" i="4"/>
  <c r="CE631" i="4"/>
  <c r="CE1079" i="4"/>
  <c r="CE166" i="4"/>
  <c r="CE341" i="4"/>
  <c r="CE781" i="4"/>
  <c r="CE563" i="4"/>
  <c r="CE162" i="4"/>
  <c r="CE346" i="4"/>
  <c r="CE968" i="4"/>
  <c r="CE560" i="4"/>
  <c r="CE865" i="4"/>
  <c r="CE28" i="4"/>
  <c r="CE501" i="4"/>
  <c r="CE139" i="4"/>
  <c r="CE288" i="4"/>
  <c r="CE484" i="4"/>
  <c r="CE86" i="4"/>
  <c r="CE750" i="4"/>
  <c r="CE604" i="4"/>
  <c r="CE970" i="4"/>
  <c r="CE1058" i="4"/>
  <c r="CE134" i="4"/>
  <c r="CE1180" i="4"/>
  <c r="CE815" i="4"/>
  <c r="CE927" i="4"/>
  <c r="CE1192" i="4"/>
  <c r="CE464" i="4"/>
  <c r="CE643" i="4"/>
  <c r="CE250" i="4"/>
  <c r="CE757" i="4"/>
  <c r="CE503" i="4"/>
  <c r="CE1004" i="4"/>
  <c r="CE922" i="4"/>
  <c r="CE14" i="4"/>
  <c r="CE202" i="4"/>
  <c r="CE318" i="4"/>
  <c r="CE19" i="4"/>
  <c r="CE1020" i="4"/>
  <c r="CE617" i="4"/>
  <c r="CE519" i="4"/>
  <c r="CE376" i="4"/>
  <c r="CE344" i="4"/>
  <c r="BZ9" i="1"/>
  <c r="BZ21" i="1"/>
  <c r="BZ33" i="1"/>
  <c r="BZ45" i="1"/>
  <c r="BZ57" i="1"/>
  <c r="BZ35" i="1"/>
  <c r="BZ47" i="1"/>
  <c r="BZ49" i="1"/>
  <c r="BZ3" i="1"/>
  <c r="BZ15" i="1"/>
  <c r="BZ27" i="1"/>
  <c r="BZ39" i="1"/>
  <c r="BZ51" i="1"/>
  <c r="BZ5" i="1"/>
  <c r="BZ17" i="1"/>
  <c r="BZ29" i="1"/>
  <c r="BZ41" i="1"/>
  <c r="BZ53" i="1"/>
  <c r="BY56" i="1"/>
  <c r="CB56" i="1" s="1"/>
  <c r="CC56" i="1" s="1"/>
  <c r="BY44" i="1"/>
  <c r="CB44" i="1" s="1"/>
  <c r="CC44" i="1" s="1"/>
  <c r="BY32" i="1"/>
  <c r="CB32" i="1" s="1"/>
  <c r="CC32" i="1" s="1"/>
  <c r="BY20" i="1"/>
  <c r="CB20" i="1" s="1"/>
  <c r="CC20" i="1" s="1"/>
  <c r="BY8" i="1"/>
  <c r="CB8" i="1" s="1"/>
  <c r="CC8" i="1" s="1"/>
  <c r="BY25" i="1"/>
  <c r="CB25" i="1" s="1"/>
  <c r="CC25" i="1" s="1"/>
  <c r="BY37" i="1"/>
  <c r="CB37" i="1" s="1"/>
  <c r="CC37" i="1" s="1"/>
  <c r="BY47" i="1"/>
  <c r="CB47" i="1" s="1"/>
  <c r="BY35" i="1"/>
  <c r="CB35" i="1" s="1"/>
  <c r="BY23" i="1"/>
  <c r="CB23" i="1" s="1"/>
  <c r="CC23" i="1" s="1"/>
  <c r="BY11" i="1"/>
  <c r="CB11" i="1" s="1"/>
  <c r="CC11" i="1" s="1"/>
  <c r="BY13" i="1"/>
  <c r="CB13" i="1" s="1"/>
  <c r="CC13" i="1" s="1"/>
  <c r="BY55" i="1"/>
  <c r="CB55" i="1" s="1"/>
  <c r="BY31" i="1"/>
  <c r="CB31" i="1" s="1"/>
  <c r="BY43" i="1"/>
  <c r="CB43" i="1" s="1"/>
  <c r="BY19" i="1"/>
  <c r="CB19" i="1" s="1"/>
  <c r="BY53" i="1"/>
  <c r="CB53" i="1" s="1"/>
  <c r="BY41" i="1"/>
  <c r="CB41" i="1" s="1"/>
  <c r="BY29" i="1"/>
  <c r="CB29" i="1" s="1"/>
  <c r="BY17" i="1"/>
  <c r="CB17" i="1" s="1"/>
  <c r="BY5" i="1"/>
  <c r="CB5" i="1" s="1"/>
  <c r="CC5" i="1" s="1"/>
  <c r="BY7" i="1"/>
  <c r="CB7" i="1" s="1"/>
  <c r="BY48" i="1"/>
  <c r="CB48" i="1" s="1"/>
  <c r="CC48" i="1" s="1"/>
  <c r="BY36" i="1"/>
  <c r="CB36" i="1" s="1"/>
  <c r="CC36" i="1" s="1"/>
  <c r="BY24" i="1"/>
  <c r="CB24" i="1" s="1"/>
  <c r="CC24" i="1" s="1"/>
  <c r="BY12" i="1"/>
  <c r="CB12" i="1" s="1"/>
  <c r="CC12" i="1" s="1"/>
  <c r="BY49" i="1"/>
  <c r="CB49" i="1" s="1"/>
  <c r="BY46" i="1"/>
  <c r="CB46" i="1" s="1"/>
  <c r="CC46" i="1" s="1"/>
  <c r="BY22" i="1"/>
  <c r="CB22" i="1" s="1"/>
  <c r="CC22" i="1" s="1"/>
  <c r="BY10" i="1"/>
  <c r="CB10" i="1" s="1"/>
  <c r="CC10" i="1" s="1"/>
  <c r="BY58" i="1"/>
  <c r="CB58" i="1" s="1"/>
  <c r="CC58" i="1" s="1"/>
  <c r="BY34" i="1"/>
  <c r="CB34" i="1" s="1"/>
  <c r="CC34" i="1" s="1"/>
  <c r="BY57" i="1"/>
  <c r="CB57" i="1" s="1"/>
  <c r="BY45" i="1"/>
  <c r="CB45" i="1" s="1"/>
  <c r="CC45" i="1" s="1"/>
  <c r="BY33" i="1"/>
  <c r="CB33" i="1" s="1"/>
  <c r="BY21" i="1"/>
  <c r="CB21" i="1" s="1"/>
  <c r="CC21" i="1" s="1"/>
  <c r="BY9" i="1"/>
  <c r="CB9" i="1" s="1"/>
  <c r="BY54" i="1"/>
  <c r="CB54" i="1" s="1"/>
  <c r="CC54" i="1" s="1"/>
  <c r="BY42" i="1"/>
  <c r="CB42" i="1" s="1"/>
  <c r="BY30" i="1"/>
  <c r="CB30" i="1" s="1"/>
  <c r="CC30" i="1" s="1"/>
  <c r="BY18" i="1"/>
  <c r="CB18" i="1" s="1"/>
  <c r="BY6" i="1"/>
  <c r="CB6" i="1" s="1"/>
  <c r="CC6" i="1" s="1"/>
  <c r="BY52" i="1"/>
  <c r="CB52" i="1" s="1"/>
  <c r="CC52" i="1" s="1"/>
  <c r="BY40" i="1"/>
  <c r="CB40" i="1" s="1"/>
  <c r="BY28" i="1"/>
  <c r="CB28" i="1" s="1"/>
  <c r="BY16" i="1"/>
  <c r="CB16" i="1" s="1"/>
  <c r="BY4" i="1"/>
  <c r="CB4" i="1" s="1"/>
  <c r="BY51" i="1"/>
  <c r="CB51" i="1" s="1"/>
  <c r="BY39" i="1"/>
  <c r="CB39" i="1" s="1"/>
  <c r="BY27" i="1"/>
  <c r="CB27" i="1" s="1"/>
  <c r="BY15" i="1"/>
  <c r="CB15" i="1" s="1"/>
  <c r="BY3" i="1"/>
  <c r="CB3" i="1" s="1"/>
  <c r="BP33" i="1"/>
  <c r="BQ33" i="1" s="1"/>
  <c r="BP53" i="1"/>
  <c r="BP29" i="1"/>
  <c r="BP41" i="1"/>
  <c r="BP18" i="1"/>
  <c r="BP47" i="1"/>
  <c r="BP26" i="1"/>
  <c r="BP20" i="1"/>
  <c r="BP44" i="1"/>
  <c r="BP45" i="1"/>
  <c r="BP7" i="1"/>
  <c r="BP31" i="1"/>
  <c r="BP5" i="1"/>
  <c r="BP9" i="1"/>
  <c r="BP12" i="1"/>
  <c r="BP34" i="1"/>
  <c r="BP46" i="1"/>
  <c r="BP58" i="1"/>
  <c r="BP2" i="1"/>
  <c r="BR2" i="1" s="1"/>
  <c r="BP24" i="1"/>
  <c r="BP35" i="1"/>
  <c r="BP23" i="1"/>
  <c r="BP3" i="1"/>
  <c r="BP4" i="1"/>
  <c r="BP14" i="1"/>
  <c r="BP50" i="1"/>
  <c r="BP6" i="1"/>
  <c r="BP17" i="1"/>
  <c r="BP40" i="1"/>
  <c r="BP52" i="1"/>
  <c r="BP8" i="1"/>
  <c r="BP27" i="1"/>
  <c r="BP16" i="1"/>
  <c r="BP28" i="1"/>
  <c r="BP39" i="1"/>
  <c r="BP51" i="1"/>
  <c r="BP19" i="1"/>
  <c r="BP54" i="1"/>
  <c r="BP30" i="1"/>
  <c r="BP55" i="1"/>
  <c r="BP32" i="1"/>
  <c r="BP56" i="1"/>
  <c r="BP42" i="1"/>
  <c r="BP43" i="1"/>
  <c r="BP10" i="1"/>
  <c r="BP11" i="1"/>
  <c r="BP22" i="1"/>
  <c r="BP13" i="1"/>
  <c r="BP25" i="1"/>
  <c r="BP48" i="1"/>
  <c r="BP57" i="1"/>
  <c r="BP36" i="1"/>
  <c r="BP37" i="1"/>
  <c r="BP49" i="1"/>
  <c r="BP21" i="1"/>
  <c r="BP15" i="1"/>
  <c r="BP38" i="1"/>
  <c r="CD6" i="1" l="1"/>
  <c r="CF6" i="1"/>
  <c r="CD30" i="1"/>
  <c r="CF30" i="1"/>
  <c r="CD21" i="1"/>
  <c r="CF21" i="1"/>
  <c r="CD13" i="1"/>
  <c r="CF13" i="1"/>
  <c r="CD11" i="1"/>
  <c r="CF11" i="1"/>
  <c r="CD45" i="1"/>
  <c r="CF45" i="1"/>
  <c r="CD23" i="1"/>
  <c r="CF23" i="1"/>
  <c r="CD34" i="1"/>
  <c r="CF34" i="1"/>
  <c r="CD54" i="1"/>
  <c r="CF54" i="1"/>
  <c r="CD58" i="1"/>
  <c r="CF58" i="1"/>
  <c r="CD46" i="1"/>
  <c r="CF46" i="1"/>
  <c r="CD20" i="1"/>
  <c r="CF20" i="1"/>
  <c r="CD2" i="1"/>
  <c r="CF2" i="1"/>
  <c r="CD22" i="1"/>
  <c r="CF22" i="1"/>
  <c r="CD32" i="1"/>
  <c r="CF32" i="1"/>
  <c r="CD52" i="1"/>
  <c r="CF52" i="1"/>
  <c r="CD44" i="1"/>
  <c r="CF44" i="1"/>
  <c r="CD24" i="1"/>
  <c r="CF24" i="1"/>
  <c r="CD37" i="1"/>
  <c r="CF37" i="1"/>
  <c r="CD25" i="1"/>
  <c r="CF25" i="1"/>
  <c r="CD8" i="1"/>
  <c r="CF8" i="1"/>
  <c r="CD12" i="1"/>
  <c r="CF12" i="1"/>
  <c r="CD56" i="1"/>
  <c r="CF56" i="1"/>
  <c r="CD36" i="1"/>
  <c r="CF36" i="1"/>
  <c r="CD5" i="1"/>
  <c r="CF5" i="1"/>
  <c r="CD10" i="1"/>
  <c r="CF10" i="1"/>
  <c r="CD48" i="1"/>
  <c r="CF48" i="1"/>
  <c r="CC43" i="1"/>
  <c r="CC31" i="1"/>
  <c r="CC55" i="1"/>
  <c r="CF55" i="1" s="1"/>
  <c r="CC26" i="1"/>
  <c r="CE26" i="1" s="1"/>
  <c r="CC38" i="1"/>
  <c r="CE38" i="1" s="1"/>
  <c r="CC4" i="1"/>
  <c r="CC16" i="1"/>
  <c r="CC28" i="1"/>
  <c r="CC40" i="1"/>
  <c r="CF40" i="1" s="1"/>
  <c r="CE36" i="1"/>
  <c r="CE48" i="1"/>
  <c r="CG48" i="1" s="1"/>
  <c r="CE5" i="1"/>
  <c r="CG5" i="1" s="1"/>
  <c r="CE6" i="1"/>
  <c r="CG6" i="1" s="1"/>
  <c r="CE52" i="1"/>
  <c r="CE30" i="1"/>
  <c r="CG30" i="1" s="1"/>
  <c r="CE54" i="1"/>
  <c r="CG54" i="1" s="1"/>
  <c r="CE23" i="1"/>
  <c r="CG23" i="1" s="1"/>
  <c r="CE58" i="1"/>
  <c r="CG58" i="1" s="1"/>
  <c r="CE37" i="1"/>
  <c r="CE21" i="1"/>
  <c r="CE8" i="1"/>
  <c r="CE46" i="1"/>
  <c r="CE32" i="1"/>
  <c r="CE45" i="1"/>
  <c r="CE34" i="1"/>
  <c r="CE25" i="1"/>
  <c r="CG25" i="1" s="1"/>
  <c r="CE22" i="1"/>
  <c r="CG22" i="1" s="1"/>
  <c r="CE20" i="1"/>
  <c r="CE12" i="1"/>
  <c r="CG12" i="1" s="1"/>
  <c r="CE44" i="1"/>
  <c r="CG44" i="1" s="1"/>
  <c r="CE13" i="1"/>
  <c r="CE11" i="1"/>
  <c r="CG11" i="1" s="1"/>
  <c r="CE10" i="1"/>
  <c r="CG10" i="1" s="1"/>
  <c r="CE24" i="1"/>
  <c r="CE56" i="1"/>
  <c r="CE2" i="1"/>
  <c r="CG2" i="1" s="1"/>
  <c r="CC7" i="1"/>
  <c r="CC14" i="1"/>
  <c r="CC29" i="1"/>
  <c r="CC50" i="1"/>
  <c r="CC18" i="1"/>
  <c r="CC19" i="1"/>
  <c r="CC57" i="1"/>
  <c r="CC47" i="1"/>
  <c r="CC42" i="1"/>
  <c r="CC3" i="1"/>
  <c r="CC27" i="1"/>
  <c r="CC39" i="1"/>
  <c r="CC9" i="1"/>
  <c r="CC51" i="1"/>
  <c r="CC33" i="1"/>
  <c r="CC35" i="1"/>
  <c r="CC17" i="1"/>
  <c r="CF448" i="4"/>
  <c r="CH448" i="4" s="1"/>
  <c r="CF962" i="4"/>
  <c r="CH962" i="4" s="1"/>
  <c r="CF340" i="4"/>
  <c r="CH340" i="4" s="1"/>
  <c r="CF1151" i="4"/>
  <c r="CH1151" i="4" s="1"/>
  <c r="CF178" i="4"/>
  <c r="CH178" i="4" s="1"/>
  <c r="CF774" i="4"/>
  <c r="CH774" i="4" s="1"/>
  <c r="CF268" i="4"/>
  <c r="CH268" i="4" s="1"/>
  <c r="CF329" i="4"/>
  <c r="CH329" i="4" s="1"/>
  <c r="CF523" i="4"/>
  <c r="CH523" i="4" s="1"/>
  <c r="CF662" i="4"/>
  <c r="CH662" i="4" s="1"/>
  <c r="CF792" i="4"/>
  <c r="CH792" i="4" s="1"/>
  <c r="CF184" i="4"/>
  <c r="CH184" i="4" s="1"/>
  <c r="CF621" i="4"/>
  <c r="CH621" i="4" s="1"/>
  <c r="CF612" i="4"/>
  <c r="CH612" i="4" s="1"/>
  <c r="CF646" i="4"/>
  <c r="CH646" i="4" s="1"/>
  <c r="CF210" i="4"/>
  <c r="CH210" i="4" s="1"/>
  <c r="CF266" i="4"/>
  <c r="CH266" i="4" s="1"/>
  <c r="CF71" i="4"/>
  <c r="CH71" i="4" s="1"/>
  <c r="CF627" i="4"/>
  <c r="CH627" i="4" s="1"/>
  <c r="CF758" i="4"/>
  <c r="CH758" i="4" s="1"/>
  <c r="CF701" i="4"/>
  <c r="CH701" i="4" s="1"/>
  <c r="CF773" i="4"/>
  <c r="CH773" i="4" s="1"/>
  <c r="CF901" i="4"/>
  <c r="CH901" i="4" s="1"/>
  <c r="CF399" i="4"/>
  <c r="CH399" i="4" s="1"/>
  <c r="CF557" i="4"/>
  <c r="CH557" i="4" s="1"/>
  <c r="CF3" i="4"/>
  <c r="CH3" i="4" s="1"/>
  <c r="CF861" i="4"/>
  <c r="CH861" i="4" s="1"/>
  <c r="CF164" i="4"/>
  <c r="CH164" i="4" s="1"/>
  <c r="CF273" i="4"/>
  <c r="CH273" i="4" s="1"/>
  <c r="CF194" i="4"/>
  <c r="CH194" i="4" s="1"/>
  <c r="CF168" i="4"/>
  <c r="CH168" i="4" s="1"/>
  <c r="CF897" i="4"/>
  <c r="CH897" i="4" s="1"/>
  <c r="CF209" i="4"/>
  <c r="CH209" i="4" s="1"/>
  <c r="CF510" i="4"/>
  <c r="CH510" i="4" s="1"/>
  <c r="CF349" i="4"/>
  <c r="CH349" i="4" s="1"/>
  <c r="CF1155" i="4"/>
  <c r="CH1155" i="4" s="1"/>
  <c r="CF858" i="4"/>
  <c r="CH858" i="4" s="1"/>
  <c r="CF427" i="4"/>
  <c r="CH427" i="4" s="1"/>
  <c r="CF253" i="4"/>
  <c r="CH253" i="4" s="1"/>
  <c r="CF318" i="4"/>
  <c r="CH318" i="4" s="1"/>
  <c r="CF982" i="4"/>
  <c r="CH982" i="4" s="1"/>
  <c r="CF699" i="4"/>
  <c r="CH699" i="4" s="1"/>
  <c r="CF353" i="4"/>
  <c r="CH353" i="4" s="1"/>
  <c r="CF63" i="4"/>
  <c r="CH63" i="4" s="1"/>
  <c r="CF864" i="4"/>
  <c r="CH864" i="4" s="1"/>
  <c r="CF637" i="4"/>
  <c r="CH637" i="4" s="1"/>
  <c r="CF240" i="4"/>
  <c r="CH240" i="4" s="1"/>
  <c r="CF202" i="4"/>
  <c r="CH202" i="4" s="1"/>
  <c r="CF494" i="4"/>
  <c r="CH494" i="4" s="1"/>
  <c r="CF1000" i="4"/>
  <c r="CH1000" i="4" s="1"/>
  <c r="CF166" i="4"/>
  <c r="CH166" i="4" s="1"/>
  <c r="CF480" i="4"/>
  <c r="CH480" i="4" s="1"/>
  <c r="CF35" i="4"/>
  <c r="CH35" i="4" s="1"/>
  <c r="CF980" i="4"/>
  <c r="CH980" i="4" s="1"/>
  <c r="CF439" i="4"/>
  <c r="CH439" i="4" s="1"/>
  <c r="CF668" i="4"/>
  <c r="CH668" i="4" s="1"/>
  <c r="CF581" i="4"/>
  <c r="CH581" i="4" s="1"/>
  <c r="CF550" i="4"/>
  <c r="CH550" i="4" s="1"/>
  <c r="CF760" i="4"/>
  <c r="CH760" i="4" s="1"/>
  <c r="CF1030" i="4"/>
  <c r="CH1030" i="4" s="1"/>
  <c r="CF139" i="4"/>
  <c r="CH139" i="4" s="1"/>
  <c r="CF155" i="4"/>
  <c r="CH155" i="4" s="1"/>
  <c r="CF601" i="4"/>
  <c r="CH601" i="4" s="1"/>
  <c r="CF1071" i="4"/>
  <c r="CH1071" i="4" s="1"/>
  <c r="CF1005" i="4"/>
  <c r="CH1005" i="4" s="1"/>
  <c r="CF1013" i="4"/>
  <c r="CH1013" i="4" s="1"/>
  <c r="CF283" i="4"/>
  <c r="CH283" i="4" s="1"/>
  <c r="CF641" i="4"/>
  <c r="CH641" i="4" s="1"/>
  <c r="CF775" i="4"/>
  <c r="CH775" i="4" s="1"/>
  <c r="CF1193" i="4"/>
  <c r="CH1193" i="4" s="1"/>
  <c r="CF1054" i="4"/>
  <c r="CH1054" i="4" s="1"/>
  <c r="CF228" i="4"/>
  <c r="CH228" i="4" s="1"/>
  <c r="CF1159" i="4"/>
  <c r="CH1159" i="4" s="1"/>
  <c r="CF908" i="4"/>
  <c r="CH908" i="4" s="1"/>
  <c r="CF169" i="4"/>
  <c r="CH169" i="4" s="1"/>
  <c r="CF170" i="4"/>
  <c r="CH170" i="4" s="1"/>
  <c r="CF983" i="4"/>
  <c r="CH983" i="4" s="1"/>
  <c r="CF844" i="4"/>
  <c r="CH844" i="4" s="1"/>
  <c r="CF489" i="4"/>
  <c r="CH489" i="4" s="1"/>
  <c r="CF408" i="4"/>
  <c r="CH408" i="4" s="1"/>
  <c r="CF1044" i="4"/>
  <c r="CH1044" i="4" s="1"/>
  <c r="CF15" i="4"/>
  <c r="CH15" i="4" s="1"/>
  <c r="CF750" i="4"/>
  <c r="CH750" i="4" s="1"/>
  <c r="CF1135" i="4"/>
  <c r="CH1135" i="4" s="1"/>
  <c r="CF734" i="4"/>
  <c r="CH734" i="4" s="1"/>
  <c r="CF317" i="4"/>
  <c r="CH317" i="4" s="1"/>
  <c r="CF1100" i="4"/>
  <c r="CH1100" i="4" s="1"/>
  <c r="CF187" i="4"/>
  <c r="CH187" i="4" s="1"/>
  <c r="CF324" i="4"/>
  <c r="CH324" i="4" s="1"/>
  <c r="CF708" i="4"/>
  <c r="CH708" i="4" s="1"/>
  <c r="CF397" i="4"/>
  <c r="CH397" i="4" s="1"/>
  <c r="CF395" i="4"/>
  <c r="CH395" i="4" s="1"/>
  <c r="CF145" i="4"/>
  <c r="CH145" i="4" s="1"/>
  <c r="CF770" i="4"/>
  <c r="CH770" i="4" s="1"/>
  <c r="CF404" i="4"/>
  <c r="CH404" i="4" s="1"/>
  <c r="CF185" i="4"/>
  <c r="CH185" i="4" s="1"/>
  <c r="CF838" i="4"/>
  <c r="CH838" i="4" s="1"/>
  <c r="CF938" i="4"/>
  <c r="CH938" i="4" s="1"/>
  <c r="CF507" i="4"/>
  <c r="CH507" i="4" s="1"/>
  <c r="CF1004" i="4"/>
  <c r="CH1004" i="4" s="1"/>
  <c r="CF846" i="4"/>
  <c r="CH846" i="4" s="1"/>
  <c r="CF865" i="4"/>
  <c r="CH865" i="4" s="1"/>
  <c r="CF913" i="4"/>
  <c r="CH913" i="4" s="1"/>
  <c r="CF158" i="4"/>
  <c r="CH158" i="4" s="1"/>
  <c r="CF498" i="4"/>
  <c r="CH498" i="4" s="1"/>
  <c r="CF781" i="4"/>
  <c r="CH781" i="4" s="1"/>
  <c r="CF776" i="4"/>
  <c r="CH776" i="4" s="1"/>
  <c r="CF62" i="4"/>
  <c r="CH62" i="4" s="1"/>
  <c r="CF517" i="4"/>
  <c r="CH517" i="4" s="1"/>
  <c r="CF255" i="4"/>
  <c r="CH255" i="4" s="1"/>
  <c r="CF651" i="4"/>
  <c r="CH651" i="4" s="1"/>
  <c r="CF532" i="4"/>
  <c r="CH532" i="4" s="1"/>
  <c r="CF968" i="4"/>
  <c r="CH968" i="4" s="1"/>
  <c r="CF900" i="4"/>
  <c r="CH900" i="4" s="1"/>
  <c r="CF249" i="4"/>
  <c r="CH249" i="4" s="1"/>
  <c r="CF287" i="4"/>
  <c r="CH287" i="4" s="1"/>
  <c r="CF1016" i="4"/>
  <c r="CH1016" i="4" s="1"/>
  <c r="CF81" i="4"/>
  <c r="CH81" i="4" s="1"/>
  <c r="CF638" i="4"/>
  <c r="CH638" i="4" s="1"/>
  <c r="CF695" i="4"/>
  <c r="CH695" i="4" s="1"/>
  <c r="CF413" i="4"/>
  <c r="CH413" i="4" s="1"/>
  <c r="CF339" i="4"/>
  <c r="CH339" i="4" s="1"/>
  <c r="CF96" i="4"/>
  <c r="CH96" i="4" s="1"/>
  <c r="CF33" i="4"/>
  <c r="CH33" i="4" s="1"/>
  <c r="CF820" i="4"/>
  <c r="CH820" i="4" s="1"/>
  <c r="CF1139" i="4"/>
  <c r="CH1139" i="4" s="1"/>
  <c r="CF18" i="4"/>
  <c r="CH18" i="4" s="1"/>
  <c r="CF197" i="4"/>
  <c r="CH197" i="4" s="1"/>
  <c r="CF689" i="4"/>
  <c r="CH689" i="4" s="1"/>
  <c r="CF1015" i="4"/>
  <c r="CH1015" i="4" s="1"/>
  <c r="CF354" i="4"/>
  <c r="CH354" i="4" s="1"/>
  <c r="CF807" i="4"/>
  <c r="CH807" i="4" s="1"/>
  <c r="CF626" i="4"/>
  <c r="CH626" i="4" s="1"/>
  <c r="CF956" i="4"/>
  <c r="CH956" i="4" s="1"/>
  <c r="CF200" i="4"/>
  <c r="CH200" i="4" s="1"/>
  <c r="CF588" i="4"/>
  <c r="CH588" i="4" s="1"/>
  <c r="CF1039" i="4"/>
  <c r="CH1039" i="4" s="1"/>
  <c r="CF694" i="4"/>
  <c r="CH694" i="4" s="1"/>
  <c r="CF421" i="4"/>
  <c r="CH421" i="4" s="1"/>
  <c r="CF55" i="4"/>
  <c r="CH55" i="4" s="1"/>
  <c r="CF554" i="4"/>
  <c r="CH554" i="4" s="1"/>
  <c r="CF509" i="4"/>
  <c r="CH509" i="4" s="1"/>
  <c r="CF574" i="4"/>
  <c r="CH574" i="4" s="1"/>
  <c r="CF673" i="4"/>
  <c r="CH673" i="4" s="1"/>
  <c r="CF396" i="4"/>
  <c r="CH396" i="4" s="1"/>
  <c r="CF104" i="4"/>
  <c r="CH104" i="4" s="1"/>
  <c r="CF59" i="4"/>
  <c r="CH59" i="4" s="1"/>
  <c r="CF577" i="4"/>
  <c r="CH577" i="4" s="1"/>
  <c r="CF125" i="4"/>
  <c r="CH125" i="4" s="1"/>
  <c r="CF248" i="4"/>
  <c r="CH248" i="4" s="1"/>
  <c r="CF140" i="4"/>
  <c r="CH140" i="4" s="1"/>
  <c r="CF501" i="4"/>
  <c r="CH501" i="4" s="1"/>
  <c r="CF129" i="4"/>
  <c r="CH129" i="4" s="1"/>
  <c r="CF305" i="4"/>
  <c r="CH305" i="4" s="1"/>
  <c r="CF765" i="4"/>
  <c r="CH765" i="4" s="1"/>
  <c r="CF784" i="4"/>
  <c r="CH784" i="4" s="1"/>
  <c r="CF537" i="4"/>
  <c r="CH537" i="4" s="1"/>
  <c r="CF645" i="4"/>
  <c r="CH645" i="4" s="1"/>
  <c r="CF778" i="4"/>
  <c r="CH778" i="4" s="1"/>
  <c r="CF526" i="4"/>
  <c r="CH526" i="4" s="1"/>
  <c r="CF592" i="4"/>
  <c r="CH592" i="4" s="1"/>
  <c r="CF241" i="4"/>
  <c r="CH241" i="4" s="1"/>
  <c r="CF852" i="4"/>
  <c r="CH852" i="4" s="1"/>
  <c r="CF1069" i="4"/>
  <c r="CH1069" i="4" s="1"/>
  <c r="CF841" i="4"/>
  <c r="CH841" i="4" s="1"/>
  <c r="CF1115" i="4"/>
  <c r="CH1115" i="4" s="1"/>
  <c r="CF363" i="4"/>
  <c r="CH363" i="4" s="1"/>
  <c r="CF280" i="4"/>
  <c r="CH280" i="4" s="1"/>
  <c r="CF130" i="4"/>
  <c r="CH130" i="4" s="1"/>
  <c r="CF36" i="4"/>
  <c r="CH36" i="4" s="1"/>
  <c r="CF1074" i="4"/>
  <c r="CH1074" i="4" s="1"/>
  <c r="CF302" i="4"/>
  <c r="CH302" i="4" s="1"/>
  <c r="CF386" i="4"/>
  <c r="CH386" i="4" s="1"/>
  <c r="CF1158" i="4"/>
  <c r="CH1158" i="4" s="1"/>
  <c r="CF433" i="4"/>
  <c r="CH433" i="4" s="1"/>
  <c r="CF787" i="4"/>
  <c r="CH787" i="4" s="1"/>
  <c r="CF487" i="4"/>
  <c r="CH487" i="4" s="1"/>
  <c r="CF1055" i="4"/>
  <c r="CH1055" i="4" s="1"/>
  <c r="CF1112" i="4"/>
  <c r="CH1112" i="4" s="1"/>
  <c r="CF9" i="4"/>
  <c r="CH9" i="4" s="1"/>
  <c r="CF1040" i="4"/>
  <c r="CH1040" i="4" s="1"/>
  <c r="CF191" i="4"/>
  <c r="CH191" i="4" s="1"/>
  <c r="CF1143" i="4"/>
  <c r="CH1143" i="4" s="1"/>
  <c r="CF600" i="4"/>
  <c r="CH600" i="4" s="1"/>
  <c r="CF365" i="4"/>
  <c r="CH365" i="4" s="1"/>
  <c r="CF904" i="4"/>
  <c r="CH904" i="4" s="1"/>
  <c r="CF514" i="4"/>
  <c r="CH514" i="4" s="1"/>
  <c r="CF918" i="4"/>
  <c r="CH918" i="4" s="1"/>
  <c r="CF147" i="4"/>
  <c r="CH147" i="4" s="1"/>
  <c r="CF394" i="4"/>
  <c r="CH394" i="4" s="1"/>
  <c r="CF643" i="4"/>
  <c r="CH643" i="4" s="1"/>
  <c r="CF484" i="4"/>
  <c r="CH484" i="4" s="1"/>
  <c r="CF136" i="4"/>
  <c r="CH136" i="4" s="1"/>
  <c r="CF830" i="4"/>
  <c r="CH830" i="4" s="1"/>
  <c r="CF190" i="4"/>
  <c r="CH190" i="4" s="1"/>
  <c r="CF1164" i="4"/>
  <c r="CH1164" i="4" s="1"/>
  <c r="CF491" i="4"/>
  <c r="CH491" i="4" s="1"/>
  <c r="CF985" i="4"/>
  <c r="CH985" i="4" s="1"/>
  <c r="CF252" i="4"/>
  <c r="CH252" i="4" s="1"/>
  <c r="CF1057" i="4"/>
  <c r="CH1057" i="4" s="1"/>
  <c r="CF573" i="4"/>
  <c r="CH573" i="4" s="1"/>
  <c r="CF330" i="4"/>
  <c r="CH330" i="4" s="1"/>
  <c r="CF431" i="4"/>
  <c r="CH431" i="4" s="1"/>
  <c r="CF529" i="4"/>
  <c r="CH529" i="4" s="1"/>
  <c r="CF311" i="4"/>
  <c r="CH311" i="4" s="1"/>
  <c r="CF57" i="4"/>
  <c r="CH57" i="4" s="1"/>
  <c r="CF1103" i="4"/>
  <c r="CH1103" i="4" s="1"/>
  <c r="CF677" i="4"/>
  <c r="CH677" i="4" s="1"/>
  <c r="CF525" i="4"/>
  <c r="CH525" i="4" s="1"/>
  <c r="CF343" i="4"/>
  <c r="CH343" i="4" s="1"/>
  <c r="CF135" i="4"/>
  <c r="CH135" i="4" s="1"/>
  <c r="CF1129" i="4"/>
  <c r="CH1129" i="4" s="1"/>
  <c r="CF559" i="4"/>
  <c r="CH559" i="4" s="1"/>
  <c r="CF295" i="4"/>
  <c r="CH295" i="4" s="1"/>
  <c r="CF205" i="4"/>
  <c r="CH205" i="4" s="1"/>
  <c r="CF1161" i="4"/>
  <c r="CH1161" i="4" s="1"/>
  <c r="CF149" i="4"/>
  <c r="CH149" i="4" s="1"/>
  <c r="CF733" i="4"/>
  <c r="CH733" i="4" s="1"/>
  <c r="CF97" i="4"/>
  <c r="CH97" i="4" s="1"/>
  <c r="CF527" i="4"/>
  <c r="CH527" i="4" s="1"/>
  <c r="CF855" i="4"/>
  <c r="CH855" i="4" s="1"/>
  <c r="CF89" i="4"/>
  <c r="CH89" i="4" s="1"/>
  <c r="CF1177" i="4"/>
  <c r="CH1177" i="4" s="1"/>
  <c r="CF68" i="4"/>
  <c r="CH68" i="4" s="1"/>
  <c r="CF73" i="4"/>
  <c r="CH73" i="4" s="1"/>
  <c r="CF103" i="4"/>
  <c r="CH103" i="4" s="1"/>
  <c r="CF400" i="4"/>
  <c r="CH400" i="4" s="1"/>
  <c r="CF208" i="4"/>
  <c r="CH208" i="4" s="1"/>
  <c r="CF351" i="4"/>
  <c r="CH351" i="4" s="1"/>
  <c r="CF293" i="4"/>
  <c r="CH293" i="4" s="1"/>
  <c r="CF264" i="4"/>
  <c r="CH264" i="4" s="1"/>
  <c r="CF141" i="4"/>
  <c r="CH141" i="4" s="1"/>
  <c r="CF1180" i="4"/>
  <c r="CH1180" i="4" s="1"/>
  <c r="CF245" i="4"/>
  <c r="CH245" i="4" s="1"/>
  <c r="CF688" i="4"/>
  <c r="CH688" i="4" s="1"/>
  <c r="CF1001" i="4"/>
  <c r="CH1001" i="4" s="1"/>
  <c r="CF1079" i="4"/>
  <c r="CH1079" i="4" s="1"/>
  <c r="CF32" i="4"/>
  <c r="CH32" i="4" s="1"/>
  <c r="CF398" i="4"/>
  <c r="CH398" i="4" s="1"/>
  <c r="CF497" i="4"/>
  <c r="CH497" i="4" s="1"/>
  <c r="CF475" i="4"/>
  <c r="CH475" i="4" s="1"/>
  <c r="CF811" i="4"/>
  <c r="CH811" i="4" s="1"/>
  <c r="CF828" i="4"/>
  <c r="CH828" i="4" s="1"/>
  <c r="CF14" i="4"/>
  <c r="CH14" i="4" s="1"/>
  <c r="CF464" i="4"/>
  <c r="CH464" i="4" s="1"/>
  <c r="CF134" i="4"/>
  <c r="CH134" i="4" s="1"/>
  <c r="CF730" i="4"/>
  <c r="CH730" i="4" s="1"/>
  <c r="CF420" i="4"/>
  <c r="CH420" i="4" s="1"/>
  <c r="CF670" i="4"/>
  <c r="CH670" i="4" s="1"/>
  <c r="CF822" i="4"/>
  <c r="CH822" i="4" s="1"/>
  <c r="CF1146" i="4"/>
  <c r="CH1146" i="4" s="1"/>
  <c r="CF780" i="4"/>
  <c r="CH780" i="4" s="1"/>
  <c r="CF368" i="4"/>
  <c r="CH368" i="4" s="1"/>
  <c r="CF885" i="4"/>
  <c r="CH885" i="4" s="1"/>
  <c r="CF919" i="4"/>
  <c r="CH919" i="4" s="1"/>
  <c r="CF1014" i="4"/>
  <c r="CH1014" i="4" s="1"/>
  <c r="CF447" i="4"/>
  <c r="CH447" i="4" s="1"/>
  <c r="CF1120" i="4"/>
  <c r="CH1120" i="4" s="1"/>
  <c r="CF686" i="4"/>
  <c r="CH686" i="4" s="1"/>
  <c r="CF656" i="4"/>
  <c r="CH656" i="4" s="1"/>
  <c r="CF1007" i="4"/>
  <c r="CH1007" i="4" s="1"/>
  <c r="CF614" i="4"/>
  <c r="CH614" i="4" s="1"/>
  <c r="CF991" i="4"/>
  <c r="CH991" i="4" s="1"/>
  <c r="CF296" i="4"/>
  <c r="CH296" i="4" s="1"/>
  <c r="CF998" i="4"/>
  <c r="CH998" i="4" s="1"/>
  <c r="CF818" i="4"/>
  <c r="CH818" i="4" s="1"/>
  <c r="CF70" i="4"/>
  <c r="CH70" i="4" s="1"/>
  <c r="CF654" i="4"/>
  <c r="CH654" i="4" s="1"/>
  <c r="CF990" i="4"/>
  <c r="CH990" i="4" s="1"/>
  <c r="CF665" i="4"/>
  <c r="CH665" i="4" s="1"/>
  <c r="CF969" i="4"/>
  <c r="CH969" i="4" s="1"/>
  <c r="CF88" i="4"/>
  <c r="CH88" i="4" s="1"/>
  <c r="CF922" i="4"/>
  <c r="CH922" i="4" s="1"/>
  <c r="CF1058" i="4"/>
  <c r="CH1058" i="4" s="1"/>
  <c r="CF162" i="4"/>
  <c r="CH162" i="4" s="1"/>
  <c r="CF999" i="4"/>
  <c r="CH999" i="4" s="1"/>
  <c r="CF1048" i="4"/>
  <c r="CH1048" i="4" s="1"/>
  <c r="CF615" i="4"/>
  <c r="CH615" i="4" s="1"/>
  <c r="CF721" i="4"/>
  <c r="CH721" i="4" s="1"/>
  <c r="CF345" i="4"/>
  <c r="CH345" i="4" s="1"/>
  <c r="CF61" i="4"/>
  <c r="CH61" i="4" s="1"/>
  <c r="CF461" i="4"/>
  <c r="CH461" i="4" s="1"/>
  <c r="CF1061" i="4"/>
  <c r="CH1061" i="4" s="1"/>
  <c r="CF211" i="4"/>
  <c r="CH211" i="4" s="1"/>
  <c r="CF195" i="4"/>
  <c r="CH195" i="4" s="1"/>
  <c r="CF1130" i="4"/>
  <c r="CH1130" i="4" s="1"/>
  <c r="CF1122" i="4"/>
  <c r="CH1122" i="4" s="1"/>
  <c r="CF312" i="4"/>
  <c r="CH312" i="4" s="1"/>
  <c r="CF1123" i="4"/>
  <c r="CH1123" i="4" s="1"/>
  <c r="CF117" i="4"/>
  <c r="CH117" i="4" s="1"/>
  <c r="CF334" i="4"/>
  <c r="CH334" i="4" s="1"/>
  <c r="CF177" i="4"/>
  <c r="CH177" i="4" s="1"/>
  <c r="CF917" i="4"/>
  <c r="CH917" i="4" s="1"/>
  <c r="CF114" i="4"/>
  <c r="CH114" i="4" s="1"/>
  <c r="CF54" i="4"/>
  <c r="CH54" i="4" s="1"/>
  <c r="CF362" i="4"/>
  <c r="CH362" i="4" s="1"/>
  <c r="CF513" i="4"/>
  <c r="CH513" i="4" s="1"/>
  <c r="CF429" i="4"/>
  <c r="CH429" i="4" s="1"/>
  <c r="CF712" i="4"/>
  <c r="CH712" i="4" s="1"/>
  <c r="CF1012" i="4"/>
  <c r="CH1012" i="4" s="1"/>
  <c r="CF12" i="4"/>
  <c r="CH12" i="4" s="1"/>
  <c r="CF751" i="4"/>
  <c r="CH751" i="4" s="1"/>
  <c r="CF422" i="4"/>
  <c r="CH422" i="4" s="1"/>
  <c r="CF294" i="4"/>
  <c r="CH294" i="4" s="1"/>
  <c r="CF48" i="4"/>
  <c r="CH48" i="4" s="1"/>
  <c r="CF522" i="4"/>
  <c r="CH522" i="4" s="1"/>
  <c r="CF2" i="4"/>
  <c r="CH2" i="4" s="1"/>
  <c r="CF1133" i="4"/>
  <c r="CH1133" i="4" s="1"/>
  <c r="CF945" i="4"/>
  <c r="CH945" i="4" s="1"/>
  <c r="CF146" i="4"/>
  <c r="CH146" i="4" s="1"/>
  <c r="CF1162" i="4"/>
  <c r="CH1162" i="4" s="1"/>
  <c r="CF624" i="4"/>
  <c r="CH624" i="4" s="1"/>
  <c r="CF672" i="4"/>
  <c r="CH672" i="4" s="1"/>
  <c r="CF1003" i="4"/>
  <c r="CH1003" i="4" s="1"/>
  <c r="CF477" i="4"/>
  <c r="CH477" i="4" s="1"/>
  <c r="CF445" i="4"/>
  <c r="CH445" i="4" s="1"/>
  <c r="CF373" i="4"/>
  <c r="CH373" i="4" s="1"/>
  <c r="CF1168" i="4"/>
  <c r="CH1168" i="4" s="1"/>
  <c r="CF531" i="4"/>
  <c r="CH531" i="4" s="1"/>
  <c r="CF13" i="4"/>
  <c r="CH13" i="4" s="1"/>
  <c r="CF722" i="4"/>
  <c r="CH722" i="4" s="1"/>
  <c r="CF204" i="4"/>
  <c r="CH204" i="4" s="1"/>
  <c r="CF246" i="4"/>
  <c r="CH246" i="4" s="1"/>
  <c r="CF1148" i="4"/>
  <c r="CH1148" i="4" s="1"/>
  <c r="CF988" i="4"/>
  <c r="CH988" i="4" s="1"/>
  <c r="CF805" i="4"/>
  <c r="CH805" i="4" s="1"/>
  <c r="CF556" i="4"/>
  <c r="CH556" i="4" s="1"/>
  <c r="CF842" i="4"/>
  <c r="CH842" i="4" s="1"/>
  <c r="CF1037" i="4"/>
  <c r="CH1037" i="4" s="1"/>
  <c r="CF276" i="4"/>
  <c r="CH276" i="4" s="1"/>
  <c r="CF819" i="4"/>
  <c r="CH819" i="4" s="1"/>
  <c r="CF1134" i="4"/>
  <c r="CH1134" i="4" s="1"/>
  <c r="CF375" i="4"/>
  <c r="CH375" i="4" s="1"/>
  <c r="CF159" i="4"/>
  <c r="CH159" i="4" s="1"/>
  <c r="CF25" i="4"/>
  <c r="CH25" i="4" s="1"/>
  <c r="CF623" i="4"/>
  <c r="CH623" i="4" s="1"/>
  <c r="CF486" i="4"/>
  <c r="CH486" i="4" s="1"/>
  <c r="CF56" i="4"/>
  <c r="CH56" i="4" s="1"/>
  <c r="CF315" i="4"/>
  <c r="CH315" i="4" s="1"/>
  <c r="CF407" i="4"/>
  <c r="CH407" i="4" s="1"/>
  <c r="CF95" i="4"/>
  <c r="CH95" i="4" s="1"/>
  <c r="CF1202" i="4"/>
  <c r="CH1202" i="4" s="1"/>
  <c r="CF935" i="4"/>
  <c r="CH935" i="4" s="1"/>
  <c r="CF387" i="4"/>
  <c r="CH387" i="4" s="1"/>
  <c r="CF309" i="4"/>
  <c r="CH309" i="4" s="1"/>
  <c r="CF975" i="4"/>
  <c r="CH975" i="4" s="1"/>
  <c r="CF370" i="4"/>
  <c r="CH370" i="4" s="1"/>
  <c r="CF192" i="4"/>
  <c r="CH192" i="4" s="1"/>
  <c r="CF316" i="4"/>
  <c r="CH316" i="4" s="1"/>
  <c r="CF369" i="4"/>
  <c r="CH369" i="4" s="1"/>
  <c r="CF198" i="4"/>
  <c r="CH198" i="4" s="1"/>
  <c r="CF789" i="4"/>
  <c r="CH789" i="4" s="1"/>
  <c r="CF435" i="4"/>
  <c r="CH435" i="4" s="1"/>
  <c r="CF682" i="4"/>
  <c r="CH682" i="4" s="1"/>
  <c r="CF735" i="4"/>
  <c r="CH735" i="4" s="1"/>
  <c r="CF65" i="4"/>
  <c r="CH65" i="4" s="1"/>
  <c r="CF782" i="4"/>
  <c r="CH782" i="4" s="1"/>
  <c r="CF608" i="4"/>
  <c r="CH608" i="4" s="1"/>
  <c r="CF937" i="4"/>
  <c r="CH937" i="4" s="1"/>
  <c r="CF306" i="4"/>
  <c r="CH306" i="4" s="1"/>
  <c r="CF878" i="4"/>
  <c r="CH878" i="4" s="1"/>
  <c r="CF215" i="4"/>
  <c r="CH215" i="4" s="1"/>
  <c r="CF743" i="4"/>
  <c r="CH743" i="4" s="1"/>
  <c r="CF914" i="4"/>
  <c r="CH914" i="4" s="1"/>
  <c r="CF996" i="4"/>
  <c r="CH996" i="4" s="1"/>
  <c r="CF341" i="4"/>
  <c r="CH341" i="4" s="1"/>
  <c r="CF336" i="4"/>
  <c r="CH336" i="4" s="1"/>
  <c r="CF706" i="4"/>
  <c r="CH706" i="4" s="1"/>
  <c r="CF206" i="4"/>
  <c r="CH206" i="4" s="1"/>
  <c r="CF757" i="4"/>
  <c r="CH757" i="4" s="1"/>
  <c r="CF1142" i="4"/>
  <c r="CH1142" i="4" s="1"/>
  <c r="CF848" i="4"/>
  <c r="CH848" i="4" s="1"/>
  <c r="CF598" i="4"/>
  <c r="CH598" i="4" s="1"/>
  <c r="CF1087" i="4"/>
  <c r="CH1087" i="4" s="1"/>
  <c r="CF331" i="4"/>
  <c r="CH331" i="4" s="1"/>
  <c r="CF175" i="4"/>
  <c r="CH175" i="4" s="1"/>
  <c r="CF53" i="4"/>
  <c r="CH53" i="4" s="1"/>
  <c r="CF752" i="4"/>
  <c r="CH752" i="4" s="1"/>
  <c r="CF800" i="4"/>
  <c r="CH800" i="4" s="1"/>
  <c r="CF794" i="4"/>
  <c r="CH794" i="4" s="1"/>
  <c r="CF942" i="4"/>
  <c r="CH942" i="4" s="1"/>
  <c r="CF46" i="4"/>
  <c r="CH46" i="4" s="1"/>
  <c r="CF37" i="4"/>
  <c r="CH37" i="4" s="1"/>
  <c r="CF953" i="4"/>
  <c r="CH953" i="4" s="1"/>
  <c r="CF460" i="4"/>
  <c r="CH460" i="4" s="1"/>
  <c r="CF567" i="4"/>
  <c r="CH567" i="4" s="1"/>
  <c r="CF690" i="4"/>
  <c r="CH690" i="4" s="1"/>
  <c r="CF992" i="4"/>
  <c r="CH992" i="4" s="1"/>
  <c r="CF1171" i="4"/>
  <c r="CH1171" i="4" s="1"/>
  <c r="CF186" i="4"/>
  <c r="CH186" i="4" s="1"/>
  <c r="CF791" i="4"/>
  <c r="CH791" i="4" s="1"/>
  <c r="CF1024" i="4"/>
  <c r="CH1024" i="4" s="1"/>
  <c r="CF106" i="4"/>
  <c r="CH106" i="4" s="1"/>
  <c r="CF10" i="4"/>
  <c r="CH10" i="4" s="1"/>
  <c r="CF47" i="4"/>
  <c r="CH47" i="4" s="1"/>
  <c r="CF352" i="4"/>
  <c r="CH352" i="4" s="1"/>
  <c r="CF799" i="4"/>
  <c r="CH799" i="4" s="1"/>
  <c r="CF212" i="4"/>
  <c r="CH212" i="4" s="1"/>
  <c r="CF854" i="4"/>
  <c r="CH854" i="4" s="1"/>
  <c r="CF1109" i="4"/>
  <c r="CH1109" i="4" s="1"/>
  <c r="CF44" i="4"/>
  <c r="CH44" i="4" s="1"/>
  <c r="CF105" i="4"/>
  <c r="CH105" i="4" s="1"/>
  <c r="CF599" i="4"/>
  <c r="CH599" i="4" s="1"/>
  <c r="CF196" i="4"/>
  <c r="CH196" i="4" s="1"/>
  <c r="CF1008" i="4"/>
  <c r="CH1008" i="4" s="1"/>
  <c r="CF602" i="4"/>
  <c r="CH602" i="4" s="1"/>
  <c r="CF810" i="4"/>
  <c r="CH810" i="4" s="1"/>
  <c r="CF825" i="4"/>
  <c r="CH825" i="4" s="1"/>
  <c r="CF952" i="4"/>
  <c r="CH952" i="4" s="1"/>
  <c r="CF967" i="4"/>
  <c r="CH967" i="4" s="1"/>
  <c r="CF172" i="4"/>
  <c r="CH172" i="4" s="1"/>
  <c r="CF783" i="4"/>
  <c r="CH783" i="4" s="1"/>
  <c r="CF79" i="4"/>
  <c r="CH79" i="4" s="1"/>
  <c r="CF812" i="4"/>
  <c r="CH812" i="4" s="1"/>
  <c r="CF814" i="4"/>
  <c r="CH814" i="4" s="1"/>
  <c r="CF503" i="4"/>
  <c r="CH503" i="4" s="1"/>
  <c r="CF933" i="4"/>
  <c r="CH933" i="4" s="1"/>
  <c r="CF428" i="4"/>
  <c r="CH428" i="4" s="1"/>
  <c r="CF31" i="4"/>
  <c r="CH31" i="4" s="1"/>
  <c r="CF52" i="4"/>
  <c r="CH52" i="4" s="1"/>
  <c r="CF412" i="4"/>
  <c r="CH412" i="4" s="1"/>
  <c r="CF928" i="4"/>
  <c r="CH928" i="4" s="1"/>
  <c r="CF853" i="4"/>
  <c r="CH853" i="4" s="1"/>
  <c r="CF458" i="4"/>
  <c r="CH458" i="4" s="1"/>
  <c r="CF321" i="4"/>
  <c r="CH321" i="4" s="1"/>
  <c r="CF1175" i="4"/>
  <c r="CH1175" i="4" s="1"/>
  <c r="CF1198" i="4"/>
  <c r="CH1198" i="4" s="1"/>
  <c r="CF607" i="4"/>
  <c r="CH607" i="4" s="1"/>
  <c r="CF921" i="4"/>
  <c r="CH921" i="4" s="1"/>
  <c r="CF415" i="4"/>
  <c r="CH415" i="4" s="1"/>
  <c r="CF423" i="4"/>
  <c r="CH423" i="4" s="1"/>
  <c r="CF1076" i="4"/>
  <c r="CH1076" i="4" s="1"/>
  <c r="CF582" i="4"/>
  <c r="CH582" i="4" s="1"/>
  <c r="CF479" i="4"/>
  <c r="CH479" i="4" s="1"/>
  <c r="CF995" i="4"/>
  <c r="CH995" i="4" s="1"/>
  <c r="CF122" i="4"/>
  <c r="CH122" i="4" s="1"/>
  <c r="CF45" i="4"/>
  <c r="CH45" i="4" s="1"/>
  <c r="CF157" i="4"/>
  <c r="CH157" i="4" s="1"/>
  <c r="CF161" i="4"/>
  <c r="CH161" i="4" s="1"/>
  <c r="CF213" i="4"/>
  <c r="CH213" i="4" s="1"/>
  <c r="CF17" i="4"/>
  <c r="CH17" i="4" s="1"/>
  <c r="CF456" i="4"/>
  <c r="CH456" i="4" s="1"/>
  <c r="CF1125" i="4"/>
  <c r="CH1125" i="4" s="1"/>
  <c r="CF344" i="4"/>
  <c r="CH344" i="4" s="1"/>
  <c r="CF944" i="4"/>
  <c r="CH944" i="4" s="1"/>
  <c r="CF1060" i="4"/>
  <c r="CH1060" i="4" s="1"/>
  <c r="CF356" i="4"/>
  <c r="CH356" i="4" s="1"/>
  <c r="CF231" i="4"/>
  <c r="CH231" i="4" s="1"/>
  <c r="CF250" i="4"/>
  <c r="CH250" i="4" s="1"/>
  <c r="CF288" i="4"/>
  <c r="CH288" i="4" s="1"/>
  <c r="CF547" i="4"/>
  <c r="CH547" i="4" s="1"/>
  <c r="CF328" i="4"/>
  <c r="CH328" i="4" s="1"/>
  <c r="CF1110" i="4"/>
  <c r="CH1110" i="4" s="1"/>
  <c r="CF217" i="4"/>
  <c r="CH217" i="4" s="1"/>
  <c r="CF997" i="4"/>
  <c r="CH997" i="4" s="1"/>
  <c r="CF979" i="4"/>
  <c r="CH979" i="4" s="1"/>
  <c r="CF940" i="4"/>
  <c r="CH940" i="4" s="1"/>
  <c r="CF648" i="4"/>
  <c r="CH648" i="4" s="1"/>
  <c r="CF585" i="4"/>
  <c r="CH585" i="4" s="1"/>
  <c r="CF393" i="4"/>
  <c r="CH393" i="4" s="1"/>
  <c r="CF150" i="4"/>
  <c r="CH150" i="4" s="1"/>
  <c r="CF22" i="4"/>
  <c r="CH22" i="4" s="1"/>
  <c r="CF941" i="4"/>
  <c r="CH941" i="4" s="1"/>
  <c r="CF1077" i="4"/>
  <c r="CH1077" i="4" s="1"/>
  <c r="CF869" i="4"/>
  <c r="CH869" i="4" s="1"/>
  <c r="CF257" i="4"/>
  <c r="CH257" i="4" s="1"/>
  <c r="CF424" i="4"/>
  <c r="CH424" i="4" s="1"/>
  <c r="CF644" i="4"/>
  <c r="CH644" i="4" s="1"/>
  <c r="CF683" i="4"/>
  <c r="CH683" i="4" s="1"/>
  <c r="CF887" i="4"/>
  <c r="CH887" i="4" s="1"/>
  <c r="CF416" i="4"/>
  <c r="CH416" i="4" s="1"/>
  <c r="CF565" i="4"/>
  <c r="CH565" i="4" s="1"/>
  <c r="CF383" i="4"/>
  <c r="CH383" i="4" s="1"/>
  <c r="CF1017" i="4"/>
  <c r="CH1017" i="4" s="1"/>
  <c r="CF113" i="4"/>
  <c r="CH113" i="4" s="1"/>
  <c r="CF402" i="4"/>
  <c r="CH402" i="4" s="1"/>
  <c r="CF1176" i="4"/>
  <c r="CH1176" i="4" s="1"/>
  <c r="CF1150" i="4"/>
  <c r="CH1150" i="4" s="1"/>
  <c r="CF1186" i="4"/>
  <c r="CH1186" i="4" s="1"/>
  <c r="CF267" i="4"/>
  <c r="CH267" i="4" s="1"/>
  <c r="CF813" i="4"/>
  <c r="CH813" i="4" s="1"/>
  <c r="CF575" i="4"/>
  <c r="CH575" i="4" s="1"/>
  <c r="CF620" i="4"/>
  <c r="CH620" i="4" s="1"/>
  <c r="CF98" i="4"/>
  <c r="CH98" i="4" s="1"/>
  <c r="CF905" i="4"/>
  <c r="CH905" i="4" s="1"/>
  <c r="CF746" i="4"/>
  <c r="CH746" i="4" s="1"/>
  <c r="CC93" i="4"/>
  <c r="CE93" i="4" s="1"/>
  <c r="CC120" i="4"/>
  <c r="CE120" i="4" s="1"/>
  <c r="CC1153" i="4"/>
  <c r="CE1153" i="4" s="1"/>
  <c r="CC1063" i="4"/>
  <c r="CE1063" i="4" s="1"/>
  <c r="CC457" i="4"/>
  <c r="CE457" i="4" s="1"/>
  <c r="CC888" i="4"/>
  <c r="CE888" i="4" s="1"/>
  <c r="CC488" i="4"/>
  <c r="CE488" i="4" s="1"/>
  <c r="CC1029" i="4"/>
  <c r="CE1029" i="4" s="1"/>
  <c r="CC1033" i="4"/>
  <c r="CE1033" i="4" s="1"/>
  <c r="CC277" i="4"/>
  <c r="CE277" i="4" s="1"/>
  <c r="CC76" i="4"/>
  <c r="CE76" i="4" s="1"/>
  <c r="CC403" i="4"/>
  <c r="CE403" i="4" s="1"/>
  <c r="CC895" i="4"/>
  <c r="CE895" i="4" s="1"/>
  <c r="CC976" i="4"/>
  <c r="CE976" i="4" s="1"/>
  <c r="CC1156" i="4"/>
  <c r="CE1156" i="4" s="1"/>
  <c r="CC788" i="4"/>
  <c r="CE788" i="4" s="1"/>
  <c r="CC705" i="4"/>
  <c r="CE705" i="4" s="1"/>
  <c r="CC34" i="4"/>
  <c r="CE34" i="4" s="1"/>
  <c r="CC929" i="4"/>
  <c r="CE929" i="4" s="1"/>
  <c r="CC1191" i="4"/>
  <c r="CE1191" i="4" s="1"/>
  <c r="CC124" i="4"/>
  <c r="CE124" i="4" s="1"/>
  <c r="CC214" i="4"/>
  <c r="CE214" i="4" s="1"/>
  <c r="CC99" i="4"/>
  <c r="CE99" i="4" s="1"/>
  <c r="CC236" i="4"/>
  <c r="CE236" i="4" s="1"/>
  <c r="CC1102" i="4"/>
  <c r="CE1102" i="4" s="1"/>
  <c r="CC856" i="4"/>
  <c r="CE856" i="4" s="1"/>
  <c r="CC697" i="4"/>
  <c r="CE697" i="4" s="1"/>
  <c r="CC1032" i="4"/>
  <c r="CE1032" i="4" s="1"/>
  <c r="CC347" i="4"/>
  <c r="CE347" i="4" s="1"/>
  <c r="CC1194" i="4"/>
  <c r="CE1194" i="4" s="1"/>
  <c r="CC1174" i="4"/>
  <c r="CE1174" i="4" s="1"/>
  <c r="CC676" i="4"/>
  <c r="CE676" i="4" s="1"/>
  <c r="CC745" i="4"/>
  <c r="CE745" i="4" s="1"/>
  <c r="CC1067" i="4"/>
  <c r="CE1067" i="4" s="1"/>
  <c r="CC642" i="4"/>
  <c r="CE642" i="4" s="1"/>
  <c r="CC761" i="4"/>
  <c r="CE761" i="4" s="1"/>
  <c r="CC1018" i="4"/>
  <c r="CE1018" i="4" s="1"/>
  <c r="CC173" i="4"/>
  <c r="CE173" i="4" s="1"/>
  <c r="CC115" i="4"/>
  <c r="CE115" i="4" s="1"/>
  <c r="CC524" i="4"/>
  <c r="CE524" i="4" s="1"/>
  <c r="CC1196" i="4"/>
  <c r="CE1196" i="4" s="1"/>
  <c r="CC508" i="4"/>
  <c r="CE508" i="4" s="1"/>
  <c r="CC804" i="4"/>
  <c r="CE804" i="4" s="1"/>
  <c r="CC870" i="4"/>
  <c r="CE870" i="4" s="1"/>
  <c r="CC572" i="4"/>
  <c r="CE572" i="4" s="1"/>
  <c r="CC545" i="4"/>
  <c r="CE545" i="4" s="1"/>
  <c r="CC606" i="4"/>
  <c r="CE606" i="4" s="1"/>
  <c r="CC951" i="4"/>
  <c r="CE951" i="4" s="1"/>
  <c r="CC377" i="4"/>
  <c r="CE377" i="4" s="1"/>
  <c r="CC580" i="4"/>
  <c r="CE580" i="4" s="1"/>
  <c r="CC94" i="4"/>
  <c r="CE94" i="4" s="1"/>
  <c r="CC903" i="4"/>
  <c r="CE903" i="4" s="1"/>
  <c r="CC763" i="4"/>
  <c r="CE763" i="4" s="1"/>
  <c r="CC538" i="4"/>
  <c r="CE538" i="4" s="1"/>
  <c r="CC882" i="4"/>
  <c r="CE882" i="4" s="1"/>
  <c r="CC1105" i="4"/>
  <c r="CE1105" i="4" s="1"/>
  <c r="CC153" i="4"/>
  <c r="CE153" i="4" s="1"/>
  <c r="CC425" i="4"/>
  <c r="CE425" i="4" s="1"/>
  <c r="CC671" i="4"/>
  <c r="CE671" i="4" s="1"/>
  <c r="CC75" i="4"/>
  <c r="CE75" i="4" s="1"/>
  <c r="CC974" i="4"/>
  <c r="CE974" i="4" s="1"/>
  <c r="CC419" i="4"/>
  <c r="CE419" i="4" s="1"/>
  <c r="CC411" i="4"/>
  <c r="CE411" i="4" s="1"/>
  <c r="CC367" i="4"/>
  <c r="CE367" i="4" s="1"/>
  <c r="CC552" i="4"/>
  <c r="CE552" i="4" s="1"/>
  <c r="CC40" i="4"/>
  <c r="CE40" i="4" s="1"/>
  <c r="CC438" i="4"/>
  <c r="CE438" i="4" s="1"/>
  <c r="CC1021" i="4"/>
  <c r="CE1021" i="4" s="1"/>
  <c r="CC1152" i="4"/>
  <c r="CE1152" i="4" s="1"/>
  <c r="CC1098" i="4"/>
  <c r="CE1098" i="4" s="1"/>
  <c r="CC342" i="4"/>
  <c r="CE342" i="4" s="1"/>
  <c r="CC320" i="4"/>
  <c r="CE320" i="4" s="1"/>
  <c r="CC371" i="4"/>
  <c r="CE371" i="4" s="1"/>
  <c r="CC678" i="4"/>
  <c r="CE678" i="4" s="1"/>
  <c r="CC886" i="4"/>
  <c r="CE886" i="4" s="1"/>
  <c r="CC700" i="4"/>
  <c r="CE700" i="4" s="1"/>
  <c r="CC725" i="4"/>
  <c r="CE725" i="4" s="1"/>
  <c r="CC16" i="4"/>
  <c r="CE16" i="4" s="1"/>
  <c r="CC742" i="4"/>
  <c r="CE742" i="4" s="1"/>
  <c r="CC1197" i="4"/>
  <c r="CE1197" i="4" s="1"/>
  <c r="CC1119" i="4"/>
  <c r="CE1119" i="4" s="1"/>
  <c r="CC1034" i="4"/>
  <c r="CE1034" i="4" s="1"/>
  <c r="CC137" i="4"/>
  <c r="CE137" i="4" s="1"/>
  <c r="CC1201" i="4"/>
  <c r="CE1201" i="4" s="1"/>
  <c r="CC685" i="4"/>
  <c r="CE685" i="4" s="1"/>
  <c r="CC707" i="4"/>
  <c r="CE707" i="4" s="1"/>
  <c r="CC242" i="4"/>
  <c r="CE242" i="4" s="1"/>
  <c r="CC446" i="4"/>
  <c r="CE446" i="4" s="1"/>
  <c r="CC1086" i="4"/>
  <c r="CE1086" i="4" s="1"/>
  <c r="CC950" i="4"/>
  <c r="CE950" i="4" s="1"/>
  <c r="CC659" i="4"/>
  <c r="CE659" i="4" s="1"/>
  <c r="CC1038" i="4"/>
  <c r="CE1038" i="4" s="1"/>
  <c r="CC462" i="4"/>
  <c r="CE462" i="4" s="1"/>
  <c r="CC92" i="4"/>
  <c r="CE92" i="4" s="1"/>
  <c r="CC60" i="4"/>
  <c r="CE60" i="4" s="1"/>
  <c r="CC436" i="4"/>
  <c r="CE436" i="4" s="1"/>
  <c r="CC119" i="4"/>
  <c r="CE119" i="4" s="1"/>
  <c r="CC327" i="4"/>
  <c r="CE327" i="4" s="1"/>
  <c r="CC797" i="4"/>
  <c r="CE797" i="4" s="1"/>
  <c r="CC281" i="4"/>
  <c r="CE281" i="4" s="1"/>
  <c r="CC568" i="4"/>
  <c r="CE568" i="4" s="1"/>
  <c r="CC1070" i="4"/>
  <c r="CE1070" i="4" s="1"/>
  <c r="CC418" i="4"/>
  <c r="CE418" i="4" s="1"/>
  <c r="CC1182" i="4"/>
  <c r="CE1182" i="4" s="1"/>
  <c r="CC1027" i="4"/>
  <c r="CE1027" i="4" s="1"/>
  <c r="CC716" i="4"/>
  <c r="CE716" i="4" s="1"/>
  <c r="CC826" i="4"/>
  <c r="CE826" i="4" s="1"/>
  <c r="CC994" i="4"/>
  <c r="CE994" i="4" s="1"/>
  <c r="CC862" i="4"/>
  <c r="CE862" i="4" s="1"/>
  <c r="CC1106" i="4"/>
  <c r="CE1106" i="4" s="1"/>
  <c r="CC738" i="4"/>
  <c r="CE738" i="4" s="1"/>
  <c r="CC279" i="4"/>
  <c r="CE279" i="4" s="1"/>
  <c r="CC587" i="4"/>
  <c r="CE587" i="4" s="1"/>
  <c r="CC247" i="4"/>
  <c r="CE247" i="4" s="1"/>
  <c r="CC625" i="4"/>
  <c r="CE625" i="4" s="1"/>
  <c r="CC322" i="4"/>
  <c r="CE322" i="4" s="1"/>
  <c r="CC521" i="4"/>
  <c r="CE521" i="4" s="1"/>
  <c r="CC492" i="4"/>
  <c r="CE492" i="4" s="1"/>
  <c r="CC744" i="4"/>
  <c r="CE744" i="4" s="1"/>
  <c r="CC229" i="4"/>
  <c r="CE229" i="4" s="1"/>
  <c r="CC801" i="4"/>
  <c r="CE801" i="4" s="1"/>
  <c r="CC24" i="4"/>
  <c r="CE24" i="4" s="1"/>
  <c r="CC829" i="4"/>
  <c r="CE829" i="4" s="1"/>
  <c r="CC90" i="4"/>
  <c r="CE90" i="4" s="1"/>
  <c r="CC359" i="4"/>
  <c r="CE359" i="4" s="1"/>
  <c r="CC1127" i="4"/>
  <c r="CE1127" i="4" s="1"/>
  <c r="CC179" i="4"/>
  <c r="CE179" i="4" s="1"/>
  <c r="CC490" i="4"/>
  <c r="CE490" i="4" s="1"/>
  <c r="CC319" i="4"/>
  <c r="CE319" i="4" s="1"/>
  <c r="CC902" i="4"/>
  <c r="CE902" i="4" s="1"/>
  <c r="CC535" i="4"/>
  <c r="CE535" i="4" s="1"/>
  <c r="CC719" i="4"/>
  <c r="CE719" i="4" s="1"/>
  <c r="CC884" i="4"/>
  <c r="CE884" i="4" s="1"/>
  <c r="CC251" i="4"/>
  <c r="CE251" i="4" s="1"/>
  <c r="CC272" i="4"/>
  <c r="CE272" i="4" s="1"/>
  <c r="CC1043" i="4"/>
  <c r="CE1043" i="4" s="1"/>
  <c r="CC478" i="4"/>
  <c r="CE478" i="4" s="1"/>
  <c r="CC337" i="4"/>
  <c r="CE337" i="4" s="1"/>
  <c r="CC667" i="4"/>
  <c r="CE667" i="4" s="1"/>
  <c r="CC893" i="4"/>
  <c r="CE893" i="4" s="1"/>
  <c r="CC182" i="4"/>
  <c r="CE182" i="4" s="1"/>
  <c r="CC389" i="4"/>
  <c r="CE389" i="4" s="1"/>
  <c r="CC835" i="4"/>
  <c r="CE835" i="4" s="1"/>
  <c r="CC868" i="4"/>
  <c r="CE868" i="4" s="1"/>
  <c r="CC410" i="4"/>
  <c r="CE410" i="4" s="1"/>
  <c r="CC920" i="4"/>
  <c r="CE920" i="4" s="1"/>
  <c r="CC234" i="4"/>
  <c r="CE234" i="4" s="1"/>
  <c r="CC543" i="4"/>
  <c r="CE543" i="4" s="1"/>
  <c r="CC619" i="4"/>
  <c r="CE619" i="4" s="1"/>
  <c r="CC1096" i="4"/>
  <c r="CE1096" i="4" s="1"/>
  <c r="CC727" i="4"/>
  <c r="CE727" i="4" s="1"/>
  <c r="CC795" i="4"/>
  <c r="CE795" i="4" s="1"/>
  <c r="CC388" i="4"/>
  <c r="CE388" i="4" s="1"/>
  <c r="CC58" i="4"/>
  <c r="CE58" i="4" s="1"/>
  <c r="CC72" i="4"/>
  <c r="CE72" i="4" s="1"/>
  <c r="CC118" i="4"/>
  <c r="CE118" i="4" s="1"/>
  <c r="CC616" i="4"/>
  <c r="CE616" i="4" s="1"/>
  <c r="CC1046" i="4"/>
  <c r="CE1046" i="4" s="1"/>
  <c r="CC666" i="4"/>
  <c r="CE666" i="4" s="1"/>
  <c r="CC931" i="4"/>
  <c r="CE931" i="4" s="1"/>
  <c r="CC357" i="4"/>
  <c r="CE357" i="4" s="1"/>
  <c r="CC290" i="4"/>
  <c r="CE290" i="4" s="1"/>
  <c r="CC254" i="4"/>
  <c r="CE254" i="4" s="1"/>
  <c r="CC405" i="4"/>
  <c r="CE405" i="4" s="1"/>
  <c r="CC23" i="4"/>
  <c r="CE23" i="4" s="1"/>
  <c r="CC518" i="4"/>
  <c r="CE518" i="4" s="1"/>
  <c r="CC1190" i="4"/>
  <c r="CE1190" i="4" s="1"/>
  <c r="CC121" i="4"/>
  <c r="CE121" i="4" s="1"/>
  <c r="CC768" i="4"/>
  <c r="CE768" i="4" s="1"/>
  <c r="CC381" i="4"/>
  <c r="CE381" i="4" s="1"/>
  <c r="CC1140" i="4"/>
  <c r="CE1140" i="4" s="1"/>
  <c r="CC1031" i="4"/>
  <c r="CE1031" i="4" s="1"/>
  <c r="CC1085" i="4"/>
  <c r="CE1085" i="4" s="1"/>
  <c r="CC583" i="4"/>
  <c r="CE583" i="4" s="1"/>
  <c r="CC300" i="4"/>
  <c r="CE300" i="4" s="1"/>
  <c r="CC274" i="4"/>
  <c r="CE274" i="4" s="1"/>
  <c r="CC737" i="4"/>
  <c r="CE737" i="4" s="1"/>
  <c r="CC762" i="4"/>
  <c r="CE762" i="4" s="1"/>
  <c r="CC285" i="4"/>
  <c r="CE285" i="4" s="1"/>
  <c r="CC1144" i="4"/>
  <c r="CE1144" i="4" s="1"/>
  <c r="CC827" i="4"/>
  <c r="CE827" i="4" s="1"/>
  <c r="CC533" i="4"/>
  <c r="CE533" i="4" s="1"/>
  <c r="CC112" i="4"/>
  <c r="CE112" i="4" s="1"/>
  <c r="CC1124" i="4"/>
  <c r="CE1124" i="4" s="1"/>
  <c r="CC720" i="4"/>
  <c r="CE720" i="4" s="1"/>
  <c r="CC932" i="4"/>
  <c r="CE932" i="4" s="1"/>
  <c r="CC148" i="4"/>
  <c r="CE148" i="4" s="1"/>
  <c r="CC29" i="4"/>
  <c r="CE29" i="4" s="1"/>
  <c r="CC1108" i="4"/>
  <c r="CE1108" i="4" s="1"/>
  <c r="CC78" i="4"/>
  <c r="CE78" i="4" s="1"/>
  <c r="CC558" i="4"/>
  <c r="CE558" i="4" s="1"/>
  <c r="CC1026" i="4"/>
  <c r="CE1026" i="4" s="1"/>
  <c r="CC847" i="4"/>
  <c r="CE847" i="4" s="1"/>
  <c r="CC977" i="4"/>
  <c r="CE977" i="4" s="1"/>
  <c r="CC1126" i="4"/>
  <c r="CE1126" i="4" s="1"/>
  <c r="CC1010" i="4"/>
  <c r="CE1010" i="4" s="1"/>
  <c r="CC87" i="4"/>
  <c r="CE87" i="4" s="1"/>
  <c r="CC755" i="4"/>
  <c r="CE755" i="4" s="1"/>
  <c r="CC361" i="4"/>
  <c r="CE361" i="4" s="1"/>
  <c r="CC889" i="4"/>
  <c r="CE889" i="4" s="1"/>
  <c r="CC238" i="4"/>
  <c r="CE238" i="4" s="1"/>
  <c r="CC954" i="4"/>
  <c r="CE954" i="4" s="1"/>
  <c r="CC176" i="4"/>
  <c r="CE176" i="4" s="1"/>
  <c r="CC890" i="4"/>
  <c r="CE890" i="4" s="1"/>
  <c r="CC698" i="4"/>
  <c r="CE698" i="4" s="1"/>
  <c r="CF698" i="4" s="1"/>
  <c r="CC857" i="4"/>
  <c r="CE857" i="4" s="1"/>
  <c r="CC915" i="4"/>
  <c r="CE915" i="4" s="1"/>
  <c r="CC1006" i="4"/>
  <c r="CE1006" i="4" s="1"/>
  <c r="CC199" i="4"/>
  <c r="CE199" i="4" s="1"/>
  <c r="CC500" i="4"/>
  <c r="CE500" i="4" s="1"/>
  <c r="CC891" i="4"/>
  <c r="CE891" i="4" s="1"/>
  <c r="CC839" i="4"/>
  <c r="CE839" i="4" s="1"/>
  <c r="CC1052" i="4"/>
  <c r="CE1052" i="4" s="1"/>
  <c r="CC1205" i="4"/>
  <c r="CE1205" i="4" s="1"/>
  <c r="CC1132" i="4"/>
  <c r="CE1132" i="4" s="1"/>
  <c r="CC455" i="4"/>
  <c r="CE455" i="4" s="1"/>
  <c r="CC66" i="4"/>
  <c r="CE66" i="4" s="1"/>
  <c r="CC505" i="4"/>
  <c r="CE505" i="4" s="1"/>
  <c r="CC426" i="4"/>
  <c r="CE426" i="4" s="1"/>
  <c r="CC465" i="4"/>
  <c r="CE465" i="4" s="1"/>
  <c r="CC714" i="4"/>
  <c r="CE714" i="4" s="1"/>
  <c r="CC817" i="4"/>
  <c r="CE817" i="4" s="1"/>
  <c r="CC80" i="4"/>
  <c r="CE80" i="4" s="1"/>
  <c r="CC1025" i="4"/>
  <c r="CE1025" i="4" s="1"/>
  <c r="CC859" i="4"/>
  <c r="CE859" i="4" s="1"/>
  <c r="CC64" i="4"/>
  <c r="CE64" i="4" s="1"/>
  <c r="CC718" i="4"/>
  <c r="CE718" i="4" s="1"/>
  <c r="CC1185" i="4"/>
  <c r="CE1185" i="4" s="1"/>
  <c r="CC216" i="4"/>
  <c r="CE216" i="4" s="1"/>
  <c r="CF216" i="4" s="1"/>
  <c r="CC713" i="4"/>
  <c r="CE713" i="4" s="1"/>
  <c r="CC286" i="4"/>
  <c r="CE286" i="4" s="1"/>
  <c r="CC1104" i="4"/>
  <c r="CE1104" i="4" s="1"/>
  <c r="CC709" i="4"/>
  <c r="CE709" i="4" s="1"/>
  <c r="CC578" i="4"/>
  <c r="CE578" i="4" s="1"/>
  <c r="CC630" i="4"/>
  <c r="CE630" i="4" s="1"/>
  <c r="CC589" i="4"/>
  <c r="CE589" i="4" s="1"/>
  <c r="CC836" i="4"/>
  <c r="CE836" i="4" s="1"/>
  <c r="CC8" i="4"/>
  <c r="CE8" i="4" s="1"/>
  <c r="CC570" i="4"/>
  <c r="CE570" i="4" s="1"/>
  <c r="CC116" i="4"/>
  <c r="CE116" i="4" s="1"/>
  <c r="CC1075" i="4"/>
  <c r="CE1075" i="4" s="1"/>
  <c r="CC674" i="4"/>
  <c r="CE674" i="4" s="1"/>
  <c r="CC1045" i="4"/>
  <c r="CE1045" i="4" s="1"/>
  <c r="CC851" i="4"/>
  <c r="CE851" i="4" s="1"/>
  <c r="CC769" i="4"/>
  <c r="CE769" i="4" s="1"/>
  <c r="CC767" i="4"/>
  <c r="CE767" i="4" s="1"/>
  <c r="CC163" i="4"/>
  <c r="CE163" i="4" s="1"/>
  <c r="CC1019" i="4"/>
  <c r="CE1019" i="4" s="1"/>
  <c r="CC495" i="4"/>
  <c r="CE495" i="4" s="1"/>
  <c r="CC711" i="4"/>
  <c r="CE711" i="4" s="1"/>
  <c r="CC401" i="4"/>
  <c r="CE401" i="4" s="1"/>
  <c r="CC1036" i="4"/>
  <c r="CE1036" i="4" s="1"/>
  <c r="CC374" i="4"/>
  <c r="CE374" i="4" s="1"/>
  <c r="CC111" i="4"/>
  <c r="CE111" i="4" s="1"/>
  <c r="CC143" i="4"/>
  <c r="CE143" i="4" s="1"/>
  <c r="CC188" i="4"/>
  <c r="CE188" i="4" s="1"/>
  <c r="CC984" i="4"/>
  <c r="CE984" i="4" s="1"/>
  <c r="CC923" i="4"/>
  <c r="CE923" i="4" s="1"/>
  <c r="CC657" i="4"/>
  <c r="CE657" i="4" s="1"/>
  <c r="CF657" i="4" s="1"/>
  <c r="CC4" i="4"/>
  <c r="CE4" i="4" s="1"/>
  <c r="CC971" i="4"/>
  <c r="CE971" i="4" s="1"/>
  <c r="CC372" i="4"/>
  <c r="CE372" i="4" s="1"/>
  <c r="CC67" i="4"/>
  <c r="CE67" i="4" s="1"/>
  <c r="CC379" i="4"/>
  <c r="CE379" i="4" s="1"/>
  <c r="CC824" i="4"/>
  <c r="CE824" i="4" s="1"/>
  <c r="CC1169" i="4"/>
  <c r="CE1169" i="4" s="1"/>
  <c r="CC696" i="4"/>
  <c r="CE696" i="4" s="1"/>
  <c r="CC593" i="4"/>
  <c r="CE593" i="4" s="1"/>
  <c r="CC496" i="4"/>
  <c r="CE496" i="4" s="1"/>
  <c r="CC1189" i="4"/>
  <c r="CE1189" i="4" s="1"/>
  <c r="CC833" i="4"/>
  <c r="CE833" i="4" s="1"/>
  <c r="CC798" i="4"/>
  <c r="CE798" i="4" s="1"/>
  <c r="CC364" i="4"/>
  <c r="CE364" i="4" s="1"/>
  <c r="CC275" i="4"/>
  <c r="CE275" i="4" s="1"/>
  <c r="CC551" i="4"/>
  <c r="CE551" i="4" s="1"/>
  <c r="CC874" i="4"/>
  <c r="CE874" i="4" s="1"/>
  <c r="CC102" i="4"/>
  <c r="CE102" i="4" s="1"/>
  <c r="CC82" i="4"/>
  <c r="CE82" i="4" s="1"/>
  <c r="CC237" i="4"/>
  <c r="CE237" i="4" s="1"/>
  <c r="CC611" i="4"/>
  <c r="CE611" i="4" s="1"/>
  <c r="CC993" i="4"/>
  <c r="CE993" i="4" s="1"/>
  <c r="CC916" i="4"/>
  <c r="CE916" i="4" s="1"/>
  <c r="CC871" i="4"/>
  <c r="CE871" i="4" s="1"/>
  <c r="CC926" i="4"/>
  <c r="CE926" i="4" s="1"/>
  <c r="CC391" i="4"/>
  <c r="CE391" i="4" s="1"/>
  <c r="CC326" i="4"/>
  <c r="CE326" i="4" s="1"/>
  <c r="CC963" i="4"/>
  <c r="CE963" i="4" s="1"/>
  <c r="CC786" i="4"/>
  <c r="CE786" i="4" s="1"/>
  <c r="CC1094" i="4"/>
  <c r="CE1094" i="4" s="1"/>
  <c r="CC534" i="4"/>
  <c r="CE534" i="4" s="1"/>
  <c r="CC142" i="4"/>
  <c r="CE142" i="4" s="1"/>
  <c r="CC38" i="4"/>
  <c r="CE38" i="4" s="1"/>
  <c r="CC877" i="4"/>
  <c r="CE877" i="4" s="1"/>
  <c r="CC260" i="4"/>
  <c r="CE260" i="4" s="1"/>
  <c r="CC823" i="4"/>
  <c r="CE823" i="4" s="1"/>
  <c r="CC100" i="4"/>
  <c r="CE100" i="4" s="1"/>
  <c r="CC1199" i="4"/>
  <c r="CE1199" i="4" s="1"/>
  <c r="CC154" i="4"/>
  <c r="CE154" i="4" s="1"/>
  <c r="CC894" i="4"/>
  <c r="CE894" i="4" s="1"/>
  <c r="CC883" i="4"/>
  <c r="CE883" i="4" s="1"/>
  <c r="CC171" i="4"/>
  <c r="CE171" i="4" s="1"/>
  <c r="CC736" i="4"/>
  <c r="CE736" i="4" s="1"/>
  <c r="CC1167" i="4"/>
  <c r="CE1167" i="4" s="1"/>
  <c r="CC972" i="4"/>
  <c r="CE972" i="4" s="1"/>
  <c r="CC282" i="4"/>
  <c r="CE282" i="4" s="1"/>
  <c r="CC128" i="4"/>
  <c r="CE128" i="4" s="1"/>
  <c r="CC308" i="4"/>
  <c r="CE308" i="4" s="1"/>
  <c r="CC704" i="4"/>
  <c r="CE704" i="4" s="1"/>
  <c r="CC899" i="4"/>
  <c r="CE899" i="4" s="1"/>
  <c r="CC703" i="4"/>
  <c r="CE703" i="4" s="1"/>
  <c r="CC432" i="4"/>
  <c r="CE432" i="4" s="1"/>
  <c r="CC1187" i="4"/>
  <c r="CE1187" i="4" s="1"/>
  <c r="CC957" i="4"/>
  <c r="CE957" i="4" s="1"/>
  <c r="CC622" i="4"/>
  <c r="CE622" i="4" s="1"/>
  <c r="CC978" i="4"/>
  <c r="CE978" i="4" s="1"/>
  <c r="CC385" i="4"/>
  <c r="CE385" i="4" s="1"/>
  <c r="CC569" i="4"/>
  <c r="CE569" i="4" s="1"/>
  <c r="CC1053" i="4"/>
  <c r="CE1053" i="4" s="1"/>
  <c r="CC144" i="4"/>
  <c r="CE144" i="4" s="1"/>
  <c r="CC325" i="4"/>
  <c r="CE325" i="4" s="1"/>
  <c r="CC390" i="4"/>
  <c r="CE390" i="4" s="1"/>
  <c r="CC304" i="4"/>
  <c r="CE304" i="4" s="1"/>
  <c r="CC664" i="4"/>
  <c r="CE664" i="4" s="1"/>
  <c r="CC540" i="4"/>
  <c r="CE540" i="4" s="1"/>
  <c r="CC392" i="4"/>
  <c r="CE392" i="4" s="1"/>
  <c r="CC409" i="4"/>
  <c r="CE409" i="4" s="1"/>
  <c r="CC27" i="4"/>
  <c r="CE27" i="4" s="1"/>
  <c r="CC292" i="4"/>
  <c r="CE292" i="4" s="1"/>
  <c r="CC863" i="4"/>
  <c r="CE863" i="4" s="1"/>
  <c r="CC796" i="4"/>
  <c r="CE796" i="4" s="1"/>
  <c r="CC453" i="4"/>
  <c r="CE453" i="4" s="1"/>
  <c r="CC840" i="4"/>
  <c r="CE840" i="4" s="1"/>
  <c r="CC948" i="4"/>
  <c r="CE948" i="4" s="1"/>
  <c r="CC160" i="4"/>
  <c r="CE160" i="4" s="1"/>
  <c r="CC259" i="4"/>
  <c r="CE259" i="4" s="1"/>
  <c r="CC973" i="4"/>
  <c r="CE973" i="4" s="1"/>
  <c r="CC506" i="4"/>
  <c r="CE506" i="4" s="1"/>
  <c r="CC785" i="4"/>
  <c r="CE785" i="4" s="1"/>
  <c r="CC1117" i="4"/>
  <c r="CE1117" i="4" s="1"/>
  <c r="CC571" i="4"/>
  <c r="CE571" i="4" s="1"/>
  <c r="CC520" i="4"/>
  <c r="CE520" i="4" s="1"/>
  <c r="CC262" i="4"/>
  <c r="CE262" i="4" s="1"/>
  <c r="CC49" i="4"/>
  <c r="CE49" i="4" s="1"/>
  <c r="CC640" i="4"/>
  <c r="CE640" i="4" s="1"/>
  <c r="CC1195" i="4"/>
  <c r="CE1195" i="4" s="1"/>
  <c r="CC732" i="4"/>
  <c r="CE732" i="4" s="1"/>
  <c r="CC181" i="4"/>
  <c r="CE181" i="4" s="1"/>
  <c r="CC1099" i="4"/>
  <c r="CE1099" i="4" s="1"/>
  <c r="CC382" i="4"/>
  <c r="CE382" i="4" s="1"/>
  <c r="CC860" i="4"/>
  <c r="CE860" i="4" s="1"/>
  <c r="CC239" i="4"/>
  <c r="CE239" i="4" s="1"/>
  <c r="CC754" i="4"/>
  <c r="CE754" i="4" s="1"/>
  <c r="CC843" i="4"/>
  <c r="CE843" i="4" s="1"/>
  <c r="CC549" i="4"/>
  <c r="CE549" i="4" s="1"/>
  <c r="CC892" i="4"/>
  <c r="CE892" i="4" s="1"/>
  <c r="CC441" i="4"/>
  <c r="CE441" i="4" s="1"/>
  <c r="CC959" i="4"/>
  <c r="CE959" i="4" s="1"/>
  <c r="CC1101" i="4"/>
  <c r="CE1101" i="4" s="1"/>
  <c r="CC1066" i="4"/>
  <c r="CE1066" i="4" s="1"/>
  <c r="CC687" i="4"/>
  <c r="CE687" i="4" s="1"/>
  <c r="CC790" i="4"/>
  <c r="CE790" i="4" s="1"/>
  <c r="CC1083" i="4"/>
  <c r="CE1083" i="4" s="1"/>
  <c r="CC297" i="4"/>
  <c r="CE297" i="4" s="1"/>
  <c r="CC546" i="4"/>
  <c r="CE546" i="4" s="1"/>
  <c r="CC663" i="4"/>
  <c r="CE663" i="4" s="1"/>
  <c r="CC766" i="4"/>
  <c r="CE766" i="4" s="1"/>
  <c r="CC1059" i="4"/>
  <c r="CE1059" i="4" s="1"/>
  <c r="CC1051" i="4"/>
  <c r="CE1051" i="4" s="1"/>
  <c r="CC544" i="4"/>
  <c r="CE544" i="4" s="1"/>
  <c r="CC564" i="4"/>
  <c r="CE564" i="4" s="1"/>
  <c r="CC174" i="4"/>
  <c r="CE174" i="4" s="1"/>
  <c r="CC906" i="4"/>
  <c r="CE906" i="4" s="1"/>
  <c r="CC966" i="4"/>
  <c r="CE966" i="4" s="1"/>
  <c r="CC1137" i="4"/>
  <c r="CE1137" i="4" s="1"/>
  <c r="CC30" i="4"/>
  <c r="CE30" i="4" s="1"/>
  <c r="CC548" i="4"/>
  <c r="CE548" i="4" s="1"/>
  <c r="CC476" i="4"/>
  <c r="CE476" i="4" s="1"/>
  <c r="CC808" i="4"/>
  <c r="CE808" i="4" s="1"/>
  <c r="CC989" i="4"/>
  <c r="CE989" i="4" s="1"/>
  <c r="CC530" i="4"/>
  <c r="CE530" i="4" s="1"/>
  <c r="CC691" i="4"/>
  <c r="CE691" i="4" s="1"/>
  <c r="CC265" i="4"/>
  <c r="CE265" i="4" s="1"/>
  <c r="CC715" i="4"/>
  <c r="CE715" i="4" s="1"/>
  <c r="CC499" i="4"/>
  <c r="CE499" i="4" s="1"/>
  <c r="CC1147" i="4"/>
  <c r="CE1147" i="4" s="1"/>
  <c r="CC910" i="4"/>
  <c r="CE910" i="4" s="1"/>
  <c r="CC1128" i="4"/>
  <c r="CE1128" i="4" s="1"/>
  <c r="CC515" i="4"/>
  <c r="CE515" i="4" s="1"/>
  <c r="CC51" i="4"/>
  <c r="CE51" i="4" s="1"/>
  <c r="CC180" i="4"/>
  <c r="CE180" i="4" s="1"/>
  <c r="CC1178" i="4"/>
  <c r="CE1178" i="4" s="1"/>
  <c r="CC1157" i="4"/>
  <c r="CE1157" i="4" s="1"/>
  <c r="CC414" i="4"/>
  <c r="CE414" i="4" s="1"/>
  <c r="CC1173" i="4"/>
  <c r="CE1173" i="4" s="1"/>
  <c r="CC131" i="4"/>
  <c r="CE131" i="4" s="1"/>
  <c r="CC675" i="4"/>
  <c r="CE675" i="4" s="1"/>
  <c r="CC440" i="4"/>
  <c r="CE440" i="4" s="1"/>
  <c r="CC1107" i="4"/>
  <c r="CE1107" i="4" s="1"/>
  <c r="CC189" i="4"/>
  <c r="CE189" i="4" s="1"/>
  <c r="CC909" i="4"/>
  <c r="CE909" i="4" s="1"/>
  <c r="CC1009" i="4"/>
  <c r="CE1009" i="4" s="1"/>
  <c r="CC107" i="4"/>
  <c r="CE107" i="4" s="1"/>
  <c r="CC925" i="4"/>
  <c r="CE925" i="4" s="1"/>
  <c r="CC256" i="4"/>
  <c r="CE256" i="4" s="1"/>
  <c r="CC618" i="4"/>
  <c r="CE618" i="4" s="1"/>
  <c r="CC138" i="4"/>
  <c r="CE138" i="4" s="1"/>
  <c r="CC591" i="4"/>
  <c r="CE591" i="4" s="1"/>
  <c r="CC291" i="4"/>
  <c r="CE291" i="4" s="1"/>
  <c r="CC230" i="4"/>
  <c r="CE230" i="4" s="1"/>
  <c r="CC1203" i="4"/>
  <c r="CE1203" i="4" s="1"/>
  <c r="CC879" i="4"/>
  <c r="CE879" i="4" s="1"/>
  <c r="CC449" i="4"/>
  <c r="CE449" i="4" s="1"/>
  <c r="CC586" i="4"/>
  <c r="CE586" i="4" s="1"/>
  <c r="CC939" i="4"/>
  <c r="CE939" i="4" s="1"/>
  <c r="CC806" i="4"/>
  <c r="CE806" i="4" s="1"/>
  <c r="CC771" i="4"/>
  <c r="CE771" i="4" s="1"/>
  <c r="CC284" i="4"/>
  <c r="CE284" i="4" s="1"/>
  <c r="CC1183" i="4"/>
  <c r="CE1183" i="4" s="1"/>
  <c r="CC876" i="4"/>
  <c r="CE876" i="4" s="1"/>
  <c r="CC1062" i="4"/>
  <c r="CE1062" i="4" s="1"/>
  <c r="CC1092" i="4"/>
  <c r="CE1092" i="4" s="1"/>
  <c r="CC832" i="4"/>
  <c r="CE832" i="4" s="1"/>
  <c r="CC5" i="4"/>
  <c r="CE5" i="4" s="1"/>
  <c r="CC233" i="4"/>
  <c r="CE233" i="4" s="1"/>
  <c r="CC613" i="4"/>
  <c r="CE613" i="4" s="1"/>
  <c r="CC1179" i="4"/>
  <c r="CE1179" i="4" s="1"/>
  <c r="CC936" i="4"/>
  <c r="CE936" i="4" s="1"/>
  <c r="CC679" i="4"/>
  <c r="CE679" i="4" s="1"/>
  <c r="CC1138" i="4"/>
  <c r="CE1138" i="4" s="1"/>
  <c r="CC232" i="4"/>
  <c r="CE232" i="4" s="1"/>
  <c r="CC314" i="4"/>
  <c r="CE314" i="4" s="1"/>
  <c r="CC434" i="4"/>
  <c r="CE434" i="4" s="1"/>
  <c r="CC43" i="4"/>
  <c r="CE43" i="4" s="1"/>
  <c r="CC91" i="4"/>
  <c r="CE91" i="4" s="1"/>
  <c r="CC165" i="4"/>
  <c r="CE165" i="4" s="1"/>
  <c r="CC632" i="4"/>
  <c r="CE632" i="4" s="1"/>
  <c r="CC728" i="4"/>
  <c r="CE728" i="4" s="1"/>
  <c r="CC872" i="4"/>
  <c r="CE872" i="4" s="1"/>
  <c r="CC1022" i="4"/>
  <c r="CE1022" i="4" s="1"/>
  <c r="CC749" i="4"/>
  <c r="CE749" i="4" s="1"/>
  <c r="CC541" i="4"/>
  <c r="CE541" i="4" s="1"/>
  <c r="CC1172" i="4"/>
  <c r="CE1172" i="4" s="1"/>
  <c r="CC218" i="4"/>
  <c r="CE218" i="4" s="1"/>
  <c r="CC724" i="4"/>
  <c r="CE724" i="4" s="1"/>
  <c r="CC151" i="4"/>
  <c r="CE151" i="4" s="1"/>
  <c r="CC658" i="4"/>
  <c r="CE658" i="4" s="1"/>
  <c r="CC1081" i="4"/>
  <c r="CE1081" i="4" s="1"/>
  <c r="CC639" i="4"/>
  <c r="CE639" i="4" s="1"/>
  <c r="CC417" i="4"/>
  <c r="CE417" i="4" s="1"/>
  <c r="CC661" i="4"/>
  <c r="CE661" i="4" s="1"/>
  <c r="CC681" i="4"/>
  <c r="CE681" i="4" s="1"/>
  <c r="CC831" i="4"/>
  <c r="CE831" i="4" s="1"/>
  <c r="CC74" i="4"/>
  <c r="CE74" i="4" s="1"/>
  <c r="CC516" i="4"/>
  <c r="CE516" i="4" s="1"/>
  <c r="CC6" i="4"/>
  <c r="CE6" i="4" s="1"/>
  <c r="CC912" i="4"/>
  <c r="CE912" i="4" s="1"/>
  <c r="CC1042" i="4"/>
  <c r="CE1042" i="4" s="1"/>
  <c r="CC350" i="4"/>
  <c r="CE350" i="4" s="1"/>
  <c r="CC653" i="4"/>
  <c r="CE653" i="4" s="1"/>
  <c r="CC866" i="4"/>
  <c r="CE866" i="4" s="1"/>
  <c r="CC1090" i="4"/>
  <c r="CE1090" i="4" s="1"/>
  <c r="CC655" i="4"/>
  <c r="CE655" i="4" s="1"/>
  <c r="CC1091" i="4"/>
  <c r="CE1091" i="4" s="1"/>
  <c r="CC873" i="4"/>
  <c r="CE873" i="4" s="1"/>
  <c r="CC1068" i="4"/>
  <c r="CE1068" i="4" s="1"/>
  <c r="CC183" i="4"/>
  <c r="CE183" i="4" s="1"/>
  <c r="CC263" i="4"/>
  <c r="CE263" i="4" s="1"/>
  <c r="CC298" i="4"/>
  <c r="CE298" i="4" s="1"/>
  <c r="CC555" i="4"/>
  <c r="CE555" i="4" s="1"/>
  <c r="CC553" i="4"/>
  <c r="CE553" i="4" s="1"/>
  <c r="CC986" i="4"/>
  <c r="CE986" i="4" s="1"/>
  <c r="CC1065" i="4"/>
  <c r="CE1065" i="4" s="1"/>
  <c r="CC1050" i="4"/>
  <c r="CE1050" i="4" s="1"/>
  <c r="CC360" i="4"/>
  <c r="CE360" i="4" s="1"/>
  <c r="CC85" i="4"/>
  <c r="CE85" i="4" s="1"/>
  <c r="CC949" i="4"/>
  <c r="CE949" i="4" s="1"/>
  <c r="CC83" i="4"/>
  <c r="CE83" i="4" s="1"/>
  <c r="CC603" i="4"/>
  <c r="CE603" i="4" s="1"/>
  <c r="CC512" i="4"/>
  <c r="CE512" i="4" s="1"/>
  <c r="CC307" i="4"/>
  <c r="CE307" i="4" s="1"/>
  <c r="CC430" i="4"/>
  <c r="CE430" i="4" s="1"/>
  <c r="CC278" i="4"/>
  <c r="CE278" i="4" s="1"/>
  <c r="CC21" i="4"/>
  <c r="CE21" i="4" s="1"/>
  <c r="CC332" i="4"/>
  <c r="CE332" i="4" s="1"/>
  <c r="CC680" i="4"/>
  <c r="CE680" i="4" s="1"/>
  <c r="CC443" i="4"/>
  <c r="CE443" i="4" s="1"/>
  <c r="CC152" i="4"/>
  <c r="CE152" i="4" s="1"/>
  <c r="CC270" i="4"/>
  <c r="CE270" i="4" s="1"/>
  <c r="CC220" i="4"/>
  <c r="CE220" i="4" s="1"/>
  <c r="CF617" i="4"/>
  <c r="CH617" i="4" s="1"/>
  <c r="CF19" i="4"/>
  <c r="CH19" i="4" s="1"/>
  <c r="CF803" i="4"/>
  <c r="CH803" i="4" s="1"/>
  <c r="CF562" i="4"/>
  <c r="CH562" i="4" s="1"/>
  <c r="CF1080" i="4"/>
  <c r="CH1080" i="4" s="1"/>
  <c r="CF1064" i="4"/>
  <c r="CH1064" i="4" s="1"/>
  <c r="CF809" i="4"/>
  <c r="CH809" i="4" s="1"/>
  <c r="CF1166" i="4"/>
  <c r="CH1166" i="4" s="1"/>
  <c r="CF1020" i="4"/>
  <c r="CH1020" i="4" s="1"/>
  <c r="CF86" i="4"/>
  <c r="CH86" i="4" s="1"/>
  <c r="CF366" i="4"/>
  <c r="CH366" i="4" s="1"/>
  <c r="CF898" i="4"/>
  <c r="CH898" i="4" s="1"/>
  <c r="CF875" i="4"/>
  <c r="CH875" i="4" s="1"/>
  <c r="CF1047" i="4"/>
  <c r="CH1047" i="4" s="1"/>
  <c r="CF203" i="4"/>
  <c r="CH203" i="4" s="1"/>
  <c r="CF958" i="4"/>
  <c r="CH958" i="4" s="1"/>
  <c r="CF269" i="4"/>
  <c r="CH269" i="4" s="1"/>
  <c r="CF896" i="4"/>
  <c r="CH896" i="4" s="1"/>
  <c r="CF566" i="4"/>
  <c r="CH566" i="4" s="1"/>
  <c r="CF1056" i="4"/>
  <c r="CH1056" i="4" s="1"/>
  <c r="CF482" i="4"/>
  <c r="CH482" i="4" s="1"/>
  <c r="CF561" i="4"/>
  <c r="CH561" i="4" s="1"/>
  <c r="CF1149" i="4"/>
  <c r="CH1149" i="4" s="1"/>
  <c r="CF930" i="4"/>
  <c r="CH930" i="4" s="1"/>
  <c r="CF235" i="4"/>
  <c r="CH235" i="4" s="1"/>
  <c r="CF193" i="4"/>
  <c r="CH193" i="4" s="1"/>
  <c r="CF493" i="4"/>
  <c r="CH493" i="4" s="1"/>
  <c r="CF459" i="4"/>
  <c r="CH459" i="4" s="1"/>
  <c r="CF881" i="4"/>
  <c r="CH881" i="4" s="1"/>
  <c r="CF834" i="4"/>
  <c r="CH834" i="4" s="1"/>
  <c r="CF50" i="4"/>
  <c r="CH50" i="4" s="1"/>
  <c r="CF1154" i="4"/>
  <c r="CH1154" i="4" s="1"/>
  <c r="CF384" i="4"/>
  <c r="CH384" i="4" s="1"/>
  <c r="CF970" i="4"/>
  <c r="CH970" i="4" s="1"/>
  <c r="CF77" i="4"/>
  <c r="CH77" i="4" s="1"/>
  <c r="CF207" i="4"/>
  <c r="CH207" i="4" s="1"/>
  <c r="CF452" i="4"/>
  <c r="CH452" i="4" s="1"/>
  <c r="CF1113" i="4"/>
  <c r="CH1113" i="4" s="1"/>
  <c r="CF1093" i="4"/>
  <c r="CH1093" i="4" s="1"/>
  <c r="CF1145" i="4"/>
  <c r="CH1145" i="4" s="1"/>
  <c r="CF1121" i="4"/>
  <c r="CH1121" i="4" s="1"/>
  <c r="CF660" i="4"/>
  <c r="CH660" i="4" s="1"/>
  <c r="CF1200" i="4"/>
  <c r="CH1200" i="4" s="1"/>
  <c r="CF536" i="4"/>
  <c r="CH536" i="4" s="1"/>
  <c r="CF1002" i="4"/>
  <c r="CH1002" i="4" s="1"/>
  <c r="CF747" i="4"/>
  <c r="CH747" i="4" s="1"/>
  <c r="CF723" i="4"/>
  <c r="CH723" i="4" s="1"/>
  <c r="CF779" i="4"/>
  <c r="CH779" i="4" s="1"/>
  <c r="CF378" i="4"/>
  <c r="CH378" i="4" s="1"/>
  <c r="CF631" i="4"/>
  <c r="CH631" i="4" s="1"/>
  <c r="CF1011" i="4"/>
  <c r="CH1011" i="4" s="1"/>
  <c r="CF1131" i="4"/>
  <c r="CH1131" i="4" s="1"/>
  <c r="CF739" i="4"/>
  <c r="CH739" i="4" s="1"/>
  <c r="CF39" i="4"/>
  <c r="CH39" i="4" s="1"/>
  <c r="CF987" i="4"/>
  <c r="CH987" i="4" s="1"/>
  <c r="CF244" i="4"/>
  <c r="CH244" i="4" s="1"/>
  <c r="CF669" i="4"/>
  <c r="CH669" i="4" s="1"/>
  <c r="CF519" i="4"/>
  <c r="CH519" i="4" s="1"/>
  <c r="CF1163" i="4"/>
  <c r="CH1163" i="4" s="1"/>
  <c r="CF563" i="4"/>
  <c r="CH563" i="4" s="1"/>
  <c r="CF201" i="4"/>
  <c r="CH201" i="4" s="1"/>
  <c r="CF528" i="4"/>
  <c r="CH528" i="4" s="1"/>
  <c r="CF1072" i="4"/>
  <c r="CH1072" i="4" s="1"/>
  <c r="CF753" i="4"/>
  <c r="CH753" i="4" s="1"/>
  <c r="CF1181" i="4"/>
  <c r="CH1181" i="4" s="1"/>
  <c r="CF132" i="4"/>
  <c r="CH132" i="4" s="1"/>
  <c r="CF301" i="4"/>
  <c r="CH301" i="4" s="1"/>
  <c r="CF741" i="4"/>
  <c r="CH741" i="4" s="1"/>
  <c r="CF1118" i="4"/>
  <c r="CH1118" i="4" s="1"/>
  <c r="CF816" i="4"/>
  <c r="CH816" i="4" s="1"/>
  <c r="CF1049" i="4"/>
  <c r="CH1049" i="4" s="1"/>
  <c r="CF101" i="4"/>
  <c r="CH101" i="4" s="1"/>
  <c r="CF1084" i="4"/>
  <c r="CH1084" i="4" s="1"/>
  <c r="CF123" i="4"/>
  <c r="CH123" i="4" s="1"/>
  <c r="CF289" i="4"/>
  <c r="CH289" i="4" s="1"/>
  <c r="CF1170" i="4"/>
  <c r="CH1170" i="4" s="1"/>
  <c r="CF127" i="4"/>
  <c r="CH127" i="4" s="1"/>
  <c r="CF815" i="4"/>
  <c r="CH815" i="4" s="1"/>
  <c r="CF303" i="4"/>
  <c r="CH303" i="4" s="1"/>
  <c r="CF1114" i="4"/>
  <c r="CH1114" i="4" s="1"/>
  <c r="CF821" i="4"/>
  <c r="CH821" i="4" s="1"/>
  <c r="CF444" i="4"/>
  <c r="CH444" i="4" s="1"/>
  <c r="CF731" i="4"/>
  <c r="CH731" i="4" s="1"/>
  <c r="CF20" i="4"/>
  <c r="CH20" i="4" s="1"/>
  <c r="CF584" i="4"/>
  <c r="CH584" i="4" s="1"/>
  <c r="CF406" i="4"/>
  <c r="CH406" i="4" s="1"/>
  <c r="CF649" i="4"/>
  <c r="CH649" i="4" s="1"/>
  <c r="CF156" i="4"/>
  <c r="CH156" i="4" s="1"/>
  <c r="CF576" i="4"/>
  <c r="CH576" i="4" s="1"/>
  <c r="CF717" i="4"/>
  <c r="CH717" i="4" s="1"/>
  <c r="CF1035" i="4"/>
  <c r="CH1035" i="4" s="1"/>
  <c r="CF133" i="4"/>
  <c r="CH133" i="4" s="1"/>
  <c r="CF243" i="4"/>
  <c r="CH243" i="4" s="1"/>
  <c r="CF628" i="4"/>
  <c r="CH628" i="4" s="1"/>
  <c r="CF1028" i="4"/>
  <c r="CH1028" i="4" s="1"/>
  <c r="CF927" i="4"/>
  <c r="CH927" i="4" s="1"/>
  <c r="CF609" i="4"/>
  <c r="CH609" i="4" s="1"/>
  <c r="CF981" i="4"/>
  <c r="CH981" i="4" s="1"/>
  <c r="CF1165" i="4"/>
  <c r="CH1165" i="4" s="1"/>
  <c r="CF1089" i="4"/>
  <c r="CH1089" i="4" s="1"/>
  <c r="CF485" i="4"/>
  <c r="CH485" i="4" s="1"/>
  <c r="CF1073" i="4"/>
  <c r="CH1073" i="4" s="1"/>
  <c r="CF610" i="4"/>
  <c r="CH610" i="4" s="1"/>
  <c r="CF511" i="4"/>
  <c r="CH511" i="4" s="1"/>
  <c r="CF961" i="4"/>
  <c r="CH961" i="4" s="1"/>
  <c r="CF299" i="4"/>
  <c r="CH299" i="4" s="1"/>
  <c r="CF542" i="4"/>
  <c r="CH542" i="4" s="1"/>
  <c r="CF793" i="4"/>
  <c r="CH793" i="4" s="1"/>
  <c r="CF258" i="4"/>
  <c r="CH258" i="4" s="1"/>
  <c r="CF358" i="4"/>
  <c r="CH358" i="4" s="1"/>
  <c r="CF560" i="4"/>
  <c r="CH560" i="4" s="1"/>
  <c r="CF759" i="4"/>
  <c r="CH759" i="4" s="1"/>
  <c r="CF310" i="4"/>
  <c r="CH310" i="4" s="1"/>
  <c r="CF647" i="4"/>
  <c r="CH647" i="4" s="1"/>
  <c r="CF271" i="4"/>
  <c r="CH271" i="4" s="1"/>
  <c r="CF880" i="4"/>
  <c r="CH880" i="4" s="1"/>
  <c r="CF355" i="4"/>
  <c r="CH355" i="4" s="1"/>
  <c r="CF28" i="4"/>
  <c r="CH28" i="4" s="1"/>
  <c r="CF261" i="4"/>
  <c r="CH261" i="4" s="1"/>
  <c r="CF1088" i="4"/>
  <c r="CH1088" i="4" s="1"/>
  <c r="CF338" i="4"/>
  <c r="CH338" i="4" s="1"/>
  <c r="CF313" i="4"/>
  <c r="CH313" i="4" s="1"/>
  <c r="CF604" i="4"/>
  <c r="CH604" i="4" s="1"/>
  <c r="CF335" i="4"/>
  <c r="CH335" i="4" s="1"/>
  <c r="CF1192" i="4"/>
  <c r="CH1192" i="4" s="1"/>
  <c r="CF849" i="4"/>
  <c r="CH849" i="4" s="1"/>
  <c r="CF1041" i="4"/>
  <c r="CH1041" i="4" s="1"/>
  <c r="CF454" i="4"/>
  <c r="CH454" i="4" s="1"/>
  <c r="CF802" i="4"/>
  <c r="CH802" i="4" s="1"/>
  <c r="CF323" i="4"/>
  <c r="CH323" i="4" s="1"/>
  <c r="CF1082" i="4"/>
  <c r="CH1082" i="4" s="1"/>
  <c r="CF1141" i="4"/>
  <c r="CH1141" i="4" s="1"/>
  <c r="CF924" i="4"/>
  <c r="CH924" i="4" s="1"/>
  <c r="CF481" i="4"/>
  <c r="CH481" i="4" s="1"/>
  <c r="CF1188" i="4"/>
  <c r="CH1188" i="4" s="1"/>
  <c r="CF11" i="4"/>
  <c r="CH11" i="4" s="1"/>
  <c r="CF965" i="4"/>
  <c r="CH965" i="4" s="1"/>
  <c r="CF597" i="4"/>
  <c r="CH597" i="4" s="1"/>
  <c r="CF376" i="4"/>
  <c r="CH376" i="4" s="1"/>
  <c r="CF710" i="4"/>
  <c r="CH710" i="4" s="1"/>
  <c r="CF684" i="4"/>
  <c r="CH684" i="4" s="1"/>
  <c r="CF450" i="4"/>
  <c r="CH450" i="4" s="1"/>
  <c r="CF636" i="4"/>
  <c r="CH636" i="4" s="1"/>
  <c r="CF911" i="4"/>
  <c r="CH911" i="4" s="1"/>
  <c r="CF605" i="4"/>
  <c r="CH605" i="4" s="1"/>
  <c r="CF346" i="4"/>
  <c r="CH346" i="4" s="1"/>
  <c r="CF652" i="4"/>
  <c r="CH652" i="4" s="1"/>
  <c r="CF451" i="4"/>
  <c r="CH451" i="4" s="1"/>
  <c r="CF126" i="4"/>
  <c r="CH126" i="4" s="1"/>
  <c r="CF748" i="4"/>
  <c r="CH748" i="4" s="1"/>
  <c r="CF380" i="4"/>
  <c r="CH380" i="4" s="1"/>
  <c r="CF84" i="4"/>
  <c r="CH84" i="4" s="1"/>
  <c r="CF764" i="4"/>
  <c r="CH764" i="4" s="1"/>
  <c r="CF483" i="4"/>
  <c r="CH483" i="4" s="1"/>
  <c r="CF946" i="4"/>
  <c r="CH946" i="4" s="1"/>
  <c r="CF650" i="4"/>
  <c r="CH650" i="4" s="1"/>
  <c r="CF1095" i="4"/>
  <c r="CH1095" i="4" s="1"/>
  <c r="CF772" i="4"/>
  <c r="CH772" i="4" s="1"/>
  <c r="CE1097" i="4"/>
  <c r="CC41" i="1"/>
  <c r="CC53" i="1"/>
  <c r="CC15" i="1"/>
  <c r="CC49" i="1"/>
  <c r="BR33" i="1"/>
  <c r="BS33" i="1" s="1"/>
  <c r="BQ7" i="1"/>
  <c r="BR7" i="1"/>
  <c r="BS7" i="1" s="1"/>
  <c r="BQ4" i="1"/>
  <c r="BR4" i="1"/>
  <c r="BS4" i="1" s="1"/>
  <c r="BQ3" i="1"/>
  <c r="BR3" i="1"/>
  <c r="BS3" i="1" s="1"/>
  <c r="BQ16" i="1"/>
  <c r="BR16" i="1"/>
  <c r="BS16" i="1" s="1"/>
  <c r="BQ24" i="1"/>
  <c r="BR24" i="1"/>
  <c r="BS24" i="1" s="1"/>
  <c r="BQ20" i="1"/>
  <c r="BR20" i="1"/>
  <c r="BS20" i="1" s="1"/>
  <c r="BQ51" i="1"/>
  <c r="BR51" i="1"/>
  <c r="BS51" i="1" s="1"/>
  <c r="BQ39" i="1"/>
  <c r="BR39" i="1"/>
  <c r="BS39" i="1" s="1"/>
  <c r="BQ45" i="1"/>
  <c r="BR45" i="1"/>
  <c r="BS45" i="1" s="1"/>
  <c r="BQ44" i="1"/>
  <c r="BR44" i="1"/>
  <c r="BS44" i="1" s="1"/>
  <c r="BQ21" i="1"/>
  <c r="BR21" i="1"/>
  <c r="BS21" i="1" s="1"/>
  <c r="BQ8" i="1"/>
  <c r="BR8" i="1"/>
  <c r="BS8" i="1" s="1"/>
  <c r="BQ2" i="1"/>
  <c r="BS2" i="1"/>
  <c r="BQ26" i="1"/>
  <c r="BR26" i="1"/>
  <c r="BS26" i="1" s="1"/>
  <c r="BQ31" i="1"/>
  <c r="BR31" i="1"/>
  <c r="BS31" i="1" s="1"/>
  <c r="BQ28" i="1"/>
  <c r="BR28" i="1"/>
  <c r="BS28" i="1" s="1"/>
  <c r="BQ38" i="1"/>
  <c r="BR38" i="1"/>
  <c r="BS38" i="1" s="1"/>
  <c r="BQ43" i="1"/>
  <c r="BR43" i="1"/>
  <c r="BS43" i="1" s="1"/>
  <c r="BQ56" i="1"/>
  <c r="BR56" i="1"/>
  <c r="BS56" i="1" s="1"/>
  <c r="BQ18" i="1"/>
  <c r="BR18" i="1"/>
  <c r="BS18" i="1" s="1"/>
  <c r="BQ13" i="1"/>
  <c r="BR13" i="1"/>
  <c r="BS13" i="1" s="1"/>
  <c r="BQ22" i="1"/>
  <c r="BR22" i="1"/>
  <c r="BS22" i="1" s="1"/>
  <c r="BQ23" i="1"/>
  <c r="BR23" i="1"/>
  <c r="BS23" i="1" s="1"/>
  <c r="BQ10" i="1"/>
  <c r="BR10" i="1"/>
  <c r="BS10" i="1" s="1"/>
  <c r="BQ15" i="1"/>
  <c r="BR15" i="1"/>
  <c r="BS15" i="1" s="1"/>
  <c r="BQ42" i="1"/>
  <c r="BR42" i="1"/>
  <c r="BS42" i="1" s="1"/>
  <c r="BQ52" i="1"/>
  <c r="BR52" i="1"/>
  <c r="BS52" i="1" s="1"/>
  <c r="BQ47" i="1"/>
  <c r="BR47" i="1"/>
  <c r="BS47" i="1" s="1"/>
  <c r="BQ32" i="1"/>
  <c r="BR32" i="1"/>
  <c r="BS32" i="1" s="1"/>
  <c r="BQ55" i="1"/>
  <c r="BR55" i="1"/>
  <c r="BS55" i="1" s="1"/>
  <c r="BQ17" i="1"/>
  <c r="BR17" i="1"/>
  <c r="BS17" i="1" s="1"/>
  <c r="BQ34" i="1"/>
  <c r="BR34" i="1"/>
  <c r="BS34" i="1" s="1"/>
  <c r="BQ41" i="1"/>
  <c r="BR41" i="1"/>
  <c r="BS41" i="1" s="1"/>
  <c r="BQ30" i="1"/>
  <c r="BR30" i="1"/>
  <c r="BS30" i="1" s="1"/>
  <c r="BQ12" i="1"/>
  <c r="BR12" i="1"/>
  <c r="BS12" i="1" s="1"/>
  <c r="BQ54" i="1"/>
  <c r="BR54" i="1"/>
  <c r="BS54" i="1" s="1"/>
  <c r="BQ50" i="1"/>
  <c r="BR50" i="1"/>
  <c r="BS50" i="1" s="1"/>
  <c r="BQ9" i="1"/>
  <c r="BR9" i="1"/>
  <c r="BS9" i="1" s="1"/>
  <c r="BQ53" i="1"/>
  <c r="BR53" i="1"/>
  <c r="BS53" i="1" s="1"/>
  <c r="BQ11" i="1"/>
  <c r="BR11" i="1"/>
  <c r="BS11" i="1" s="1"/>
  <c r="BQ35" i="1"/>
  <c r="BR35" i="1"/>
  <c r="BS35" i="1" s="1"/>
  <c r="BQ27" i="1"/>
  <c r="BR27" i="1"/>
  <c r="BS27" i="1" s="1"/>
  <c r="BQ49" i="1"/>
  <c r="BR49" i="1"/>
  <c r="BS49" i="1" s="1"/>
  <c r="BQ58" i="1"/>
  <c r="BR58" i="1"/>
  <c r="BS58" i="1" s="1"/>
  <c r="BQ37" i="1"/>
  <c r="BR37" i="1"/>
  <c r="BS37" i="1" s="1"/>
  <c r="BQ40" i="1"/>
  <c r="BR40" i="1"/>
  <c r="BS40" i="1" s="1"/>
  <c r="BQ46" i="1"/>
  <c r="BR46" i="1"/>
  <c r="BS46" i="1" s="1"/>
  <c r="BQ36" i="1"/>
  <c r="BR36" i="1"/>
  <c r="BS36" i="1" s="1"/>
  <c r="BQ57" i="1"/>
  <c r="BR57" i="1"/>
  <c r="BS57" i="1" s="1"/>
  <c r="BQ6" i="1"/>
  <c r="BR6" i="1"/>
  <c r="BS6" i="1" s="1"/>
  <c r="BQ29" i="1"/>
  <c r="BR29" i="1"/>
  <c r="BS29" i="1" s="1"/>
  <c r="BQ48" i="1"/>
  <c r="BR48" i="1"/>
  <c r="BS48" i="1" s="1"/>
  <c r="BQ25" i="1"/>
  <c r="BR25" i="1"/>
  <c r="BS25" i="1" s="1"/>
  <c r="BQ19" i="1"/>
  <c r="BR19" i="1"/>
  <c r="BS19" i="1" s="1"/>
  <c r="BQ14" i="1"/>
  <c r="BR14" i="1"/>
  <c r="BS14" i="1" s="1"/>
  <c r="BQ5" i="1"/>
  <c r="BR5" i="1"/>
  <c r="BS5" i="1" s="1"/>
  <c r="CG52" i="1" l="1"/>
  <c r="CG56" i="1"/>
  <c r="CG24" i="1"/>
  <c r="CG36" i="1"/>
  <c r="CG13" i="1"/>
  <c r="CG20" i="1"/>
  <c r="CG34" i="1"/>
  <c r="CG45" i="1"/>
  <c r="CG32" i="1"/>
  <c r="CG46" i="1"/>
  <c r="CG8" i="1"/>
  <c r="CG21" i="1"/>
  <c r="CG37" i="1"/>
  <c r="CD7" i="1"/>
  <c r="CF7" i="1"/>
  <c r="CD53" i="1"/>
  <c r="CF53" i="1"/>
  <c r="CD35" i="1"/>
  <c r="CF35" i="1"/>
  <c r="CD28" i="1"/>
  <c r="CF28" i="1"/>
  <c r="CD33" i="1"/>
  <c r="CF33" i="1"/>
  <c r="CD16" i="1"/>
  <c r="CF16" i="1"/>
  <c r="CD17" i="1"/>
  <c r="CF17" i="1"/>
  <c r="CD51" i="1"/>
  <c r="CF51" i="1"/>
  <c r="CD4" i="1"/>
  <c r="CF4" i="1"/>
  <c r="CD3" i="1"/>
  <c r="CF3" i="1"/>
  <c r="CD31" i="1"/>
  <c r="CH31" i="1" s="1"/>
  <c r="CF31" i="1"/>
  <c r="CD27" i="1"/>
  <c r="CF27" i="1"/>
  <c r="CD42" i="1"/>
  <c r="CF42" i="1"/>
  <c r="CD43" i="1"/>
  <c r="CF43" i="1"/>
  <c r="CD38" i="1"/>
  <c r="CF38" i="1"/>
  <c r="CG38" i="1" s="1"/>
  <c r="CD57" i="1"/>
  <c r="CF57" i="1"/>
  <c r="CD19" i="1"/>
  <c r="CH19" i="1" s="1"/>
  <c r="CF19" i="1"/>
  <c r="CD39" i="1"/>
  <c r="CF39" i="1"/>
  <c r="CD50" i="1"/>
  <c r="CF50" i="1"/>
  <c r="CE31" i="1"/>
  <c r="CH68" i="1"/>
  <c r="CD41" i="1"/>
  <c r="CF41" i="1"/>
  <c r="CD9" i="1"/>
  <c r="CF9" i="1"/>
  <c r="CD26" i="1"/>
  <c r="CF26" i="1"/>
  <c r="CG26" i="1" s="1"/>
  <c r="CD49" i="1"/>
  <c r="CF49" i="1"/>
  <c r="CD29" i="1"/>
  <c r="CF29" i="1"/>
  <c r="CD47" i="1"/>
  <c r="CF47" i="1"/>
  <c r="CD18" i="1"/>
  <c r="CF18" i="1"/>
  <c r="CD15" i="1"/>
  <c r="CF15" i="1"/>
  <c r="CD14" i="1"/>
  <c r="CF14" i="1"/>
  <c r="CE43" i="1"/>
  <c r="CE28" i="1"/>
  <c r="CE16" i="1"/>
  <c r="CG16" i="1" s="1"/>
  <c r="CE4" i="1"/>
  <c r="CG4" i="1" s="1"/>
  <c r="CE40" i="1"/>
  <c r="CG40" i="1" s="1"/>
  <c r="CD40" i="1"/>
  <c r="CE55" i="1"/>
  <c r="CG55" i="1" s="1"/>
  <c r="CD55" i="1"/>
  <c r="CE17" i="1"/>
  <c r="CG17" i="1" s="1"/>
  <c r="CE35" i="1"/>
  <c r="CE33" i="1"/>
  <c r="CG33" i="1" s="1"/>
  <c r="CE51" i="1"/>
  <c r="CG51" i="1" s="1"/>
  <c r="CE39" i="1"/>
  <c r="CG39" i="1" s="1"/>
  <c r="CE9" i="1"/>
  <c r="CG9" i="1" s="1"/>
  <c r="CE27" i="1"/>
  <c r="CG27" i="1" s="1"/>
  <c r="CE47" i="1"/>
  <c r="CE3" i="1"/>
  <c r="CE19" i="1"/>
  <c r="CG19" i="1" s="1"/>
  <c r="CE18" i="1"/>
  <c r="CG18" i="1" s="1"/>
  <c r="CE57" i="1"/>
  <c r="CG57" i="1" s="1"/>
  <c r="CE50" i="1"/>
  <c r="CG50" i="1" s="1"/>
  <c r="CE29" i="1"/>
  <c r="CE42" i="1"/>
  <c r="CE14" i="1"/>
  <c r="CG14" i="1" s="1"/>
  <c r="CE53" i="1"/>
  <c r="CE7" i="1"/>
  <c r="CE49" i="1"/>
  <c r="CE15" i="1"/>
  <c r="CE41" i="1"/>
  <c r="CG41" i="1" s="1"/>
  <c r="CF724" i="4"/>
  <c r="CH724" i="4" s="1"/>
  <c r="CF43" i="4"/>
  <c r="CH43" i="4" s="1"/>
  <c r="CF83" i="4"/>
  <c r="CH83" i="4" s="1"/>
  <c r="CF516" i="4"/>
  <c r="CH516" i="4" s="1"/>
  <c r="CF232" i="4"/>
  <c r="CH232" i="4" s="1"/>
  <c r="CF728" i="4"/>
  <c r="CH728" i="4" s="1"/>
  <c r="CF544" i="4"/>
  <c r="CH544" i="4" s="1"/>
  <c r="CF949" i="4"/>
  <c r="CH949" i="4" s="1"/>
  <c r="CF1068" i="4"/>
  <c r="CH1068" i="4" s="1"/>
  <c r="CF578" i="4"/>
  <c r="CH578" i="4" s="1"/>
  <c r="CF80" i="4"/>
  <c r="CH80" i="4" s="1"/>
  <c r="CF1027" i="4"/>
  <c r="CH1027" i="4" s="1"/>
  <c r="CF443" i="4"/>
  <c r="CH443" i="4" s="1"/>
  <c r="CF85" i="4"/>
  <c r="CH85" i="4" s="1"/>
  <c r="CF873" i="4"/>
  <c r="CH873" i="4" s="1"/>
  <c r="CF74" i="4"/>
  <c r="CH74" i="4" s="1"/>
  <c r="CF218" i="4"/>
  <c r="CH218" i="4" s="1"/>
  <c r="CF434" i="4"/>
  <c r="CH434" i="4" s="1"/>
  <c r="CF1092" i="4"/>
  <c r="CH1092" i="4" s="1"/>
  <c r="CF297" i="4"/>
  <c r="CH297" i="4" s="1"/>
  <c r="CF27" i="4"/>
  <c r="CH27" i="4" s="1"/>
  <c r="CF188" i="4"/>
  <c r="CH188" i="4" s="1"/>
  <c r="CF755" i="4"/>
  <c r="CH755" i="4" s="1"/>
  <c r="CF490" i="4"/>
  <c r="CH490" i="4" s="1"/>
  <c r="CF870" i="4"/>
  <c r="CH870" i="4" s="1"/>
  <c r="CF148" i="4"/>
  <c r="CH148" i="4" s="1"/>
  <c r="CF360" i="4"/>
  <c r="CH360" i="4" s="1"/>
  <c r="CF300" i="4"/>
  <c r="CH300" i="4" s="1"/>
  <c r="CF1097" i="4"/>
  <c r="CH1097" i="4" s="1"/>
  <c r="CF1062" i="4"/>
  <c r="CH1062" i="4" s="1"/>
  <c r="CF230" i="4"/>
  <c r="CH230" i="4" s="1"/>
  <c r="CF824" i="4"/>
  <c r="CH824" i="4" s="1"/>
  <c r="CF111" i="4"/>
  <c r="CH111" i="4" s="1"/>
  <c r="CF286" i="4"/>
  <c r="CH286" i="4" s="1"/>
  <c r="CF1006" i="4"/>
  <c r="CH1006" i="4" s="1"/>
  <c r="CF199" i="4"/>
  <c r="CH199" i="4" s="1"/>
  <c r="CF661" i="4"/>
  <c r="CH661" i="4" s="1"/>
  <c r="CF291" i="4"/>
  <c r="CH291" i="4" s="1"/>
  <c r="CF675" i="4"/>
  <c r="CH675" i="4" s="1"/>
  <c r="CF499" i="4"/>
  <c r="CH499" i="4" s="1"/>
  <c r="CF906" i="4"/>
  <c r="CH906" i="4" s="1"/>
  <c r="CF687" i="4"/>
  <c r="CH687" i="4" s="1"/>
  <c r="CF1099" i="4"/>
  <c r="CH1099" i="4" s="1"/>
  <c r="CF973" i="4"/>
  <c r="CH973" i="4" s="1"/>
  <c r="CF540" i="4"/>
  <c r="CH540" i="4" s="1"/>
  <c r="CF1187" i="4"/>
  <c r="CH1187" i="4" s="1"/>
  <c r="CF883" i="4"/>
  <c r="CH883" i="4" s="1"/>
  <c r="CF786" i="4"/>
  <c r="CH786" i="4" s="1"/>
  <c r="CF874" i="4"/>
  <c r="CH874" i="4" s="1"/>
  <c r="CF379" i="4"/>
  <c r="CH379" i="4" s="1"/>
  <c r="CF1075" i="4"/>
  <c r="CH1075" i="4" s="1"/>
  <c r="CF1085" i="4"/>
  <c r="CH1085" i="4" s="1"/>
  <c r="CF619" i="4"/>
  <c r="CH619" i="4" s="1"/>
  <c r="CF763" i="4"/>
  <c r="CH763" i="4" s="1"/>
  <c r="CF278" i="4"/>
  <c r="CH278" i="4" s="1"/>
  <c r="CF866" i="4"/>
  <c r="CH866" i="4" s="1"/>
  <c r="CF417" i="4"/>
  <c r="CH417" i="4" s="1"/>
  <c r="CF872" i="4"/>
  <c r="CH872" i="4" s="1"/>
  <c r="CF703" i="4"/>
  <c r="CH703" i="4" s="1"/>
  <c r="CH216" i="4"/>
  <c r="CH698" i="4"/>
  <c r="CF307" i="4"/>
  <c r="CH307" i="4" s="1"/>
  <c r="CF711" i="4"/>
  <c r="CH711" i="4" s="1"/>
  <c r="CF251" i="4"/>
  <c r="CH251" i="4" s="1"/>
  <c r="CF419" i="4"/>
  <c r="CH419" i="4" s="1"/>
  <c r="CF856" i="4"/>
  <c r="CH856" i="4" s="1"/>
  <c r="CF298" i="4"/>
  <c r="CH298" i="4" s="1"/>
  <c r="CF1042" i="4"/>
  <c r="CH1042" i="4" s="1"/>
  <c r="CF1026" i="4"/>
  <c r="CH1026" i="4" s="1"/>
  <c r="CF827" i="4"/>
  <c r="CH827" i="4" s="1"/>
  <c r="CF912" i="4"/>
  <c r="CH912" i="4" s="1"/>
  <c r="CF151" i="4"/>
  <c r="CH151" i="4" s="1"/>
  <c r="CF165" i="4"/>
  <c r="CH165" i="4" s="1"/>
  <c r="CF613" i="4"/>
  <c r="CH613" i="4" s="1"/>
  <c r="CF1178" i="4"/>
  <c r="CH1178" i="4" s="1"/>
  <c r="CF144" i="4"/>
  <c r="CH144" i="4" s="1"/>
  <c r="CF308" i="4"/>
  <c r="CH308" i="4" s="1"/>
  <c r="CF589" i="4"/>
  <c r="CH589" i="4" s="1"/>
  <c r="CF1205" i="4"/>
  <c r="CH1205" i="4" s="1"/>
  <c r="CF555" i="4"/>
  <c r="CH555" i="4" s="1"/>
  <c r="CF618" i="4"/>
  <c r="CH618" i="4" s="1"/>
  <c r="CF1195" i="4"/>
  <c r="CH1195" i="4" s="1"/>
  <c r="CF220" i="4"/>
  <c r="CH220" i="4" s="1"/>
  <c r="CF263" i="4"/>
  <c r="CH263" i="4" s="1"/>
  <c r="CF939" i="4"/>
  <c r="CH939" i="4" s="1"/>
  <c r="CF107" i="4"/>
  <c r="CH107" i="4" s="1"/>
  <c r="CF180" i="4"/>
  <c r="CH180" i="4" s="1"/>
  <c r="CF808" i="4"/>
  <c r="CH808" i="4" s="1"/>
  <c r="CF766" i="4"/>
  <c r="CH766" i="4" s="1"/>
  <c r="CF549" i="4"/>
  <c r="CH549" i="4" s="1"/>
  <c r="CF262" i="4"/>
  <c r="CH262" i="4" s="1"/>
  <c r="CF796" i="4"/>
  <c r="CH796" i="4" s="1"/>
  <c r="CF1053" i="4"/>
  <c r="CH1053" i="4" s="1"/>
  <c r="CF128" i="4"/>
  <c r="CH128" i="4" s="1"/>
  <c r="CF260" i="4"/>
  <c r="CH260" i="4" s="1"/>
  <c r="CF1189" i="4"/>
  <c r="CH1189" i="4" s="1"/>
  <c r="CH657" i="4"/>
  <c r="CF72" i="4"/>
  <c r="CH72" i="4" s="1"/>
  <c r="CF826" i="4"/>
  <c r="CH826" i="4" s="1"/>
  <c r="CF606" i="4"/>
  <c r="CH606" i="4" s="1"/>
  <c r="CF642" i="4"/>
  <c r="CH642" i="4" s="1"/>
  <c r="CF1081" i="4"/>
  <c r="CH1081" i="4" s="1"/>
  <c r="CF284" i="4"/>
  <c r="CH284" i="4" s="1"/>
  <c r="CF959" i="4"/>
  <c r="CH959" i="4" s="1"/>
  <c r="CF889" i="4"/>
  <c r="CH889" i="4" s="1"/>
  <c r="CF655" i="4"/>
  <c r="CH655" i="4" s="1"/>
  <c r="CF1203" i="4"/>
  <c r="CH1203" i="4" s="1"/>
  <c r="CF860" i="4"/>
  <c r="CH860" i="4" s="1"/>
  <c r="CF1169" i="4"/>
  <c r="CH1169" i="4" s="1"/>
  <c r="CF1045" i="4"/>
  <c r="CH1045" i="4" s="1"/>
  <c r="CF817" i="4"/>
  <c r="CH817" i="4" s="1"/>
  <c r="CF737" i="4"/>
  <c r="CH737" i="4" s="1"/>
  <c r="CF492" i="4"/>
  <c r="CH492" i="4" s="1"/>
  <c r="CF716" i="4"/>
  <c r="CH716" i="4" s="1"/>
  <c r="CF545" i="4"/>
  <c r="CH545" i="4" s="1"/>
  <c r="CF174" i="4"/>
  <c r="CH174" i="4" s="1"/>
  <c r="CF181" i="4"/>
  <c r="CH181" i="4" s="1"/>
  <c r="CF259" i="4"/>
  <c r="CH259" i="4" s="1"/>
  <c r="CF1036" i="4"/>
  <c r="CH1036" i="4" s="1"/>
  <c r="CF713" i="4"/>
  <c r="CH713" i="4" s="1"/>
  <c r="CF932" i="4"/>
  <c r="CH932" i="4" s="1"/>
  <c r="CF254" i="4"/>
  <c r="CH254" i="4" s="1"/>
  <c r="CF727" i="4"/>
  <c r="CH727" i="4" s="1"/>
  <c r="CF667" i="4"/>
  <c r="CH667" i="4" s="1"/>
  <c r="CF742" i="4"/>
  <c r="CH742" i="4" s="1"/>
  <c r="CF882" i="4"/>
  <c r="CH882" i="4" s="1"/>
  <c r="CF488" i="4"/>
  <c r="CH488" i="4" s="1"/>
  <c r="CF116" i="4"/>
  <c r="CH116" i="4" s="1"/>
  <c r="CF1096" i="4"/>
  <c r="CH1096" i="4" s="1"/>
  <c r="CF1070" i="4"/>
  <c r="CH1070" i="4" s="1"/>
  <c r="CF950" i="4"/>
  <c r="CH950" i="4" s="1"/>
  <c r="CF16" i="4"/>
  <c r="CH16" i="4" s="1"/>
  <c r="CF40" i="4"/>
  <c r="CH40" i="4" s="1"/>
  <c r="CF508" i="4"/>
  <c r="CH508" i="4" s="1"/>
  <c r="CF603" i="4"/>
  <c r="CH603" i="4" s="1"/>
  <c r="CF1179" i="4"/>
  <c r="CH1179" i="4" s="1"/>
  <c r="CF1051" i="4"/>
  <c r="CH1051" i="4" s="1"/>
  <c r="CF840" i="4"/>
  <c r="CH840" i="4" s="1"/>
  <c r="CF4" i="4"/>
  <c r="CH4" i="4" s="1"/>
  <c r="CF8" i="4"/>
  <c r="CH8" i="4" s="1"/>
  <c r="CF1185" i="4"/>
  <c r="CH1185" i="4" s="1"/>
  <c r="CF455" i="4"/>
  <c r="CH455" i="4" s="1"/>
  <c r="CF931" i="4"/>
  <c r="CH931" i="4" s="1"/>
  <c r="CF788" i="4"/>
  <c r="CH788" i="4" s="1"/>
  <c r="CF1063" i="4"/>
  <c r="CH1063" i="4" s="1"/>
  <c r="CF718" i="4"/>
  <c r="CH718" i="4" s="1"/>
  <c r="CF890" i="4"/>
  <c r="CH890" i="4" s="1"/>
  <c r="CF847" i="4"/>
  <c r="CH847" i="4" s="1"/>
  <c r="CF533" i="4"/>
  <c r="CH533" i="4" s="1"/>
  <c r="CF666" i="4"/>
  <c r="CH666" i="4" s="1"/>
  <c r="CF234" i="4"/>
  <c r="CH234" i="4" s="1"/>
  <c r="CF738" i="4"/>
  <c r="CH738" i="4" s="1"/>
  <c r="CF797" i="4"/>
  <c r="CH797" i="4" s="1"/>
  <c r="CF886" i="4"/>
  <c r="CH886" i="4" s="1"/>
  <c r="CF1156" i="4"/>
  <c r="CH1156" i="4" s="1"/>
  <c r="CF1153" i="4"/>
  <c r="CH1153" i="4" s="1"/>
  <c r="CF586" i="4"/>
  <c r="CH586" i="4" s="1"/>
  <c r="CF1009" i="4"/>
  <c r="CH1009" i="4" s="1"/>
  <c r="CF663" i="4"/>
  <c r="CH663" i="4" s="1"/>
  <c r="CF863" i="4"/>
  <c r="CH863" i="4" s="1"/>
  <c r="CF923" i="4"/>
  <c r="CH923" i="4" s="1"/>
  <c r="CF767" i="4"/>
  <c r="CH767" i="4" s="1"/>
  <c r="CF954" i="4"/>
  <c r="CH954" i="4" s="1"/>
  <c r="CF1144" i="4"/>
  <c r="CH1144" i="4" s="1"/>
  <c r="CF410" i="4"/>
  <c r="CH410" i="4" s="1"/>
  <c r="CF1102" i="4"/>
  <c r="CH1102" i="4" s="1"/>
  <c r="CF593" i="4"/>
  <c r="CH593" i="4" s="1"/>
  <c r="CF984" i="4"/>
  <c r="CH984" i="4" s="1"/>
  <c r="CF630" i="4"/>
  <c r="CH630" i="4" s="1"/>
  <c r="CF719" i="4"/>
  <c r="CH719" i="4" s="1"/>
  <c r="CF285" i="4"/>
  <c r="CH285" i="4" s="1"/>
  <c r="CF541" i="4"/>
  <c r="CH541" i="4" s="1"/>
  <c r="CF374" i="4"/>
  <c r="CH374" i="4" s="1"/>
  <c r="CF1183" i="4"/>
  <c r="CH1183" i="4" s="1"/>
  <c r="CF512" i="4"/>
  <c r="CH512" i="4" s="1"/>
  <c r="CF66" i="4"/>
  <c r="CH66" i="4" s="1"/>
  <c r="CF183" i="4"/>
  <c r="CH183" i="4" s="1"/>
  <c r="CF163" i="4"/>
  <c r="CH163" i="4" s="1"/>
  <c r="CF891" i="4"/>
  <c r="CH891" i="4" s="1"/>
  <c r="CF314" i="4"/>
  <c r="CH314" i="4" s="1"/>
  <c r="CF361" i="4"/>
  <c r="CH361" i="4" s="1"/>
  <c r="CF332" i="4"/>
  <c r="CH332" i="4" s="1"/>
  <c r="CF430" i="4"/>
  <c r="CH430" i="4" s="1"/>
  <c r="CF1065" i="4"/>
  <c r="CH1065" i="4" s="1"/>
  <c r="CF1091" i="4"/>
  <c r="CH1091" i="4" s="1"/>
  <c r="CF691" i="4"/>
  <c r="CH691" i="4" s="1"/>
  <c r="CF986" i="4"/>
  <c r="CH986" i="4" s="1"/>
  <c r="CF233" i="4"/>
  <c r="CH233" i="4" s="1"/>
  <c r="CF256" i="4"/>
  <c r="CH256" i="4" s="1"/>
  <c r="CF1157" i="4"/>
  <c r="CH1157" i="4" s="1"/>
  <c r="CF530" i="4"/>
  <c r="CH530" i="4" s="1"/>
  <c r="CF441" i="4"/>
  <c r="CH441" i="4" s="1"/>
  <c r="CF640" i="4"/>
  <c r="CH640" i="4" s="1"/>
  <c r="CF325" i="4"/>
  <c r="CH325" i="4" s="1"/>
  <c r="CF704" i="4"/>
  <c r="CH704" i="4" s="1"/>
  <c r="CF100" i="4"/>
  <c r="CH100" i="4" s="1"/>
  <c r="CF926" i="4"/>
  <c r="CH926" i="4" s="1"/>
  <c r="CF798" i="4"/>
  <c r="CH798" i="4" s="1"/>
  <c r="CF426" i="4"/>
  <c r="CH426" i="4" s="1"/>
  <c r="CF29" i="4"/>
  <c r="CH29" i="4" s="1"/>
  <c r="CF1090" i="4"/>
  <c r="CH1090" i="4" s="1"/>
  <c r="CF5" i="4"/>
  <c r="CH5" i="4" s="1"/>
  <c r="CF806" i="4"/>
  <c r="CH806" i="4" s="1"/>
  <c r="CF925" i="4"/>
  <c r="CH925" i="4" s="1"/>
  <c r="CF989" i="4"/>
  <c r="CH989" i="4" s="1"/>
  <c r="CF1059" i="4"/>
  <c r="CH1059" i="4" s="1"/>
  <c r="CF892" i="4"/>
  <c r="CH892" i="4" s="1"/>
  <c r="CF49" i="4"/>
  <c r="CH49" i="4" s="1"/>
  <c r="CF453" i="4"/>
  <c r="CH453" i="4" s="1"/>
  <c r="CF823" i="4"/>
  <c r="CH823" i="4" s="1"/>
  <c r="CF871" i="4"/>
  <c r="CH871" i="4" s="1"/>
  <c r="CF833" i="4"/>
  <c r="CH833" i="4" s="1"/>
  <c r="CF495" i="4"/>
  <c r="CH495" i="4" s="1"/>
  <c r="CF570" i="4"/>
  <c r="CH570" i="4" s="1"/>
  <c r="CF505" i="4"/>
  <c r="CH505" i="4" s="1"/>
  <c r="CF762" i="4"/>
  <c r="CH762" i="4" s="1"/>
  <c r="CF1172" i="4"/>
  <c r="CH1172" i="4" s="1"/>
  <c r="CF1019" i="4"/>
  <c r="CH1019" i="4" s="1"/>
  <c r="CF915" i="4"/>
  <c r="CH915" i="4" s="1"/>
  <c r="CF87" i="4"/>
  <c r="CH87" i="4" s="1"/>
  <c r="CF653" i="4"/>
  <c r="CH653" i="4" s="1"/>
  <c r="CF51" i="4"/>
  <c r="CH51" i="4" s="1"/>
  <c r="CF843" i="4"/>
  <c r="CH843" i="4" s="1"/>
  <c r="CF520" i="4"/>
  <c r="CH520" i="4" s="1"/>
  <c r="CF569" i="4"/>
  <c r="CH569" i="4" s="1"/>
  <c r="CF282" i="4"/>
  <c r="CH282" i="4" s="1"/>
  <c r="CF877" i="4"/>
  <c r="CH877" i="4" s="1"/>
  <c r="CF993" i="4"/>
  <c r="CH993" i="4" s="1"/>
  <c r="CF496" i="4"/>
  <c r="CH496" i="4" s="1"/>
  <c r="CF836" i="4"/>
  <c r="CH836" i="4" s="1"/>
  <c r="CF857" i="4"/>
  <c r="CH857" i="4" s="1"/>
  <c r="CF1010" i="4"/>
  <c r="CH1010" i="4" s="1"/>
  <c r="CF274" i="4"/>
  <c r="CH274" i="4" s="1"/>
  <c r="CF449" i="4"/>
  <c r="CH449" i="4" s="1"/>
  <c r="CF909" i="4"/>
  <c r="CH909" i="4" s="1"/>
  <c r="CF515" i="4"/>
  <c r="CH515" i="4" s="1"/>
  <c r="CF548" i="4"/>
  <c r="CH548" i="4" s="1"/>
  <c r="CF546" i="4"/>
  <c r="CH546" i="4" s="1"/>
  <c r="CF754" i="4"/>
  <c r="CH754" i="4" s="1"/>
  <c r="CF571" i="4"/>
  <c r="CH571" i="4" s="1"/>
  <c r="CF292" i="4"/>
  <c r="CH292" i="4" s="1"/>
  <c r="CF385" i="4"/>
  <c r="CH385" i="4" s="1"/>
  <c r="CF972" i="4"/>
  <c r="CH972" i="4" s="1"/>
  <c r="CF38" i="4"/>
  <c r="CH38" i="4" s="1"/>
  <c r="CF611" i="4"/>
  <c r="CH611" i="4" s="1"/>
  <c r="CF64" i="4"/>
  <c r="CH64" i="4" s="1"/>
  <c r="CF1126" i="4"/>
  <c r="CH1126" i="4" s="1"/>
  <c r="CF720" i="4"/>
  <c r="CH720" i="4" s="1"/>
  <c r="CF152" i="4"/>
  <c r="CH152" i="4" s="1"/>
  <c r="CF879" i="4"/>
  <c r="CH879" i="4" s="1"/>
  <c r="CF189" i="4"/>
  <c r="CH189" i="4" s="1"/>
  <c r="CF1128" i="4"/>
  <c r="CH1128" i="4" s="1"/>
  <c r="CF239" i="4"/>
  <c r="CH239" i="4" s="1"/>
  <c r="CF1117" i="4"/>
  <c r="CH1117" i="4" s="1"/>
  <c r="CF978" i="4"/>
  <c r="CH978" i="4" s="1"/>
  <c r="CF1167" i="4"/>
  <c r="CH1167" i="4" s="1"/>
  <c r="CF142" i="4"/>
  <c r="CH142" i="4" s="1"/>
  <c r="CF237" i="4"/>
  <c r="CH237" i="4" s="1"/>
  <c r="CF696" i="4"/>
  <c r="CH696" i="4" s="1"/>
  <c r="CF859" i="4"/>
  <c r="CH859" i="4" s="1"/>
  <c r="CF1132" i="4"/>
  <c r="CH1132" i="4" s="1"/>
  <c r="CF977" i="4"/>
  <c r="CH977" i="4" s="1"/>
  <c r="CF1124" i="4"/>
  <c r="CH1124" i="4" s="1"/>
  <c r="CF681" i="4"/>
  <c r="CH681" i="4" s="1"/>
  <c r="CF476" i="4"/>
  <c r="CH476" i="4" s="1"/>
  <c r="CF30" i="4"/>
  <c r="CH30" i="4" s="1"/>
  <c r="CF639" i="4"/>
  <c r="CH639" i="4" s="1"/>
  <c r="CF1022" i="4"/>
  <c r="CH1022" i="4" s="1"/>
  <c r="CF1107" i="4"/>
  <c r="CH1107" i="4" s="1"/>
  <c r="CF910" i="4"/>
  <c r="CH910" i="4" s="1"/>
  <c r="CF1137" i="4"/>
  <c r="CH1137" i="4" s="1"/>
  <c r="CF1083" i="4"/>
  <c r="CH1083" i="4" s="1"/>
  <c r="CF785" i="4"/>
  <c r="CH785" i="4" s="1"/>
  <c r="CF409" i="4"/>
  <c r="CH409" i="4" s="1"/>
  <c r="CF622" i="4"/>
  <c r="CH622" i="4" s="1"/>
  <c r="CF736" i="4"/>
  <c r="CH736" i="4" s="1"/>
  <c r="CF534" i="4"/>
  <c r="CH534" i="4" s="1"/>
  <c r="CF82" i="4"/>
  <c r="CH82" i="4" s="1"/>
  <c r="CF143" i="4"/>
  <c r="CH143" i="4" s="1"/>
  <c r="CF769" i="4"/>
  <c r="CH769" i="4" s="1"/>
  <c r="CF1025" i="4"/>
  <c r="CH1025" i="4" s="1"/>
  <c r="CF112" i="4"/>
  <c r="CH112" i="4" s="1"/>
  <c r="CF680" i="4"/>
  <c r="CH680" i="4" s="1"/>
  <c r="CF1138" i="4"/>
  <c r="CH1138" i="4" s="1"/>
  <c r="CF876" i="4"/>
  <c r="CH876" i="4" s="1"/>
  <c r="CF440" i="4"/>
  <c r="CH440" i="4" s="1"/>
  <c r="CF1147" i="4"/>
  <c r="CH1147" i="4" s="1"/>
  <c r="CF966" i="4"/>
  <c r="CH966" i="4" s="1"/>
  <c r="CF790" i="4"/>
  <c r="CH790" i="4" s="1"/>
  <c r="CF382" i="4"/>
  <c r="CH382" i="4" s="1"/>
  <c r="CF506" i="4"/>
  <c r="CH506" i="4" s="1"/>
  <c r="CF392" i="4"/>
  <c r="CH392" i="4" s="1"/>
  <c r="CF957" i="4"/>
  <c r="CH957" i="4" s="1"/>
  <c r="CF171" i="4"/>
  <c r="CH171" i="4" s="1"/>
  <c r="CF1094" i="4"/>
  <c r="CH1094" i="4" s="1"/>
  <c r="CF102" i="4"/>
  <c r="CH102" i="4" s="1"/>
  <c r="CF851" i="4"/>
  <c r="CH851" i="4" s="1"/>
  <c r="CF1052" i="4"/>
  <c r="CH1052" i="4" s="1"/>
  <c r="CF176" i="4"/>
  <c r="CH176" i="4" s="1"/>
  <c r="CF709" i="4"/>
  <c r="CH709" i="4" s="1"/>
  <c r="CF839" i="4"/>
  <c r="CH839" i="4" s="1"/>
  <c r="CF21" i="4"/>
  <c r="CH21" i="4" s="1"/>
  <c r="CF632" i="4"/>
  <c r="CH632" i="4" s="1"/>
  <c r="CF936" i="4"/>
  <c r="CH936" i="4" s="1"/>
  <c r="CF591" i="4"/>
  <c r="CH591" i="4" s="1"/>
  <c r="CF131" i="4"/>
  <c r="CH131" i="4" s="1"/>
  <c r="CF715" i="4"/>
  <c r="CH715" i="4" s="1"/>
  <c r="CF1066" i="4"/>
  <c r="CH1066" i="4" s="1"/>
  <c r="CF664" i="4"/>
  <c r="CH664" i="4" s="1"/>
  <c r="CF432" i="4"/>
  <c r="CH432" i="4" s="1"/>
  <c r="CF894" i="4"/>
  <c r="CH894" i="4" s="1"/>
  <c r="CF963" i="4"/>
  <c r="CH963" i="4" s="1"/>
  <c r="CF551" i="4"/>
  <c r="CH551" i="4" s="1"/>
  <c r="CF67" i="4"/>
  <c r="CH67" i="4" s="1"/>
  <c r="CF674" i="4"/>
  <c r="CH674" i="4" s="1"/>
  <c r="CF1104" i="4"/>
  <c r="CH1104" i="4" s="1"/>
  <c r="CF238" i="4"/>
  <c r="CH238" i="4" s="1"/>
  <c r="CF558" i="4"/>
  <c r="CH558" i="4" s="1"/>
  <c r="CF6" i="4"/>
  <c r="CH6" i="4" s="1"/>
  <c r="CF1050" i="4"/>
  <c r="CH1050" i="4" s="1"/>
  <c r="CF138" i="4"/>
  <c r="CH138" i="4" s="1"/>
  <c r="CF1173" i="4"/>
  <c r="CH1173" i="4" s="1"/>
  <c r="CF265" i="4"/>
  <c r="CH265" i="4" s="1"/>
  <c r="CF564" i="4"/>
  <c r="CH564" i="4" s="1"/>
  <c r="CF1101" i="4"/>
  <c r="CH1101" i="4" s="1"/>
  <c r="CF732" i="4"/>
  <c r="CH732" i="4" s="1"/>
  <c r="CF160" i="4"/>
  <c r="CH160" i="4" s="1"/>
  <c r="CF304" i="4"/>
  <c r="CH304" i="4" s="1"/>
  <c r="CF154" i="4"/>
  <c r="CH154" i="4" s="1"/>
  <c r="CF326" i="4"/>
  <c r="CH326" i="4" s="1"/>
  <c r="CF275" i="4"/>
  <c r="CH275" i="4" s="1"/>
  <c r="CF372" i="4"/>
  <c r="CH372" i="4" s="1"/>
  <c r="CF714" i="4"/>
  <c r="CH714" i="4" s="1"/>
  <c r="CF78" i="4"/>
  <c r="CH78" i="4" s="1"/>
  <c r="CF414" i="4"/>
  <c r="CH414" i="4" s="1"/>
  <c r="CF948" i="4"/>
  <c r="CH948" i="4" s="1"/>
  <c r="CF390" i="4"/>
  <c r="CH390" i="4" s="1"/>
  <c r="CF899" i="4"/>
  <c r="CH899" i="4" s="1"/>
  <c r="CF1199" i="4"/>
  <c r="CH1199" i="4" s="1"/>
  <c r="CF391" i="4"/>
  <c r="CH391" i="4" s="1"/>
  <c r="CF364" i="4"/>
  <c r="CH364" i="4" s="1"/>
  <c r="CF971" i="4"/>
  <c r="CH971" i="4" s="1"/>
  <c r="CF401" i="4"/>
  <c r="CH401" i="4" s="1"/>
  <c r="CF465" i="4"/>
  <c r="CH465" i="4" s="1"/>
  <c r="CF500" i="4"/>
  <c r="CH500" i="4" s="1"/>
  <c r="CF1108" i="4"/>
  <c r="CH1108" i="4" s="1"/>
  <c r="CF951" i="4"/>
  <c r="CH951" i="4" s="1"/>
  <c r="CF1190" i="4"/>
  <c r="CH1190" i="4" s="1"/>
  <c r="CF270" i="4"/>
  <c r="CH270" i="4" s="1"/>
  <c r="CF771" i="4"/>
  <c r="CH771" i="4" s="1"/>
  <c r="CF518" i="4"/>
  <c r="CH518" i="4" s="1"/>
  <c r="CF58" i="4"/>
  <c r="CH58" i="4" s="1"/>
  <c r="CF389" i="4"/>
  <c r="CH389" i="4" s="1"/>
  <c r="CF902" i="4"/>
  <c r="CH902" i="4" s="1"/>
  <c r="CF92" i="4"/>
  <c r="CH92" i="4" s="1"/>
  <c r="CF1034" i="4"/>
  <c r="CH1034" i="4" s="1"/>
  <c r="CF1098" i="4"/>
  <c r="CH1098" i="4" s="1"/>
  <c r="CF425" i="4"/>
  <c r="CH425" i="4" s="1"/>
  <c r="CF1067" i="4"/>
  <c r="CH1067" i="4" s="1"/>
  <c r="CF214" i="4"/>
  <c r="CH214" i="4" s="1"/>
  <c r="CF277" i="4"/>
  <c r="CH277" i="4" s="1"/>
  <c r="CF118" i="4"/>
  <c r="CH118" i="4" s="1"/>
  <c r="CF403" i="4"/>
  <c r="CH403" i="4" s="1"/>
  <c r="CF832" i="4"/>
  <c r="CH832" i="4" s="1"/>
  <c r="CF23" i="4"/>
  <c r="CH23" i="4" s="1"/>
  <c r="CF388" i="4"/>
  <c r="CH388" i="4" s="1"/>
  <c r="CF182" i="4"/>
  <c r="CH182" i="4" s="1"/>
  <c r="CF319" i="4"/>
  <c r="CH319" i="4" s="1"/>
  <c r="CF521" i="4"/>
  <c r="CH521" i="4" s="1"/>
  <c r="CF462" i="4"/>
  <c r="CH462" i="4" s="1"/>
  <c r="CF1119" i="4"/>
  <c r="CH1119" i="4" s="1"/>
  <c r="CF1152" i="4"/>
  <c r="CH1152" i="4" s="1"/>
  <c r="CF153" i="4"/>
  <c r="CH153" i="4" s="1"/>
  <c r="CF572" i="4"/>
  <c r="CH572" i="4" s="1"/>
  <c r="CF745" i="4"/>
  <c r="CH745" i="4" s="1"/>
  <c r="CF124" i="4"/>
  <c r="CH124" i="4" s="1"/>
  <c r="CF1033" i="4"/>
  <c r="CH1033" i="4" s="1"/>
  <c r="CF761" i="4"/>
  <c r="CH761" i="4" s="1"/>
  <c r="CF835" i="4"/>
  <c r="CH835" i="4" s="1"/>
  <c r="CF535" i="4"/>
  <c r="CH535" i="4" s="1"/>
  <c r="CF744" i="4"/>
  <c r="CH744" i="4" s="1"/>
  <c r="CF60" i="4"/>
  <c r="CH60" i="4" s="1"/>
  <c r="CF137" i="4"/>
  <c r="CH137" i="4" s="1"/>
  <c r="CF342" i="4"/>
  <c r="CH342" i="4" s="1"/>
  <c r="CF671" i="4"/>
  <c r="CH671" i="4" s="1"/>
  <c r="CF76" i="4"/>
  <c r="CH76" i="4" s="1"/>
  <c r="CF679" i="4"/>
  <c r="CH679" i="4" s="1"/>
  <c r="CF405" i="4"/>
  <c r="CH405" i="4" s="1"/>
  <c r="CF795" i="4"/>
  <c r="CH795" i="4" s="1"/>
  <c r="CF893" i="4"/>
  <c r="CH893" i="4" s="1"/>
  <c r="CF322" i="4"/>
  <c r="CH322" i="4" s="1"/>
  <c r="CF1182" i="4"/>
  <c r="CH1182" i="4" s="1"/>
  <c r="CF1038" i="4"/>
  <c r="CH1038" i="4" s="1"/>
  <c r="CF1197" i="4"/>
  <c r="CH1197" i="4" s="1"/>
  <c r="CF1021" i="4"/>
  <c r="CH1021" i="4" s="1"/>
  <c r="CF1105" i="4"/>
  <c r="CH1105" i="4" s="1"/>
  <c r="CF676" i="4"/>
  <c r="CH676" i="4" s="1"/>
  <c r="CF1191" i="4"/>
  <c r="CH1191" i="4" s="1"/>
  <c r="CF1029" i="4"/>
  <c r="CH1029" i="4" s="1"/>
  <c r="CF868" i="4"/>
  <c r="CH868" i="4" s="1"/>
  <c r="CF229" i="4"/>
  <c r="CH229" i="4" s="1"/>
  <c r="CF994" i="4"/>
  <c r="CH994" i="4" s="1"/>
  <c r="CF99" i="4"/>
  <c r="CH99" i="4" s="1"/>
  <c r="CF91" i="4"/>
  <c r="CH91" i="4" s="1"/>
  <c r="CF179" i="4"/>
  <c r="CH179" i="4" s="1"/>
  <c r="CF625" i="4"/>
  <c r="CH625" i="4" s="1"/>
  <c r="CF418" i="4"/>
  <c r="CH418" i="4" s="1"/>
  <c r="CF659" i="4"/>
  <c r="CH659" i="4" s="1"/>
  <c r="CF438" i="4"/>
  <c r="CH438" i="4" s="1"/>
  <c r="CF804" i="4"/>
  <c r="CH804" i="4" s="1"/>
  <c r="CF1174" i="4"/>
  <c r="CH1174" i="4" s="1"/>
  <c r="CF929" i="4"/>
  <c r="CH929" i="4" s="1"/>
  <c r="CF749" i="4"/>
  <c r="CH749" i="4" s="1"/>
  <c r="CF583" i="4"/>
  <c r="CH583" i="4" s="1"/>
  <c r="CF290" i="4"/>
  <c r="CH290" i="4" s="1"/>
  <c r="CF337" i="4"/>
  <c r="CH337" i="4" s="1"/>
  <c r="CF1127" i="4"/>
  <c r="CH1127" i="4" s="1"/>
  <c r="CF247" i="4"/>
  <c r="CH247" i="4" s="1"/>
  <c r="CF538" i="4"/>
  <c r="CH538" i="4" s="1"/>
  <c r="CF1194" i="4"/>
  <c r="CH1194" i="4" s="1"/>
  <c r="CF34" i="4"/>
  <c r="CH34" i="4" s="1"/>
  <c r="CF888" i="4"/>
  <c r="CH888" i="4" s="1"/>
  <c r="CF320" i="4"/>
  <c r="CH320" i="4" s="1"/>
  <c r="CF658" i="4"/>
  <c r="CH658" i="4" s="1"/>
  <c r="CF357" i="4"/>
  <c r="CH357" i="4" s="1"/>
  <c r="CF478" i="4"/>
  <c r="CH478" i="4" s="1"/>
  <c r="CF359" i="4"/>
  <c r="CH359" i="4" s="1"/>
  <c r="CF587" i="4"/>
  <c r="CH587" i="4" s="1"/>
  <c r="CF568" i="4"/>
  <c r="CH568" i="4" s="1"/>
  <c r="CF1086" i="4"/>
  <c r="CH1086" i="4" s="1"/>
  <c r="CF725" i="4"/>
  <c r="CH725" i="4" s="1"/>
  <c r="CF552" i="4"/>
  <c r="CH552" i="4" s="1"/>
  <c r="CF1196" i="4"/>
  <c r="CH1196" i="4" s="1"/>
  <c r="CF347" i="4"/>
  <c r="CH347" i="4" s="1"/>
  <c r="CF705" i="4"/>
  <c r="CH705" i="4" s="1"/>
  <c r="CF457" i="4"/>
  <c r="CH457" i="4" s="1"/>
  <c r="CF75" i="4"/>
  <c r="CH75" i="4" s="1"/>
  <c r="CF831" i="4"/>
  <c r="CH831" i="4" s="1"/>
  <c r="CF1031" i="4"/>
  <c r="CH1031" i="4" s="1"/>
  <c r="CF543" i="4"/>
  <c r="CH543" i="4" s="1"/>
  <c r="CF1043" i="4"/>
  <c r="CH1043" i="4" s="1"/>
  <c r="CF90" i="4"/>
  <c r="CH90" i="4" s="1"/>
  <c r="CF279" i="4"/>
  <c r="CH279" i="4" s="1"/>
  <c r="CF281" i="4"/>
  <c r="CH281" i="4" s="1"/>
  <c r="CF446" i="4"/>
  <c r="CH446" i="4" s="1"/>
  <c r="CF700" i="4"/>
  <c r="CH700" i="4" s="1"/>
  <c r="CF367" i="4"/>
  <c r="CH367" i="4" s="1"/>
  <c r="CF903" i="4"/>
  <c r="CH903" i="4" s="1"/>
  <c r="CF524" i="4"/>
  <c r="CH524" i="4" s="1"/>
  <c r="CF1032" i="4"/>
  <c r="CH1032" i="4" s="1"/>
  <c r="CF1201" i="4"/>
  <c r="CH1201" i="4" s="1"/>
  <c r="CF350" i="4"/>
  <c r="CH350" i="4" s="1"/>
  <c r="CF1140" i="4"/>
  <c r="CH1140" i="4" s="1"/>
  <c r="CF829" i="4"/>
  <c r="CH829" i="4" s="1"/>
  <c r="CF242" i="4"/>
  <c r="CH242" i="4" s="1"/>
  <c r="CF411" i="4"/>
  <c r="CH411" i="4" s="1"/>
  <c r="CF94" i="4"/>
  <c r="CH94" i="4" s="1"/>
  <c r="CF115" i="4"/>
  <c r="CH115" i="4" s="1"/>
  <c r="CF697" i="4"/>
  <c r="CH697" i="4" s="1"/>
  <c r="CF436" i="4"/>
  <c r="CH436" i="4" s="1"/>
  <c r="CF272" i="4"/>
  <c r="CH272" i="4" s="1"/>
  <c r="CF381" i="4"/>
  <c r="CH381" i="4" s="1"/>
  <c r="CF1046" i="4"/>
  <c r="CH1046" i="4" s="1"/>
  <c r="CF920" i="4"/>
  <c r="CH920" i="4" s="1"/>
  <c r="CF24" i="4"/>
  <c r="CH24" i="4" s="1"/>
  <c r="CF1106" i="4"/>
  <c r="CH1106" i="4" s="1"/>
  <c r="CF327" i="4"/>
  <c r="CH327" i="4" s="1"/>
  <c r="CF707" i="4"/>
  <c r="CH707" i="4" s="1"/>
  <c r="CF678" i="4"/>
  <c r="CH678" i="4" s="1"/>
  <c r="CF580" i="4"/>
  <c r="CH580" i="4" s="1"/>
  <c r="CF173" i="4"/>
  <c r="CH173" i="4" s="1"/>
  <c r="CF976" i="4"/>
  <c r="CH976" i="4" s="1"/>
  <c r="CF120" i="4"/>
  <c r="CH120" i="4" s="1"/>
  <c r="CF121" i="4"/>
  <c r="CH121" i="4" s="1"/>
  <c r="CF236" i="4"/>
  <c r="CH236" i="4" s="1"/>
  <c r="CF553" i="4"/>
  <c r="CH553" i="4" s="1"/>
  <c r="CF768" i="4"/>
  <c r="CH768" i="4" s="1"/>
  <c r="CF616" i="4"/>
  <c r="CH616" i="4" s="1"/>
  <c r="CF884" i="4"/>
  <c r="CH884" i="4" s="1"/>
  <c r="CF801" i="4"/>
  <c r="CH801" i="4" s="1"/>
  <c r="CF862" i="4"/>
  <c r="CH862" i="4" s="1"/>
  <c r="CF119" i="4"/>
  <c r="CH119" i="4" s="1"/>
  <c r="CF685" i="4"/>
  <c r="CH685" i="4" s="1"/>
  <c r="CF371" i="4"/>
  <c r="CH371" i="4" s="1"/>
  <c r="CF974" i="4"/>
  <c r="CH974" i="4" s="1"/>
  <c r="CF377" i="4"/>
  <c r="CH377" i="4" s="1"/>
  <c r="CF1018" i="4"/>
  <c r="CH1018" i="4" s="1"/>
  <c r="CF895" i="4"/>
  <c r="CH895" i="4" s="1"/>
  <c r="CF93" i="4"/>
  <c r="CH93" i="4" s="1"/>
  <c r="CF916" i="4"/>
  <c r="CH916" i="4" s="1"/>
  <c r="CE1184" i="4"/>
  <c r="CE633" i="4"/>
  <c r="CE1160" i="4"/>
  <c r="CE219" i="4"/>
  <c r="CE634" i="4"/>
  <c r="CE26" i="4"/>
  <c r="CE867" i="4"/>
  <c r="CE629" i="4"/>
  <c r="CE539" i="4"/>
  <c r="CE463" i="4"/>
  <c r="CE590" i="4"/>
  <c r="CE1078" i="4"/>
  <c r="CE594" i="4"/>
  <c r="CE167" i="4"/>
  <c r="CH74" i="1" l="1"/>
  <c r="CH75" i="1" s="1"/>
  <c r="CG3" i="1"/>
  <c r="CG35" i="1"/>
  <c r="CH51" i="1"/>
  <c r="CH12" i="1"/>
  <c r="CG49" i="1"/>
  <c r="CG31" i="1"/>
  <c r="CG7" i="1"/>
  <c r="CH23" i="1"/>
  <c r="CG53" i="1"/>
  <c r="CG47" i="1"/>
  <c r="CG28" i="1"/>
  <c r="CH57" i="1"/>
  <c r="CH25" i="1"/>
  <c r="CG15" i="1"/>
  <c r="CG42" i="1"/>
  <c r="CG43" i="1"/>
  <c r="CG29" i="1"/>
  <c r="CH20" i="1"/>
  <c r="CH35" i="1"/>
  <c r="CH67" i="1"/>
  <c r="CH70" i="1" s="1"/>
  <c r="CH66" i="1"/>
  <c r="CH16" i="1"/>
  <c r="CH72" i="1"/>
  <c r="CH71" i="1" s="1"/>
  <c r="CH10" i="1"/>
  <c r="CH55" i="1"/>
  <c r="CH46" i="1"/>
  <c r="CH13" i="1"/>
  <c r="CH50" i="1"/>
  <c r="CH36" i="1"/>
  <c r="CH11" i="1"/>
  <c r="CH17" i="1"/>
  <c r="CH43" i="1"/>
  <c r="CH48" i="1"/>
  <c r="CH30" i="1"/>
  <c r="CH56" i="1"/>
  <c r="CH49" i="1"/>
  <c r="CH15" i="1"/>
  <c r="CH28" i="1"/>
  <c r="CH29" i="1"/>
  <c r="CH47" i="1"/>
  <c r="CH21" i="1"/>
  <c r="CH2" i="1"/>
  <c r="CH34" i="1"/>
  <c r="CH26" i="1"/>
  <c r="CH32" i="1"/>
  <c r="CH7" i="1"/>
  <c r="CH27" i="1"/>
  <c r="CH8" i="1"/>
  <c r="CH4" i="1"/>
  <c r="CH42" i="1"/>
  <c r="CH40" i="1"/>
  <c r="CH24" i="1"/>
  <c r="CH58" i="1"/>
  <c r="CH6" i="1"/>
  <c r="CH38" i="1"/>
  <c r="CH18" i="1"/>
  <c r="CH39" i="1"/>
  <c r="CH14" i="1"/>
  <c r="CH3" i="1"/>
  <c r="CH33" i="1"/>
  <c r="CH5" i="1"/>
  <c r="CH54" i="1"/>
  <c r="CH9" i="1"/>
  <c r="CH45" i="1"/>
  <c r="CH37" i="1"/>
  <c r="CH41" i="1"/>
  <c r="CH53" i="1"/>
  <c r="CH22" i="1"/>
  <c r="CH44" i="1"/>
  <c r="CH52" i="1"/>
  <c r="CF867" i="4"/>
  <c r="CH867" i="4" s="1"/>
  <c r="CF590" i="4"/>
  <c r="CH590" i="4" s="1"/>
  <c r="CF26" i="4"/>
  <c r="CH26" i="4" s="1"/>
  <c r="CF219" i="4"/>
  <c r="CH219" i="4" s="1"/>
  <c r="CF1160" i="4"/>
  <c r="CH1160" i="4" s="1"/>
  <c r="CF633" i="4"/>
  <c r="CH633" i="4" s="1"/>
  <c r="CF167" i="4"/>
  <c r="CH167" i="4" s="1"/>
  <c r="CF594" i="4"/>
  <c r="CH594" i="4" s="1"/>
  <c r="CF1184" i="4"/>
  <c r="CH1184" i="4" s="1"/>
  <c r="CF1078" i="4"/>
  <c r="CH1078" i="4" s="1"/>
  <c r="CF634" i="4"/>
  <c r="CH634" i="4" s="1"/>
  <c r="CF463" i="4"/>
  <c r="CH463" i="4" s="1"/>
  <c r="CF539" i="4"/>
  <c r="CH539" i="4" s="1"/>
  <c r="CF629" i="4"/>
  <c r="CH629" i="4" s="1"/>
  <c r="CH69" i="1" l="1"/>
</calcChain>
</file>

<file path=xl/sharedStrings.xml><?xml version="1.0" encoding="utf-8"?>
<sst xmlns="http://schemas.openxmlformats.org/spreadsheetml/2006/main" count="13614" uniqueCount="196">
  <si>
    <t>parcel_id</t>
  </si>
  <si>
    <t>total_acres</t>
  </si>
  <si>
    <t>total_sqft</t>
  </si>
  <si>
    <t>unimproved_acres</t>
  </si>
  <si>
    <t>nbhd</t>
  </si>
  <si>
    <t>treated_as</t>
  </si>
  <si>
    <t>inspct_cycle</t>
  </si>
  <si>
    <t>prop_type</t>
  </si>
  <si>
    <t>prev_imp</t>
  </si>
  <si>
    <t>prev_land</t>
  </si>
  <si>
    <t>parcel_acres</t>
  </si>
  <si>
    <t>non_valued_acres</t>
  </si>
  <si>
    <t>unbuildable</t>
  </si>
  <si>
    <t>no_utilities</t>
  </si>
  <si>
    <t>coeff</t>
  </si>
  <si>
    <t>const</t>
  </si>
  <si>
    <t>land_extract</t>
  </si>
  <si>
    <t>bldg_style</t>
  </si>
  <si>
    <t>num_stories</t>
  </si>
  <si>
    <t>quality</t>
  </si>
  <si>
    <t>condition</t>
  </si>
  <si>
    <t>quality_rank</t>
  </si>
  <si>
    <t>condition_rank</t>
  </si>
  <si>
    <t>Eff_Age</t>
  </si>
  <si>
    <t>Age</t>
  </si>
  <si>
    <t>decade</t>
  </si>
  <si>
    <t>living_area_range</t>
  </si>
  <si>
    <t>living_area</t>
  </si>
  <si>
    <t>Main Floor</t>
  </si>
  <si>
    <t>Upper Floor</t>
  </si>
  <si>
    <t>Fin BSMT</t>
  </si>
  <si>
    <t>UnFin BSMT</t>
  </si>
  <si>
    <t>garage_sqft</t>
  </si>
  <si>
    <t>Carport</t>
  </si>
  <si>
    <t>Wood Deck</t>
  </si>
  <si>
    <t>Patio</t>
  </si>
  <si>
    <t>Plumbing Fixtures</t>
  </si>
  <si>
    <t>stove</t>
  </si>
  <si>
    <t>fireplace</t>
  </si>
  <si>
    <t>roofing</t>
  </si>
  <si>
    <t>heating</t>
  </si>
  <si>
    <t>heat_type</t>
  </si>
  <si>
    <t>fuel_type</t>
  </si>
  <si>
    <t>ac</t>
  </si>
  <si>
    <t>num_bedrooms</t>
  </si>
  <si>
    <t>crop_value</t>
  </si>
  <si>
    <t>detatched_value</t>
  </si>
  <si>
    <t>pct_complete</t>
  </si>
  <si>
    <t>sale_date</t>
  </si>
  <si>
    <t>assessed_land</t>
  </si>
  <si>
    <t>assessed_imp</t>
  </si>
  <si>
    <t>assessed_total</t>
  </si>
  <si>
    <t>sale_price</t>
  </si>
  <si>
    <t>days_prior_to_assessment</t>
  </si>
  <si>
    <t>WA</t>
  </si>
  <si>
    <t>RES</t>
  </si>
  <si>
    <t>CO</t>
  </si>
  <si>
    <t>G+</t>
  </si>
  <si>
    <t>EX</t>
  </si>
  <si>
    <t>CP</t>
  </si>
  <si>
    <t>HP</t>
  </si>
  <si>
    <t>E</t>
  </si>
  <si>
    <t>RN</t>
  </si>
  <si>
    <t>A+</t>
  </si>
  <si>
    <t>FD</t>
  </si>
  <si>
    <t>G</t>
  </si>
  <si>
    <t>TD</t>
  </si>
  <si>
    <t>A</t>
  </si>
  <si>
    <t>AV</t>
  </si>
  <si>
    <t>GD</t>
  </si>
  <si>
    <t>VG</t>
  </si>
  <si>
    <t>F</t>
  </si>
  <si>
    <t>ER</t>
  </si>
  <si>
    <t>FR</t>
  </si>
  <si>
    <t>CL</t>
  </si>
  <si>
    <t>F+</t>
  </si>
  <si>
    <t>BH</t>
  </si>
  <si>
    <t>O</t>
  </si>
  <si>
    <t>F-</t>
  </si>
  <si>
    <t>SH</t>
  </si>
  <si>
    <t>SP</t>
  </si>
  <si>
    <t>TG</t>
  </si>
  <si>
    <t>MT</t>
  </si>
  <si>
    <t>CA</t>
  </si>
  <si>
    <t>PR</t>
  </si>
  <si>
    <t>WS</t>
  </si>
  <si>
    <t>L</t>
  </si>
  <si>
    <t>ln_acres</t>
  </si>
  <si>
    <t>Term</t>
  </si>
  <si>
    <t>Estimate</t>
  </si>
  <si>
    <t>Std Error</t>
  </si>
  <si>
    <t>t Ratio</t>
  </si>
  <si>
    <t>Prob&gt;|t|</t>
  </si>
  <si>
    <t>Intercept</t>
  </si>
  <si>
    <t>quality[F--L]</t>
  </si>
  <si>
    <t>quality[F-F-]</t>
  </si>
  <si>
    <t>quality[F+-F]</t>
  </si>
  <si>
    <t>quality[A-F+]</t>
  </si>
  <si>
    <t>quality[A+-A]</t>
  </si>
  <si>
    <t>quality[G-A+]</t>
  </si>
  <si>
    <t>quality[G+-G]</t>
  </si>
  <si>
    <t>condition[FR-PR]</t>
  </si>
  <si>
    <t>condition[AV-FR]</t>
  </si>
  <si>
    <t>condition[GD-AV]</t>
  </si>
  <si>
    <t>condition[VG-GD]</t>
  </si>
  <si>
    <t>condition[EX-VG]</t>
  </si>
  <si>
    <t>&lt;.0001</t>
  </si>
  <si>
    <t>days_prior</t>
  </si>
  <si>
    <t>V</t>
  </si>
  <si>
    <t>V+</t>
  </si>
  <si>
    <t>SL</t>
  </si>
  <si>
    <t>VP</t>
  </si>
  <si>
    <t>land_value</t>
  </si>
  <si>
    <t>intercept</t>
  </si>
  <si>
    <t>quality_value</t>
  </si>
  <si>
    <t>condition_value</t>
  </si>
  <si>
    <t>age_value</t>
  </si>
  <si>
    <t>main_value</t>
  </si>
  <si>
    <t>upper_value</t>
  </si>
  <si>
    <t>fin_bsmt_value</t>
  </si>
  <si>
    <t>garage_value</t>
  </si>
  <si>
    <t>patio_value</t>
  </si>
  <si>
    <t>det_value</t>
  </si>
  <si>
    <t>days_prior_value</t>
  </si>
  <si>
    <t>predicted_total</t>
  </si>
  <si>
    <t>predicted_ratio</t>
  </si>
  <si>
    <t>pred_var</t>
  </si>
  <si>
    <t>pred_var^2</t>
  </si>
  <si>
    <t>Mean Ratio</t>
  </si>
  <si>
    <t>Weighted Mean Ratio</t>
  </si>
  <si>
    <t>qual_adj</t>
  </si>
  <si>
    <t>cond_adj</t>
  </si>
  <si>
    <t>decade_adj</t>
  </si>
  <si>
    <t>size_adj</t>
  </si>
  <si>
    <t>overall_adj</t>
  </si>
  <si>
    <t>summed_res</t>
  </si>
  <si>
    <t>final_land</t>
  </si>
  <si>
    <t>final_det</t>
  </si>
  <si>
    <t>final_res</t>
  </si>
  <si>
    <t>final_total</t>
  </si>
  <si>
    <t>Row Labels</t>
  </si>
  <si>
    <t>Grand Total</t>
  </si>
  <si>
    <t>Average Ratio</t>
  </si>
  <si>
    <t>final_ratio</t>
  </si>
  <si>
    <t>NULL</t>
  </si>
  <si>
    <t>BG</t>
  </si>
  <si>
    <t>OT</t>
  </si>
  <si>
    <t>W</t>
  </si>
  <si>
    <t>MH</t>
  </si>
  <si>
    <t>P</t>
  </si>
  <si>
    <t>SE</t>
  </si>
  <si>
    <t>HT</t>
  </si>
  <si>
    <t>S</t>
  </si>
  <si>
    <t>NO</t>
  </si>
  <si>
    <t>FH</t>
  </si>
  <si>
    <t>CC</t>
  </si>
  <si>
    <t>VT</t>
  </si>
  <si>
    <t>RR</t>
  </si>
  <si>
    <t>N</t>
  </si>
  <si>
    <t>Assessment Level</t>
  </si>
  <si>
    <t>range_adj</t>
  </si>
  <si>
    <t>final_imp</t>
  </si>
  <si>
    <t>phy_pct</t>
  </si>
  <si>
    <t>fun_pct</t>
  </si>
  <si>
    <t>econ_pct</t>
  </si>
  <si>
    <t>addl_area</t>
  </si>
  <si>
    <t>att_gar</t>
  </si>
  <si>
    <t>blt_gar</t>
  </si>
  <si>
    <t>cov_porch</t>
  </si>
  <si>
    <t>cov_sf</t>
  </si>
  <si>
    <t>res_pct</t>
  </si>
  <si>
    <t>sum_land</t>
  </si>
  <si>
    <t>pre_res</t>
  </si>
  <si>
    <t>adj_res</t>
  </si>
  <si>
    <t>adj_land</t>
  </si>
  <si>
    <t>min_land</t>
  </si>
  <si>
    <t>min_res</t>
  </si>
  <si>
    <t>AGR</t>
  </si>
  <si>
    <t>CU</t>
  </si>
  <si>
    <t>X</t>
  </si>
  <si>
    <t>E+</t>
  </si>
  <si>
    <t>ABS Deviation from Median</t>
  </si>
  <si>
    <t>Median Ratio</t>
  </si>
  <si>
    <t>Mean Sale Price</t>
  </si>
  <si>
    <t>SSE</t>
  </si>
  <si>
    <t>SST</t>
  </si>
  <si>
    <t>SSR</t>
  </si>
  <si>
    <t>Median Sale Price</t>
  </si>
  <si>
    <t># of Sales</t>
  </si>
  <si>
    <t>Coefficient of Dispersion (COD)</t>
  </si>
  <si>
    <t>Price Related Differential (PRD)</t>
  </si>
  <si>
    <t>Coefficient of Variation</t>
  </si>
  <si>
    <t>Standard Deviation</t>
  </si>
  <si>
    <t>R^2</t>
  </si>
  <si>
    <t>Standard Error of the Estimate (SEE)</t>
  </si>
  <si>
    <t>SEE/Mean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</si>
</sst>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&quot;$&quot;#,##0"/>
    <numFmt numFmtId="166" formatCode="0.000%"/>
    <numFmt numFmtId="167" formatCode="0.000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47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3" fontId="0" fillId="0" borderId="0" xfId="0" applyNumberFormat="1"/>
    <xf numFmtId="14" fontId="0" fillId="0" borderId="0" xfId="0" applyNumberFormat="1"/>
    <xf numFmtId="0" fontId="3" fillId="0" borderId="0" xfId="0" applyFont="1"/>
    <xf numFmtId="165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166" fontId="0" fillId="3" borderId="0" xfId="1" applyNumberFormat="1" applyFont="1" applyFill="1"/>
    <xf numFmtId="0" fontId="0" fillId="4" borderId="0" xfId="0" applyFill="1"/>
    <xf numFmtId="164" fontId="0" fillId="4" borderId="0" xfId="0" applyNumberFormat="1" applyFill="1"/>
    <xf numFmtId="166" fontId="0" fillId="0" borderId="0" xfId="1" applyNumberFormat="1" applyFont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58">
    <dxf>
      <numFmt numFmtId="1" formatCode="0"/>
    </dxf>
    <dxf>
      <numFmt numFmtId="164" formatCode="0.0000"/>
    </dxf>
    <dxf>
      <numFmt numFmtId="1" formatCode="0"/>
    </dxf>
    <dxf>
      <numFmt numFmtId="1" formatCode="0"/>
    </dxf>
    <dxf>
      <numFmt numFmtId="164" formatCode="0.00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3" formatCode="#,##0"/>
    </dxf>
    <dxf>
      <numFmt numFmtId="3" formatCode="#,##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64" formatCode="0.0000"/>
    </dxf>
    <dxf>
      <numFmt numFmtId="1" formatCode="0"/>
    </dxf>
    <dxf>
      <numFmt numFmtId="1" formatCode="0"/>
    </dxf>
    <dxf>
      <numFmt numFmtId="164" formatCode="0.00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</dxf>
    <dxf>
      <numFmt numFmtId="1" formatCode="0"/>
    </dxf>
    <dxf>
      <numFmt numFmtId="1" formatCode="0"/>
    </dxf>
    <dxf>
      <numFmt numFmtId="29" formatCode="mm:ss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Quality Change</a:t>
            </a:r>
          </a:p>
        </c:rich>
      </c:tx>
      <c:layout>
        <c:manualLayout>
          <c:xMode val="edge"/>
          <c:yMode val="edge"/>
          <c:x val="0.37163888888888885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24759405074366"/>
          <c:y val="0.1115277777777778"/>
          <c:w val="0.84586351706036744"/>
          <c:h val="0.7810728346456693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382221636799526"/>
                  <c:y val="-0.152465917021223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Ref>
              <c:f>Lookups!$H$2:$H$9</c:f>
              <c:strCache>
                <c:ptCount val="8"/>
                <c:pt idx="0">
                  <c:v>L</c:v>
                </c:pt>
                <c:pt idx="1">
                  <c:v>F-</c:v>
                </c:pt>
                <c:pt idx="2">
                  <c:v>F</c:v>
                </c:pt>
                <c:pt idx="3">
                  <c:v>F+</c:v>
                </c:pt>
                <c:pt idx="4">
                  <c:v>A</c:v>
                </c:pt>
                <c:pt idx="5">
                  <c:v>A+</c:v>
                </c:pt>
                <c:pt idx="6">
                  <c:v>G</c:v>
                </c:pt>
                <c:pt idx="7">
                  <c:v>G+</c:v>
                </c:pt>
              </c:strCache>
            </c:strRef>
          </c:xVal>
          <c:yVal>
            <c:numRef>
              <c:f>Lookups!$I$2:$I$9</c:f>
              <c:numCache>
                <c:formatCode>General</c:formatCode>
                <c:ptCount val="8"/>
                <c:pt idx="0">
                  <c:v>0</c:v>
                </c:pt>
                <c:pt idx="1">
                  <c:v>23424</c:v>
                </c:pt>
                <c:pt idx="2">
                  <c:v>28034</c:v>
                </c:pt>
                <c:pt idx="3">
                  <c:v>48043</c:v>
                </c:pt>
                <c:pt idx="4">
                  <c:v>50405</c:v>
                </c:pt>
                <c:pt idx="5">
                  <c:v>50594</c:v>
                </c:pt>
                <c:pt idx="6">
                  <c:v>92307</c:v>
                </c:pt>
                <c:pt idx="7">
                  <c:v>152073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22-4082-A5DC-8CB81D325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211455"/>
        <c:axId val="331220607"/>
      </c:scatterChart>
      <c:valAx>
        <c:axId val="331211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20607"/>
        <c:crosses val="autoZero"/>
        <c:crossBetween val="midCat"/>
      </c:valAx>
      <c:valAx>
        <c:axId val="33122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11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Condition Growth</a:t>
            </a:r>
          </a:p>
        </c:rich>
      </c:tx>
      <c:layout>
        <c:manualLayout>
          <c:xMode val="edge"/>
          <c:yMode val="edge"/>
          <c:x val="0.35072222222222221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24759405074366"/>
          <c:y val="9.7638888888888914E-2"/>
          <c:w val="0.84586351706036744"/>
          <c:h val="0.7949617235345581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040231299212597"/>
                  <c:y val="1.378164373722757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Ref>
              <c:f>Lookups!$H$17:$H$24</c:f>
              <c:strCache>
                <c:ptCount val="8"/>
                <c:pt idx="0">
                  <c:v>SL</c:v>
                </c:pt>
                <c:pt idx="1">
                  <c:v>VP</c:v>
                </c:pt>
                <c:pt idx="2">
                  <c:v>PR</c:v>
                </c:pt>
                <c:pt idx="3">
                  <c:v>FR</c:v>
                </c:pt>
                <c:pt idx="4">
                  <c:v>AV</c:v>
                </c:pt>
                <c:pt idx="5">
                  <c:v>GD</c:v>
                </c:pt>
                <c:pt idx="6">
                  <c:v>VG</c:v>
                </c:pt>
                <c:pt idx="7">
                  <c:v>EX</c:v>
                </c:pt>
              </c:strCache>
            </c:strRef>
          </c:xVal>
          <c:yVal>
            <c:numRef>
              <c:f>Lookups!$I$17:$I$24</c:f>
              <c:numCache>
                <c:formatCode>General</c:formatCode>
                <c:ptCount val="8"/>
                <c:pt idx="2">
                  <c:v>0</c:v>
                </c:pt>
                <c:pt idx="3">
                  <c:v>16276</c:v>
                </c:pt>
                <c:pt idx="4">
                  <c:v>52231</c:v>
                </c:pt>
                <c:pt idx="5">
                  <c:v>74543</c:v>
                </c:pt>
                <c:pt idx="6">
                  <c:v>84338</c:v>
                </c:pt>
                <c:pt idx="7">
                  <c:v>122095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31-4CA3-A3F6-A71FF58EA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736832"/>
        <c:axId val="368720192"/>
      </c:scatterChart>
      <c:valAx>
        <c:axId val="36873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720192"/>
        <c:crosses val="autoZero"/>
        <c:crossBetween val="midCat"/>
      </c:valAx>
      <c:valAx>
        <c:axId val="36872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73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223836</xdr:colOff>
      <xdr:row>0</xdr:row>
      <xdr:rowOff>4762</xdr:rowOff>
    </xdr:from>
    <xdr:to>
      <xdr:col>18</xdr:col>
      <xdr:colOff>228599</xdr:colOff>
      <xdr:row>11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2AA7B6-FDFF-9770-F77A-536185763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15</xdr:row>
      <xdr:rowOff>4762</xdr:rowOff>
    </xdr:from>
    <xdr:to>
      <xdr:col>18</xdr:col>
      <xdr:colOff>238125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78D1CA-3F27-9B0B-6160-D1CD80846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ob Tate" refreshedDate="45093.443873611111" createdVersion="8" refreshedVersion="8" minRefreshableVersion="3" recordCount="57" xr:uid="{4AD20593-FEB8-42CE-9E2E-E0DBF5EC6789}">
  <cacheSource type="worksheet">
    <worksheetSource name="Wapato_Sales"/>
  </cacheSource>
  <cacheFields count="84">
    <cacheField name="parcel_id" numFmtId="0">
      <sharedItems containsSemiMixedTypes="0" containsString="0" containsNumber="1" containsInteger="1" minValue="19110944415" maxValue="19112214436"/>
    </cacheField>
    <cacheField name="total_acres" numFmtId="0">
      <sharedItems containsSemiMixedTypes="0" containsString="0" containsNumber="1" minValue="0" maxValue="4.57"/>
    </cacheField>
    <cacheField name="total_sqft" numFmtId="0">
      <sharedItems containsSemiMixedTypes="0" containsString="0" containsNumber="1" containsInteger="1" minValue="0" maxValue="199189"/>
    </cacheField>
    <cacheField name="unimproved_acres" numFmtId="0">
      <sharedItems containsSemiMixedTypes="0" containsString="0" containsNumber="1" containsInteger="1" minValue="0" maxValue="0"/>
    </cacheField>
    <cacheField name="nbhd" numFmtId="0">
      <sharedItems/>
    </cacheField>
    <cacheField name="treated_as" numFmtId="0">
      <sharedItems/>
    </cacheField>
    <cacheField name="inspct_cycle" numFmtId="0">
      <sharedItems containsSemiMixedTypes="0" containsString="0" containsNumber="1" containsInteger="1" minValue="3" maxValue="3"/>
    </cacheField>
    <cacheField name="prop_type" numFmtId="0">
      <sharedItems/>
    </cacheField>
    <cacheField name="prev_imp" numFmtId="0">
      <sharedItems containsSemiMixedTypes="0" containsString="0" containsNumber="1" containsInteger="1" minValue="45400" maxValue="343700"/>
    </cacheField>
    <cacheField name="prev_land" numFmtId="0">
      <sharedItems containsSemiMixedTypes="0" containsString="0" containsNumber="1" containsInteger="1" minValue="26900" maxValue="56700"/>
    </cacheField>
    <cacheField name="parcel_acres" numFmtId="0">
      <sharedItems containsSemiMixedTypes="0" containsString="0" containsNumber="1" minValue="7.0000000000000007E-2" maxValue="4.57"/>
    </cacheField>
    <cacheField name="non_valued_acres" numFmtId="0">
      <sharedItems containsSemiMixedTypes="0" containsString="0" containsNumber="1" containsInteger="1" minValue="0" maxValue="0"/>
    </cacheField>
    <cacheField name="unbuildable" numFmtId="0">
      <sharedItems containsSemiMixedTypes="0" containsString="0" containsNumber="1" containsInteger="1" minValue="0" maxValue="0"/>
    </cacheField>
    <cacheField name="no_utilities" numFmtId="0">
      <sharedItems containsSemiMixedTypes="0" containsString="0" containsNumber="1" containsInteger="1" minValue="0" maxValue="0"/>
    </cacheField>
    <cacheField name="coeff" numFmtId="0">
      <sharedItems containsSemiMixedTypes="0" containsString="0" containsNumber="1" minValue="27904.037" maxValue="27904.037"/>
    </cacheField>
    <cacheField name="const" numFmtId="0">
      <sharedItems containsSemiMixedTypes="0" containsString="0" containsNumber="1" minValue="74398.407600000006" maxValue="74398.407600000006"/>
    </cacheField>
    <cacheField name="land_extract" numFmtId="0">
      <sharedItems containsSemiMixedTypes="0" containsString="0" containsNumber="1" minValue="194.31713680640678" maxValue="116798.96029168877"/>
    </cacheField>
    <cacheField name="ln_acres" numFmtId="0">
      <sharedItems containsSemiMixedTypes="0" containsString="0" containsNumber="1" minValue="-2.6592600369327779" maxValue="1.5195132049061133"/>
    </cacheField>
    <cacheField name="bldg_style" numFmtId="0">
      <sharedItems/>
    </cacheField>
    <cacheField name="num_stories" numFmtId="0">
      <sharedItems containsSemiMixedTypes="0" containsString="0" containsNumber="1" containsInteger="1" minValue="1" maxValue="2"/>
    </cacheField>
    <cacheField name="quality" numFmtId="0">
      <sharedItems count="8">
        <s v="G+"/>
        <s v="A+"/>
        <s v="G"/>
        <s v="A"/>
        <s v="F"/>
        <s v="F+"/>
        <s v="F-"/>
        <s v="L"/>
      </sharedItems>
    </cacheField>
    <cacheField name="condition" numFmtId="0">
      <sharedItems count="6">
        <s v="EX"/>
        <s v="AV"/>
        <s v="GD"/>
        <s v="VG"/>
        <s v="FR"/>
        <s v="PR"/>
      </sharedItems>
    </cacheField>
    <cacheField name="quality_rank" numFmtId="0">
      <sharedItems containsSemiMixedTypes="0" containsString="0" containsNumber="1" containsInteger="1" minValue="0" maxValue="0"/>
    </cacheField>
    <cacheField name="condition_rank" numFmtId="0">
      <sharedItems containsSemiMixedTypes="0" containsString="0" containsNumber="1" containsInteger="1" minValue="0" maxValue="0"/>
    </cacheField>
    <cacheField name="Eff_Age" numFmtId="0">
      <sharedItems containsSemiMixedTypes="0" containsString="0" containsNumber="1" containsInteger="1" minValue="1" maxValue="65"/>
    </cacheField>
    <cacheField name="Age" numFmtId="0">
      <sharedItems containsSemiMixedTypes="0" containsString="0" containsNumber="1" containsInteger="1" minValue="1" maxValue="113"/>
    </cacheField>
    <cacheField name="decade" numFmtId="0">
      <sharedItems containsSemiMixedTypes="0" containsString="0" containsNumber="1" containsInteger="1" minValue="0" maxValue="110" count="10">
        <n v="0"/>
        <n v="100"/>
        <n v="20"/>
        <n v="40"/>
        <n v="50"/>
        <n v="60"/>
        <n v="70"/>
        <n v="80"/>
        <n v="90"/>
        <n v="110"/>
      </sharedItems>
    </cacheField>
    <cacheField name="living_area_range" numFmtId="0">
      <sharedItems containsSemiMixedTypes="0" containsString="0" containsNumber="1" containsInteger="1" minValue="500" maxValue="3000" count="6">
        <n v="2500"/>
        <n v="1500"/>
        <n v="2000"/>
        <n v="1000"/>
        <n v="3000"/>
        <n v="500"/>
      </sharedItems>
    </cacheField>
    <cacheField name="living_area" numFmtId="0">
      <sharedItems containsSemiMixedTypes="0" containsString="0" containsNumber="1" containsInteger="1" minValue="420" maxValue="2976"/>
    </cacheField>
    <cacheField name="Main Floor" numFmtId="0">
      <sharedItems containsSemiMixedTypes="0" containsString="0" containsNumber="1" containsInteger="1" minValue="420" maxValue="2630"/>
    </cacheField>
    <cacheField name="Upper Floor" numFmtId="0">
      <sharedItems containsSemiMixedTypes="0" containsString="0" containsNumber="1" containsInteger="1" minValue="0" maxValue="992"/>
    </cacheField>
    <cacheField name="Fin BSMT" numFmtId="0">
      <sharedItems containsSemiMixedTypes="0" containsString="0" containsNumber="1" containsInteger="1" minValue="0" maxValue="1200"/>
    </cacheField>
    <cacheField name="UnFin BSMT" numFmtId="0">
      <sharedItems containsSemiMixedTypes="0" containsString="0" containsNumber="1" containsInteger="1" minValue="0" maxValue="1288"/>
    </cacheField>
    <cacheField name="garage_sqft" numFmtId="0">
      <sharedItems containsSemiMixedTypes="0" containsString="0" containsNumber="1" containsInteger="1" minValue="0" maxValue="1092"/>
    </cacheField>
    <cacheField name="Carport" numFmtId="0">
      <sharedItems containsSemiMixedTypes="0" containsString="0" containsNumber="1" containsInteger="1" minValue="0" maxValue="736"/>
    </cacheField>
    <cacheField name="Wood Deck" numFmtId="0">
      <sharedItems containsSemiMixedTypes="0" containsString="0" containsNumber="1" containsInteger="1" minValue="0" maxValue="426"/>
    </cacheField>
    <cacheField name="Patio" numFmtId="0">
      <sharedItems containsSemiMixedTypes="0" containsString="0" containsNumber="1" containsInteger="1" minValue="0" maxValue="690"/>
    </cacheField>
    <cacheField name="Plumbing Fixtures" numFmtId="0">
      <sharedItems containsSemiMixedTypes="0" containsString="0" containsNumber="1" containsInteger="1" minValue="5" maxValue="14"/>
    </cacheField>
    <cacheField name="stove" numFmtId="0">
      <sharedItems containsSemiMixedTypes="0" containsString="0" containsNumber="1" containsInteger="1" minValue="0" maxValue="1"/>
    </cacheField>
    <cacheField name="fireplace" numFmtId="0">
      <sharedItems containsSemiMixedTypes="0" containsString="0" containsNumber="1" containsInteger="1" minValue="0" maxValue="2"/>
    </cacheField>
    <cacheField name="roofing" numFmtId="0">
      <sharedItems/>
    </cacheField>
    <cacheField name="heating" numFmtId="0">
      <sharedItems containsSemiMixedTypes="0" containsString="0" containsNumber="1" containsInteger="1" minValue="0" maxValue="1"/>
    </cacheField>
    <cacheField name="heat_type" numFmtId="0">
      <sharedItems/>
    </cacheField>
    <cacheField name="fuel_type" numFmtId="0">
      <sharedItems/>
    </cacheField>
    <cacheField name="ac" numFmtId="0">
      <sharedItems containsSemiMixedTypes="0" containsString="0" containsNumber="1" containsInteger="1" minValue="0" maxValue="1"/>
    </cacheField>
    <cacheField name="num_bedrooms" numFmtId="0">
      <sharedItems containsSemiMixedTypes="0" containsString="0" containsNumber="1" containsInteger="1" minValue="1" maxValue="5"/>
    </cacheField>
    <cacheField name="crop_value" numFmtId="0">
      <sharedItems containsSemiMixedTypes="0" containsString="0" containsNumber="1" containsInteger="1" minValue="0" maxValue="0"/>
    </cacheField>
    <cacheField name="detatched_value" numFmtId="0">
      <sharedItems containsSemiMixedTypes="0" containsString="0" containsNumber="1" containsInteger="1" minValue="0" maxValue="28100"/>
    </cacheField>
    <cacheField name="pct_complete" numFmtId="0">
      <sharedItems containsSemiMixedTypes="0" containsString="0" containsNumber="1" containsInteger="1" minValue="100" maxValue="100"/>
    </cacheField>
    <cacheField name="sale_date" numFmtId="47">
      <sharedItems containsSemiMixedTypes="0" containsNonDate="0" containsDate="1" containsString="0" minDate="2020-01-10T00:00:00" maxDate="2022-12-08T00:00:00"/>
    </cacheField>
    <cacheField name="assessed_land" numFmtId="0">
      <sharedItems containsSemiMixedTypes="0" containsString="0" containsNumber="1" containsInteger="1" minValue="18700" maxValue="50200"/>
    </cacheField>
    <cacheField name="assessed_imp" numFmtId="0">
      <sharedItems containsSemiMixedTypes="0" containsString="0" containsNumber="1" containsInteger="1" minValue="33618" maxValue="548378"/>
    </cacheField>
    <cacheField name="assessed_total" numFmtId="0">
      <sharedItems containsSemiMixedTypes="0" containsString="0" containsNumber="1" containsInteger="1" minValue="60500" maxValue="585000"/>
    </cacheField>
    <cacheField name="sale_price" numFmtId="0">
      <sharedItems containsSemiMixedTypes="0" containsString="0" containsNumber="1" containsInteger="1" minValue="60000" maxValue="546500"/>
    </cacheField>
    <cacheField name="days_prior" numFmtId="0">
      <sharedItems containsSemiMixedTypes="0" containsString="0" containsNumber="1" containsInteger="1" minValue="25" maxValue="1087"/>
    </cacheField>
    <cacheField name="land_value" numFmtId="0">
      <sharedItems containsSemiMixedTypes="0" containsString="0" containsNumber="1" minValue="19.743864729206489" maxValue="11867.521878981446"/>
    </cacheField>
    <cacheField name="intercept" numFmtId="0">
      <sharedItems containsSemiMixedTypes="0" containsString="0" containsNumber="1" minValue="107530.54" maxValue="107530.54"/>
    </cacheField>
    <cacheField name="quality_value" numFmtId="0">
      <sharedItems containsSemiMixedTypes="0" containsString="0" containsNumber="1" containsInteger="1" minValue="0" maxValue="152073"/>
    </cacheField>
    <cacheField name="condition_value" numFmtId="0">
      <sharedItems containsSemiMixedTypes="0" containsString="0" containsNumber="1" containsInteger="1" minValue="0" maxValue="122095"/>
    </cacheField>
    <cacheField name="age_value" numFmtId="0">
      <sharedItems containsSemiMixedTypes="0" containsString="0" containsNumber="1" minValue="-41886.354100000004" maxValue="-370.67570000000001"/>
    </cacheField>
    <cacheField name="main_value" numFmtId="0">
      <sharedItems containsSemiMixedTypes="0" containsString="0" containsNumber="1" minValue="17556.310379999999" maxValue="109935.94357"/>
    </cacheField>
    <cacheField name="upper_value" numFmtId="0">
      <sharedItems containsSemiMixedTypes="0" containsString="0" containsNumber="1" minValue="0" maxValue="49204.329888"/>
    </cacheField>
    <cacheField name="fin_bsmt_value" numFmtId="0">
      <sharedItems containsSemiMixedTypes="0" containsString="0" containsNumber="1" minValue="0" maxValue="29240.088"/>
    </cacheField>
    <cacheField name="garage_value" numFmtId="0">
      <sharedItems containsSemiMixedTypes="0" containsString="0" containsNumber="1" minValue="0" maxValue="40413.557184000005"/>
    </cacheField>
    <cacheField name="patio_value" numFmtId="0">
      <sharedItems containsSemiMixedTypes="0" containsString="0" containsNumber="1" minValue="0" maxValue="29893.54551"/>
    </cacheField>
    <cacheField name="det_value" numFmtId="0">
      <sharedItems containsSemiMixedTypes="0" containsString="0" containsNumber="1" minValue="0" maxValue="26421.435259999998"/>
    </cacheField>
    <cacheField name="days_prior_value" numFmtId="0">
      <sharedItems containsSemiMixedTypes="0" containsString="0" containsNumber="1" minValue="-81353.77575999999" maxValue="-1871.0619999999999"/>
    </cacheField>
    <cacheField name="predicted_total" numFmtId="0">
      <sharedItems containsSemiMixedTypes="0" containsString="0" containsNumber="1" minValue="86988.486710698518" maxValue="546499.52370063076"/>
    </cacheField>
    <cacheField name="predicted_ratio" numFmtId="164">
      <sharedItems containsSemiMixedTypes="0" containsString="0" containsNumber="1" minValue="0.79468964846663503" maxValue="1.5876866512598993"/>
    </cacheField>
    <cacheField name="pred_var" numFmtId="0">
      <sharedItems containsSemiMixedTypes="0" containsString="0" containsNumber="1" minValue="-45845.355599963601" maxValue="66927.338779241254"/>
    </cacheField>
    <cacheField name="pred_var^2" numFmtId="0">
      <sharedItems containsSemiMixedTypes="0" containsString="0" containsNumber="1" minValue="1.8450126095161723E-2" maxValue="4479268676.0713301"/>
    </cacheField>
    <cacheField name="qual_adj" numFmtId="0">
      <sharedItems containsSemiMixedTypes="0" containsString="0" containsNumber="1" minValue="0.94192028401420091" maxValue="1.0652974599303737"/>
    </cacheField>
    <cacheField name="cond_adj" numFmtId="0">
      <sharedItems containsSemiMixedTypes="0" containsString="0" containsNumber="1" minValue="0.90764554840944411" maxValue="1.0420586997503751"/>
    </cacheField>
    <cacheField name="decade_adj" numFmtId="0">
      <sharedItems containsSemiMixedTypes="0" containsString="0" containsNumber="1" minValue="0.89165276474055877" maxValue="1.0420586997503751"/>
    </cacheField>
    <cacheField name="size_adj" numFmtId="0">
      <sharedItems containsSemiMixedTypes="0" containsString="0" containsNumber="1" minValue="0.9464590159154872" maxValue="1.0022690727985222"/>
    </cacheField>
    <cacheField name="overall_adj" numFmtId="0">
      <sharedItems containsSemiMixedTypes="0" containsString="0" containsNumber="1" minValue="0.94424489852578153" maxValue="1.019225611410477"/>
    </cacheField>
    <cacheField name="summed_res" numFmtId="0">
      <sharedItems containsSemiMixedTypes="0" containsString="0" containsNumber="1" minValue="30525.708143999997" maxValue="479392.49426000006"/>
    </cacheField>
    <cacheField name="final_land" numFmtId="0">
      <sharedItems containsSemiMixedTypes="0" containsString="0" containsNumber="1" minValue="53785.013864729204" maxValue="65632.791878981443"/>
    </cacheField>
    <cacheField name="final_det" numFmtId="0">
      <sharedItems containsSemiMixedTypes="0" containsString="0" containsNumber="1" minValue="0" maxValue="26421.435259999998"/>
    </cacheField>
    <cacheField name="final_res" numFmtId="0">
      <sharedItems containsSemiMixedTypes="0" containsString="0" containsNumber="1" minValue="29644.570647083114" maxValue="488609.10806774214"/>
    </cacheField>
    <cacheField name="final_total" numFmtId="0">
      <sharedItems containsSemiMixedTypes="0" containsString="0" containsNumber="1" minValue="86107.349213781592" maxValue="555716.13750837289"/>
    </cacheField>
    <cacheField name="final_ratio" numFmtId="0">
      <sharedItems containsSemiMixedTypes="0" containsString="0" containsNumber="1" minValue="0.77210949100808923" maxValue="1.5686064480164792"/>
    </cacheField>
    <cacheField name="var" numFmtId="0">
      <sharedItems containsSemiMixedTypes="0" containsString="0" containsNumber="1" minValue="-51464.923258079914" maxValue="60187.14114136991"/>
    </cacheField>
    <cacheField name="var^2" numFmtId="0">
      <sharedItems containsSemiMixedTypes="0" containsString="0" containsNumber="1" minValue="140256.76425846151" maxValue="3622491958.77118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n v="19111033003"/>
    <n v="1.2"/>
    <n v="0"/>
    <n v="0"/>
    <s v="WA"/>
    <s v="WA"/>
    <n v="3"/>
    <s v="RES"/>
    <n v="89100"/>
    <n v="46500"/>
    <n v="1.2"/>
    <n v="0"/>
    <n v="0"/>
    <n v="0"/>
    <n v="27904.037"/>
    <n v="74398.407600000006"/>
    <n v="79485.915066676112"/>
    <n v="0.18232155679395459"/>
    <s v="CO"/>
    <n v="1"/>
    <x v="0"/>
    <x v="0"/>
    <n v="0"/>
    <n v="0"/>
    <n v="1"/>
    <n v="1"/>
    <x v="0"/>
    <x v="0"/>
    <n v="2462"/>
    <n v="2462"/>
    <n v="0"/>
    <n v="0"/>
    <n v="0"/>
    <n v="986"/>
    <n v="0"/>
    <n v="0"/>
    <n v="330"/>
    <n v="14"/>
    <n v="0"/>
    <n v="0"/>
    <s v="CP"/>
    <n v="1"/>
    <s v="HP"/>
    <s v="E"/>
    <n v="1"/>
    <n v="4"/>
    <n v="0"/>
    <n v="5600"/>
    <n v="100"/>
    <d v="2022-12-07T00:00:00"/>
    <n v="36600"/>
    <n v="548378"/>
    <n v="585000"/>
    <n v="546500"/>
    <n v="25"/>
    <n v="8076.2776806307193"/>
    <n v="107530.54"/>
    <n v="152073"/>
    <n v="122095"/>
    <n v="-370.67570000000001"/>
    <n v="102913.419418"/>
    <n v="0"/>
    <n v="0"/>
    <n v="36490.629472000001"/>
    <n v="14296.913070000001"/>
    <n v="5265.4817599999997"/>
    <n v="-1871.0619999999999"/>
    <n v="546499.52370063076"/>
    <n v="0.99999912845495109"/>
    <n v="-0.4762993692420423"/>
    <n v="0.22686108914036734"/>
    <n v="1.0463260302256705"/>
    <n v="1.0420586997503751"/>
    <n v="1.0420586997503751"/>
    <n v="0.9464590159154872"/>
    <n v="1.019225611410477"/>
    <n v="479392.49426000006"/>
    <n v="61841.547680630712"/>
    <n v="5265.4817599999997"/>
    <n v="488609.10806774214"/>
    <n v="555716.13750837289"/>
    <n v="1.0168639295670134"/>
    <n v="9216.1375083728926"/>
    <n v="84937190.573237702"/>
  </r>
  <r>
    <n v="19111133559"/>
    <n v="0.19"/>
    <n v="0"/>
    <n v="0"/>
    <s v="WA"/>
    <s v="WA"/>
    <n v="3"/>
    <s v="RES"/>
    <n v="266600"/>
    <n v="34100"/>
    <n v="0.19"/>
    <n v="0"/>
    <n v="0"/>
    <n v="0"/>
    <n v="27904.037"/>
    <n v="74398.407600000006"/>
    <n v="28057.302557794006"/>
    <n v="-1.6607312068216509"/>
    <s v="RN"/>
    <n v="1"/>
    <x v="1"/>
    <x v="0"/>
    <n v="0"/>
    <n v="0"/>
    <n v="2"/>
    <n v="2"/>
    <x v="0"/>
    <x v="1"/>
    <n v="1248"/>
    <n v="1248"/>
    <n v="0"/>
    <n v="0"/>
    <n v="0"/>
    <n v="460"/>
    <n v="0"/>
    <n v="0"/>
    <n v="0"/>
    <n v="8"/>
    <n v="0"/>
    <n v="0"/>
    <s v="CP"/>
    <n v="1"/>
    <s v="FD"/>
    <s v="E"/>
    <n v="1"/>
    <n v="3"/>
    <n v="0"/>
    <n v="0"/>
    <n v="100"/>
    <d v="2022-04-26T00:00:00"/>
    <n v="28600"/>
    <n v="234116"/>
    <n v="262700"/>
    <n v="334000"/>
    <n v="250"/>
    <n v="2850.8015066082407"/>
    <n v="107530.54"/>
    <n v="50594"/>
    <n v="122095"/>
    <n v="-741.35140000000001"/>
    <n v="52167.322271999998"/>
    <n v="0"/>
    <n v="0"/>
    <n v="17024.02592"/>
    <n v="0"/>
    <n v="0"/>
    <n v="-18710.62"/>
    <n v="332809.71829860826"/>
    <n v="0.99643628233116244"/>
    <n v="-1190.2817013917374"/>
    <n v="1416770.5286680092"/>
    <n v="1.0201711197799872"/>
    <n v="1.0420586997503751"/>
    <n v="1.0420586997503751"/>
    <n v="0.96480930693869826"/>
    <n v="1.0172744565548588"/>
    <n v="276193.64679199998"/>
    <n v="56616.071506608234"/>
    <n v="0"/>
    <n v="280964.74194423639"/>
    <n v="337580.81345084461"/>
    <n v="1.0107209983558221"/>
    <n v="3580.8134508446092"/>
    <n v="12822224.969749678"/>
  </r>
  <r>
    <n v="19111034406"/>
    <n v="0.26"/>
    <n v="11218"/>
    <n v="0"/>
    <s v="WA"/>
    <s v="WA"/>
    <n v="3"/>
    <s v="RES"/>
    <n v="341000"/>
    <n v="35800"/>
    <n v="0.26"/>
    <n v="0"/>
    <n v="0"/>
    <n v="0"/>
    <n v="27904.037"/>
    <n v="74398.407600000006"/>
    <n v="36809.614685414766"/>
    <n v="-1.3470736479666092"/>
    <s v="CO"/>
    <n v="1"/>
    <x v="2"/>
    <x v="0"/>
    <n v="0"/>
    <n v="0"/>
    <n v="2"/>
    <n v="2"/>
    <x v="0"/>
    <x v="2"/>
    <n v="1584"/>
    <n v="1584"/>
    <n v="0"/>
    <n v="0"/>
    <n v="0"/>
    <n v="506"/>
    <n v="0"/>
    <n v="0"/>
    <n v="0"/>
    <n v="10"/>
    <n v="0"/>
    <n v="0"/>
    <s v="CP"/>
    <n v="1"/>
    <s v="HP"/>
    <s v="E"/>
    <n v="1"/>
    <n v="3"/>
    <n v="0"/>
    <n v="0"/>
    <n v="100"/>
    <d v="2021-08-20T00:00:00"/>
    <n v="18700"/>
    <n v="328620"/>
    <n v="347300"/>
    <n v="366000"/>
    <n v="499"/>
    <n v="3740.092433572127"/>
    <n v="107530.54"/>
    <n v="92307"/>
    <n v="122095"/>
    <n v="-741.35140000000001"/>
    <n v="66212.370576000001"/>
    <n v="0"/>
    <n v="0"/>
    <n v="18726.428512000002"/>
    <n v="0"/>
    <n v="0"/>
    <n v="-37346.397519999999"/>
    <n v="372523.68260157213"/>
    <n v="1.0178242694032025"/>
    <n v="6523.6826015721308"/>
    <n v="42558434.686054923"/>
    <n v="0.96618926383892501"/>
    <n v="1.0420586997503751"/>
    <n v="1.0420586997503751"/>
    <n v="0.95398123997023465"/>
    <n v="1.0010719758274775"/>
    <n v="315018.32016800001"/>
    <n v="57505.362433572125"/>
    <n v="0"/>
    <n v="315356.01219243265"/>
    <n v="372861.37462600478"/>
    <n v="1.0187469252076633"/>
    <n v="6861.3746260047774"/>
    <n v="47078461.758382201"/>
  </r>
  <r>
    <n v="19111133558"/>
    <n v="0.19"/>
    <n v="0"/>
    <n v="0"/>
    <s v="WA"/>
    <s v="WA"/>
    <n v="3"/>
    <s v="RES"/>
    <n v="266600"/>
    <n v="34100"/>
    <n v="0.19"/>
    <n v="0"/>
    <n v="0"/>
    <n v="0"/>
    <n v="27904.037"/>
    <n v="74398.407600000006"/>
    <n v="28057.302557794006"/>
    <n v="-1.6607312068216509"/>
    <s v="RN"/>
    <n v="1"/>
    <x v="1"/>
    <x v="0"/>
    <n v="0"/>
    <n v="0"/>
    <n v="2"/>
    <n v="2"/>
    <x v="0"/>
    <x v="1"/>
    <n v="1248"/>
    <n v="1248"/>
    <n v="0"/>
    <n v="0"/>
    <n v="0"/>
    <n v="460"/>
    <n v="0"/>
    <n v="0"/>
    <n v="0"/>
    <n v="8"/>
    <n v="0"/>
    <n v="0"/>
    <s v="CP"/>
    <n v="1"/>
    <s v="FD"/>
    <s v="E"/>
    <n v="1"/>
    <n v="3"/>
    <n v="0"/>
    <n v="0"/>
    <n v="100"/>
    <d v="2022-03-15T00:00:00"/>
    <n v="28600"/>
    <n v="234116"/>
    <n v="262700"/>
    <n v="335000"/>
    <n v="292"/>
    <n v="2850.8015066082407"/>
    <n v="107530.54"/>
    <n v="50594"/>
    <n v="122095"/>
    <n v="-741.35140000000001"/>
    <n v="52167.322271999998"/>
    <n v="0"/>
    <n v="0"/>
    <n v="17024.02592"/>
    <n v="0"/>
    <n v="0"/>
    <n v="-21854.004159999997"/>
    <n v="329666.33413860825"/>
    <n v="0.98407860936897984"/>
    <n v="-5333.6658613917534"/>
    <n v="28447991.520975836"/>
    <n v="1.0201711197799872"/>
    <n v="1.0420586997503751"/>
    <n v="1.0420586997503751"/>
    <n v="0.96480930693869826"/>
    <n v="1.0172744565548588"/>
    <n v="273050.26263199997"/>
    <n v="56616.071506608234"/>
    <n v="0"/>
    <n v="277767.05753112922"/>
    <n v="334383.12903773744"/>
    <n v="0.99815859414249986"/>
    <n v="-616.87096226256108"/>
    <n v="380529.78408273804"/>
  </r>
  <r>
    <n v="19111511513"/>
    <n v="0"/>
    <n v="6000"/>
    <n v="0"/>
    <s v="WA"/>
    <s v="WA"/>
    <n v="3"/>
    <s v="RES"/>
    <n v="158200"/>
    <n v="31800"/>
    <n v="0.14000000000000001"/>
    <n v="0"/>
    <n v="0"/>
    <n v="0"/>
    <n v="27904.037"/>
    <n v="74398.407600000006"/>
    <n v="19535.921709596798"/>
    <n v="-1.9661128563728327"/>
    <s v="TD"/>
    <n v="1"/>
    <x v="3"/>
    <x v="1"/>
    <n v="0"/>
    <n v="0"/>
    <n v="3"/>
    <n v="98"/>
    <x v="1"/>
    <x v="1"/>
    <n v="1288"/>
    <n v="1288"/>
    <n v="0"/>
    <n v="0"/>
    <n v="1288"/>
    <n v="0"/>
    <n v="0"/>
    <n v="0"/>
    <n v="0"/>
    <n v="5"/>
    <n v="0"/>
    <n v="0"/>
    <s v="CP"/>
    <n v="1"/>
    <s v="FD"/>
    <s v="E"/>
    <n v="0"/>
    <n v="2"/>
    <n v="0"/>
    <n v="0"/>
    <n v="100"/>
    <d v="2021-05-06T00:00:00"/>
    <n v="26600"/>
    <n v="211959"/>
    <n v="238600"/>
    <n v="189000"/>
    <n v="605"/>
    <n v="1984.9746755939761"/>
    <n v="107530.54"/>
    <n v="50405"/>
    <n v="52231"/>
    <n v="-36326.2186"/>
    <n v="53839.351832"/>
    <n v="0"/>
    <n v="0"/>
    <n v="0"/>
    <n v="0"/>
    <n v="0"/>
    <n v="-45279.700399999994"/>
    <n v="184384.94750759398"/>
    <n v="0.97558173284441263"/>
    <n v="-4615.0524924060155"/>
    <n v="21298709.507662974"/>
    <n v="0.94847641831201523"/>
    <n v="0.94468981870133262"/>
    <n v="0.97831624472649725"/>
    <n v="0.96480930693869826"/>
    <n v="0.95907294716963587"/>
    <n v="128634.70283200001"/>
    <n v="55750.244675593975"/>
    <n v="0"/>
    <n v="123370.06355337656"/>
    <n v="179120.30822897053"/>
    <n v="0.94772649856598168"/>
    <n v="-9879.6917710294656"/>
    <n v="97608309.490547344"/>
  </r>
  <r>
    <n v="19111034405"/>
    <n v="0.26"/>
    <n v="11407"/>
    <n v="0"/>
    <s v="WA"/>
    <s v="WA"/>
    <n v="3"/>
    <s v="RES"/>
    <n v="323400"/>
    <n v="35800"/>
    <n v="0.26"/>
    <n v="0"/>
    <n v="0"/>
    <n v="0"/>
    <n v="27904.037"/>
    <n v="74398.407600000006"/>
    <n v="36809.614685414766"/>
    <n v="-1.3470736479666092"/>
    <s v="CO"/>
    <n v="2"/>
    <x v="2"/>
    <x v="2"/>
    <n v="0"/>
    <n v="0"/>
    <n v="17"/>
    <n v="17"/>
    <x v="2"/>
    <x v="2"/>
    <n v="1966"/>
    <n v="974"/>
    <n v="992"/>
    <n v="0"/>
    <n v="0"/>
    <n v="440"/>
    <n v="0"/>
    <n v="0"/>
    <n v="80"/>
    <n v="12"/>
    <n v="0"/>
    <n v="0"/>
    <s v="CP"/>
    <n v="1"/>
    <s v="HP"/>
    <s v="E"/>
    <n v="1"/>
    <n v="3"/>
    <n v="0"/>
    <n v="0"/>
    <n v="100"/>
    <d v="2021-03-25T00:00:00"/>
    <n v="26200"/>
    <n v="338655"/>
    <n v="364900"/>
    <n v="355000"/>
    <n v="647"/>
    <n v="3740.092433572127"/>
    <n v="107530.54"/>
    <n v="92307"/>
    <n v="74543"/>
    <n v="-6301.4868999999999"/>
    <n v="40713.919785999999"/>
    <n v="49204.329888"/>
    <n v="0"/>
    <n v="16283.85088"/>
    <n v="3465.9183200000002"/>
    <n v="0"/>
    <n v="-48423.084559999996"/>
    <n v="333064.07984757202"/>
    <n v="0.93820867562696342"/>
    <n v="-21935.920152427978"/>
    <n v="481184592.93369585"/>
    <n v="0.96618926383892501"/>
    <n v="0.97615416874759686"/>
    <n v="0.89165276474055877"/>
    <n v="0.95398123997023465"/>
    <n v="0.94699435932432885"/>
    <n v="275558.71741400007"/>
    <n v="57505.362433572125"/>
    <n v="0"/>
    <n v="260952.55105370478"/>
    <n v="318457.91348727688"/>
    <n v="0.89706454503458277"/>
    <n v="-36542.086512723123"/>
    <n v="1335324086.7033412"/>
  </r>
  <r>
    <n v="19111514552"/>
    <n v="0.15"/>
    <n v="6338"/>
    <n v="0"/>
    <s v="WA"/>
    <s v="WA"/>
    <n v="3"/>
    <s v="RES"/>
    <n v="218900"/>
    <n v="32300"/>
    <n v="0.15"/>
    <n v="0"/>
    <n v="0"/>
    <n v="0"/>
    <n v="27904.037"/>
    <n v="74398.407600000006"/>
    <n v="21461.101348304932"/>
    <n v="-1.8971199848858813"/>
    <s v="TD"/>
    <n v="1"/>
    <x v="3"/>
    <x v="3"/>
    <n v="0"/>
    <n v="0"/>
    <n v="29"/>
    <n v="103"/>
    <x v="1"/>
    <x v="1"/>
    <n v="1188"/>
    <n v="1188"/>
    <n v="0"/>
    <n v="0"/>
    <n v="0"/>
    <n v="0"/>
    <n v="0"/>
    <n v="0"/>
    <n v="0"/>
    <n v="8"/>
    <n v="0"/>
    <n v="0"/>
    <s v="CP"/>
    <n v="1"/>
    <s v="HP"/>
    <s v="G"/>
    <n v="1"/>
    <n v="3"/>
    <n v="0"/>
    <n v="0"/>
    <n v="100"/>
    <d v="2022-03-16T00:00:00"/>
    <n v="27000"/>
    <n v="163064"/>
    <n v="190100"/>
    <n v="280000"/>
    <n v="291"/>
    <n v="2180.5852480364101"/>
    <n v="107530.54"/>
    <n v="50405"/>
    <n v="84338"/>
    <n v="-38179.597099999999"/>
    <n v="49659.277931999997"/>
    <n v="0"/>
    <n v="0"/>
    <n v="0"/>
    <n v="0"/>
    <n v="0"/>
    <n v="-21779.161679999997"/>
    <n v="234154.6444000364"/>
    <n v="0.83626658714298718"/>
    <n v="-45845.355599963601"/>
    <n v="2101796630.0871139"/>
    <n v="0.94847641831201523"/>
    <n v="0.98226356303366236"/>
    <n v="0.97831624472649725"/>
    <n v="0.96480930693869826"/>
    <n v="0.96846638325271828"/>
    <n v="178208.78915199998"/>
    <n v="55945.855248036409"/>
    <n v="0"/>
    <n v="172589.22149388367"/>
    <n v="228535.07674192009"/>
    <n v="0.81619670264971456"/>
    <n v="-51464.923258079914"/>
    <n v="2648638325.9600549"/>
  </r>
  <r>
    <n v="19111044409"/>
    <n v="0.15"/>
    <n v="6393"/>
    <n v="0"/>
    <s v="WA"/>
    <s v="WA"/>
    <n v="3"/>
    <s v="RES"/>
    <n v="73500"/>
    <n v="32300"/>
    <n v="0.15"/>
    <n v="0"/>
    <n v="0"/>
    <n v="0"/>
    <n v="27904.037"/>
    <n v="74398.407600000006"/>
    <n v="21461.101348304932"/>
    <n v="-1.8971199848858813"/>
    <s v="TD"/>
    <n v="1"/>
    <x v="4"/>
    <x v="3"/>
    <n v="0"/>
    <n v="0"/>
    <n v="29"/>
    <n v="103"/>
    <x v="1"/>
    <x v="3"/>
    <n v="925"/>
    <n v="925"/>
    <n v="0"/>
    <n v="0"/>
    <n v="0"/>
    <n v="0"/>
    <n v="0"/>
    <n v="0"/>
    <n v="0"/>
    <n v="5"/>
    <n v="0"/>
    <n v="0"/>
    <s v="CP"/>
    <n v="1"/>
    <s v="ER"/>
    <s v="E"/>
    <n v="0"/>
    <n v="2"/>
    <n v="0"/>
    <n v="0"/>
    <n v="100"/>
    <d v="2022-11-03T00:00:00"/>
    <n v="27000"/>
    <n v="105682"/>
    <n v="132700"/>
    <n v="220000"/>
    <n v="59"/>
    <n v="2180.5852480364101"/>
    <n v="107530.54"/>
    <n v="28034"/>
    <n v="84338"/>
    <n v="-38179.597099999999"/>
    <n v="38665.683575000003"/>
    <n v="0"/>
    <n v="0"/>
    <n v="0"/>
    <n v="0"/>
    <n v="0"/>
    <n v="-4415.7063199999993"/>
    <n v="218153.5054030364"/>
    <n v="0.99160684274107458"/>
    <n v="-1846.4945969636028"/>
    <n v="3409542.296615778"/>
    <n v="0.96155115192232921"/>
    <n v="0.98226356303366236"/>
    <n v="0.97831624472649725"/>
    <n v="0.96050344212265792"/>
    <n v="0.97065860045128671"/>
    <n v="162207.65015500001"/>
    <n v="55945.855248036409"/>
    <n v="0"/>
    <n v="157448.25068194425"/>
    <n v="213394.10592998067"/>
    <n v="0.96997320877263937"/>
    <n v="-6605.8940700193343"/>
    <n v="43637836.464316607"/>
  </r>
  <r>
    <n v="19111433423"/>
    <n v="0.48"/>
    <n v="20983"/>
    <n v="0"/>
    <s v="WA"/>
    <s v="WA"/>
    <n v="3"/>
    <s v="RES"/>
    <n v="203600"/>
    <n v="40100"/>
    <n v="0.48"/>
    <n v="0"/>
    <n v="0"/>
    <n v="0"/>
    <n v="27904.037"/>
    <n v="74398.407600000006"/>
    <n v="53917.704581702616"/>
    <n v="-0.73396917508020043"/>
    <s v="CP"/>
    <n v="1"/>
    <x v="1"/>
    <x v="4"/>
    <n v="0"/>
    <n v="0"/>
    <n v="37"/>
    <n v="37"/>
    <x v="3"/>
    <x v="2"/>
    <n v="1780"/>
    <n v="1780"/>
    <n v="0"/>
    <n v="0"/>
    <n v="0"/>
    <n v="480"/>
    <n v="0"/>
    <n v="0"/>
    <n v="0"/>
    <n v="8"/>
    <n v="0"/>
    <n v="0"/>
    <s v="CL"/>
    <n v="1"/>
    <s v="FD"/>
    <s v="E"/>
    <n v="0"/>
    <n v="3"/>
    <n v="0"/>
    <n v="0"/>
    <n v="100"/>
    <d v="2021-08-30T00:00:00"/>
    <n v="34500"/>
    <n v="261838"/>
    <n v="296300"/>
    <n v="229000"/>
    <n v="489"/>
    <n v="5478.383858810309"/>
    <n v="107530.54"/>
    <n v="50594"/>
    <n v="16276"/>
    <n v="-13715.000900000001"/>
    <n v="74405.315419999999"/>
    <n v="0"/>
    <n v="0"/>
    <n v="17764.200960000002"/>
    <n v="0"/>
    <n v="0"/>
    <n v="-36597.972719999998"/>
    <n v="221735.46661881029"/>
    <n v="0.96827714680703181"/>
    <n v="-7264.5333811897144"/>
    <n v="52773445.246419668"/>
    <n v="1.0201711197799872"/>
    <n v="0.97778961532816355"/>
    <n v="1.0160951472857296"/>
    <n v="0.95398123997023465"/>
    <n v="0.99200928059102877"/>
    <n v="162491.81276"/>
    <n v="59243.653858810307"/>
    <n v="0"/>
    <n v="161193.38627797976"/>
    <n v="220437.04013679008"/>
    <n v="0.96260716216938902"/>
    <n v="-8562.9598632099223"/>
    <n v="73324281.618944094"/>
  </r>
  <r>
    <n v="19111041515"/>
    <n v="0.14000000000000001"/>
    <n v="6244"/>
    <n v="0"/>
    <s v="WA"/>
    <s v="WA"/>
    <n v="3"/>
    <s v="RES"/>
    <n v="185700"/>
    <n v="31900"/>
    <n v="0.14000000000000001"/>
    <n v="0"/>
    <n v="0"/>
    <n v="0"/>
    <n v="27904.037"/>
    <n v="74398.407600000006"/>
    <n v="19535.921709596798"/>
    <n v="-1.9661128563728327"/>
    <s v="TD"/>
    <n v="1"/>
    <x v="5"/>
    <x v="2"/>
    <n v="0"/>
    <n v="0"/>
    <n v="43"/>
    <n v="98"/>
    <x v="1"/>
    <x v="3"/>
    <n v="988"/>
    <n v="988"/>
    <n v="0"/>
    <n v="0"/>
    <n v="0"/>
    <n v="0"/>
    <n v="0"/>
    <n v="0"/>
    <n v="0"/>
    <n v="5"/>
    <n v="0"/>
    <n v="0"/>
    <s v="CP"/>
    <n v="1"/>
    <s v="FD"/>
    <s v="E"/>
    <n v="0"/>
    <n v="2"/>
    <n v="0"/>
    <n v="6700"/>
    <n v="100"/>
    <d v="2021-12-17T00:00:00"/>
    <n v="26900"/>
    <n v="117550"/>
    <n v="144500"/>
    <n v="215000"/>
    <n v="380"/>
    <n v="1984.9746755939761"/>
    <n v="107530.54"/>
    <n v="48043"/>
    <n v="74543"/>
    <n v="-36326.2186"/>
    <n v="41299.130131999998"/>
    <n v="0"/>
    <n v="0"/>
    <n v="0"/>
    <n v="0"/>
    <n v="6299.7728200000001"/>
    <n v="-28440.142399999997"/>
    <n v="214934.05662759399"/>
    <n v="0.99969328663997203"/>
    <n v="-65.943372406007256"/>
    <n v="4348.5283642773593"/>
    <n v="0.94192028401420091"/>
    <n v="0.97615416874759686"/>
    <n v="0.97831624472649725"/>
    <n v="0.96050344212265792"/>
    <n v="0.96422353490273816"/>
    <n v="152884.03913200001"/>
    <n v="55750.244675593975"/>
    <n v="6299.7728200000001"/>
    <n v="147414.38864206561"/>
    <n v="209464.40613765959"/>
    <n v="0.97425305180306787"/>
    <n v="-5535.5938623404072"/>
    <n v="30642799.408780787"/>
  </r>
  <r>
    <n v="19111542402"/>
    <n v="0.37"/>
    <n v="15975"/>
    <n v="0"/>
    <s v="WA"/>
    <s v="WA"/>
    <n v="3"/>
    <s v="RES"/>
    <n v="256900"/>
    <n v="38300"/>
    <n v="0.37"/>
    <n v="0"/>
    <n v="0"/>
    <n v="0"/>
    <n v="27904.037"/>
    <n v="74398.407600000006"/>
    <n v="46654.755377278634"/>
    <n v="-0.9942522733438669"/>
    <s v="RN"/>
    <n v="1"/>
    <x v="3"/>
    <x v="2"/>
    <n v="0"/>
    <n v="0"/>
    <n v="44"/>
    <n v="49"/>
    <x v="4"/>
    <x v="2"/>
    <n v="1976"/>
    <n v="1976"/>
    <n v="0"/>
    <n v="0"/>
    <n v="0"/>
    <n v="352"/>
    <n v="0"/>
    <n v="0"/>
    <n v="690"/>
    <n v="9"/>
    <n v="0"/>
    <n v="0"/>
    <s v="CP"/>
    <n v="1"/>
    <s v="FD"/>
    <s v="G"/>
    <n v="1"/>
    <n v="4"/>
    <n v="0"/>
    <n v="0"/>
    <n v="100"/>
    <d v="2021-04-26T00:00:00"/>
    <n v="32400"/>
    <n v="238959"/>
    <n v="271400"/>
    <n v="285000"/>
    <n v="615"/>
    <n v="4740.4217367659239"/>
    <n v="107530.54"/>
    <n v="50405"/>
    <n v="74543"/>
    <n v="-18163.1093"/>
    <n v="82598.260263999997"/>
    <n v="0"/>
    <n v="0"/>
    <n v="13027.080704"/>
    <n v="29893.54551"/>
    <n v="0"/>
    <n v="-46028.125199999995"/>
    <n v="298546.61371476593"/>
    <n v="1.0475319779465471"/>
    <n v="13546.613714765932"/>
    <n v="183510743.13708445"/>
    <n v="0.94847641831201523"/>
    <n v="0.97615416874759686"/>
    <n v="0.98093895888563587"/>
    <n v="0.95398123997023465"/>
    <n v="0.96488769647887063"/>
    <n v="240040.921978"/>
    <n v="58505.691736765919"/>
    <n v="0"/>
    <n v="231612.53226801672"/>
    <n v="290118.22400478262"/>
    <n v="1.0179586807185355"/>
    <n v="5118.2240047826199"/>
    <n v="26196216.963133041"/>
  </r>
  <r>
    <n v="19111433400"/>
    <n v="0.45"/>
    <n v="19769"/>
    <n v="0"/>
    <s v="WA"/>
    <s v="WA"/>
    <n v="3"/>
    <s v="RES"/>
    <n v="343700"/>
    <n v="39600"/>
    <n v="0.45"/>
    <n v="0"/>
    <n v="0"/>
    <n v="0"/>
    <n v="27904.037"/>
    <n v="74398.407600000006"/>
    <n v="52116.819299954543"/>
    <n v="-0.79850769621777162"/>
    <s v="RN"/>
    <n v="1"/>
    <x v="2"/>
    <x v="3"/>
    <n v="0"/>
    <n v="0"/>
    <n v="44"/>
    <n v="46"/>
    <x v="4"/>
    <x v="4"/>
    <n v="2630"/>
    <n v="2630"/>
    <n v="0"/>
    <n v="0"/>
    <n v="0"/>
    <n v="0"/>
    <n v="0"/>
    <n v="0"/>
    <n v="351"/>
    <n v="12"/>
    <n v="0"/>
    <n v="1"/>
    <s v="CP"/>
    <n v="1"/>
    <s v="FD"/>
    <s v="G"/>
    <n v="1"/>
    <n v="4"/>
    <n v="0"/>
    <n v="28100"/>
    <n v="100"/>
    <d v="2022-11-02T00:00:00"/>
    <n v="33900"/>
    <n v="423761"/>
    <n v="457700"/>
    <n v="405000"/>
    <n v="60"/>
    <n v="5295.4023885189008"/>
    <n v="107530.54"/>
    <n v="92307"/>
    <n v="84338"/>
    <n v="-17051.082200000001"/>
    <n v="109935.94357"/>
    <n v="0"/>
    <n v="0"/>
    <n v="0"/>
    <n v="15206.716629"/>
    <n v="26421.435259999998"/>
    <n v="-4490.5487999999996"/>
    <n v="419493.40684751887"/>
    <n v="1.0357861897469602"/>
    <n v="14493.406847518869"/>
    <n v="210058842.04770684"/>
    <n v="0.96618926383892501"/>
    <n v="0.98226356303366236"/>
    <n v="0.98093895888563587"/>
    <n v="0.99870453700606887"/>
    <n v="0.98202408069107305"/>
    <n v="334011.299199"/>
    <n v="59060.672388518899"/>
    <n v="26421.435259999998"/>
    <n v="328007.13903632894"/>
    <n v="413489.24668484787"/>
    <n v="1.0209611029255503"/>
    <n v="8489.2466848478653"/>
    <n v="72067309.276200473"/>
  </r>
  <r>
    <n v="19111033009"/>
    <n v="0.32"/>
    <n v="13908"/>
    <n v="0"/>
    <s v="WA"/>
    <s v="WA"/>
    <n v="3"/>
    <s v="RES"/>
    <n v="206900"/>
    <n v="37200"/>
    <n v="0.32"/>
    <n v="0"/>
    <n v="0"/>
    <n v="0"/>
    <n v="27904.037"/>
    <n v="74398.407600000006"/>
    <n v="42603.591202843396"/>
    <n v="-1.1394342831883648"/>
    <s v="RN"/>
    <n v="1"/>
    <x v="5"/>
    <x v="2"/>
    <n v="0"/>
    <n v="0"/>
    <n v="45"/>
    <n v="52"/>
    <x v="4"/>
    <x v="1"/>
    <n v="1300"/>
    <n v="1300"/>
    <n v="0"/>
    <n v="0"/>
    <n v="0"/>
    <n v="0"/>
    <n v="0"/>
    <n v="0"/>
    <n v="304"/>
    <n v="8"/>
    <n v="1"/>
    <n v="0"/>
    <s v="CP"/>
    <n v="1"/>
    <s v="BH"/>
    <s v="E"/>
    <n v="0"/>
    <n v="4"/>
    <n v="0"/>
    <n v="0"/>
    <n v="100"/>
    <d v="2020-10-16T00:00:00"/>
    <n v="27500"/>
    <n v="144091"/>
    <n v="171600"/>
    <n v="215000"/>
    <n v="807"/>
    <n v="4328.7975291925868"/>
    <n v="107530.54"/>
    <n v="48043"/>
    <n v="74543"/>
    <n v="-19275.136399999999"/>
    <n v="54340.960700000003"/>
    <n v="0"/>
    <n v="0"/>
    <n v="0"/>
    <n v="13170.489616000001"/>
    <n v="0"/>
    <n v="-60397.881359999999"/>
    <n v="222283.77008519258"/>
    <n v="1.0338780003962444"/>
    <n v="7283.7700851925765"/>
    <n v="53053306.653946273"/>
    <n v="0.94192028401420091"/>
    <n v="0.97615416874759686"/>
    <n v="0.98093895888563587"/>
    <n v="0.96480930693869826"/>
    <n v="0.96595567964653295"/>
    <n v="164189.702556"/>
    <n v="58094.067529192587"/>
    <n v="0"/>
    <n v="158599.97572344306"/>
    <n v="216694.04325263563"/>
    <n v="1.0078792709424913"/>
    <n v="1694.0432526356308"/>
    <n v="2869782.5418003076"/>
  </r>
  <r>
    <n v="19111513532"/>
    <n v="0.11"/>
    <n v="4961"/>
    <n v="0"/>
    <s v="WA"/>
    <s v="WA"/>
    <n v="3"/>
    <s v="RES"/>
    <n v="157500"/>
    <n v="30200"/>
    <n v="0.11"/>
    <n v="0"/>
    <n v="0"/>
    <n v="0"/>
    <n v="27904.037"/>
    <n v="74398.407600000006"/>
    <n v="12806.526753182254"/>
    <n v="-2.2072749131897207"/>
    <s v="RN"/>
    <n v="1"/>
    <x v="3"/>
    <x v="1"/>
    <n v="0"/>
    <n v="0"/>
    <n v="48"/>
    <n v="63"/>
    <x v="5"/>
    <x v="1"/>
    <n v="1008"/>
    <n v="1008"/>
    <n v="0"/>
    <n v="0"/>
    <n v="0"/>
    <n v="336"/>
    <n v="0"/>
    <n v="0"/>
    <n v="168"/>
    <n v="5"/>
    <n v="0"/>
    <n v="0"/>
    <s v="CP"/>
    <n v="1"/>
    <s v="FD"/>
    <s v="G"/>
    <n v="1"/>
    <n v="3"/>
    <n v="0"/>
    <n v="2200"/>
    <n v="100"/>
    <d v="2021-10-20T00:00:00"/>
    <n v="25600"/>
    <n v="119827"/>
    <n v="145400"/>
    <n v="227000"/>
    <n v="438"/>
    <n v="1301.2250798945374"/>
    <n v="107530.54"/>
    <n v="50405"/>
    <n v="52231"/>
    <n v="-23352.569100000001"/>
    <n v="42135.144912000003"/>
    <n v="0"/>
    <n v="0"/>
    <n v="12434.940672000001"/>
    <n v="7278.4284720000005"/>
    <n v="2068.58212"/>
    <n v="-32781.006239999995"/>
    <n v="219251.28591589455"/>
    <n v="0.96586469566473365"/>
    <n v="-7748.7140841054497"/>
    <n v="60042569.957214162"/>
    <n v="0.94847641831201523"/>
    <n v="0.94468981870133262"/>
    <n v="0.96964880351953875"/>
    <n v="0.96480930693869826"/>
    <n v="0.95690608686789624"/>
    <n v="162116.20871600002"/>
    <n v="55066.495079894536"/>
    <n v="2068.58212"/>
    <n v="155129.98690028672"/>
    <n v="212265.06410018128"/>
    <n v="0.93508838810652539"/>
    <n v="-14734.935899818724"/>
    <n v="217118335.97176662"/>
  </r>
  <r>
    <n v="19111034414"/>
    <n v="0.56999999999999995"/>
    <n v="24908"/>
    <n v="0"/>
    <s v="WA"/>
    <s v="WA"/>
    <n v="3"/>
    <s v="RES"/>
    <n v="259300"/>
    <n v="41300"/>
    <n v="0.56999999999999995"/>
    <n v="0"/>
    <n v="0"/>
    <n v="0"/>
    <n v="27904.037"/>
    <n v="74398.407600000006"/>
    <n v="58713.020509443617"/>
    <n v="-0.56211891815354131"/>
    <s v="TD"/>
    <n v="1"/>
    <x v="2"/>
    <x v="1"/>
    <n v="0"/>
    <n v="0"/>
    <n v="49"/>
    <n v="67"/>
    <x v="6"/>
    <x v="4"/>
    <n v="2976"/>
    <n v="1986"/>
    <n v="0"/>
    <n v="990"/>
    <n v="0"/>
    <n v="0"/>
    <n v="0"/>
    <n v="0"/>
    <n v="410"/>
    <n v="6"/>
    <n v="0"/>
    <n v="2"/>
    <s v="CP"/>
    <n v="1"/>
    <s v="FD"/>
    <s v="O"/>
    <n v="1"/>
    <n v="3"/>
    <n v="0"/>
    <n v="14200"/>
    <n v="100"/>
    <d v="2021-11-19T00:00:00"/>
    <n v="31100"/>
    <n v="376749"/>
    <n v="407800"/>
    <n v="340000"/>
    <n v="408"/>
    <n v="5965.6186470907323"/>
    <n v="107530.54"/>
    <n v="92307"/>
    <n v="52231"/>
    <n v="-24835.2719"/>
    <n v="83016.267653999996"/>
    <n v="0"/>
    <n v="24123.0726"/>
    <n v="0"/>
    <n v="17762.831389999999"/>
    <n v="13351.757320000001"/>
    <n v="-30535.731839999997"/>
    <n v="340917.08387109067"/>
    <n v="1.0026973055032078"/>
    <n v="917.08387109066825"/>
    <n v="841042.82661464543"/>
    <n v="0.96618926383892501"/>
    <n v="0.94468981870133262"/>
    <n v="0.93634142074491855"/>
    <n v="0.99870453700606887"/>
    <n v="0.96148126007281132"/>
    <n v="267834.43790400005"/>
    <n v="59730.888647090731"/>
    <n v="13351.757320000001"/>
    <n v="257517.79284683111"/>
    <n v="330600.43881392188"/>
    <n v="0.97235423180565261"/>
    <n v="-9399.561186078121"/>
    <n v="88351750.490826339"/>
  </r>
  <r>
    <n v="19111513486"/>
    <n v="0.14000000000000001"/>
    <n v="6309"/>
    <n v="0"/>
    <s v="WA"/>
    <s v="WA"/>
    <n v="3"/>
    <s v="RES"/>
    <n v="227100"/>
    <n v="31900"/>
    <n v="0.14000000000000001"/>
    <n v="0"/>
    <n v="0"/>
    <n v="0"/>
    <n v="27904.037"/>
    <n v="74398.407600000006"/>
    <n v="19535.921709596798"/>
    <n v="-1.9661128563728327"/>
    <s v="TD"/>
    <n v="1"/>
    <x v="3"/>
    <x v="1"/>
    <n v="0"/>
    <n v="0"/>
    <n v="50"/>
    <n v="73"/>
    <x v="6"/>
    <x v="4"/>
    <n v="2708"/>
    <n v="1508"/>
    <n v="0"/>
    <n v="1200"/>
    <n v="0"/>
    <n v="0"/>
    <n v="0"/>
    <n v="0"/>
    <n v="0"/>
    <n v="8"/>
    <n v="0"/>
    <n v="1"/>
    <s v="CP"/>
    <n v="1"/>
    <s v="HP"/>
    <s v="E"/>
    <n v="1"/>
    <n v="3"/>
    <n v="0"/>
    <n v="10900"/>
    <n v="100"/>
    <d v="2021-11-09T00:00:00"/>
    <n v="26900"/>
    <n v="227127"/>
    <n v="254000"/>
    <n v="280000"/>
    <n v="418"/>
    <n v="1984.9746755939761"/>
    <n v="107530.54"/>
    <n v="50405"/>
    <n v="52231"/>
    <n v="-27059.326100000002"/>
    <n v="63035.514411999997"/>
    <n v="0"/>
    <n v="29240.088"/>
    <n v="0"/>
    <n v="0"/>
    <n v="10248.88414"/>
    <n v="-31284.156639999997"/>
    <n v="256332.51848759392"/>
    <n v="0.91547328031283537"/>
    <n v="-23667.481512406084"/>
    <n v="560149681.14008379"/>
    <n v="0.94847641831201523"/>
    <n v="0.94468981870133262"/>
    <n v="0.93634142074491855"/>
    <n v="0.99870453700606887"/>
    <n v="0.95705304869108387"/>
    <n v="190333.38967199996"/>
    <n v="55750.244675593975"/>
    <n v="10248.88414"/>
    <n v="182159.15085329561"/>
    <n v="248158.27966888959"/>
    <n v="0.88627957024603421"/>
    <n v="-31841.720331110409"/>
    <n v="1013895153.64465"/>
  </r>
  <r>
    <n v="19111511546"/>
    <n v="0.08"/>
    <n v="3288"/>
    <n v="0"/>
    <s v="WA"/>
    <s v="WA"/>
    <n v="3"/>
    <s v="RES"/>
    <n v="144300"/>
    <n v="27900"/>
    <n v="0.08"/>
    <n v="0"/>
    <n v="0"/>
    <n v="0"/>
    <n v="27904.037"/>
    <n v="74398.407600000006"/>
    <n v="3920.3820572625991"/>
    <n v="-2.5257286443082556"/>
    <s v="CO"/>
    <n v="2"/>
    <x v="5"/>
    <x v="1"/>
    <n v="0"/>
    <n v="0"/>
    <n v="50"/>
    <n v="73"/>
    <x v="6"/>
    <x v="1"/>
    <n v="1050"/>
    <n v="810"/>
    <n v="240"/>
    <n v="0"/>
    <n v="0"/>
    <n v="0"/>
    <n v="0"/>
    <n v="0"/>
    <n v="0"/>
    <n v="5"/>
    <n v="0"/>
    <n v="0"/>
    <s v="CP"/>
    <n v="1"/>
    <s v="FD"/>
    <s v="G"/>
    <n v="1"/>
    <n v="3"/>
    <n v="0"/>
    <n v="4400"/>
    <n v="100"/>
    <d v="2022-01-25T00:00:00"/>
    <n v="23400"/>
    <n v="98246"/>
    <n v="121600"/>
    <n v="170000"/>
    <n v="341"/>
    <n v="398.33590746304657"/>
    <n v="107530.54"/>
    <n v="48043"/>
    <n v="52231"/>
    <n v="-27059.326100000002"/>
    <n v="33858.598590000001"/>
    <n v="11904.273360000001"/>
    <n v="0"/>
    <n v="0"/>
    <n v="0"/>
    <n v="4137.1642400000001"/>
    <n v="-25521.285679999997"/>
    <n v="205522.30031746303"/>
    <n v="1.2089547077497824"/>
    <n v="35522.300317463028"/>
    <n v="1261833819.844034"/>
    <n v="0.94192028401420091"/>
    <n v="0.94468981870133262"/>
    <n v="0.93634142074491855"/>
    <n v="0.96480930693869826"/>
    <n v="0.94694020759978759"/>
    <n v="147221.53016999998"/>
    <n v="54163.605907463047"/>
    <n v="4137.1642400000001"/>
    <n v="139409.98634233818"/>
    <n v="197710.75648980122"/>
    <n v="1.1630044499400072"/>
    <n v="27710.756489801221"/>
    <n v="767886025.23706043"/>
  </r>
  <r>
    <n v="19112214436"/>
    <n v="0.18"/>
    <n v="7872"/>
    <n v="0"/>
    <s v="WA"/>
    <s v="WA"/>
    <n v="3"/>
    <s v="RES"/>
    <n v="128900"/>
    <n v="33700"/>
    <n v="0.18"/>
    <n v="0"/>
    <n v="0"/>
    <n v="0"/>
    <n v="27904.037"/>
    <n v="74398.407600000006"/>
    <n v="26548.608814981046"/>
    <n v="-1.7147984280919266"/>
    <s v="TD"/>
    <n v="1"/>
    <x v="6"/>
    <x v="1"/>
    <n v="0"/>
    <n v="0"/>
    <n v="50"/>
    <n v="73"/>
    <x v="6"/>
    <x v="3"/>
    <n v="864"/>
    <n v="864"/>
    <n v="0"/>
    <n v="0"/>
    <n v="0"/>
    <n v="0"/>
    <n v="0"/>
    <n v="0"/>
    <n v="0"/>
    <n v="5"/>
    <n v="1"/>
    <n v="0"/>
    <s v="CP"/>
    <n v="1"/>
    <s v="ER"/>
    <s v="E"/>
    <n v="0"/>
    <n v="3"/>
    <n v="0"/>
    <n v="4800"/>
    <n v="100"/>
    <d v="2020-09-28T00:00:00"/>
    <n v="24600"/>
    <n v="79826"/>
    <n v="104400"/>
    <n v="138800"/>
    <n v="825"/>
    <n v="2697.5085666984901"/>
    <n v="107530.54"/>
    <n v="23424"/>
    <n v="52231"/>
    <n v="-27059.326100000002"/>
    <n v="36115.838495999997"/>
    <n v="0"/>
    <n v="0"/>
    <n v="0"/>
    <n v="0"/>
    <n v="4513.2700800000002"/>
    <n v="-61745.045999999995"/>
    <n v="137707.78504269847"/>
    <n v="0.99213101615776988"/>
    <n v="-1092.214957301534"/>
    <n v="1192933.5129531918"/>
    <n v="0.9679290033374609"/>
    <n v="0.94468981870133262"/>
    <n v="0.93634142074491855"/>
    <n v="0.96050344212265792"/>
    <n v="0.95236592122659247"/>
    <n v="76731.736395999993"/>
    <n v="56462.778566698486"/>
    <n v="4513.2700800000002"/>
    <n v="73076.690820092583"/>
    <n v="134052.73946679107"/>
    <n v="0.9657978347751518"/>
    <n v="-4747.2605332089297"/>
    <n v="22536482.570163131"/>
  </r>
  <r>
    <n v="19111133543"/>
    <n v="0.36"/>
    <n v="15546"/>
    <n v="0"/>
    <s v="WA"/>
    <s v="WA"/>
    <n v="3"/>
    <s v="RES"/>
    <n v="217000"/>
    <n v="38700"/>
    <n v="0.36"/>
    <n v="0"/>
    <n v="0"/>
    <n v="0"/>
    <n v="27904.037"/>
    <n v="74398.407600000006"/>
    <n v="45890.213387771437"/>
    <n v="-1.0216512475319814"/>
    <s v="TD"/>
    <n v="1"/>
    <x v="5"/>
    <x v="1"/>
    <n v="0"/>
    <n v="0"/>
    <n v="50"/>
    <n v="73"/>
    <x v="6"/>
    <x v="1"/>
    <n v="1448"/>
    <n v="1448"/>
    <n v="0"/>
    <n v="0"/>
    <n v="0"/>
    <n v="0"/>
    <n v="0"/>
    <n v="0"/>
    <n v="608"/>
    <n v="5"/>
    <n v="1"/>
    <n v="0"/>
    <s v="SH"/>
    <n v="1"/>
    <s v="FD"/>
    <s v="G"/>
    <n v="1"/>
    <n v="3"/>
    <n v="0"/>
    <n v="10400"/>
    <n v="100"/>
    <d v="2020-01-20T00:00:00"/>
    <n v="32900"/>
    <n v="165426"/>
    <n v="198300"/>
    <n v="210000"/>
    <n v="1077"/>
    <n v="4662.7393775632599"/>
    <n v="107530.54"/>
    <n v="48043"/>
    <n v="52231"/>
    <n v="-27059.326100000002"/>
    <n v="60527.470072000004"/>
    <n v="0"/>
    <n v="0"/>
    <n v="0"/>
    <n v="26340.979232000002"/>
    <n v="9778.7518400000008"/>
    <n v="-80605.350959999996"/>
    <n v="201449.80346156325"/>
    <n v="0.95928477838839643"/>
    <n v="-8550.1965384367504"/>
    <n v="73105860.845895782"/>
    <n v="0.94192028401420091"/>
    <n v="0.94468981870133262"/>
    <n v="0.93634142074491855"/>
    <n v="0.96480930693869826"/>
    <n v="0.94694020759978759"/>
    <n v="133243.04224400001"/>
    <n v="58428.009377563256"/>
    <n v="9778.7518400000008"/>
    <n v="126173.19408376064"/>
    <n v="194379.95530132391"/>
    <n v="0.92561883476820905"/>
    <n v="-15620.044698676094"/>
    <n v="243985796.38863915"/>
  </r>
  <r>
    <n v="19111521402"/>
    <n v="0.21"/>
    <n v="9100"/>
    <n v="0"/>
    <s v="WA"/>
    <s v="WA"/>
    <n v="3"/>
    <s v="RES"/>
    <n v="112800"/>
    <n v="34300"/>
    <n v="0.21"/>
    <n v="0"/>
    <n v="0"/>
    <n v="0"/>
    <n v="27904.037"/>
    <n v="74398.407600000006"/>
    <n v="30850.035088456018"/>
    <n v="-1.5606477482646683"/>
    <s v="TD"/>
    <n v="1"/>
    <x v="4"/>
    <x v="1"/>
    <n v="0"/>
    <n v="0"/>
    <n v="50"/>
    <n v="73"/>
    <x v="6"/>
    <x v="3"/>
    <n v="808"/>
    <n v="808"/>
    <n v="0"/>
    <n v="0"/>
    <n v="0"/>
    <n v="0"/>
    <n v="0"/>
    <n v="0"/>
    <n v="0"/>
    <n v="5"/>
    <n v="0"/>
    <n v="1"/>
    <s v="CP"/>
    <n v="1"/>
    <s v="ER"/>
    <s v="E"/>
    <n v="0"/>
    <n v="2"/>
    <n v="0"/>
    <n v="0"/>
    <n v="100"/>
    <d v="2020-02-28T00:00:00"/>
    <n v="28600"/>
    <n v="73911"/>
    <n v="102500"/>
    <n v="149900"/>
    <n v="1038"/>
    <n v="3134.5610052116976"/>
    <n v="107530.54"/>
    <n v="28034"/>
    <n v="52231"/>
    <n v="-27059.326100000002"/>
    <n v="33774.997111999997"/>
    <n v="0"/>
    <n v="0"/>
    <n v="0"/>
    <n v="0"/>
    <n v="0"/>
    <n v="-77686.49424"/>
    <n v="119959.27777721171"/>
    <n v="0.80026202653243306"/>
    <n v="-29940.722222788288"/>
    <n v="896446847.22216845"/>
    <n v="0.96155115192232921"/>
    <n v="0.94468981870133262"/>
    <n v="0.93634142074491855"/>
    <n v="0.96050344212265792"/>
    <n v="0.95077145837280952"/>
    <n v="63059.446771999988"/>
    <n v="56899.831005211694"/>
    <n v="0"/>
    <n v="59955.122171596988"/>
    <n v="116854.95317680869"/>
    <n v="0.77955272299405398"/>
    <n v="-33045.046823191311"/>
    <n v="1091975119.5469062"/>
  </r>
  <r>
    <n v="19111513463"/>
    <n v="0.12"/>
    <n v="5341"/>
    <n v="0"/>
    <s v="WA"/>
    <s v="WA"/>
    <n v="3"/>
    <s v="RES"/>
    <n v="177000"/>
    <n v="30800"/>
    <n v="0.12"/>
    <n v="0"/>
    <n v="0"/>
    <n v="0"/>
    <n v="27904.037"/>
    <n v="74398.407600000006"/>
    <n v="15234.495436121826"/>
    <n v="-2.120263536200091"/>
    <s v="TD"/>
    <n v="1"/>
    <x v="3"/>
    <x v="1"/>
    <n v="0"/>
    <n v="0"/>
    <n v="50"/>
    <n v="73"/>
    <x v="6"/>
    <x v="1"/>
    <n v="1436"/>
    <n v="1436"/>
    <n v="0"/>
    <n v="0"/>
    <n v="0"/>
    <n v="0"/>
    <n v="0"/>
    <n v="0"/>
    <n v="0"/>
    <n v="8"/>
    <n v="0"/>
    <n v="0"/>
    <s v="CP"/>
    <n v="1"/>
    <s v="FD"/>
    <s v="E"/>
    <n v="0"/>
    <n v="2"/>
    <n v="0"/>
    <n v="4900"/>
    <n v="100"/>
    <d v="2021-04-05T00:00:00"/>
    <n v="25900"/>
    <n v="144190"/>
    <n v="170100"/>
    <n v="207500"/>
    <n v="636"/>
    <n v="1547.9222370807688"/>
    <n v="107530.54"/>
    <n v="50405"/>
    <n v="52231"/>
    <n v="-27059.326100000002"/>
    <n v="60025.861204000001"/>
    <n v="0"/>
    <n v="0"/>
    <n v="0"/>
    <n v="0"/>
    <n v="4607.2965400000003"/>
    <n v="-47599.817279999996"/>
    <n v="201688.47660108077"/>
    <n v="0.97199265831846149"/>
    <n v="-5811.5233989192348"/>
    <n v="33773804.216185778"/>
    <n v="0.94847641831201523"/>
    <n v="0.94468981870133262"/>
    <n v="0.93634142074491855"/>
    <n v="0.96480930693869826"/>
    <n v="0.94857924117424119"/>
    <n v="141767.98782400001"/>
    <n v="55313.192237080766"/>
    <n v="4607.2965400000003"/>
    <n v="134478.17031288901"/>
    <n v="194398.65908996979"/>
    <n v="0.93686100766250502"/>
    <n v="-13101.340910030209"/>
    <n v="171645133.64083117"/>
  </r>
  <r>
    <n v="19111514574"/>
    <n v="0.11"/>
    <n v="4619"/>
    <n v="0"/>
    <s v="WA"/>
    <s v="WA"/>
    <n v="3"/>
    <s v="RES"/>
    <n v="169400"/>
    <n v="30200"/>
    <n v="0.11"/>
    <n v="0"/>
    <n v="0"/>
    <n v="0"/>
    <n v="27904.037"/>
    <n v="74398.407600000006"/>
    <n v="12806.526753182254"/>
    <n v="-2.2072749131897207"/>
    <s v="TD"/>
    <n v="1"/>
    <x v="4"/>
    <x v="1"/>
    <n v="0"/>
    <n v="0"/>
    <n v="50"/>
    <n v="98"/>
    <x v="1"/>
    <x v="1"/>
    <n v="1104"/>
    <n v="1104"/>
    <n v="0"/>
    <n v="0"/>
    <n v="0"/>
    <n v="1092"/>
    <n v="0"/>
    <n v="184"/>
    <n v="0"/>
    <n v="5"/>
    <n v="0"/>
    <n v="0"/>
    <s v="CP"/>
    <n v="1"/>
    <s v="ER"/>
    <s v="E"/>
    <n v="0"/>
    <n v="3"/>
    <n v="0"/>
    <n v="0"/>
    <n v="100"/>
    <d v="2020-12-04T00:00:00"/>
    <n v="25200"/>
    <n v="119694"/>
    <n v="144900"/>
    <n v="190000"/>
    <n v="758"/>
    <n v="1301.2250798945374"/>
    <n v="107530.54"/>
    <n v="28034"/>
    <n v="52231"/>
    <n v="-36326.2186"/>
    <n v="46148.015855999998"/>
    <n v="0"/>
    <n v="0"/>
    <n v="40413.557184000005"/>
    <n v="0"/>
    <n v="0"/>
    <n v="-56730.599839999995"/>
    <n v="182601.5196798945"/>
    <n v="0.96106062989418151"/>
    <n v="-7398.4803201055038"/>
    <n v="54737511.046988435"/>
    <n v="0.96155115192232921"/>
    <n v="0.94468981870133262"/>
    <n v="0.97831624472649725"/>
    <n v="0.96480930693869826"/>
    <n v="0.96234163057221433"/>
    <n v="127535.0246"/>
    <n v="55066.495079894536"/>
    <n v="0"/>
    <n v="122732.26352863148"/>
    <n v="177798.75860852603"/>
    <n v="0.93578294004487383"/>
    <n v="-12201.241391473974"/>
    <n v="148870291.49301776"/>
  </r>
  <r>
    <n v="19111521432"/>
    <n v="0.21"/>
    <n v="9253"/>
    <n v="0"/>
    <s v="WA"/>
    <s v="WA"/>
    <n v="3"/>
    <s v="RES"/>
    <n v="131400"/>
    <n v="34300"/>
    <n v="0.21"/>
    <n v="0"/>
    <n v="0"/>
    <n v="0"/>
    <n v="27904.037"/>
    <n v="74398.407600000006"/>
    <n v="30850.035088456018"/>
    <n v="-1.5606477482646683"/>
    <s v="TD"/>
    <n v="1"/>
    <x v="5"/>
    <x v="1"/>
    <n v="0"/>
    <n v="0"/>
    <n v="50"/>
    <n v="73"/>
    <x v="6"/>
    <x v="3"/>
    <n v="788"/>
    <n v="788"/>
    <n v="0"/>
    <n v="0"/>
    <n v="0"/>
    <n v="0"/>
    <n v="736"/>
    <n v="0"/>
    <n v="352"/>
    <n v="7"/>
    <n v="0"/>
    <n v="0"/>
    <s v="CP"/>
    <n v="0"/>
    <s v="SP"/>
    <s v="G"/>
    <n v="0"/>
    <n v="2"/>
    <n v="0"/>
    <n v="5300"/>
    <n v="100"/>
    <d v="2021-02-04T00:00:00"/>
    <n v="28700"/>
    <n v="96407"/>
    <n v="125100"/>
    <n v="187000"/>
    <n v="696"/>
    <n v="3134.5610052116976"/>
    <n v="107530.54"/>
    <n v="48043"/>
    <n v="52231"/>
    <n v="-27059.326100000002"/>
    <n v="32938.982332"/>
    <n v="0"/>
    <n v="0"/>
    <n v="0"/>
    <n v="15250.040608000001"/>
    <n v="4983.4023800000004"/>
    <n v="-52090.36608"/>
    <n v="184961.8341452117"/>
    <n v="0.98910071735407323"/>
    <n v="-2038.165854788298"/>
    <n v="4154120.0516249137"/>
    <n v="0.94192028401420091"/>
    <n v="0.94468981870133262"/>
    <n v="0.93634142074491855"/>
    <n v="0.96050344212265792"/>
    <n v="0.94586374139577756"/>
    <n v="123078.60075999999"/>
    <n v="56899.831005211694"/>
    <n v="4983.4023800000004"/>
    <n v="116415.58580061077"/>
    <n v="178298.81918582247"/>
    <n v="0.9534696213145587"/>
    <n v="-8701.1808141775255"/>
    <n v="75710547.561011061"/>
  </r>
  <r>
    <n v="19111521407"/>
    <n v="0.2"/>
    <n v="8750"/>
    <n v="0"/>
    <s v="WA"/>
    <s v="WA"/>
    <n v="3"/>
    <s v="RES"/>
    <n v="148800"/>
    <n v="33900"/>
    <n v="0.2"/>
    <n v="0"/>
    <n v="0"/>
    <n v="0"/>
    <n v="27904.037"/>
    <n v="74398.407600000006"/>
    <n v="29488.592542236111"/>
    <n v="-1.6094379124341003"/>
    <s v="TD"/>
    <n v="1"/>
    <x v="4"/>
    <x v="2"/>
    <n v="0"/>
    <n v="0"/>
    <n v="50"/>
    <n v="73"/>
    <x v="6"/>
    <x v="3"/>
    <n v="772"/>
    <n v="772"/>
    <n v="0"/>
    <n v="0"/>
    <n v="0"/>
    <n v="0"/>
    <n v="264"/>
    <n v="0"/>
    <n v="216"/>
    <n v="5"/>
    <n v="0"/>
    <n v="1"/>
    <s v="CP"/>
    <n v="1"/>
    <s v="ER"/>
    <s v="E"/>
    <n v="0"/>
    <n v="2"/>
    <n v="0"/>
    <n v="3200"/>
    <n v="100"/>
    <d v="2020-01-10T00:00:00"/>
    <n v="28400"/>
    <n v="90538"/>
    <n v="118900"/>
    <n v="130000"/>
    <n v="1087"/>
    <n v="2996.2297292834592"/>
    <n v="107530.54"/>
    <n v="28034"/>
    <n v="74543"/>
    <n v="-27059.326100000002"/>
    <n v="32270.170507999999"/>
    <n v="0"/>
    <n v="0"/>
    <n v="0"/>
    <n v="9357.979464"/>
    <n v="3008.84672"/>
    <n v="-81353.77575999999"/>
    <n v="149327.66456128348"/>
    <n v="1.1486743427791037"/>
    <n v="19327.664561283484"/>
    <n v="373558617.39349347"/>
    <n v="0.96155115192232921"/>
    <n v="0.97615416874759686"/>
    <n v="0.93634142074491855"/>
    <n v="0.96050344212265792"/>
    <n v="0.95863754588437566"/>
    <n v="89557.318112000008"/>
    <n v="56761.49972928346"/>
    <n v="3008.84672"/>
    <n v="85853.007650874031"/>
    <n v="145623.35410015751"/>
    <n v="1.1201796469242886"/>
    <n v="15623.354100157507"/>
    <n v="244089193.33890837"/>
  </r>
  <r>
    <n v="19111514442"/>
    <n v="0.12"/>
    <n v="5407"/>
    <n v="0"/>
    <s v="WA"/>
    <s v="WA"/>
    <n v="3"/>
    <s v="RES"/>
    <n v="166300"/>
    <n v="30800"/>
    <n v="0.12"/>
    <n v="0"/>
    <n v="0"/>
    <n v="0"/>
    <n v="27904.037"/>
    <n v="74398.407600000006"/>
    <n v="15234.495436121826"/>
    <n v="-2.120263536200091"/>
    <s v="TD"/>
    <n v="1"/>
    <x v="3"/>
    <x v="1"/>
    <n v="0"/>
    <n v="0"/>
    <n v="51"/>
    <n v="83"/>
    <x v="7"/>
    <x v="0"/>
    <n v="2089"/>
    <n v="1297"/>
    <n v="0"/>
    <n v="792"/>
    <n v="352"/>
    <n v="0"/>
    <n v="0"/>
    <n v="0"/>
    <n v="0"/>
    <n v="7"/>
    <n v="0"/>
    <n v="0"/>
    <s v="CP"/>
    <n v="1"/>
    <s v="FD"/>
    <s v="O"/>
    <n v="1"/>
    <n v="3"/>
    <n v="0"/>
    <n v="11000"/>
    <n v="100"/>
    <d v="2021-02-05T00:00:00"/>
    <n v="26000"/>
    <n v="186489"/>
    <n v="212500"/>
    <n v="220000"/>
    <n v="695"/>
    <n v="1547.9222370807688"/>
    <n v="107530.54"/>
    <n v="50405"/>
    <n v="52231"/>
    <n v="-30766.0831"/>
    <n v="54215.558483000001"/>
    <n v="0"/>
    <n v="19298.45808"/>
    <n v="0"/>
    <n v="0"/>
    <n v="10342.910599999999"/>
    <n v="-52015.523599999993"/>
    <n v="212789.7827000808"/>
    <n v="0.96722628500036734"/>
    <n v="-7210.2172999191971"/>
    <n v="51987233.512054078"/>
    <n v="0.94847641831201523"/>
    <n v="0.94468981870133262"/>
    <n v="0.9424919527838882"/>
    <n v="0.9464590159154872"/>
    <n v="0.94552930142818081"/>
    <n v="147133.679863"/>
    <n v="55313.192237080766"/>
    <n v="10342.910599999999"/>
    <n v="139119.20553741997"/>
    <n v="204775.30837450075"/>
    <n v="0.93079685624773068"/>
    <n v="-15224.691625499254"/>
    <n v="231791235.0915471"/>
  </r>
  <r>
    <n v="19110944415"/>
    <n v="0.66"/>
    <n v="28564"/>
    <n v="0"/>
    <s v="WA"/>
    <s v="WA"/>
    <n v="3"/>
    <s v="RES"/>
    <n v="141300"/>
    <n v="42300"/>
    <n v="0.66"/>
    <n v="0"/>
    <n v="0"/>
    <n v="0"/>
    <n v="27904.037"/>
    <n v="74398.407600000006"/>
    <n v="62803.849277622256"/>
    <n v="-0.41551544396166579"/>
    <s v="TD"/>
    <n v="1"/>
    <x v="3"/>
    <x v="1"/>
    <n v="0"/>
    <n v="0"/>
    <n v="51"/>
    <n v="83"/>
    <x v="7"/>
    <x v="2"/>
    <n v="1562"/>
    <n v="1562"/>
    <n v="0"/>
    <n v="0"/>
    <n v="0"/>
    <n v="518"/>
    <n v="176"/>
    <n v="0"/>
    <n v="0"/>
    <n v="6"/>
    <n v="1"/>
    <n v="0"/>
    <s v="TG"/>
    <n v="1"/>
    <s v="BH"/>
    <s v="E"/>
    <n v="0"/>
    <n v="3"/>
    <n v="0"/>
    <n v="0"/>
    <n v="100"/>
    <d v="2021-02-18T00:00:00"/>
    <n v="32100"/>
    <n v="173371"/>
    <n v="205500"/>
    <n v="183000"/>
    <n v="682"/>
    <n v="6381.273031241798"/>
    <n v="107530.54"/>
    <n v="50405"/>
    <n v="52231"/>
    <n v="-30766.0831"/>
    <n v="65292.754317999999"/>
    <n v="0"/>
    <n v="0"/>
    <n v="19170.533535999999"/>
    <n v="0"/>
    <n v="0"/>
    <n v="-51042.571359999994"/>
    <n v="219202.44642524177"/>
    <n v="1.1978275760942174"/>
    <n v="36202.446425241767"/>
    <n v="1310617127.1725004"/>
    <n v="0.94847641831201523"/>
    <n v="0.94468981870133262"/>
    <n v="0.9424919527838882"/>
    <n v="0.95398123997023465"/>
    <n v="0.94740985744186768"/>
    <n v="159055.90339399999"/>
    <n v="60146.543031241796"/>
    <n v="0"/>
    <n v="150691.130759797"/>
    <n v="210837.6737910388"/>
    <n v="1.1521184360166055"/>
    <n v="27837.673791038804"/>
    <n v="774936082.09628868"/>
  </r>
  <r>
    <n v="19111512014"/>
    <n v="0.14000000000000001"/>
    <n v="6248"/>
    <n v="0"/>
    <s v="WA"/>
    <s v="WA"/>
    <n v="3"/>
    <s v="RES"/>
    <n v="97300"/>
    <n v="31900"/>
    <n v="0.14000000000000001"/>
    <n v="0"/>
    <n v="0"/>
    <n v="0"/>
    <n v="27904.037"/>
    <n v="74398.407600000006"/>
    <n v="19535.921709596798"/>
    <n v="-1.9661128563728327"/>
    <s v="TD"/>
    <n v="1"/>
    <x v="4"/>
    <x v="1"/>
    <n v="0"/>
    <n v="0"/>
    <n v="51"/>
    <n v="78"/>
    <x v="7"/>
    <x v="3"/>
    <n v="720"/>
    <n v="720"/>
    <n v="0"/>
    <n v="0"/>
    <n v="0"/>
    <n v="0"/>
    <n v="0"/>
    <n v="0"/>
    <n v="0"/>
    <n v="5"/>
    <n v="0"/>
    <n v="0"/>
    <s v="CP"/>
    <n v="1"/>
    <s v="FD"/>
    <s v="G"/>
    <n v="0"/>
    <n v="3"/>
    <n v="0"/>
    <n v="0"/>
    <n v="100"/>
    <d v="2021-06-07T00:00:00"/>
    <n v="26900"/>
    <n v="66052"/>
    <n v="93000"/>
    <n v="150000"/>
    <n v="573"/>
    <n v="1984.9746755939761"/>
    <n v="107530.54"/>
    <n v="28034"/>
    <n v="52231"/>
    <n v="-28912.704600000001"/>
    <n v="30096.532080000001"/>
    <n v="0"/>
    <n v="0"/>
    <n v="0"/>
    <n v="0"/>
    <n v="0"/>
    <n v="-42884.741039999994"/>
    <n v="148079.60111559398"/>
    <n v="0.98719734077062649"/>
    <n v="-1920.3988844060223"/>
    <n v="3687931.8752278946"/>
    <n v="0.96155115192232921"/>
    <n v="0.94468981870133262"/>
    <n v="0.9424919527838882"/>
    <n v="0.96050344212265792"/>
    <n v="0.95230909138255204"/>
    <n v="92329.356440000003"/>
    <n v="55750.244675593975"/>
    <n v="0"/>
    <n v="87926.085539312189"/>
    <n v="143676.33021490616"/>
    <n v="0.95784220143270771"/>
    <n v="-6323.6697850938363"/>
    <n v="39988799.550908722"/>
  </r>
  <r>
    <n v="19111041469"/>
    <n v="0.14000000000000001"/>
    <n v="6250"/>
    <n v="0"/>
    <s v="WA"/>
    <s v="WA"/>
    <n v="3"/>
    <s v="RES"/>
    <n v="45400"/>
    <n v="31900"/>
    <n v="0.14000000000000001"/>
    <n v="0"/>
    <n v="0"/>
    <n v="0"/>
    <n v="27904.037"/>
    <n v="74398.407600000006"/>
    <n v="19535.921709596798"/>
    <n v="-1.9661128563728327"/>
    <s v="TD"/>
    <n v="1"/>
    <x v="4"/>
    <x v="4"/>
    <n v="0"/>
    <n v="0"/>
    <n v="51"/>
    <n v="83"/>
    <x v="7"/>
    <x v="5"/>
    <n v="420"/>
    <n v="420"/>
    <n v="0"/>
    <n v="0"/>
    <n v="0"/>
    <n v="0"/>
    <n v="0"/>
    <n v="0"/>
    <n v="0"/>
    <n v="5"/>
    <n v="0"/>
    <n v="0"/>
    <s v="MT"/>
    <n v="1"/>
    <s v="BH"/>
    <s v="E"/>
    <n v="0"/>
    <n v="1"/>
    <n v="0"/>
    <n v="0"/>
    <n v="100"/>
    <d v="2021-05-05T00:00:00"/>
    <n v="26900"/>
    <n v="33618"/>
    <n v="60500"/>
    <n v="60000"/>
    <n v="606"/>
    <n v="1984.9746755939761"/>
    <n v="107530.54"/>
    <n v="28034"/>
    <n v="16276"/>
    <n v="-30766.0831"/>
    <n v="17556.310379999999"/>
    <n v="0"/>
    <n v="0"/>
    <n v="0"/>
    <n v="0"/>
    <n v="0"/>
    <n v="-45354.542879999994"/>
    <n v="95261.199075593962"/>
    <n v="1.5876866512598993"/>
    <n v="35261.199075593962"/>
    <n v="1243352160.2486684"/>
    <n v="0.96155115192232921"/>
    <n v="0.97778961532816355"/>
    <n v="0.9424919527838882"/>
    <n v="1.0022690727985222"/>
    <n v="0.97102544820822567"/>
    <n v="39510.954400000002"/>
    <n v="55750.244675593975"/>
    <n v="0"/>
    <n v="38366.142205394768"/>
    <n v="94116.38688098875"/>
    <n v="1.5686064480164792"/>
    <n v="34116.38688098875"/>
    <n v="1163927853.8133013"/>
  </r>
  <r>
    <n v="19111513533"/>
    <n v="0.26"/>
    <n v="11231"/>
    <n v="0"/>
    <s v="WA"/>
    <s v="WA"/>
    <n v="3"/>
    <s v="RES"/>
    <n v="160600"/>
    <n v="36300"/>
    <n v="0.26"/>
    <n v="0"/>
    <n v="0"/>
    <n v="0"/>
    <n v="27904.037"/>
    <n v="74398.407600000006"/>
    <n v="36809.614685414766"/>
    <n v="-1.3470736479666092"/>
    <s v="CO"/>
    <n v="2"/>
    <x v="5"/>
    <x v="1"/>
    <n v="0"/>
    <n v="0"/>
    <n v="52"/>
    <n v="88"/>
    <x v="8"/>
    <x v="1"/>
    <n v="1463"/>
    <n v="915"/>
    <n v="330"/>
    <n v="218"/>
    <n v="442"/>
    <n v="0"/>
    <n v="304"/>
    <n v="0"/>
    <n v="0"/>
    <n v="8"/>
    <n v="0"/>
    <n v="0"/>
    <s v="CP"/>
    <n v="1"/>
    <s v="FD"/>
    <s v="E"/>
    <n v="0"/>
    <n v="3"/>
    <n v="0"/>
    <n v="0"/>
    <n v="100"/>
    <d v="2020-06-11T00:00:00"/>
    <n v="30800"/>
    <n v="133034"/>
    <n v="163800"/>
    <n v="190000"/>
    <n v="934"/>
    <n v="3740.092433572127"/>
    <n v="107530.54"/>
    <n v="48043"/>
    <n v="52231"/>
    <n v="-32619.461600000002"/>
    <n v="38247.676184999997"/>
    <n v="16368.375870000002"/>
    <n v="5311.9493199999997"/>
    <n v="0"/>
    <n v="0"/>
    <n v="0"/>
    <n v="-69902.876319999996"/>
    <n v="168950.29588857212"/>
    <n v="0.88921208362406379"/>
    <n v="-21049.704111427884"/>
    <n v="443090043.17866397"/>
    <n v="0.94192028401420091"/>
    <n v="0.94468981870133262"/>
    <n v="0.93638825141735815"/>
    <n v="0.96480930693869826"/>
    <n v="0.94695191526789746"/>
    <n v="111444.93345499999"/>
    <n v="57505.362433572125"/>
    <n v="0"/>
    <n v="105532.99318211562"/>
    <n v="163038.35561568773"/>
    <n v="0.85809660850361968"/>
    <n v="-26961.644384312269"/>
    <n v="726930267.90611732"/>
  </r>
  <r>
    <n v="19111041530"/>
    <n v="0.14000000000000001"/>
    <n v="5970"/>
    <n v="0"/>
    <s v="WA"/>
    <s v="WA"/>
    <n v="3"/>
    <s v="RES"/>
    <n v="172200"/>
    <n v="31900"/>
    <n v="0.14000000000000001"/>
    <n v="0"/>
    <n v="0"/>
    <n v="0"/>
    <n v="27904.037"/>
    <n v="74398.407600000006"/>
    <n v="19535.921709596798"/>
    <n v="-1.9661128563728327"/>
    <s v="CO"/>
    <n v="2"/>
    <x v="5"/>
    <x v="1"/>
    <n v="0"/>
    <n v="0"/>
    <n v="52"/>
    <n v="88"/>
    <x v="8"/>
    <x v="2"/>
    <n v="1540"/>
    <n v="832"/>
    <n v="240"/>
    <n v="468"/>
    <n v="156"/>
    <n v="0"/>
    <n v="0"/>
    <n v="0"/>
    <n v="200"/>
    <n v="5"/>
    <n v="0"/>
    <n v="0"/>
    <s v="CP"/>
    <n v="1"/>
    <s v="HP"/>
    <s v="G"/>
    <n v="1"/>
    <n v="3"/>
    <n v="0"/>
    <n v="12200"/>
    <n v="100"/>
    <d v="2021-10-25T00:00:00"/>
    <n v="26600"/>
    <n v="136050"/>
    <n v="162700"/>
    <n v="250000"/>
    <n v="433"/>
    <n v="1984.9746755939761"/>
    <n v="107530.54"/>
    <n v="48043"/>
    <n v="52231"/>
    <n v="-32619.461600000002"/>
    <n v="34778.214848000003"/>
    <n v="11904.273360000001"/>
    <n v="11403.634319999999"/>
    <n v="0"/>
    <n v="8664.7957999999999"/>
    <n v="11471.22812"/>
    <n v="-32406.793839999998"/>
    <n v="222985.40568359394"/>
    <n v="0.89194162273437572"/>
    <n v="-27014.594316406059"/>
    <n v="729788306.07999849"/>
    <n v="0.94192028401420091"/>
    <n v="0.94468981870133262"/>
    <n v="0.93638825141735815"/>
    <n v="0.95398123997023465"/>
    <n v="0.94424489852578153"/>
    <n v="155763.93288799998"/>
    <n v="55750.244675593975"/>
    <n v="11471.22812"/>
    <n v="147079.2990038062"/>
    <n v="214300.77179940016"/>
    <n v="0.85720308719760063"/>
    <n v="-35699.228200599842"/>
    <n v="1274434894.1185031"/>
  </r>
  <r>
    <n v="19111041550"/>
    <n v="0.28999999999999998"/>
    <n v="12500"/>
    <n v="0"/>
    <s v="WA"/>
    <s v="WA"/>
    <n v="3"/>
    <s v="RES"/>
    <n v="97400"/>
    <n v="37100"/>
    <n v="0.28999999999999998"/>
    <n v="0"/>
    <n v="0"/>
    <n v="0"/>
    <n v="27904.037"/>
    <n v="74398.407600000006"/>
    <n v="39856.715768779701"/>
    <n v="-1.2378743560016174"/>
    <s v="TD"/>
    <n v="1"/>
    <x v="6"/>
    <x v="1"/>
    <n v="0"/>
    <n v="0"/>
    <n v="52"/>
    <n v="103"/>
    <x v="1"/>
    <x v="3"/>
    <n v="748"/>
    <n v="748"/>
    <n v="0"/>
    <n v="0"/>
    <n v="748"/>
    <n v="0"/>
    <n v="0"/>
    <n v="0"/>
    <n v="0"/>
    <n v="5"/>
    <n v="0"/>
    <n v="0"/>
    <s v="CP"/>
    <n v="1"/>
    <s v="BH"/>
    <s v="E"/>
    <n v="0"/>
    <n v="2"/>
    <n v="0"/>
    <n v="0"/>
    <n v="100"/>
    <d v="2022-10-06T00:00:00"/>
    <n v="31500"/>
    <n v="77835"/>
    <n v="109300"/>
    <n v="155000"/>
    <n v="87"/>
    <n v="4049.6974050889376"/>
    <n v="107530.54"/>
    <n v="23424"/>
    <n v="52231"/>
    <n v="-38179.597099999999"/>
    <n v="31266.952772000001"/>
    <n v="0"/>
    <n v="0"/>
    <n v="0"/>
    <n v="0"/>
    <n v="0"/>
    <n v="-6511.29576"/>
    <n v="173811.29731708893"/>
    <n v="1.1213632084973479"/>
    <n v="18811.297317088931"/>
    <n v="353864906.75191718"/>
    <n v="0.9679290033374609"/>
    <n v="0.94468981870133262"/>
    <n v="0.97831624472649725"/>
    <n v="0.96050344212265792"/>
    <n v="0.96285962722198715"/>
    <n v="115996.329912"/>
    <n v="57814.967405088937"/>
    <n v="0"/>
    <n v="111688.18297818696"/>
    <n v="169503.1503832759"/>
    <n v="1.0935687121501672"/>
    <n v="14503.150383275904"/>
    <n v="210341371.03991601"/>
  </r>
  <r>
    <n v="19112211454"/>
    <n v="0.41"/>
    <n v="17919"/>
    <n v="0"/>
    <s v="WA"/>
    <s v="WA"/>
    <n v="3"/>
    <s v="RES"/>
    <n v="95200"/>
    <n v="39500"/>
    <n v="0.41"/>
    <n v="0"/>
    <n v="0"/>
    <n v="0"/>
    <n v="27904.037"/>
    <n v="74398.407600000006"/>
    <n v="49519.220690374888"/>
    <n v="-0.89159811928378363"/>
    <s v="TD"/>
    <n v="1"/>
    <x v="4"/>
    <x v="4"/>
    <n v="0"/>
    <n v="0"/>
    <n v="52"/>
    <n v="88"/>
    <x v="8"/>
    <x v="3"/>
    <n v="868"/>
    <n v="868"/>
    <n v="0"/>
    <n v="0"/>
    <n v="0"/>
    <n v="0"/>
    <n v="0"/>
    <n v="0"/>
    <n v="0"/>
    <n v="5"/>
    <n v="1"/>
    <n v="0"/>
    <s v="CP"/>
    <n v="0"/>
    <s v="SP"/>
    <s v="E"/>
    <n v="0"/>
    <n v="3"/>
    <n v="0"/>
    <n v="10200"/>
    <n v="100"/>
    <d v="2022-03-08T00:00:00"/>
    <n v="29500"/>
    <n v="66325"/>
    <n v="95800"/>
    <n v="160000"/>
    <n v="299"/>
    <n v="5031.4697451545071"/>
    <n v="107530.54"/>
    <n v="28034"/>
    <n v="16276"/>
    <n v="-32619.461600000002"/>
    <n v="36283.041451999998"/>
    <n v="0"/>
    <n v="0"/>
    <n v="0"/>
    <n v="0"/>
    <n v="9590.6989200000007"/>
    <n v="-22377.901519999999"/>
    <n v="147748.38699715451"/>
    <n v="0.92342741873221568"/>
    <n v="-12251.613002845494"/>
    <n v="150102021.17149279"/>
    <n v="0.96155115192232921"/>
    <n v="0.97778961532816355"/>
    <n v="0.93638825141735815"/>
    <n v="0.96050344212265792"/>
    <n v="0.95905811519762718"/>
    <n v="79360.948332"/>
    <n v="58796.739745154504"/>
    <n v="9590.6989200000007"/>
    <n v="76111.761527584196"/>
    <n v="144499.2001927387"/>
    <n v="0.90312000120461688"/>
    <n v="-15500.799807261297"/>
    <n v="240274794.66479188"/>
  </r>
  <r>
    <n v="19111514510"/>
    <n v="0.16"/>
    <n v="6834"/>
    <n v="0"/>
    <s v="WA"/>
    <s v="WA"/>
    <n v="3"/>
    <s v="RES"/>
    <n v="140500"/>
    <n v="32800"/>
    <n v="0.16"/>
    <n v="0"/>
    <n v="0"/>
    <n v="0"/>
    <n v="27904.037"/>
    <n v="74398.407600000006"/>
    <n v="23261.986630052997"/>
    <n v="-1.8325814637483102"/>
    <s v="CO"/>
    <n v="2"/>
    <x v="3"/>
    <x v="4"/>
    <n v="0"/>
    <n v="0"/>
    <n v="52"/>
    <n v="88"/>
    <x v="8"/>
    <x v="0"/>
    <n v="2216"/>
    <n v="1032"/>
    <n v="792"/>
    <n v="392"/>
    <n v="400"/>
    <n v="0"/>
    <n v="368"/>
    <n v="0"/>
    <n v="256"/>
    <n v="8"/>
    <n v="0"/>
    <n v="0"/>
    <s v="CP"/>
    <n v="1"/>
    <s v="ER"/>
    <s v="E"/>
    <n v="0"/>
    <n v="5"/>
    <n v="0"/>
    <n v="0"/>
    <n v="100"/>
    <d v="2020-02-06T00:00:00"/>
    <n v="27400"/>
    <n v="149474"/>
    <n v="176900"/>
    <n v="131000"/>
    <n v="1060"/>
    <n v="2363.5667183278169"/>
    <n v="107530.54"/>
    <n v="50405"/>
    <n v="16276"/>
    <n v="-32619.461600000002"/>
    <n v="43138.362648000002"/>
    <n v="39284.102088"/>
    <n v="9551.7620800000004"/>
    <n v="0"/>
    <n v="11090.938624"/>
    <n v="0"/>
    <n v="-79333.0288"/>
    <n v="167687.78175832782"/>
    <n v="1.2800594027353269"/>
    <n v="36687.781758327823"/>
    <n v="1345993330.3466918"/>
    <n v="0.94847641831201523"/>
    <n v="0.97778961532816355"/>
    <n v="0.93638825141735815"/>
    <n v="0.9464590159154872"/>
    <n v="0.95227832524325595"/>
    <n v="111558.94503999999"/>
    <n v="56128.836718327817"/>
    <n v="0"/>
    <n v="106235.16534859563"/>
    <n v="162364.00206692345"/>
    <n v="1.2394198631062858"/>
    <n v="31364.002066923451"/>
    <n v="983700625.65397847"/>
  </r>
  <r>
    <n v="19111013001"/>
    <n v="4.57"/>
    <n v="199189"/>
    <n v="0"/>
    <s v="WA"/>
    <s v="WA"/>
    <n v="3"/>
    <s v="RES"/>
    <n v="156600"/>
    <n v="56700"/>
    <n v="4.57"/>
    <n v="0"/>
    <n v="0"/>
    <n v="0"/>
    <n v="27904.037"/>
    <n v="74398.407600000006"/>
    <n v="116798.96029168877"/>
    <n v="1.5195132049061133"/>
    <s v="TD"/>
    <n v="1"/>
    <x v="5"/>
    <x v="1"/>
    <n v="0"/>
    <n v="0"/>
    <n v="53"/>
    <n v="93"/>
    <x v="8"/>
    <x v="3"/>
    <n v="904"/>
    <n v="904"/>
    <n v="0"/>
    <n v="0"/>
    <n v="0"/>
    <n v="0"/>
    <n v="0"/>
    <n v="0"/>
    <n v="0"/>
    <n v="5"/>
    <n v="0"/>
    <n v="1"/>
    <s v="CP"/>
    <n v="1"/>
    <s v="FD"/>
    <s v="E"/>
    <n v="0"/>
    <n v="2"/>
    <n v="0"/>
    <n v="11000"/>
    <n v="100"/>
    <d v="2020-01-28T00:00:00"/>
    <n v="50200"/>
    <n v="101907"/>
    <n v="152100"/>
    <n v="191000"/>
    <n v="1069"/>
    <n v="11867.521878981446"/>
    <n v="107530.54"/>
    <n v="48043"/>
    <n v="52231"/>
    <n v="-34472.840100000001"/>
    <n v="37787.868055999999"/>
    <n v="0"/>
    <n v="0"/>
    <n v="0"/>
    <n v="0"/>
    <n v="10342.910599999999"/>
    <n v="-80006.611120000001"/>
    <n v="153323.38931498147"/>
    <n v="0.80274025819362027"/>
    <n v="-37676.610685018532"/>
    <n v="1419526992.7104526"/>
    <n v="0.94192028401420091"/>
    <n v="0.94468981870133262"/>
    <n v="0.93638825141735815"/>
    <n v="0.96050344212265792"/>
    <n v="0.94587544906388743"/>
    <n v="77347.686836000008"/>
    <n v="65632.791878981443"/>
    <n v="10342.910599999999"/>
    <n v="73161.278020054437"/>
    <n v="149136.98049903588"/>
    <n v="0.7808218874295072"/>
    <n v="-41863.019500964117"/>
    <n v="1752512401.738102"/>
  </r>
  <r>
    <n v="19111523464"/>
    <n v="0.21"/>
    <n v="9283"/>
    <n v="0"/>
    <s v="WA"/>
    <s v="WA"/>
    <n v="3"/>
    <s v="RES"/>
    <n v="128900"/>
    <n v="34800"/>
    <n v="0.21"/>
    <n v="0"/>
    <n v="0"/>
    <n v="0"/>
    <n v="27904.037"/>
    <n v="74398.407600000006"/>
    <n v="30850.035088456018"/>
    <n v="-1.5606477482646683"/>
    <s v="TD"/>
    <n v="1"/>
    <x v="3"/>
    <x v="1"/>
    <n v="0"/>
    <n v="0"/>
    <n v="53"/>
    <n v="93"/>
    <x v="8"/>
    <x v="3"/>
    <n v="999"/>
    <n v="999"/>
    <n v="0"/>
    <n v="0"/>
    <n v="0"/>
    <n v="0"/>
    <n v="0"/>
    <n v="0"/>
    <n v="0"/>
    <n v="5"/>
    <n v="0"/>
    <n v="0"/>
    <s v="MT"/>
    <n v="0"/>
    <s v="SP"/>
    <s v="O"/>
    <n v="0"/>
    <n v="3"/>
    <n v="0"/>
    <n v="0"/>
    <n v="100"/>
    <d v="2020-07-07T00:00:00"/>
    <n v="25500"/>
    <n v="109281"/>
    <n v="134800"/>
    <n v="135000"/>
    <n v="908"/>
    <n v="3134.5610052116976"/>
    <n v="107530.54"/>
    <n v="50405"/>
    <n v="52231"/>
    <n v="-34472.840100000001"/>
    <n v="41758.938261000003"/>
    <n v="0"/>
    <n v="0"/>
    <n v="0"/>
    <n v="0"/>
    <n v="0"/>
    <n v="-67956.971839999998"/>
    <n v="152630.22732621169"/>
    <n v="1.1305942764904571"/>
    <n v="17630.227326211694"/>
    <n v="310824915.57390153"/>
    <n v="0.94847641831201523"/>
    <n v="0.94468981870133262"/>
    <n v="0.93638825141735815"/>
    <n v="0.96050344212265792"/>
    <n v="0.94751448263834104"/>
    <n v="95730.396321000007"/>
    <n v="56899.831005211694"/>
    <n v="0"/>
    <n v="90705.936942855667"/>
    <n v="147605.76794806737"/>
    <n v="1.0933760588745731"/>
    <n v="12605.767948067369"/>
    <n v="158905385.56052259"/>
  </r>
  <r>
    <n v="19111041432"/>
    <n v="0.17"/>
    <n v="7227"/>
    <n v="0"/>
    <s v="WA"/>
    <s v="WA"/>
    <n v="3"/>
    <s v="RES"/>
    <n v="172300"/>
    <n v="33200"/>
    <n v="0.17"/>
    <n v="0"/>
    <n v="0"/>
    <n v="0"/>
    <n v="27904.037"/>
    <n v="74398.407600000006"/>
    <n v="24953.658320329807"/>
    <n v="-1.7719568419318752"/>
    <s v="TD"/>
    <n v="1"/>
    <x v="4"/>
    <x v="1"/>
    <n v="0"/>
    <n v="0"/>
    <n v="53"/>
    <n v="93"/>
    <x v="8"/>
    <x v="3"/>
    <n v="784"/>
    <n v="784"/>
    <n v="0"/>
    <n v="0"/>
    <n v="0"/>
    <n v="0"/>
    <n v="192"/>
    <n v="0"/>
    <n v="0"/>
    <n v="5"/>
    <n v="0"/>
    <n v="0"/>
    <s v="CP"/>
    <n v="1"/>
    <s v="FD"/>
    <s v="E"/>
    <n v="1"/>
    <n v="2"/>
    <n v="0"/>
    <n v="0"/>
    <n v="100"/>
    <d v="2020-08-11T00:00:00"/>
    <n v="27800"/>
    <n v="70171"/>
    <n v="98000"/>
    <n v="100000"/>
    <n v="873"/>
    <n v="2535.4513887587586"/>
    <n v="107530.54"/>
    <n v="28034"/>
    <n v="52231"/>
    <n v="-34472.840100000001"/>
    <n v="32771.779375999999"/>
    <n v="0"/>
    <n v="0"/>
    <n v="0"/>
    <n v="0"/>
    <n v="0"/>
    <n v="-65337.485039999992"/>
    <n v="123292.44562475875"/>
    <n v="1.2329244562475876"/>
    <n v="23292.445624758751"/>
    <n v="542538023.18234313"/>
    <n v="0.96155115192232921"/>
    <n v="0.94468981870133262"/>
    <n v="0.93638825141735815"/>
    <n v="0.96050344212265792"/>
    <n v="0.95078316604091939"/>
    <n v="66991.724235999995"/>
    <n v="56300.721388758757"/>
    <n v="0"/>
    <n v="63694.603667644267"/>
    <n v="119995.32505640303"/>
    <n v="1.1999532505640302"/>
    <n v="19995.325056403031"/>
    <n v="399813024.11121887"/>
  </r>
  <r>
    <n v="19110944449"/>
    <n v="0.51"/>
    <n v="22160"/>
    <n v="0"/>
    <s v="WA"/>
    <s v="WA"/>
    <n v="3"/>
    <s v="RES"/>
    <n v="136000"/>
    <n v="40500"/>
    <n v="0.51"/>
    <n v="0"/>
    <n v="0"/>
    <n v="0"/>
    <n v="27904.037"/>
    <n v="74398.407600000006"/>
    <n v="55609.376271979418"/>
    <n v="-0.67334455326376563"/>
    <s v="TD"/>
    <n v="1"/>
    <x v="5"/>
    <x v="1"/>
    <n v="0"/>
    <n v="0"/>
    <n v="53"/>
    <n v="93"/>
    <x v="8"/>
    <x v="1"/>
    <n v="1010"/>
    <n v="1010"/>
    <n v="0"/>
    <n v="0"/>
    <n v="0"/>
    <n v="0"/>
    <n v="0"/>
    <n v="0"/>
    <n v="0"/>
    <n v="5"/>
    <n v="0"/>
    <n v="0"/>
    <s v="CP"/>
    <n v="1"/>
    <s v="FD"/>
    <s v="O"/>
    <n v="0"/>
    <n v="2"/>
    <n v="0"/>
    <n v="5800"/>
    <n v="100"/>
    <d v="2021-09-24T00:00:00"/>
    <n v="30400"/>
    <n v="100457"/>
    <n v="130900"/>
    <n v="125000"/>
    <n v="464"/>
    <n v="5650.2685292412498"/>
    <n v="107530.54"/>
    <n v="48043"/>
    <n v="52231"/>
    <n v="-34472.840100000001"/>
    <n v="42218.74639"/>
    <n v="0"/>
    <n v="0"/>
    <n v="0"/>
    <n v="0"/>
    <n v="5453.5346799999998"/>
    <n v="-34726.91072"/>
    <n v="191927.33877924125"/>
    <n v="1.5354187102339301"/>
    <n v="66927.338779241254"/>
    <n v="4479268676.0713301"/>
    <n v="0.94192028401420091"/>
    <n v="0.94468981870133262"/>
    <n v="0.93638825141735815"/>
    <n v="0.96480930693869826"/>
    <n v="0.94695191526789746"/>
    <n v="127058.26557"/>
    <n v="59415.538529241247"/>
    <n v="5453.5346799999998"/>
    <n v="120318.06793212866"/>
    <n v="185187.14114136991"/>
    <n v="1.4814971291309593"/>
    <n v="60187.14114136991"/>
    <n v="3622491958.7711825"/>
  </r>
  <r>
    <n v="19111133505"/>
    <n v="0.18"/>
    <n v="7735"/>
    <n v="0"/>
    <s v="WA"/>
    <s v="WA"/>
    <n v="3"/>
    <s v="RES"/>
    <n v="67600"/>
    <n v="33700"/>
    <n v="0.18"/>
    <n v="0"/>
    <n v="0"/>
    <n v="0"/>
    <n v="27904.037"/>
    <n v="74398.407600000006"/>
    <n v="26548.608814981046"/>
    <n v="-1.7147984280919266"/>
    <s v="CA"/>
    <n v="1"/>
    <x v="6"/>
    <x v="4"/>
    <n v="0"/>
    <n v="0"/>
    <n v="53"/>
    <n v="98"/>
    <x v="1"/>
    <x v="3"/>
    <n v="776"/>
    <n v="776"/>
    <n v="0"/>
    <n v="0"/>
    <n v="180"/>
    <n v="0"/>
    <n v="0"/>
    <n v="0"/>
    <n v="0"/>
    <n v="5"/>
    <n v="0"/>
    <n v="0"/>
    <s v="CP"/>
    <n v="0"/>
    <s v="SP"/>
    <s v="G"/>
    <n v="0"/>
    <n v="2"/>
    <n v="0"/>
    <n v="0"/>
    <n v="100"/>
    <d v="2020-11-03T00:00:00"/>
    <n v="28200"/>
    <n v="38411"/>
    <n v="66600"/>
    <n v="100000"/>
    <n v="789"/>
    <n v="2697.5085666984901"/>
    <n v="107530.54"/>
    <n v="23424"/>
    <n v="16276"/>
    <n v="-36326.2186"/>
    <n v="32437.373464"/>
    <n v="0"/>
    <n v="0"/>
    <n v="0"/>
    <n v="0"/>
    <n v="0"/>
    <n v="-59050.716719999997"/>
    <n v="86988.486710698518"/>
    <n v="0.8698848671069852"/>
    <n v="-13011.513289301482"/>
    <n v="169299478.07766905"/>
    <n v="0.9679290033374609"/>
    <n v="0.97778961532816355"/>
    <n v="0.97831624472649725"/>
    <n v="0.96050344212265792"/>
    <n v="0.97113457637869494"/>
    <n v="30525.708143999997"/>
    <n v="56462.778566698486"/>
    <n v="0"/>
    <n v="29644.570647083114"/>
    <n v="86107.349213781592"/>
    <n v="0.86107349213781592"/>
    <n v="-13892.650786218408"/>
    <n v="193005745.86781496"/>
  </r>
  <r>
    <n v="19111041476"/>
    <n v="0.14000000000000001"/>
    <n v="6250"/>
    <n v="0"/>
    <s v="WA"/>
    <s v="WA"/>
    <n v="3"/>
    <s v="RES"/>
    <n v="120400"/>
    <n v="31900"/>
    <n v="0.14000000000000001"/>
    <n v="0"/>
    <n v="0"/>
    <n v="0"/>
    <n v="27904.037"/>
    <n v="74398.407600000006"/>
    <n v="19535.921709596798"/>
    <n v="-1.9661128563728327"/>
    <s v="TD"/>
    <n v="1"/>
    <x v="5"/>
    <x v="4"/>
    <n v="0"/>
    <n v="0"/>
    <n v="53"/>
    <n v="93"/>
    <x v="8"/>
    <x v="1"/>
    <n v="1100"/>
    <n v="1100"/>
    <n v="0"/>
    <n v="0"/>
    <n v="0"/>
    <n v="0"/>
    <n v="0"/>
    <n v="130"/>
    <n v="130"/>
    <n v="7"/>
    <n v="0"/>
    <n v="0"/>
    <s v="CP"/>
    <n v="1"/>
    <s v="FD"/>
    <s v="E"/>
    <n v="0"/>
    <n v="3"/>
    <n v="0"/>
    <n v="0"/>
    <n v="100"/>
    <d v="2021-08-06T00:00:00"/>
    <n v="26900"/>
    <n v="76402"/>
    <n v="103300"/>
    <n v="192000"/>
    <n v="513"/>
    <n v="1984.9746755939761"/>
    <n v="107530.54"/>
    <n v="48043"/>
    <n v="16276"/>
    <n v="-34472.840100000001"/>
    <n v="45980.812899999997"/>
    <n v="0"/>
    <n v="0"/>
    <n v="0"/>
    <n v="5632.1172699999997"/>
    <n v="0"/>
    <n v="-38394.192239999997"/>
    <n v="152580.41250559394"/>
    <n v="0.79468964846663503"/>
    <n v="-39419.587494406063"/>
    <n v="1553903878.2291348"/>
    <n v="0.94192028401420091"/>
    <n v="0.97778961532816355"/>
    <n v="0.93638825141735815"/>
    <n v="0.96480930693869826"/>
    <n v="0.95522686442460525"/>
    <n v="96830.167829999991"/>
    <n v="55750.244675593975"/>
    <n v="0"/>
    <n v="92494.777597959168"/>
    <n v="148245.02227355313"/>
    <n v="0.77210949100808923"/>
    <n v="-43754.977726446872"/>
    <n v="1914498075.841862"/>
  </r>
  <r>
    <n v="19111133483"/>
    <n v="0.18"/>
    <n v="7890"/>
    <n v="0"/>
    <s v="WA"/>
    <s v="WA"/>
    <n v="3"/>
    <s v="RES"/>
    <n v="161900"/>
    <n v="33700"/>
    <n v="0.18"/>
    <n v="0"/>
    <n v="0"/>
    <n v="0"/>
    <n v="27904.037"/>
    <n v="74398.407600000006"/>
    <n v="26548.608814981046"/>
    <n v="-1.7147984280919266"/>
    <s v="TD"/>
    <n v="1"/>
    <x v="4"/>
    <x v="2"/>
    <n v="0"/>
    <n v="0"/>
    <n v="53"/>
    <n v="93"/>
    <x v="8"/>
    <x v="1"/>
    <n v="1008"/>
    <n v="1008"/>
    <n v="0"/>
    <n v="0"/>
    <n v="0"/>
    <n v="0"/>
    <n v="0"/>
    <n v="0"/>
    <n v="0"/>
    <n v="5"/>
    <n v="0"/>
    <n v="0"/>
    <s v="CP"/>
    <n v="1"/>
    <s v="FD"/>
    <s v="G"/>
    <n v="0"/>
    <n v="3"/>
    <n v="0"/>
    <n v="21700"/>
    <n v="100"/>
    <d v="2022-01-05T00:00:00"/>
    <n v="28300"/>
    <n v="113514"/>
    <n v="141800"/>
    <n v="220000"/>
    <n v="361"/>
    <n v="2697.5085666984901"/>
    <n v="107530.54"/>
    <n v="28034"/>
    <n v="74543"/>
    <n v="-34472.840100000001"/>
    <n v="42135.144912000003"/>
    <n v="0"/>
    <n v="0"/>
    <n v="0"/>
    <n v="0"/>
    <n v="20403.741819999999"/>
    <n v="-27018.135279999999"/>
    <n v="213852.95991869853"/>
    <n v="0.97205890872135692"/>
    <n v="-6147.0400813014712"/>
    <n v="37786101.761126801"/>
    <n v="0.96155115192232921"/>
    <n v="0.97615416874759686"/>
    <n v="0.93638825141735815"/>
    <n v="0.96480930693869826"/>
    <n v="0.95972571975649557"/>
    <n v="136986.43953199999"/>
    <n v="56462.778566698486"/>
    <n v="20403.741819999999"/>
    <n v="131469.40927672834"/>
    <n v="208335.92966342682"/>
    <n v="0.94698149847012192"/>
    <n v="-11664.070336573175"/>
    <n v="136050536.81652626"/>
  </r>
  <r>
    <n v="19111514568"/>
    <n v="0.14000000000000001"/>
    <n v="6200"/>
    <n v="0"/>
    <s v="WA"/>
    <s v="WA"/>
    <n v="3"/>
    <s v="RES"/>
    <n v="237300"/>
    <n v="31900"/>
    <n v="0.14000000000000001"/>
    <n v="0"/>
    <n v="0"/>
    <n v="0"/>
    <n v="27904.037"/>
    <n v="74398.407600000006"/>
    <n v="19535.921709596798"/>
    <n v="-1.9661128563728327"/>
    <s v="TD"/>
    <n v="1"/>
    <x v="5"/>
    <x v="3"/>
    <n v="0"/>
    <n v="0"/>
    <n v="53"/>
    <n v="93"/>
    <x v="8"/>
    <x v="0"/>
    <n v="2172"/>
    <n v="1086"/>
    <n v="0"/>
    <n v="1086"/>
    <n v="0"/>
    <n v="0"/>
    <n v="0"/>
    <n v="30"/>
    <n v="0"/>
    <n v="5"/>
    <n v="0"/>
    <n v="0"/>
    <s v="CP"/>
    <n v="1"/>
    <s v="FD"/>
    <s v="G"/>
    <n v="0"/>
    <n v="3"/>
    <n v="0"/>
    <n v="27000"/>
    <n v="100"/>
    <d v="2020-10-15T00:00:00"/>
    <n v="26800"/>
    <n v="200110"/>
    <n v="226900"/>
    <n v="211000"/>
    <n v="808"/>
    <n v="1984.9746755939761"/>
    <n v="107530.54"/>
    <n v="48043"/>
    <n v="84338"/>
    <n v="-34472.840100000001"/>
    <n v="45395.602553999997"/>
    <n v="0"/>
    <n v="26462.279640000001"/>
    <n v="0"/>
    <n v="0"/>
    <n v="25387.144199999999"/>
    <n v="-60472.723839999999"/>
    <n v="244195.97712959396"/>
    <n v="1.1573269058274596"/>
    <n v="33195.977129593957"/>
    <n v="1101972897.5885251"/>
    <n v="0.94192028401420091"/>
    <n v="0.98226356303366236"/>
    <n v="0.93638825141735815"/>
    <n v="0.9464590159154872"/>
    <n v="0.95175777859517707"/>
    <n v="163058.588254"/>
    <n v="55750.244675593975"/>
    <n v="25387.144199999999"/>
    <n v="155192.27973749267"/>
    <n v="236329.66861308666"/>
    <n v="1.1200458228108372"/>
    <n v="25329.668613086658"/>
    <n v="641592112.04878736"/>
  </r>
  <r>
    <n v="19111133449"/>
    <n v="0.23"/>
    <n v="10235"/>
    <n v="0"/>
    <s v="WA"/>
    <s v="WA"/>
    <n v="3"/>
    <s v="RES"/>
    <n v="168000"/>
    <n v="35500"/>
    <n v="0.23"/>
    <n v="0"/>
    <n v="0"/>
    <n v="0"/>
    <n v="27904.037"/>
    <n v="74398.407600000006"/>
    <n v="33388.514953464408"/>
    <n v="-1.4696759700589417"/>
    <s v="CO"/>
    <n v="1"/>
    <x v="3"/>
    <x v="1"/>
    <n v="0"/>
    <n v="0"/>
    <n v="55"/>
    <n v="98"/>
    <x v="1"/>
    <x v="2"/>
    <n v="1640"/>
    <n v="1640"/>
    <n v="0"/>
    <n v="0"/>
    <n v="0"/>
    <n v="0"/>
    <n v="486"/>
    <n v="0"/>
    <n v="280"/>
    <n v="8"/>
    <n v="1"/>
    <n v="0"/>
    <s v="CP"/>
    <n v="1"/>
    <s v="FD"/>
    <s v="G"/>
    <n v="0"/>
    <n v="3"/>
    <n v="0"/>
    <n v="0"/>
    <n v="100"/>
    <d v="2021-02-04T00:00:00"/>
    <n v="30000"/>
    <n v="157739"/>
    <n v="187700"/>
    <n v="215000"/>
    <n v="696"/>
    <n v="3392.4868057676858"/>
    <n v="107530.54"/>
    <n v="50405"/>
    <n v="52231"/>
    <n v="-36326.2186"/>
    <n v="68553.211960000001"/>
    <n v="0"/>
    <n v="0"/>
    <n v="0"/>
    <n v="12130.714120000001"/>
    <n v="0"/>
    <n v="-52090.36608"/>
    <n v="205826.36820576768"/>
    <n v="0.95733194514310549"/>
    <n v="-9173.6317942323221"/>
    <n v="84155520.296150133"/>
    <n v="0.94847641831201523"/>
    <n v="0.94468981870133262"/>
    <n v="0.97831624472649725"/>
    <n v="0.95398123997023465"/>
    <n v="0.95636593042751994"/>
    <n v="148668.61139999999"/>
    <n v="57157.756805767684"/>
    <n v="0"/>
    <n v="142181.59486692838"/>
    <n v="199339.35167269607"/>
    <n v="0.92715977522184212"/>
    <n v="-15660.648327303934"/>
    <n v="245255906.03148749"/>
  </r>
  <r>
    <n v="19111041506"/>
    <n v="0.14000000000000001"/>
    <n v="6244"/>
    <n v="0"/>
    <s v="WA"/>
    <s v="WA"/>
    <n v="3"/>
    <s v="RES"/>
    <n v="110600"/>
    <n v="31900"/>
    <n v="0.14000000000000001"/>
    <n v="0"/>
    <n v="0"/>
    <n v="0"/>
    <n v="27904.037"/>
    <n v="74398.407600000006"/>
    <n v="19535.921709596798"/>
    <n v="-1.9661128563728327"/>
    <s v="TD"/>
    <n v="1"/>
    <x v="4"/>
    <x v="1"/>
    <n v="0"/>
    <n v="0"/>
    <n v="55"/>
    <n v="98"/>
    <x v="1"/>
    <x v="3"/>
    <n v="720"/>
    <n v="720"/>
    <n v="0"/>
    <n v="0"/>
    <n v="0"/>
    <n v="0"/>
    <n v="0"/>
    <n v="0"/>
    <n v="72"/>
    <n v="5"/>
    <n v="0"/>
    <n v="0"/>
    <s v="CP"/>
    <n v="0"/>
    <s v="SP"/>
    <s v="G"/>
    <n v="0"/>
    <n v="2"/>
    <n v="0"/>
    <n v="24100"/>
    <n v="100"/>
    <d v="2021-08-18T00:00:00"/>
    <n v="26900"/>
    <n v="84134"/>
    <n v="111000"/>
    <n v="190000"/>
    <n v="501"/>
    <n v="1984.9746755939761"/>
    <n v="107530.54"/>
    <n v="28034"/>
    <n v="52231"/>
    <n v="-36326.2186"/>
    <n v="30096.532080000001"/>
    <n v="0"/>
    <n v="0"/>
    <n v="0"/>
    <n v="3119.3264880000002"/>
    <n v="22660.37686"/>
    <n v="-37496.082479999997"/>
    <n v="171834.44902359397"/>
    <n v="0.90439183696628411"/>
    <n v="-18165.550976406026"/>
    <n v="329987242.27640593"/>
    <n v="0.96155115192232921"/>
    <n v="0.94468981870133262"/>
    <n v="0.97831624472649725"/>
    <n v="0.96050344212265792"/>
    <n v="0.96126516436820419"/>
    <n v="93423.827487999995"/>
    <n v="55750.244675593975"/>
    <n v="22660.37686"/>
    <n v="89805.070886159068"/>
    <n v="168215.69242175305"/>
    <n v="0.88534574958817391"/>
    <n v="-21784.307578246953"/>
    <n v="474556056.66366762"/>
  </r>
  <r>
    <n v="19111041455"/>
    <n v="0.2"/>
    <n v="8741"/>
    <n v="0"/>
    <s v="WA"/>
    <s v="WA"/>
    <n v="3"/>
    <s v="RES"/>
    <n v="98500"/>
    <n v="34400"/>
    <n v="0.2"/>
    <n v="0"/>
    <n v="0"/>
    <n v="0"/>
    <n v="27904.037"/>
    <n v="74398.407600000006"/>
    <n v="29488.592542236111"/>
    <n v="-1.6094379124341003"/>
    <s v="TD"/>
    <n v="1"/>
    <x v="4"/>
    <x v="1"/>
    <n v="0"/>
    <n v="0"/>
    <n v="55"/>
    <n v="98"/>
    <x v="1"/>
    <x v="3"/>
    <n v="785"/>
    <n v="785"/>
    <n v="0"/>
    <n v="0"/>
    <n v="0"/>
    <n v="0"/>
    <n v="0"/>
    <n v="0"/>
    <n v="0"/>
    <n v="5"/>
    <n v="0"/>
    <n v="0"/>
    <s v="CP"/>
    <n v="0"/>
    <s v="SP"/>
    <s v="O"/>
    <n v="0"/>
    <n v="2"/>
    <n v="0"/>
    <n v="6500"/>
    <n v="100"/>
    <d v="2021-06-18T00:00:00"/>
    <n v="29000"/>
    <n v="69539"/>
    <n v="98500"/>
    <n v="165000"/>
    <n v="562"/>
    <n v="2996.2297292834592"/>
    <n v="107530.54"/>
    <n v="28034"/>
    <n v="52231"/>
    <n v="-36326.2186"/>
    <n v="32813.580114999997"/>
    <n v="0"/>
    <n v="0"/>
    <n v="0"/>
    <n v="0"/>
    <n v="6111.7199000000001"/>
    <n v="-42061.473759999993"/>
    <n v="151329.37738428346"/>
    <n v="0.91714774172293012"/>
    <n v="-13670.622615716537"/>
    <n v="186885922.70134044"/>
    <n v="0.96155115192232921"/>
    <n v="0.94468981870133262"/>
    <n v="0.97831624472649725"/>
    <n v="0.96050344212265792"/>
    <n v="0.96126516436820419"/>
    <n v="88456.157754999993"/>
    <n v="56761.49972928346"/>
    <n v="6111.7199000000001"/>
    <n v="85029.823023739867"/>
    <n v="147903.04265302332"/>
    <n v="0.89638207668498981"/>
    <n v="-17096.957346976676"/>
    <n v="292305950.52433974"/>
  </r>
  <r>
    <n v="19111041579"/>
    <n v="0.14000000000000001"/>
    <n v="6250"/>
    <n v="0"/>
    <s v="WA"/>
    <s v="WA"/>
    <n v="3"/>
    <s v="RES"/>
    <n v="189500"/>
    <n v="31900"/>
    <n v="0.14000000000000001"/>
    <n v="0"/>
    <n v="0"/>
    <n v="0"/>
    <n v="27904.037"/>
    <n v="74398.407600000006"/>
    <n v="19535.921709596798"/>
    <n v="-1.9661128563728327"/>
    <s v="TD"/>
    <n v="1"/>
    <x v="4"/>
    <x v="2"/>
    <n v="0"/>
    <n v="0"/>
    <n v="55"/>
    <n v="98"/>
    <x v="1"/>
    <x v="3"/>
    <n v="960"/>
    <n v="960"/>
    <n v="0"/>
    <n v="0"/>
    <n v="0"/>
    <n v="0"/>
    <n v="0"/>
    <n v="0"/>
    <n v="348"/>
    <n v="5"/>
    <n v="0"/>
    <n v="0"/>
    <s v="MT"/>
    <n v="1"/>
    <s v="HP"/>
    <s v="E"/>
    <n v="1"/>
    <n v="3"/>
    <n v="0"/>
    <n v="17800"/>
    <n v="100"/>
    <d v="2022-03-17T00:00:00"/>
    <n v="26900"/>
    <n v="117594"/>
    <n v="144500"/>
    <n v="235000"/>
    <n v="290"/>
    <n v="1984.9746755939761"/>
    <n v="107530.54"/>
    <n v="28034"/>
    <n v="74543"/>
    <n v="-36326.2186"/>
    <n v="40128.709439999999"/>
    <n v="0"/>
    <n v="0"/>
    <n v="0"/>
    <n v="15076.744692"/>
    <n v="16736.709879999999"/>
    <n v="-21704.319199999998"/>
    <n v="226004.140887594"/>
    <n v="0.9617197484578468"/>
    <n v="-8995.859112406004"/>
    <n v="80925481.170258135"/>
    <n v="0.96155115192232921"/>
    <n v="0.97615416874759686"/>
    <n v="0.97831624472649725"/>
    <n v="0.96050344212265792"/>
    <n v="0.96913125187977034"/>
    <n v="153517.18633200001"/>
    <n v="55750.244675593975"/>
    <n v="16736.709879999999"/>
    <n v="148778.30297499115"/>
    <n v="221265.25753058514"/>
    <n v="0.94155428736419211"/>
    <n v="-13734.742469414865"/>
    <n v="188643150.70114833"/>
  </r>
  <r>
    <n v="19112211409"/>
    <n v="0.21"/>
    <n v="8960"/>
    <n v="0"/>
    <s v="WA"/>
    <s v="WA"/>
    <n v="3"/>
    <s v="RES"/>
    <n v="137400"/>
    <n v="34800"/>
    <n v="0.21"/>
    <n v="0"/>
    <n v="0"/>
    <n v="0"/>
    <n v="27904.037"/>
    <n v="74398.407600000006"/>
    <n v="30850.035088456018"/>
    <n v="-1.5606477482646683"/>
    <s v="TD"/>
    <n v="1"/>
    <x v="4"/>
    <x v="2"/>
    <n v="0"/>
    <n v="0"/>
    <n v="55"/>
    <n v="98"/>
    <x v="1"/>
    <x v="3"/>
    <n v="944"/>
    <n v="944"/>
    <n v="0"/>
    <n v="0"/>
    <n v="0"/>
    <n v="0"/>
    <n v="0"/>
    <n v="0"/>
    <n v="0"/>
    <n v="5"/>
    <n v="0"/>
    <n v="0"/>
    <s v="CP"/>
    <n v="0"/>
    <s v="SP"/>
    <s v="O"/>
    <n v="0"/>
    <n v="2"/>
    <n v="0"/>
    <n v="0"/>
    <n v="100"/>
    <d v="2022-06-29T00:00:00"/>
    <n v="25300"/>
    <n v="85738"/>
    <n v="111000"/>
    <n v="168000"/>
    <n v="186"/>
    <n v="3134.5610052116976"/>
    <n v="107530.54"/>
    <n v="28034"/>
    <n v="74543"/>
    <n v="-36326.2186"/>
    <n v="39459.897616000002"/>
    <n v="0"/>
    <n v="0"/>
    <n v="0"/>
    <n v="0"/>
    <n v="0"/>
    <n v="-13920.701279999999"/>
    <n v="202455.07874121171"/>
    <n v="1.2050897544119745"/>
    <n v="34455.078741211706"/>
    <n v="1187152451.0630989"/>
    <n v="0.96155115192232921"/>
    <n v="0.97615416874759686"/>
    <n v="0.97831624472649725"/>
    <n v="0.96050344212265792"/>
    <n v="0.96913125187977034"/>
    <n v="145555.24773600002"/>
    <n v="56899.831005211694"/>
    <n v="0"/>
    <n v="141062.13945605981"/>
    <n v="197961.9704612715"/>
    <n v="1.1783450622694731"/>
    <n v="29961.9704612715"/>
    <n v="897719673.92210591"/>
  </r>
  <r>
    <n v="19111514534"/>
    <n v="0.14000000000000001"/>
    <n v="5953"/>
    <n v="0"/>
    <s v="WA"/>
    <s v="WA"/>
    <n v="3"/>
    <s v="RES"/>
    <n v="69300"/>
    <n v="31900"/>
    <n v="0.14000000000000001"/>
    <n v="0"/>
    <n v="0"/>
    <n v="0"/>
    <n v="27904.037"/>
    <n v="74398.407600000006"/>
    <n v="19535.921709596798"/>
    <n v="-1.9661128563728327"/>
    <s v="TD"/>
    <n v="2"/>
    <x v="3"/>
    <x v="5"/>
    <n v="0"/>
    <n v="0"/>
    <n v="55"/>
    <n v="98"/>
    <x v="1"/>
    <x v="1"/>
    <n v="1044"/>
    <n v="844"/>
    <n v="200"/>
    <n v="0"/>
    <n v="150"/>
    <n v="0"/>
    <n v="0"/>
    <n v="0"/>
    <n v="0"/>
    <n v="5"/>
    <n v="0"/>
    <n v="0"/>
    <s v="WS"/>
    <n v="0"/>
    <s v="SP"/>
    <s v="O"/>
    <n v="0"/>
    <n v="3"/>
    <n v="0"/>
    <n v="0"/>
    <n v="100"/>
    <d v="2020-04-20T00:00:00"/>
    <n v="26600"/>
    <n v="57593"/>
    <n v="84200"/>
    <n v="95000"/>
    <n v="986"/>
    <n v="1984.9746755939761"/>
    <n v="107530.54"/>
    <n v="50405"/>
    <n v="0"/>
    <n v="-36326.2186"/>
    <n v="35279.823715999999"/>
    <n v="9920.2278000000006"/>
    <n v="0"/>
    <n v="0"/>
    <n v="0"/>
    <n v="0"/>
    <n v="-73794.685279999991"/>
    <n v="94999.662311593987"/>
    <n v="0.99999644538519983"/>
    <n v="-0.33768840601260308"/>
    <n v="0.11403345955533266"/>
    <n v="0.94847641831201523"/>
    <n v="0.90764554840944411"/>
    <n v="0.97831624472649725"/>
    <n v="0.96480930693869826"/>
    <n v="0.94981187959666369"/>
    <n v="39249.417636000006"/>
    <n v="55750.244675593975"/>
    <n v="0"/>
    <n v="37279.563137923607"/>
    <n v="93029.807813517575"/>
    <n v="0.97926113487913236"/>
    <n v="-1970.1921864824253"/>
    <n v="3881657.2516763997"/>
  </r>
  <r>
    <n v="19111514516"/>
    <n v="0.16"/>
    <n v="7164"/>
    <n v="0"/>
    <s v="WA"/>
    <s v="WA"/>
    <n v="3"/>
    <s v="RES"/>
    <n v="197300"/>
    <n v="32800"/>
    <n v="0.16"/>
    <n v="0"/>
    <n v="0"/>
    <n v="0"/>
    <n v="27904.037"/>
    <n v="74398.407600000006"/>
    <n v="23261.986630052997"/>
    <n v="-1.8325814637483102"/>
    <s v="TD"/>
    <n v="1"/>
    <x v="1"/>
    <x v="1"/>
    <n v="0"/>
    <n v="0"/>
    <n v="56"/>
    <n v="101"/>
    <x v="1"/>
    <x v="2"/>
    <n v="1871"/>
    <n v="1871"/>
    <n v="0"/>
    <n v="0"/>
    <n v="640"/>
    <n v="0"/>
    <n v="210"/>
    <n v="426"/>
    <n v="0"/>
    <n v="8"/>
    <n v="0"/>
    <n v="1"/>
    <s v="CP"/>
    <n v="1"/>
    <s v="FD"/>
    <s v="G"/>
    <n v="1"/>
    <n v="3"/>
    <n v="0"/>
    <n v="6200"/>
    <n v="100"/>
    <d v="2020-01-21T00:00:00"/>
    <n v="27700"/>
    <n v="228782"/>
    <n v="256500"/>
    <n v="165000"/>
    <n v="1076"/>
    <n v="2363.5667183278169"/>
    <n v="107530.54"/>
    <n v="50594"/>
    <n v="52231"/>
    <n v="-37438.245699999999"/>
    <n v="78209.182669000002"/>
    <n v="0"/>
    <n v="0"/>
    <n v="0"/>
    <n v="0"/>
    <n v="5829.6405199999999"/>
    <n v="-80530.50847999999"/>
    <n v="178789.17572732779"/>
    <n v="1.0835707619838049"/>
    <n v="13789.175727327791"/>
    <n v="190141367.23912591"/>
    <n v="1.0201711197799872"/>
    <n v="0.94468981870133262"/>
    <n v="0.97831624472649725"/>
    <n v="0.95398123997023465"/>
    <n v="0.97428960579451296"/>
    <n v="116830.69848899999"/>
    <n v="56128.836718327817"/>
    <n v="5829.6405199999999"/>
    <n v="113826.9351755454"/>
    <n v="175785.41241387321"/>
    <n v="1.065366135841656"/>
    <n v="10785.412413873215"/>
    <n v="116325120.93733045"/>
  </r>
  <r>
    <n v="19111133433"/>
    <n v="0.19"/>
    <n v="8472"/>
    <n v="0"/>
    <s v="WA"/>
    <s v="WA"/>
    <n v="3"/>
    <s v="RES"/>
    <n v="158200"/>
    <n v="34100"/>
    <n v="0.19"/>
    <n v="0"/>
    <n v="0"/>
    <n v="0"/>
    <n v="27904.037"/>
    <n v="74398.407600000006"/>
    <n v="28057.302557794006"/>
    <n v="-1.6607312068216509"/>
    <s v="CO"/>
    <n v="2"/>
    <x v="5"/>
    <x v="1"/>
    <n v="0"/>
    <n v="0"/>
    <n v="57"/>
    <n v="103"/>
    <x v="1"/>
    <x v="2"/>
    <n v="1568"/>
    <n v="1232"/>
    <n v="336"/>
    <n v="0"/>
    <n v="0"/>
    <n v="0"/>
    <n v="0"/>
    <n v="0"/>
    <n v="0"/>
    <n v="5"/>
    <n v="0"/>
    <n v="0"/>
    <s v="CP"/>
    <n v="0"/>
    <s v="SP"/>
    <s v="G"/>
    <n v="0"/>
    <n v="3"/>
    <n v="0"/>
    <n v="0"/>
    <n v="100"/>
    <d v="2020-02-27T00:00:00"/>
    <n v="28800"/>
    <n v="111909"/>
    <n v="140700"/>
    <n v="170000"/>
    <n v="1039"/>
    <n v="2850.8015066082407"/>
    <n v="107530.54"/>
    <n v="48043"/>
    <n v="52231"/>
    <n v="-38179.597099999999"/>
    <n v="51498.510448000001"/>
    <n v="16665.982704000002"/>
    <n v="0"/>
    <n v="0"/>
    <n v="0"/>
    <n v="0"/>
    <n v="-77761.336719999992"/>
    <n v="162878.90083860821"/>
    <n v="0.95811118140357776"/>
    <n v="-7121.0991613917868"/>
    <n v="50710053.266374812"/>
    <n v="0.94192028401420091"/>
    <n v="0.94468981870133262"/>
    <n v="0.97831624472649725"/>
    <n v="0.95398123997023465"/>
    <n v="0.95472689685306633"/>
    <n v="106262.82933199999"/>
    <n v="56616.071506608234"/>
    <n v="0"/>
    <n v="101451.98129896735"/>
    <n v="158068.0528055756"/>
    <n v="0.92981207532691534"/>
    <n v="-11931.9471944244"/>
    <n v="142371363.85053229"/>
  </r>
  <r>
    <n v="19111041510"/>
    <n v="0.22"/>
    <n v="9365"/>
    <n v="0"/>
    <s v="WA"/>
    <s v="WA"/>
    <n v="3"/>
    <s v="RES"/>
    <n v="68300"/>
    <n v="35100"/>
    <n v="0.22"/>
    <n v="0"/>
    <n v="0"/>
    <n v="0"/>
    <n v="27904.037"/>
    <n v="74398.407600000006"/>
    <n v="32148.131325972645"/>
    <n v="-1.5141277326297755"/>
    <s v="TD"/>
    <n v="1"/>
    <x v="4"/>
    <x v="1"/>
    <n v="0"/>
    <n v="0"/>
    <n v="57"/>
    <n v="103"/>
    <x v="1"/>
    <x v="3"/>
    <n v="704"/>
    <n v="704"/>
    <n v="0"/>
    <n v="0"/>
    <n v="100"/>
    <n v="0"/>
    <n v="0"/>
    <n v="0"/>
    <n v="0"/>
    <n v="5"/>
    <n v="1"/>
    <n v="0"/>
    <s v="MT"/>
    <n v="0"/>
    <s v="SP"/>
    <s v="G"/>
    <n v="0"/>
    <n v="2"/>
    <n v="0"/>
    <n v="7200"/>
    <n v="100"/>
    <d v="2021-07-22T00:00:00"/>
    <n v="29400"/>
    <n v="82880"/>
    <n v="112300"/>
    <n v="116000"/>
    <n v="528"/>
    <n v="3266.4558907593068"/>
    <n v="107530.54"/>
    <n v="28034"/>
    <n v="52231"/>
    <n v="-38179.597099999999"/>
    <n v="29427.720256000001"/>
    <n v="0"/>
    <n v="0"/>
    <n v="0"/>
    <n v="0"/>
    <n v="6769.9051200000004"/>
    <n v="-39516.829439999994"/>
    <n v="149563.19472675928"/>
    <n v="1.2893378855755111"/>
    <n v="33563.194726759277"/>
    <n v="1126488040.2663617"/>
    <n v="0.96155115192232921"/>
    <n v="0.94468981870133262"/>
    <n v="0.97831624472649725"/>
    <n v="0.96050344212265792"/>
    <n v="0.96126516436820419"/>
    <n v="85761.563716000004"/>
    <n v="57031.725890759306"/>
    <n v="6769.9051200000004"/>
    <n v="82439.603641934955"/>
    <n v="146241.23465269426"/>
    <n v="1.2607002987301228"/>
    <n v="30241.234652694257"/>
    <n v="914532273.31931591"/>
  </r>
  <r>
    <n v="19111041555"/>
    <n v="0.15"/>
    <n v="6355"/>
    <n v="0"/>
    <s v="WA"/>
    <s v="WA"/>
    <n v="3"/>
    <s v="RES"/>
    <n v="96600"/>
    <n v="32300"/>
    <n v="0.15"/>
    <n v="0"/>
    <n v="0"/>
    <n v="0"/>
    <n v="27904.037"/>
    <n v="74398.407600000006"/>
    <n v="21461.101348304932"/>
    <n v="-1.8971199848858813"/>
    <s v="TD"/>
    <n v="1"/>
    <x v="4"/>
    <x v="1"/>
    <n v="0"/>
    <n v="0"/>
    <n v="57"/>
    <n v="103"/>
    <x v="1"/>
    <x v="3"/>
    <n v="748"/>
    <n v="748"/>
    <n v="0"/>
    <n v="0"/>
    <n v="242"/>
    <n v="0"/>
    <n v="0"/>
    <n v="0"/>
    <n v="264"/>
    <n v="5"/>
    <n v="1"/>
    <n v="0"/>
    <s v="CP"/>
    <n v="1"/>
    <s v="BH"/>
    <s v="E"/>
    <n v="0"/>
    <n v="2"/>
    <n v="0"/>
    <n v="4700"/>
    <n v="100"/>
    <d v="2021-03-12T00:00:00"/>
    <n v="27000"/>
    <n v="81260"/>
    <n v="108300"/>
    <n v="165000"/>
    <n v="660"/>
    <n v="2180.5852480364101"/>
    <n v="107530.54"/>
    <n v="28034"/>
    <n v="52231"/>
    <n v="-38179.597099999999"/>
    <n v="31266.952772000001"/>
    <n v="0"/>
    <n v="0"/>
    <n v="0"/>
    <n v="11437.530456"/>
    <n v="4419.2436200000002"/>
    <n v="-49396.036799999994"/>
    <n v="149524.21819603638"/>
    <n v="0.90620738300628112"/>
    <n v="-15475.781803963619"/>
    <n v="239499822.44389144"/>
    <n v="0.96155115192232921"/>
    <n v="0.94468981870133262"/>
    <n v="0.97831624472649725"/>
    <n v="0.96050344212265792"/>
    <n v="0.96126516436820419"/>
    <n v="89159.119328000015"/>
    <n v="55945.855248036409"/>
    <n v="4419.2436200000002"/>
    <n v="85705.555495754263"/>
    <n v="146070.65436379067"/>
    <n v="0.88527669311388291"/>
    <n v="-18929.345636209327"/>
    <n v="358320126.2150771"/>
  </r>
  <r>
    <n v="19111041569"/>
    <n v="0.14000000000000001"/>
    <n v="6226"/>
    <n v="0"/>
    <s v="WA"/>
    <s v="WA"/>
    <n v="3"/>
    <s v="RES"/>
    <n v="142300"/>
    <n v="31900"/>
    <n v="0.14000000000000001"/>
    <n v="0"/>
    <n v="0"/>
    <n v="0"/>
    <n v="27904.037"/>
    <n v="74398.407600000006"/>
    <n v="19535.921709596798"/>
    <n v="-1.9661128563728327"/>
    <s v="TD"/>
    <n v="1"/>
    <x v="6"/>
    <x v="1"/>
    <n v="0"/>
    <n v="0"/>
    <n v="57"/>
    <n v="103"/>
    <x v="1"/>
    <x v="3"/>
    <n v="676"/>
    <n v="676"/>
    <n v="0"/>
    <n v="0"/>
    <n v="0"/>
    <n v="0"/>
    <n v="0"/>
    <n v="0"/>
    <n v="0"/>
    <n v="5"/>
    <n v="0"/>
    <n v="0"/>
    <s v="CP"/>
    <n v="0"/>
    <s v="SP"/>
    <s v="E"/>
    <n v="0"/>
    <n v="2"/>
    <n v="0"/>
    <n v="0"/>
    <n v="100"/>
    <d v="2021-02-11T00:00:00"/>
    <n v="26900"/>
    <n v="51860"/>
    <n v="78800"/>
    <n v="125000"/>
    <n v="689"/>
    <n v="1984.9746755939761"/>
    <n v="107530.54"/>
    <n v="23424"/>
    <n v="52231"/>
    <n v="-38179.597099999999"/>
    <n v="28257.299564000001"/>
    <n v="0"/>
    <n v="0"/>
    <n v="0"/>
    <n v="0"/>
    <n v="0"/>
    <n v="-51566.468719999997"/>
    <n v="123681.74841959396"/>
    <n v="0.98945398735675172"/>
    <n v="-1318.2515804060386"/>
    <n v="1737787.2292430184"/>
    <n v="0.9679290033374609"/>
    <n v="0.94468981870133262"/>
    <n v="0.97831624472649725"/>
    <n v="0.96050344212265792"/>
    <n v="0.96285962722198715"/>
    <n v="67931.503744000001"/>
    <n v="55750.244675593975"/>
    <n v="0"/>
    <n v="65408.502371576862"/>
    <n v="121158.74704717084"/>
    <n v="0.96926997637736667"/>
    <n v="-3841.2529528291634"/>
    <n v="14755224.247618767"/>
  </r>
  <r>
    <n v="19111042452"/>
    <n v="0.16"/>
    <n v="6771"/>
    <n v="0"/>
    <s v="WA"/>
    <s v="WA"/>
    <n v="3"/>
    <s v="RES"/>
    <n v="109800"/>
    <n v="32800"/>
    <n v="0.16"/>
    <n v="0"/>
    <n v="0"/>
    <n v="0"/>
    <n v="27904.037"/>
    <n v="74398.407600000006"/>
    <n v="23261.986630052997"/>
    <n v="-1.8325814637483102"/>
    <s v="TD"/>
    <n v="1"/>
    <x v="4"/>
    <x v="1"/>
    <n v="0"/>
    <n v="0"/>
    <n v="57"/>
    <n v="102"/>
    <x v="1"/>
    <x v="3"/>
    <n v="896"/>
    <n v="896"/>
    <n v="0"/>
    <n v="0"/>
    <n v="0"/>
    <n v="0"/>
    <n v="0"/>
    <n v="0"/>
    <n v="0"/>
    <n v="5"/>
    <n v="0"/>
    <n v="0"/>
    <s v="CP"/>
    <n v="0"/>
    <s v="SP"/>
    <s v="E"/>
    <n v="0"/>
    <n v="1"/>
    <n v="0"/>
    <n v="0"/>
    <n v="100"/>
    <d v="2022-03-29T00:00:00"/>
    <n v="27400"/>
    <n v="68315"/>
    <n v="95700"/>
    <n v="165000"/>
    <n v="278"/>
    <n v="2363.5667183278169"/>
    <n v="107530.54"/>
    <n v="28034"/>
    <n v="52231"/>
    <n v="-37808.921399999999"/>
    <n v="37453.462143999997"/>
    <n v="0"/>
    <n v="0"/>
    <n v="0"/>
    <n v="0"/>
    <n v="0"/>
    <n v="-20806.209439999999"/>
    <n v="168997.43802232778"/>
    <n v="1.0242268971050168"/>
    <n v="3997.438022327784"/>
    <n v="15979510.742351865"/>
    <n v="0.96155115192232921"/>
    <n v="0.94468981870133262"/>
    <n v="0.97831624472649725"/>
    <n v="0.96050344212265792"/>
    <n v="0.96126516436820419"/>
    <n v="112868.601304"/>
    <n v="56128.836718327817"/>
    <n v="0"/>
    <n v="108496.65458449886"/>
    <n v="164625.49130282667"/>
    <n v="0.99773025032016172"/>
    <n v="-374.50869717332534"/>
    <n v="140256.76425846151"/>
  </r>
  <r>
    <n v="19111133479"/>
    <n v="0.17"/>
    <n v="7584"/>
    <n v="0"/>
    <s v="WA"/>
    <s v="WA"/>
    <n v="3"/>
    <s v="RES"/>
    <n v="60200"/>
    <n v="33200"/>
    <n v="0.17"/>
    <n v="0"/>
    <n v="0"/>
    <n v="0"/>
    <n v="27904.037"/>
    <n v="74398.407600000006"/>
    <n v="24953.658320329807"/>
    <n v="-1.7719568419318752"/>
    <s v="TD"/>
    <n v="1"/>
    <x v="7"/>
    <x v="1"/>
    <n v="0"/>
    <n v="0"/>
    <n v="57"/>
    <n v="103"/>
    <x v="1"/>
    <x v="3"/>
    <n v="680"/>
    <n v="680"/>
    <n v="0"/>
    <n v="0"/>
    <n v="0"/>
    <n v="0"/>
    <n v="0"/>
    <n v="0"/>
    <n v="0"/>
    <n v="5"/>
    <n v="0"/>
    <n v="0"/>
    <s v="CP"/>
    <n v="1"/>
    <s v="BH"/>
    <s v="E"/>
    <n v="0"/>
    <n v="2"/>
    <n v="0"/>
    <n v="0"/>
    <n v="100"/>
    <d v="2021-12-29T00:00:00"/>
    <n v="28000"/>
    <n v="49999"/>
    <n v="78000"/>
    <n v="125000"/>
    <n v="368"/>
    <n v="2535.4513887587586"/>
    <n v="107530.54"/>
    <n v="0"/>
    <n v="52231"/>
    <n v="-38179.597099999999"/>
    <n v="28424.502520000002"/>
    <n v="0"/>
    <n v="0"/>
    <n v="0"/>
    <n v="0"/>
    <n v="0"/>
    <n v="-27542.032639999998"/>
    <n v="124999.86416875877"/>
    <n v="0.99999891335007007"/>
    <n v="-0.13583124123397283"/>
    <n v="1.8450126095161723E-2"/>
    <n v="1.0652974599303737"/>
    <n v="0.94468981870133262"/>
    <n v="0.97831624472649725"/>
    <n v="0.96050344212265792"/>
    <n v="0.98720174137021544"/>
    <n v="68699.142779999995"/>
    <n v="56300.721388758757"/>
    <n v="0"/>
    <n v="67819.913383057064"/>
    <n v="124120.63477181582"/>
    <n v="0.99296507817452662"/>
    <n v="-879.3652281841787"/>
    <n v="773283.20453941263"/>
  </r>
  <r>
    <n v="19111042462"/>
    <n v="0.17"/>
    <n v="7243"/>
    <n v="0"/>
    <s v="WA"/>
    <s v="WA"/>
    <n v="3"/>
    <s v="RES"/>
    <n v="156000"/>
    <n v="33200"/>
    <n v="0.17"/>
    <n v="0"/>
    <n v="0"/>
    <n v="0"/>
    <n v="27904.037"/>
    <n v="74398.407600000006"/>
    <n v="24953.658320329807"/>
    <n v="-1.7719568419318752"/>
    <s v="TD"/>
    <n v="1"/>
    <x v="4"/>
    <x v="2"/>
    <n v="0"/>
    <n v="0"/>
    <n v="57"/>
    <n v="103"/>
    <x v="1"/>
    <x v="1"/>
    <n v="1248"/>
    <n v="1248"/>
    <n v="0"/>
    <n v="0"/>
    <n v="0"/>
    <n v="0"/>
    <n v="0"/>
    <n v="0"/>
    <n v="0"/>
    <n v="5"/>
    <n v="0"/>
    <n v="0"/>
    <s v="CP"/>
    <n v="1"/>
    <s v="ER"/>
    <s v="E"/>
    <n v="0"/>
    <n v="3"/>
    <n v="0"/>
    <n v="0"/>
    <n v="100"/>
    <d v="2021-09-27T00:00:00"/>
    <n v="27800"/>
    <n v="105388"/>
    <n v="133200"/>
    <n v="235000"/>
    <n v="461"/>
    <n v="2535.4513887587586"/>
    <n v="107530.54"/>
    <n v="28034"/>
    <n v="74543"/>
    <n v="-38179.597099999999"/>
    <n v="52167.322271999998"/>
    <n v="0"/>
    <n v="0"/>
    <n v="0"/>
    <n v="0"/>
    <n v="0"/>
    <n v="-34502.383279999995"/>
    <n v="192128.33328075876"/>
    <n v="0.81756737566280324"/>
    <n v="-42871.666719241242"/>
    <n v="1837979807.2856972"/>
    <n v="0.96155115192232921"/>
    <n v="0.97615416874759686"/>
    <n v="0.97831624472649725"/>
    <n v="0.96480930693869826"/>
    <n v="0.97020771808378037"/>
    <n v="135827.61189200002"/>
    <n v="56300.721388758757"/>
    <n v="0"/>
    <n v="131780.99738650667"/>
    <n v="188081.71877526544"/>
    <n v="0.80034773946921467"/>
    <n v="-46918.281224734557"/>
    <n v="2201325113.0832791"/>
  </r>
  <r>
    <n v="19111041569"/>
    <n v="0.14000000000000001"/>
    <n v="6226"/>
    <n v="0"/>
    <s v="WA"/>
    <s v="WA"/>
    <n v="3"/>
    <s v="RES"/>
    <n v="142300"/>
    <n v="31900"/>
    <n v="0.14000000000000001"/>
    <n v="0"/>
    <n v="0"/>
    <n v="0"/>
    <n v="27904.037"/>
    <n v="74398.407600000006"/>
    <n v="19535.921709596798"/>
    <n v="-1.9661128563728327"/>
    <s v="TD"/>
    <n v="1"/>
    <x v="6"/>
    <x v="2"/>
    <n v="0"/>
    <n v="0"/>
    <n v="57"/>
    <n v="103"/>
    <x v="1"/>
    <x v="3"/>
    <n v="676"/>
    <n v="676"/>
    <n v="0"/>
    <n v="0"/>
    <n v="0"/>
    <n v="0"/>
    <n v="0"/>
    <n v="0"/>
    <n v="0"/>
    <n v="5"/>
    <n v="0"/>
    <n v="0"/>
    <s v="CP"/>
    <n v="0"/>
    <s v="SP"/>
    <s v="E"/>
    <n v="0"/>
    <n v="2"/>
    <n v="0"/>
    <n v="0"/>
    <n v="100"/>
    <d v="2022-07-12T00:00:00"/>
    <n v="26900"/>
    <n v="59269"/>
    <n v="86200"/>
    <n v="188000"/>
    <n v="173"/>
    <n v="1984.9746755939761"/>
    <n v="107530.54"/>
    <n v="23424"/>
    <n v="74543"/>
    <n v="-38179.597099999999"/>
    <n v="28257.299564000001"/>
    <n v="0"/>
    <n v="0"/>
    <n v="0"/>
    <n v="0"/>
    <n v="0"/>
    <n v="-12947.749039999999"/>
    <n v="184612.46809959397"/>
    <n v="0.98198121329571264"/>
    <n v="-3387.5319004060293"/>
    <n v="11475372.376268484"/>
    <n v="0.9679290033374609"/>
    <n v="0.97615416874759686"/>
    <n v="0.97831624472649725"/>
    <n v="0.96050344212265792"/>
    <n v="0.97072571473355329"/>
    <n v="128862.223424"/>
    <n v="55750.244675593975"/>
    <n v="0"/>
    <n v="125089.87393541723"/>
    <n v="180840.11861101119"/>
    <n v="0.9619155245266553"/>
    <n v="-7159.8813889888115"/>
    <n v="51263901.504388355"/>
  </r>
  <r>
    <n v="19111514570"/>
    <n v="7.0000000000000007E-2"/>
    <n v="3216"/>
    <n v="0"/>
    <s v="WA"/>
    <s v="WA"/>
    <n v="3"/>
    <s v="RES"/>
    <n v="119200"/>
    <n v="26900"/>
    <n v="7.0000000000000007E-2"/>
    <n v="0"/>
    <n v="0"/>
    <n v="0"/>
    <n v="27904.037"/>
    <n v="74398.407600000006"/>
    <n v="194.31713680640678"/>
    <n v="-2.6592600369327779"/>
    <s v="TD"/>
    <n v="1"/>
    <x v="4"/>
    <x v="2"/>
    <n v="0"/>
    <n v="0"/>
    <n v="65"/>
    <n v="113"/>
    <x v="9"/>
    <x v="3"/>
    <n v="744"/>
    <n v="744"/>
    <n v="0"/>
    <n v="0"/>
    <n v="0"/>
    <n v="0"/>
    <n v="0"/>
    <n v="0"/>
    <n v="0"/>
    <n v="5"/>
    <n v="0"/>
    <n v="0"/>
    <s v="CP"/>
    <n v="1"/>
    <s v="FD"/>
    <s v="G"/>
    <n v="0"/>
    <n v="2"/>
    <n v="0"/>
    <n v="0"/>
    <n v="100"/>
    <d v="2020-10-14T00:00:00"/>
    <n v="23300"/>
    <n v="62548"/>
    <n v="85800"/>
    <n v="130000"/>
    <n v="809"/>
    <n v="19.743864729206489"/>
    <n v="107530.54"/>
    <n v="28034"/>
    <n v="74543"/>
    <n v="-41886.354100000004"/>
    <n v="31099.749816"/>
    <n v="0"/>
    <n v="0"/>
    <n v="0"/>
    <n v="0"/>
    <n v="0"/>
    <n v="-60547.566319999998"/>
    <n v="138793.11326072918"/>
    <n v="1.0676393327748399"/>
    <n v="8793.1132607291802"/>
    <n v="77318840.816011354"/>
    <n v="0.96155115192232921"/>
    <n v="0.97615416874759686"/>
    <n v="0.90261770908952543"/>
    <n v="0.96050344212265792"/>
    <n v="0.9502066179705273"/>
    <n v="85008.099396000005"/>
    <n v="53785.013864729204"/>
    <n v="0"/>
    <n v="80775.258627175586"/>
    <n v="134560.27249190479"/>
    <n v="1.0350790191684984"/>
    <n v="4560.2724919047905"/>
    <n v="20796085.2004235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D36F96-FF72-4A77-9724-2A25594722E5}" name="PivotTable4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4:B21" firstHeaderRow="1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0"/>
        <item x="4"/>
        <item x="2"/>
        <item x="5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7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Average Ratio" fld="68" subtotal="average" baseField="2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3C3537-DE46-4670-A674-58CD52A71D60}" name="PivotTable4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0" firstHeaderRow="1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3"/>
        <item x="1"/>
        <item x="4"/>
        <item x="6"/>
        <item x="5"/>
        <item x="2"/>
        <item x="0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7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erage Ratio" fld="68" subtotal="average" baseField="2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E1043C-C262-4DB3-9C2F-429220B0659F}" name="PivotTable44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6:F23" firstHeaderRow="1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5"/>
        <item x="3"/>
        <item x="1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7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Average Ratio" fld="68" subtotal="average" baseField="2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A694F1-336B-4A95-9475-0B516CFB9564}" name="PivotTable43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:F12" firstHeaderRow="1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0"/>
        <item x="2"/>
        <item x="3"/>
        <item x="4"/>
        <item x="5"/>
        <item x="6"/>
        <item x="7"/>
        <item x="8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7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Average Ratio" fld="68" subtotal="average" baseField="2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A7D87F-2EF7-48DB-B1DA-13638D336499}" name="Wapato_Sales" displayName="Wapato_Sales" ref="A1:CH58" totalsRowShown="0">
  <autoFilter ref="A1:CH58" xr:uid="{85A7D87F-2EF7-48DB-B1DA-13638D33649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</autoFilter>
  <tableColumns count="86">
    <tableColumn id="1" xr3:uid="{F60BD190-A51B-43A5-9670-F9D4D0FFD630}" name="parcel_id"/>
    <tableColumn id="2" xr3:uid="{2067A1A7-E92E-4676-A21C-C0A89C95219C}" name="total_acres"/>
    <tableColumn id="3" xr3:uid="{A12FBEC4-55CC-4572-B52D-169233EF150A}" name="total_sqft"/>
    <tableColumn id="4" xr3:uid="{69B3B0D3-01C4-4FF9-9D0D-A12C7C9BB78E}" name="unimproved_acres"/>
    <tableColumn id="5" xr3:uid="{E5EBD81E-2CF6-4925-A9B3-44E4C9E542D1}" name="nbhd"/>
    <tableColumn id="6" xr3:uid="{C615986E-A0B3-4AB2-A2EF-5AC51A5577EC}" name="treated_as"/>
    <tableColumn id="7" xr3:uid="{0CF1C9FE-794B-477A-85CE-69FF1F7A67B3}" name="inspct_cycle"/>
    <tableColumn id="8" xr3:uid="{4F2AC960-CC69-4A69-B05A-659D0FCABEF7}" name="prop_type"/>
    <tableColumn id="9" xr3:uid="{E153B25E-B6B0-4889-A235-C74D05EE6BEB}" name="prev_imp"/>
    <tableColumn id="10" xr3:uid="{467489AF-AF4E-44BD-A7DE-7A908F86749A}" name="prev_land"/>
    <tableColumn id="11" xr3:uid="{427E59AF-69B0-4EEE-8089-39E9A0190043}" name="parcel_acres"/>
    <tableColumn id="12" xr3:uid="{856D435B-FBB5-4686-9D44-8929E12CF56C}" name="non_valued_acres"/>
    <tableColumn id="13" xr3:uid="{AEA93E12-8EDE-43B9-8BDC-E6AB14DAC081}" name="unbuildable"/>
    <tableColumn id="14" xr3:uid="{A0E0E79A-8967-42BE-BB03-72C92DE15EB7}" name="no_utilities"/>
    <tableColumn id="15" xr3:uid="{28D25CE3-0AD0-490D-8EA5-FF36264603D6}" name="coeff"/>
    <tableColumn id="16" xr3:uid="{D3001059-2DB6-43BC-B06A-EE07D77EE3EE}" name="const"/>
    <tableColumn id="17" xr3:uid="{5CE04149-A174-4ED8-972E-7A82ED20C80B}" name="land_extract">
      <calculatedColumnFormula>(R2*O2)+P2</calculatedColumnFormula>
    </tableColumn>
    <tableColumn id="18" xr3:uid="{AF5A1A1D-346B-4225-81DC-2AA66A818614}" name="ln_acres">
      <calculatedColumnFormula>LN(K2)</calculatedColumnFormula>
    </tableColumn>
    <tableColumn id="19" xr3:uid="{6081B0CA-5CA7-49C0-8818-6DE85A20E2BC}" name="bldg_style"/>
    <tableColumn id="20" xr3:uid="{F8F3A33F-5305-4F74-84AB-DC4EEC317B13}" name="num_stories"/>
    <tableColumn id="21" xr3:uid="{CB614848-9408-444B-93A6-26ACF58AE872}" name="quality"/>
    <tableColumn id="22" xr3:uid="{4ABA2361-D426-49D9-9638-10F3563ECE8D}" name="condition"/>
    <tableColumn id="23" xr3:uid="{EB031158-A734-408F-99DE-DCF6F362B00C}" name="quality_rank"/>
    <tableColumn id="24" xr3:uid="{568C2B3A-6C00-43D8-8DDF-70358C3D7334}" name="condition_rank"/>
    <tableColumn id="25" xr3:uid="{57C7B14D-1DB6-4B3B-B29D-6EFB426B187E}" name="Eff_Age"/>
    <tableColumn id="26" xr3:uid="{FB0CB84D-E973-46D1-9C72-31AAA8A8A209}" name="Age"/>
    <tableColumn id="27" xr3:uid="{0FAFCF27-B180-435D-B3E6-BF3D59D2935E}" name="decade"/>
    <tableColumn id="28" xr3:uid="{B960119C-606A-4E1F-976C-733F8E77476E}" name="living_area_range"/>
    <tableColumn id="29" xr3:uid="{2B851370-BDB5-4CA7-BD09-DED4767975CD}" name="living_area"/>
    <tableColumn id="30" xr3:uid="{A7062F2F-CC41-45BF-B912-4A63CAC9143C}" name="Main Floor"/>
    <tableColumn id="31" xr3:uid="{E9C4585E-C7AC-444A-96BE-5F8FAF8456AA}" name="Upper Floor"/>
    <tableColumn id="32" xr3:uid="{D7B74C60-529D-4E57-863E-1D75243DAED9}" name="Fin BSMT"/>
    <tableColumn id="33" xr3:uid="{CD40FBF0-927A-41C9-828A-BBDFD5A301B1}" name="UnFin BSMT"/>
    <tableColumn id="34" xr3:uid="{E445F77E-AD52-4F72-9A24-831D4F86DF59}" name="garage_sqft"/>
    <tableColumn id="35" xr3:uid="{F1EA5E65-3F0E-444F-838C-124C2453F7FF}" name="Carport"/>
    <tableColumn id="36" xr3:uid="{163DE8F6-15F9-4AE4-BD5B-93EB37BECDAC}" name="Wood Deck"/>
    <tableColumn id="37" xr3:uid="{650BB348-425D-49C5-824F-22AB0A31682F}" name="Patio"/>
    <tableColumn id="38" xr3:uid="{065B8552-49FD-4684-A56D-E826156EC5AD}" name="Plumbing Fixtures"/>
    <tableColumn id="39" xr3:uid="{24F89791-51F0-4A93-9CB4-47625D7EF546}" name="stove"/>
    <tableColumn id="40" xr3:uid="{A68403DA-3A70-492C-BEAF-0BA9423F6482}" name="fireplace"/>
    <tableColumn id="41" xr3:uid="{600C0F8C-7FC8-4BA6-BB28-58D74F496699}" name="roofing"/>
    <tableColumn id="42" xr3:uid="{30E43626-903F-4F0B-9D16-A83ADFDE103E}" name="heating"/>
    <tableColumn id="43" xr3:uid="{AA96C087-DE3A-41B6-B608-F73DE2781207}" name="heat_type"/>
    <tableColumn id="44" xr3:uid="{533B357A-E974-4811-81FF-49FBBAD94758}" name="fuel_type"/>
    <tableColumn id="45" xr3:uid="{DEF389EF-4937-4EFC-BD7F-85ABF88CB8C8}" name="ac"/>
    <tableColumn id="46" xr3:uid="{0121807B-0264-4D17-B8EC-52D8782969F2}" name="num_bedrooms"/>
    <tableColumn id="47" xr3:uid="{3306BCA9-6D75-42C6-8902-EB72BC3E7F12}" name="crop_value"/>
    <tableColumn id="48" xr3:uid="{7E8BAD3D-C9A3-4B67-9DA0-C9DE4D563713}" name="detatched_value"/>
    <tableColumn id="49" xr3:uid="{5715124B-6951-4EC0-9E84-6DF5B2FED96B}" name="pct_complete"/>
    <tableColumn id="50" xr3:uid="{1478548F-2BE5-43BD-B326-BD644B68D8D2}" name="sale_date" dataDxfId="57"/>
    <tableColumn id="51" xr3:uid="{BF5B0960-4900-4E57-BF44-47C5987DCFF7}" name="assessed_land"/>
    <tableColumn id="52" xr3:uid="{4830936F-49C0-410D-B5A4-DEEB1D3F9125}" name="assessed_imp"/>
    <tableColumn id="53" xr3:uid="{088E6AA0-7C5B-4300-A1D4-7F3D7B153338}" name="assessed_total"/>
    <tableColumn id="54" xr3:uid="{44442A26-1593-4868-AD75-7AC5CA31AEC5}" name="sale_price"/>
    <tableColumn id="55" xr3:uid="{C9703CF9-F840-44AD-B63E-AD4C7041314C}" name="days_prior"/>
    <tableColumn id="56" xr3:uid="{16CBE619-CA26-4924-B7F6-6194E594D0D7}" name="land_value" dataDxfId="56">
      <calculatedColumnFormula>Wapato_Sales[[#This Row],[land_extract]]*Lookups!$B$3</calculatedColumnFormula>
    </tableColumn>
    <tableColumn id="57" xr3:uid="{9D812B6E-FD1F-46DF-8281-986179DE0E9E}" name="intercept" dataDxfId="55">
      <calculatedColumnFormula>Lookups!$B$2</calculatedColumnFormula>
    </tableColumn>
    <tableColumn id="58" xr3:uid="{E9DD9294-2137-49C7-A9B7-BCE85F40AD30}" name="quality_value" dataDxfId="54">
      <calculatedColumnFormula>VLOOKUP(Wapato_Sales[[#This Row],[quality]],Lookups!$H$2:$J$11,3,FALSE)</calculatedColumnFormula>
    </tableColumn>
    <tableColumn id="59" xr3:uid="{DA4D1069-6501-4C7D-A4BB-8EBEA7F78623}" name="condition_value" dataDxfId="53">
      <calculatedColumnFormula>VLOOKUP(Wapato_Sales[[#This Row],[condition]],Lookups!$H$17:$J$24,3,FALSE)</calculatedColumnFormula>
    </tableColumn>
    <tableColumn id="60" xr3:uid="{3728597E-865D-45E9-B8B5-BAF951F60213}" name="age_value" dataDxfId="52">
      <calculatedColumnFormula>Wapato_Sales[[#This Row],[Age]]*Lookups!$B$16</calculatedColumnFormula>
    </tableColumn>
    <tableColumn id="61" xr3:uid="{3696C9E3-9D97-4CCE-84A8-E739E64D2E9F}" name="main_value" dataDxfId="51">
      <calculatedColumnFormula>Wapato_Sales[[#This Row],[Main Floor]]*Lookups!$B$17</calculatedColumnFormula>
    </tableColumn>
    <tableColumn id="62" xr3:uid="{DCB854AF-10B5-45C3-B89E-328560B1F8FA}" name="upper_value" dataDxfId="50">
      <calculatedColumnFormula>Wapato_Sales[[#This Row],[Upper Floor]]*Lookups!$B$18</calculatedColumnFormula>
    </tableColumn>
    <tableColumn id="63" xr3:uid="{C6EC3EE8-F1E4-4E95-B8EA-35C6C516A307}" name="fin_bsmt_value" dataDxfId="49">
      <calculatedColumnFormula>Wapato_Sales[[#This Row],[Fin BSMT]]*Lookups!$B$19</calculatedColumnFormula>
    </tableColumn>
    <tableColumn id="64" xr3:uid="{44E91F46-3523-48C4-948C-316914C41A61}" name="garage_value" dataDxfId="48">
      <calculatedColumnFormula>Wapato_Sales[[#This Row],[garage_sqft]]*Lookups!$B$20</calculatedColumnFormula>
    </tableColumn>
    <tableColumn id="65" xr3:uid="{A8F4BB24-2B21-4CD2-BD12-8B0B23F67BBA}" name="patio_value" dataDxfId="47">
      <calculatedColumnFormula>Wapato_Sales[[#This Row],[Patio]]*Lookups!$B$21</calculatedColumnFormula>
    </tableColumn>
    <tableColumn id="66" xr3:uid="{F8D263CE-993A-40A0-8180-4DE98F1A8666}" name="det_value" dataDxfId="46">
      <calculatedColumnFormula>Wapato_Sales[[#This Row],[detatched_value]]*Lookups!$B$22</calculatedColumnFormula>
    </tableColumn>
    <tableColumn id="67" xr3:uid="{266B6458-A04B-422D-8FD7-102DEC2002D5}" name="days_prior_value" dataDxfId="45">
      <calculatedColumnFormula>Wapato_Sales[[#This Row],[days_prior]]*Lookups!$B$23</calculatedColumnFormula>
    </tableColumn>
    <tableColumn id="68" xr3:uid="{35A46F1A-78CC-4A87-9CCA-45DE3E43BDF4}" name="predicted_total" dataDxfId="44">
      <calculatedColumnFormula>SUM(Wapato_Sales[[#This Row],[land_value]:[days_prior_value]])</calculatedColumnFormula>
    </tableColumn>
    <tableColumn id="69" xr3:uid="{A1ABBBE7-37AF-42F1-A722-FE730119DAB3}" name="predicted_ratio" dataDxfId="43">
      <calculatedColumnFormula>Wapato_Sales[[#This Row],[predicted_total]]/Wapato_Sales[[#This Row],[sale_price]]</calculatedColumnFormula>
    </tableColumn>
    <tableColumn id="70" xr3:uid="{1D90E6B0-BFCF-440F-939A-D3B4118588FF}" name="pred_var" dataDxfId="42">
      <calculatedColumnFormula>Wapato_Sales[[#This Row],[predicted_total]]-Wapato_Sales[[#This Row],[sale_price]]</calculatedColumnFormula>
    </tableColumn>
    <tableColumn id="71" xr3:uid="{A4E5DAD8-0ED1-425F-870B-D54672CC56D0}" name="pred_var^2" dataDxfId="41">
      <calculatedColumnFormula>Wapato_Sales[[#This Row],[pred_var]]*Wapato_Sales[[#This Row],[pred_var]]</calculatedColumnFormula>
    </tableColumn>
    <tableColumn id="73" xr3:uid="{F3009909-73BB-451D-B538-0AB6514A6200}" name="qual_adj" dataDxfId="40">
      <calculatedColumnFormula>VLOOKUP(Wapato_Sales[[#This Row],[quality]],Lookups!$A$28:$C$37,3,FALSE)</calculatedColumnFormula>
    </tableColumn>
    <tableColumn id="74" xr3:uid="{643607B4-E44E-42F4-AC5F-B4B4740240CB}" name="cond_adj" dataDxfId="39">
      <calculatedColumnFormula>VLOOKUP(Wapato_Sales[[#This Row],[condition]],Lookups!$A$41:$C$48,3,FALSE)</calculatedColumnFormula>
    </tableColumn>
    <tableColumn id="75" xr3:uid="{0F095CE7-92BF-41D1-8A02-C5A58E678BEE}" name="decade_adj" dataDxfId="38">
      <calculatedColumnFormula>VLOOKUP(Wapato_Sales[[#This Row],[decade]],Lookups!$F$28:$H$43,3,FALSE)</calculatedColumnFormula>
    </tableColumn>
    <tableColumn id="76" xr3:uid="{FD717305-2C47-4572-8F84-9C575F07428C}" name="size_adj" dataDxfId="37">
      <calculatedColumnFormula>VLOOKUP(Wapato_Sales[[#This Row],[living_area_range]],Lookups!$K$28:$M$37,3,FALSE)</calculatedColumnFormula>
    </tableColumn>
    <tableColumn id="77" xr3:uid="{5E1264DB-6598-4D2B-923D-352CFB4E03B1}" name="overall_adj" dataDxfId="36">
      <calculatedColumnFormula>AVERAGE(Wapato_Sales[[#This Row],[qual_adj]:[size_adj]])</calculatedColumnFormula>
    </tableColumn>
    <tableColumn id="78" xr3:uid="{6D31E02B-1296-4FE0-A5BD-084B971AFCFE}" name="summed_res" dataDxfId="35">
      <calculatedColumnFormula>SUM(Wapato_Sales[[#This Row],[quality_value]:[days_prior_value]])+(Wapato_Sales[[#This Row],[intercept]]*0.5)-Wapato_Sales[[#This Row],[det_value]]</calculatedColumnFormula>
    </tableColumn>
    <tableColumn id="79" xr3:uid="{D2266EE6-6AD7-40F3-8822-1AB7E4BA7A4F}" name="final_land" dataDxfId="34">
      <calculatedColumnFormula>Wapato_Sales[[#This Row],[land_value]]+(0.5*Wapato_Sales[[#This Row],[intercept]])</calculatedColumnFormula>
    </tableColumn>
    <tableColumn id="80" xr3:uid="{5259071D-5E7B-44C8-BE64-F617ADEB2743}" name="final_det" dataDxfId="33">
      <calculatedColumnFormula>Wapato_Sales[[#This Row],[det_value]]</calculatedColumnFormula>
    </tableColumn>
    <tableColumn id="81" xr3:uid="{F76C6555-E837-4D51-AFE4-E93E9A59220E}" name="final_res" dataDxfId="32">
      <calculatedColumnFormula>Wapato_Sales[[#This Row],[summed_res]]*Wapato_Sales[[#This Row],[overall_adj]]</calculatedColumnFormula>
    </tableColumn>
    <tableColumn id="82" xr3:uid="{232BA6D5-D3F3-4BF3-B5D6-A89E3741AF61}" name="final_total" dataDxfId="31">
      <calculatedColumnFormula>Wapato_Sales[[#This Row],[final_res]]+Wapato_Sales[[#This Row],[final_det]]+Wapato_Sales[[#This Row],[final_land]]</calculatedColumnFormula>
    </tableColumn>
    <tableColumn id="86" xr3:uid="{40AD5B70-8DE9-4027-BCBB-EB1873DC8EA0}" name="final_ratio" dataDxfId="4">
      <calculatedColumnFormula>Wapato_Sales[[#This Row],[final_total]]/Wapato_Sales[[#This Row],[sale_price]]</calculatedColumnFormula>
    </tableColumn>
    <tableColumn id="83" xr3:uid="{D9942A24-11E3-4FD8-849D-06C36F2132AD}" name="SSE" dataDxfId="3">
      <calculatedColumnFormula>(Wapato_Sales[[#This Row],[final_total]]-Wapato_Sales[[#This Row],[sale_price]])^2</calculatedColumnFormula>
    </tableColumn>
    <tableColumn id="84" xr3:uid="{FACD296E-FA9A-40C6-842B-46AE4185A1E9}" name="SSR" dataDxfId="2">
      <calculatedColumnFormula>(Wapato_Sales[[#This Row],[final_total]]-AVERAGE(Wapato_Sales[sale_price]))^2</calculatedColumnFormula>
    </tableColumn>
    <tableColumn id="85" xr3:uid="{F3B78CC1-3381-4CFC-87C0-54FD5B7FB156}" name="SST" dataDxfId="0">
      <calculatedColumnFormula>Wapato_Sales[[#This Row],[SSE]]+Wapato_Sales[[#This Row],[SSR]]</calculatedColumnFormula>
    </tableColumn>
    <tableColumn id="72" xr3:uid="{DB906DAC-9C3B-407C-8559-A39326673EAC}" name="ABS Deviation from Median" dataDxfId="1">
      <calculatedColumnFormula>ABS(Wapato_Sales[[#This Row],[final_ratio]]-MEDIAN(Wapato_Sales[final_ratio]))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FFC0BD-5D94-4B5D-81F7-5EE4EC7CBBD7}" name="Wapato_Inventory" displayName="Wapato_Inventory" ref="A1:CF1345" totalsRowShown="0">
  <autoFilter ref="A1:CF1345" xr:uid="{31FFC0BD-5D94-4B5D-81F7-5EE4EC7CBB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</autoFilter>
  <sortState xmlns:xlrd2="http://schemas.microsoft.com/office/spreadsheetml/2017/richdata2" ref="A2:CF1205">
    <sortCondition ref="BI2:BI1205"/>
  </sortState>
  <tableColumns count="84">
    <tableColumn id="1" xr3:uid="{9B8B4062-A056-480C-86AB-C346C14E405C}" name="parcel_id"/>
    <tableColumn id="2" xr3:uid="{987A49BD-3E35-412B-8392-7AF10D5A8B38}" name="total_acres"/>
    <tableColumn id="3" xr3:uid="{5A2FBD14-C729-4348-957B-44A7574D40E8}" name="total_sqft"/>
    <tableColumn id="4" xr3:uid="{29729AD9-DAB9-4CD0-AA64-E7305FA536A5}" name="unimproved_acres"/>
    <tableColumn id="5" xr3:uid="{C2362543-B855-4B40-80B1-1E2625EF87F7}" name="nbhd"/>
    <tableColumn id="6" xr3:uid="{98B532B2-01A6-455E-9807-6ADC4B73820C}" name="treated_as"/>
    <tableColumn id="7" xr3:uid="{2522C829-5489-460D-99F7-A003AFE74D23}" name="inspct_cycle"/>
    <tableColumn id="8" xr3:uid="{18BE8B90-34AC-46E5-A29B-F1BBFB8E41B1}" name="prop_type"/>
    <tableColumn id="9" xr3:uid="{5CAE09BD-4721-4B4C-A22C-AA4B478DCF05}" name="prev_imp"/>
    <tableColumn id="10" xr3:uid="{67DB1AEA-5C5D-40C7-84DA-B3197F565566}" name="prev_land"/>
    <tableColumn id="11" xr3:uid="{2C2CD275-57BB-4DD1-9B6E-63EB8D81E40F}" name="parcel_acres"/>
    <tableColumn id="71" xr3:uid="{CF1EDF96-731B-4090-8503-B2D94255C3FB}" name="ln_acres">
      <calculatedColumnFormula>LN(Wapato_Inventory[[#This Row],[parcel_acres]])</calculatedColumnFormula>
    </tableColumn>
    <tableColumn id="12" xr3:uid="{15A66346-92A4-4441-AE4A-F5D30AFECBFD}" name="non_valued_acres"/>
    <tableColumn id="13" xr3:uid="{E3A6B24C-4719-42E9-ACD5-E24A215B1AE7}" name="unbuildable"/>
    <tableColumn id="14" xr3:uid="{7BE7FD69-9D56-4D3A-9CA2-767736FC0FD8}" name="no_utilities"/>
    <tableColumn id="15" xr3:uid="{45316DC3-F134-4485-B8D7-5DEE5B2183C5}" name="coeff"/>
    <tableColumn id="16" xr3:uid="{4ED1F0CA-A9FE-4013-BEDF-BD51B54ED311}" name="const"/>
    <tableColumn id="17" xr3:uid="{53C51ACE-8491-44AB-A614-8327FF1C7868}" name="land_extract" dataDxfId="30">
      <calculatedColumnFormula>(Wapato_Inventory[[#This Row],[ln_acres]]*Wapato_Inventory[[#This Row],[coeff]])+Wapato_Inventory[[#This Row],[const]]</calculatedColumnFormula>
    </tableColumn>
    <tableColumn id="18" xr3:uid="{5BB502AC-1680-4E35-B8A2-1CB3EA0726EB}" name="bldg_style"/>
    <tableColumn id="19" xr3:uid="{9BE10969-A99F-41D9-9ABF-8F3274E9A191}" name="num_stories"/>
    <tableColumn id="20" xr3:uid="{55B1EEB9-3FDE-4797-A072-B5CE133D3ADE}" name="quality"/>
    <tableColumn id="21" xr3:uid="{EB180AF1-86E0-4F46-852D-591A57C54935}" name="condition"/>
    <tableColumn id="22" xr3:uid="{D803A8B2-5AC4-4E50-90EB-91E768CC34F7}" name="quality_rank"/>
    <tableColumn id="23" xr3:uid="{B00C3E72-037A-4443-8BBB-F200FE03055B}" name="condition_rank"/>
    <tableColumn id="24" xr3:uid="{C77EDA05-6BCC-490A-B0AA-3506785F1421}" name="Eff_Age"/>
    <tableColumn id="25" xr3:uid="{B239028B-BB35-408D-973B-2D3561440097}" name="Age"/>
    <tableColumn id="26" xr3:uid="{D8B01D78-1DA6-49D6-B1BD-6186A2AD97FD}" name="decade"/>
    <tableColumn id="27" xr3:uid="{E55AE2FC-2ACC-48B5-8B0F-B7AD05832654}" name="living_area_range"/>
    <tableColumn id="28" xr3:uid="{98EB82A5-9795-4EEE-88C0-F6DBAA9DA63D}" name="living_area"/>
    <tableColumn id="29" xr3:uid="{E639F086-3B53-4874-8FF4-29BE75C76512}" name="Main Floor"/>
    <tableColumn id="30" xr3:uid="{A15C42F5-559A-4B02-90E2-7C30F8E3D0C6}" name="Upper Floor"/>
    <tableColumn id="75" xr3:uid="{B549D168-C2BB-4783-BBED-32C06EA35542}" name="addl_area"/>
    <tableColumn id="31" xr3:uid="{5B65CFF5-6D20-4EE7-AE0E-D50D6EA2E0E4}" name="Fin BSMT"/>
    <tableColumn id="32" xr3:uid="{8E2ECBA5-8896-4A8E-9B5C-6F2B516075A8}" name="UnFin BSMT"/>
    <tableColumn id="76" xr3:uid="{53B614ED-BE36-4128-A5CE-A26D03469B69}" name="att_gar"/>
    <tableColumn id="33" xr3:uid="{44848537-AE98-479C-B32A-1DDAABC100F9}" name="blt_gar"/>
    <tableColumn id="34" xr3:uid="{9914021F-63A3-43E5-BBCA-5BD86E7AD7E5}" name="Carport"/>
    <tableColumn id="35" xr3:uid="{DC3A8638-DF52-411A-9D57-77CFD2CC3CB5}" name="Wood Deck"/>
    <tableColumn id="36" xr3:uid="{220592CA-0A45-404A-83A4-7A3D5326CF66}" name="Patio"/>
    <tableColumn id="78" xr3:uid="{9962EB0E-78F3-4525-B4AA-7C313036D9B3}" name="cov_porch"/>
    <tableColumn id="77" xr3:uid="{4464FF82-FBC2-4C4B-8421-6C7F792D3C9B}" name="cov_sf"/>
    <tableColumn id="37" xr3:uid="{95145068-C26D-4EF5-A18D-48BE21C7D35E}" name="Plumbing Fixtures"/>
    <tableColumn id="38" xr3:uid="{B40F97BF-35BF-49B2-98D2-7B0035F659F1}" name="stove"/>
    <tableColumn id="39" xr3:uid="{17029203-7094-47BB-A409-2A62F480236E}" name="fireplace"/>
    <tableColumn id="40" xr3:uid="{CFB07426-AF80-442C-90D1-B4C9BACE72CA}" name="roofing"/>
    <tableColumn id="41" xr3:uid="{3A995B3F-9193-40F8-808E-7A173EFEF0A8}" name="heating"/>
    <tableColumn id="42" xr3:uid="{9FD16252-DA35-4628-8927-565ABFA5DDF1}" name="heat_type"/>
    <tableColumn id="43" xr3:uid="{4C42B044-9EFA-4CD3-A6D3-DFD6BCB71D92}" name="fuel_type"/>
    <tableColumn id="44" xr3:uid="{6755ABA7-F1B6-475F-9365-564E2D37B2AA}" name="ac"/>
    <tableColumn id="45" xr3:uid="{533A2EDC-B329-40BF-9147-AD7A5D47CCA0}" name="num_bedrooms"/>
    <tableColumn id="46" xr3:uid="{BCC6E12E-0A5D-4E0B-A553-C526B05621F0}" name="crop_value"/>
    <tableColumn id="47" xr3:uid="{2C33A143-DC4D-4CCA-8C8E-D18BBB27CEDA}" name="detatched_value"/>
    <tableColumn id="72" xr3:uid="{C155A635-6AC5-4AFF-817E-F03EF8554FDB}" name="phy_pct"/>
    <tableColumn id="73" xr3:uid="{8B579FF8-06F8-44BA-9F0B-DCDEFC7945B9}" name="fun_pct"/>
    <tableColumn id="74" xr3:uid="{9D9F21B2-6D67-4A0B-B685-A11035833FE9}" name="econ_pct"/>
    <tableColumn id="48" xr3:uid="{552775C5-5258-46C1-978B-EB2CCBA7EA98}" name="pct_complete"/>
    <tableColumn id="79" xr3:uid="{8F85B3D6-2FFB-4F09-9EFB-492959F99360}" name="res_pct"/>
    <tableColumn id="83" xr3:uid="{D394FB65-39C4-42BE-BDFC-93234A2E4D52}" name="min_land"/>
    <tableColumn id="84" xr3:uid="{684E83D0-7B19-47E8-9B91-72CBA8B14401}" name="min_res"/>
    <tableColumn id="49" xr3:uid="{160CFF2B-44B1-4267-9CD1-98D6F387EE83}" name="det_value" dataDxfId="29">
      <calculatedColumnFormula>ROUND(Wapato_Inventory[[#This Row],[detatched_value]]*Lookups!$B$22*Lookups!$H$48,-2)</calculatedColumnFormula>
    </tableColumn>
    <tableColumn id="50" xr3:uid="{B94C9705-68F9-4A4F-8FB6-2C86E2969B44}" name="land_value" dataDxfId="28">
      <calculatedColumnFormula>ROUND(((Wapato_Inventory[[#This Row],[land_extract]]*Lookups!$B$3) +(Lookups!$B$2*0.5))*Lookups!$H$48,-2)</calculatedColumnFormula>
    </tableColumn>
    <tableColumn id="51" xr3:uid="{B74AAD48-76D2-40DE-9AF5-723519567E62}" name="intercept" dataDxfId="27">
      <calculatedColumnFormula>IF(Wapato_Inventory[[#This Row],[bldg_style]]="",0,Lookups!$B$2*0.5)</calculatedColumnFormula>
    </tableColumn>
    <tableColumn id="52" xr3:uid="{40B7C243-E0A6-4426-9644-8866109CBB2C}" name="quality_value" dataDxfId="26">
      <calculatedColumnFormula>_xlfn.IFNA(VLOOKUP(Wapato_Inventory[[#This Row],[quality]],Lookups!$H$2:$J$14,3,FALSE),0)</calculatedColumnFormula>
    </tableColumn>
    <tableColumn id="53" xr3:uid="{B6C27872-F2A0-4308-818D-FC0FD094E68B}" name="condition_value" dataDxfId="25">
      <calculatedColumnFormula>_xlfn.IFNA(VLOOKUP(Wapato_Inventory[[#This Row],[condition]],Lookups!$H$17:$J$24,3,FALSE),0)</calculatedColumnFormula>
    </tableColumn>
    <tableColumn id="54" xr3:uid="{85C2186F-117C-4EDD-83CA-BB123D76E65B}" name="age_value" dataDxfId="24">
      <calculatedColumnFormula>Wapato_Inventory[[#This Row],[Age]]*Lookups!$B$16</calculatedColumnFormula>
    </tableColumn>
    <tableColumn id="55" xr3:uid="{F78D2214-C5C3-42AB-8E1B-F1A33194251D}" name="main_value" dataDxfId="23">
      <calculatedColumnFormula>Wapato_Inventory[[#This Row],[Main Floor]]*Lookups!$B$17</calculatedColumnFormula>
    </tableColumn>
    <tableColumn id="56" xr3:uid="{88B881C3-AD48-4D40-8728-13B7B52ADFE8}" name="upper_value" dataDxfId="22">
      <calculatedColumnFormula>Wapato_Inventory[[#This Row],[Upper Floor]]*Lookups!$B$18</calculatedColumnFormula>
    </tableColumn>
    <tableColumn id="57" xr3:uid="{652063A9-F0BF-4BE1-BEE7-A2EC7E8DF632}" name="fin_bsmt_value" dataDxfId="21">
      <calculatedColumnFormula>Wapato_Inventory[[#This Row],[Fin BSMT]]*Lookups!$B$19</calculatedColumnFormula>
    </tableColumn>
    <tableColumn id="58" xr3:uid="{2173AB80-B42A-4D6A-8FEB-03139D08F385}" name="garage_value" dataDxfId="20">
      <calculatedColumnFormula>(Wapato_Inventory[[#This Row],[att_gar]]+Wapato_Inventory[[#This Row],[blt_gar]])*Lookups!$B$20</calculatedColumnFormula>
    </tableColumn>
    <tableColumn id="59" xr3:uid="{36EC3A06-95EE-4792-8A41-32C3F69FF46D}" name="patio_value" dataDxfId="19">
      <calculatedColumnFormula>Wapato_Inventory[[#This Row],[Patio]]*Lookups!$B$21</calculatedColumnFormula>
    </tableColumn>
    <tableColumn id="60" xr3:uid="{408465D4-8EDD-4446-94E1-94696755E09A}" name="pre_res" dataDxfId="18">
      <calculatedColumnFormula>SUM(Wapato_Inventory[[#This Row],[intercept]:[patio_value]])*Wapato_Inventory[[#This Row],[res_pct]]</calculatedColumnFormula>
    </tableColumn>
    <tableColumn id="80" xr3:uid="{C5B0AE88-1EF0-4594-8EB1-CBF0D17D7C12}" name="sum_land" dataDxfId="17">
      <calculatedColumnFormula>Wapato_Inventory[[#This Row],[land_value]]</calculatedColumnFormula>
    </tableColumn>
    <tableColumn id="61" xr3:uid="{C2AF2B3C-CDF3-4515-A93B-D28D0DF95F2F}" name="qual_adj" dataDxfId="16">
      <calculatedColumnFormula>_xlfn.IFNA(VLOOKUP(Wapato_Inventory[[#This Row],[quality]],Lookups!$A$28:$C$37,3,FALSE),1)</calculatedColumnFormula>
    </tableColumn>
    <tableColumn id="62" xr3:uid="{E37DFC53-FECB-44BE-8E02-4DFA9F70D4EF}" name="cond_adj" dataDxfId="15">
      <calculatedColumnFormula>_xlfn.IFNA(VLOOKUP(Wapato_Inventory[[#This Row],[condition]],Lookups!$A$41:$C$48,3,FALSE),1)</calculatedColumnFormula>
    </tableColumn>
    <tableColumn id="63" xr3:uid="{30DDFD30-7281-48D4-9E8A-24A1FF66045D}" name="decade_adj" dataDxfId="14">
      <calculatedColumnFormula>IF(Wapato_Inventory[[#This Row],[decade]]="",1,_xlfn.IFNA(VLOOKUP(Wapato_Inventory[[#This Row],[decade]],Lookups!$F$28:$H$45,3,FALSE),1))</calculatedColumnFormula>
    </tableColumn>
    <tableColumn id="64" xr3:uid="{D32894B1-3027-46EA-B1DC-4FBF4BE08040}" name="range_adj" dataDxfId="13">
      <calculatedColumnFormula>_xlfn.IFNA(VLOOKUP(Wapato_Inventory[[#This Row],[living_area_range]],Lookups!$K$28:$M$37,3,FALSE),1)</calculatedColumnFormula>
    </tableColumn>
    <tableColumn id="65" xr3:uid="{352B86C9-3B9B-409E-BEFD-51FB2F0EADD5}" name="overall_adj" dataDxfId="12">
      <calculatedColumnFormula>AVERAGE(Wapato_Inventory[[#This Row],[qual_adj]:[range_adj]])</calculatedColumnFormula>
    </tableColumn>
    <tableColumn id="82" xr3:uid="{AADD27E5-2804-4EF2-9ACC-8286C6BB186B}" name="adj_land" dataDxfId="11">
      <calculatedColumnFormula>(Wapato_Inventory[[#This Row],[sum_land]]-IF(Wapato_Inventory[[#This Row],[no_utilities]]=1,12000,0))/IF(Wapato_Inventory[[#This Row],[unbuildable]]=1,2,1)</calculatedColumnFormula>
    </tableColumn>
    <tableColumn id="81" xr3:uid="{72CE4AE6-1693-4B01-9151-D24BDD9D553B}" name="adj_res" dataDxfId="10">
      <calculatedColumnFormula>Wapato_Inventory[[#This Row],[pre_res]]*Wapato_Inventory[[#This Row],[overall_adj]]</calculatedColumnFormula>
    </tableColumn>
    <tableColumn id="68" xr3:uid="{396FEAC0-D788-4E6D-BF12-6812A190E5F0}" name="final_land" dataDxfId="9">
      <calculatedColumnFormula>IF(ROUND(Wapato_Inventory[[#This Row],[adj_land]]*Lookups!$H$48,-2)&lt;Wapato_Inventory[[#This Row],[min_land]],Wapato_Inventory[[#This Row],[min_land]],ROUND(Wapato_Inventory[[#This Row],[adj_land]]*Lookups!$H$48,-2))</calculatedColumnFormula>
    </tableColumn>
    <tableColumn id="66" xr3:uid="{D84B8EC8-EFFB-48A9-83D9-3F7BCD32220A}" name="final_res" dataDxfId="8">
      <calculatedColumnFormula>IF(ROUND(Wapato_Inventory[[#This Row],[adj_res]]*Lookups!$H$48,-2)&lt;Wapato_Inventory[[#This Row],[min_res]],Wapato_Inventory[[#This Row],[min_res]],ROUND(Wapato_Inventory[[#This Row],[adj_res]]*Lookups!$H$48,-2))</calculatedColumnFormula>
    </tableColumn>
    <tableColumn id="67" xr3:uid="{E3C40886-ED49-4C72-A21B-F16058AB6D74}" name="final_det" dataDxfId="7">
      <calculatedColumnFormula>ROUND(Wapato_Inventory[[#This Row],[det_value]]*Lookups!$H$48,-2)</calculatedColumnFormula>
    </tableColumn>
    <tableColumn id="70" xr3:uid="{DCC27B6C-0DBD-4313-97EE-8FE0CB7F4897}" name="final_imp" dataDxfId="6">
      <calculatedColumnFormula>Wapato_Inventory[[#This Row],[final_res]]+Wapato_Inventory[[#This Row],[final_det]]</calculatedColumnFormula>
    </tableColumn>
    <tableColumn id="69" xr3:uid="{49AC9C08-FD8E-4D87-9331-A9CF314B7B5B}" name="final_total" dataDxfId="5">
      <calculatedColumnFormula>Wapato_Inventory[[#This Row],[crop_value]]+Wapato_Inventory[[#This Row],[final_land]]+Wapato_Inventory[[#This Row],[final_imp]]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1051-7328-4856-A384-5D6CA71B6F84}">
  <dimension ref="A1:CH75"/>
  <sheetViews>
    <sheetView tabSelected="1" topLeftCell="BR39" workbookViewId="0">
      <selection activeCell="CH74" sqref="CH74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9.5703125" bestFit="1" customWidth="1"/>
    <col min="4" max="4" width="17.7109375" bestFit="1" customWidth="1"/>
    <col min="5" max="5" width="5.5703125" bestFit="1" customWidth="1"/>
    <col min="6" max="6" width="10.42578125" bestFit="1" customWidth="1"/>
    <col min="7" max="7" width="11.7109375" bestFit="1" customWidth="1"/>
    <col min="8" max="8" width="10.140625" bestFit="1" customWidth="1"/>
    <col min="9" max="9" width="9.42578125" bestFit="1" customWidth="1"/>
    <col min="10" max="10" width="9.85546875" bestFit="1" customWidth="1"/>
    <col min="11" max="11" width="12" bestFit="1" customWidth="1"/>
    <col min="12" max="12" width="17.28515625" bestFit="1" customWidth="1"/>
    <col min="13" max="13" width="11.7109375" bestFit="1" customWidth="1"/>
    <col min="14" max="14" width="11.140625" bestFit="1" customWidth="1"/>
    <col min="15" max="15" width="10" bestFit="1" customWidth="1"/>
    <col min="16" max="16" width="11" bestFit="1" customWidth="1"/>
    <col min="17" max="17" width="12" bestFit="1" customWidth="1"/>
    <col min="18" max="18" width="12.7109375" bestFit="1" customWidth="1"/>
    <col min="19" max="19" width="10.140625" bestFit="1" customWidth="1"/>
    <col min="20" max="20" width="12" bestFit="1" customWidth="1"/>
    <col min="21" max="21" width="7.140625" bestFit="1" customWidth="1"/>
    <col min="22" max="22" width="9.42578125" bestFit="1" customWidth="1"/>
    <col min="23" max="23" width="12" bestFit="1" customWidth="1"/>
    <col min="24" max="24" width="14.42578125" bestFit="1" customWidth="1"/>
    <col min="25" max="25" width="7.85546875" bestFit="1" customWidth="1"/>
    <col min="26" max="26" width="4.42578125" bestFit="1" customWidth="1"/>
    <col min="27" max="27" width="7.42578125" bestFit="1" customWidth="1"/>
    <col min="28" max="28" width="16.85546875" bestFit="1" customWidth="1"/>
    <col min="29" max="29" width="10.7109375" bestFit="1" customWidth="1"/>
    <col min="30" max="30" width="10.5703125" bestFit="1" customWidth="1"/>
    <col min="31" max="31" width="11.5703125" bestFit="1" customWidth="1"/>
    <col min="32" max="32" width="9.140625" bestFit="1" customWidth="1"/>
    <col min="33" max="33" width="11.7109375" bestFit="1" customWidth="1"/>
    <col min="34" max="34" width="11.28515625" bestFit="1" customWidth="1"/>
    <col min="35" max="35" width="7.5703125" bestFit="1" customWidth="1"/>
    <col min="36" max="36" width="11.140625" bestFit="1" customWidth="1"/>
    <col min="37" max="37" width="5.5703125" bestFit="1" customWidth="1"/>
    <col min="38" max="38" width="17.28515625" bestFit="1" customWidth="1"/>
    <col min="39" max="39" width="5.85546875" bestFit="1" customWidth="1"/>
    <col min="40" max="40" width="8.85546875" bestFit="1" customWidth="1"/>
    <col min="41" max="41" width="7.42578125" bestFit="1" customWidth="1"/>
    <col min="42" max="42" width="7.7109375" bestFit="1" customWidth="1"/>
    <col min="43" max="43" width="10" bestFit="1" customWidth="1"/>
    <col min="44" max="44" width="9.5703125" bestFit="1" customWidth="1"/>
    <col min="45" max="45" width="2.85546875" bestFit="1" customWidth="1"/>
    <col min="46" max="46" width="15.140625" bestFit="1" customWidth="1"/>
    <col min="47" max="47" width="10.7109375" bestFit="1" customWidth="1"/>
    <col min="48" max="48" width="16" bestFit="1" customWidth="1"/>
    <col min="49" max="49" width="13.28515625" bestFit="1" customWidth="1"/>
    <col min="50" max="50" width="9.5703125" bestFit="1" customWidth="1"/>
    <col min="51" max="51" width="13.85546875" bestFit="1" customWidth="1"/>
    <col min="52" max="52" width="13.42578125" bestFit="1" customWidth="1"/>
    <col min="53" max="53" width="14.140625" bestFit="1" customWidth="1"/>
    <col min="54" max="54" width="10" bestFit="1" customWidth="1"/>
    <col min="55" max="55" width="10.28515625" bestFit="1" customWidth="1"/>
    <col min="56" max="56" width="12" bestFit="1" customWidth="1"/>
    <col min="57" max="57" width="10" bestFit="1" customWidth="1"/>
    <col min="58" max="58" width="13.140625" bestFit="1" customWidth="1"/>
    <col min="59" max="59" width="15.42578125" bestFit="1" customWidth="1"/>
    <col min="60" max="60" width="10" bestFit="1" customWidth="1"/>
    <col min="61" max="61" width="11.28515625" bestFit="1" customWidth="1"/>
    <col min="62" max="62" width="12.140625" bestFit="1" customWidth="1"/>
    <col min="63" max="63" width="14.85546875" bestFit="1" customWidth="1"/>
    <col min="64" max="64" width="12.7109375" bestFit="1" customWidth="1"/>
    <col min="65" max="65" width="11.42578125" bestFit="1" customWidth="1"/>
    <col min="66" max="66" width="9.85546875" bestFit="1" customWidth="1"/>
    <col min="67" max="67" width="16.28515625" bestFit="1" customWidth="1"/>
    <col min="68" max="68" width="20.42578125" bestFit="1" customWidth="1"/>
    <col min="69" max="69" width="14.85546875" bestFit="1" customWidth="1"/>
    <col min="70" max="70" width="8.85546875" bestFit="1" customWidth="1"/>
    <col min="71" max="71" width="12" bestFit="1" customWidth="1"/>
    <col min="72" max="72" width="8.5703125" bestFit="1" customWidth="1"/>
    <col min="73" max="73" width="9" bestFit="1" customWidth="1"/>
    <col min="74" max="74" width="11.140625" bestFit="1" customWidth="1"/>
    <col min="75" max="75" width="8.140625" bestFit="1" customWidth="1"/>
    <col min="76" max="76" width="10.85546875" bestFit="1" customWidth="1"/>
    <col min="77" max="77" width="12.42578125" bestFit="1" customWidth="1"/>
    <col min="78" max="78" width="9.85546875" bestFit="1" customWidth="1"/>
    <col min="79" max="79" width="9" bestFit="1" customWidth="1"/>
    <col min="80" max="80" width="8.7109375" bestFit="1" customWidth="1"/>
    <col min="81" max="81" width="20.42578125" bestFit="1" customWidth="1"/>
    <col min="82" max="82" width="20.42578125" customWidth="1"/>
    <col min="83" max="83" width="16" customWidth="1"/>
    <col min="84" max="85" width="16.7109375" bestFit="1" customWidth="1"/>
    <col min="86" max="86" width="26" bestFit="1" customWidth="1"/>
  </cols>
  <sheetData>
    <row r="1" spans="1:8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87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107</v>
      </c>
      <c r="BD1" t="s">
        <v>112</v>
      </c>
      <c r="BE1" t="s">
        <v>113</v>
      </c>
      <c r="BF1" t="s">
        <v>114</v>
      </c>
      <c r="BG1" t="s">
        <v>115</v>
      </c>
      <c r="BH1" t="s">
        <v>116</v>
      </c>
      <c r="BI1" t="s">
        <v>117</v>
      </c>
      <c r="BJ1" t="s">
        <v>118</v>
      </c>
      <c r="BK1" t="s">
        <v>119</v>
      </c>
      <c r="BL1" t="s">
        <v>120</v>
      </c>
      <c r="BM1" t="s">
        <v>121</v>
      </c>
      <c r="BN1" t="s">
        <v>122</v>
      </c>
      <c r="BO1" t="s">
        <v>123</v>
      </c>
      <c r="BP1" t="s">
        <v>124</v>
      </c>
      <c r="BQ1" t="s">
        <v>125</v>
      </c>
      <c r="BR1" t="s">
        <v>126</v>
      </c>
      <c r="BS1" t="s">
        <v>127</v>
      </c>
      <c r="BT1" t="s">
        <v>130</v>
      </c>
      <c r="BU1" t="s">
        <v>131</v>
      </c>
      <c r="BV1" t="s">
        <v>132</v>
      </c>
      <c r="BW1" t="s">
        <v>133</v>
      </c>
      <c r="BX1" t="s">
        <v>134</v>
      </c>
      <c r="BY1" t="s">
        <v>135</v>
      </c>
      <c r="BZ1" t="s">
        <v>136</v>
      </c>
      <c r="CA1" t="s">
        <v>137</v>
      </c>
      <c r="CB1" t="s">
        <v>138</v>
      </c>
      <c r="CC1" t="s">
        <v>139</v>
      </c>
      <c r="CD1" t="s">
        <v>143</v>
      </c>
      <c r="CE1" t="s">
        <v>184</v>
      </c>
      <c r="CF1" t="s">
        <v>186</v>
      </c>
      <c r="CG1" t="s">
        <v>185</v>
      </c>
      <c r="CH1" t="s">
        <v>181</v>
      </c>
    </row>
    <row r="2" spans="1:86" x14ac:dyDescent="0.25">
      <c r="A2">
        <v>19111033003</v>
      </c>
      <c r="B2">
        <v>1.2</v>
      </c>
      <c r="C2">
        <v>0</v>
      </c>
      <c r="D2">
        <v>0</v>
      </c>
      <c r="E2" t="s">
        <v>54</v>
      </c>
      <c r="F2" t="s">
        <v>54</v>
      </c>
      <c r="G2">
        <v>3</v>
      </c>
      <c r="H2" t="s">
        <v>55</v>
      </c>
      <c r="I2">
        <v>89100</v>
      </c>
      <c r="J2">
        <v>46500</v>
      </c>
      <c r="K2">
        <v>1.2</v>
      </c>
      <c r="L2">
        <v>0</v>
      </c>
      <c r="M2">
        <v>0</v>
      </c>
      <c r="N2">
        <v>0</v>
      </c>
      <c r="O2">
        <v>27904.037</v>
      </c>
      <c r="P2">
        <v>74398.407600000006</v>
      </c>
      <c r="Q2">
        <f>(R2*O2)+P2</f>
        <v>79485.915066676112</v>
      </c>
      <c r="R2">
        <f>LN(K2)</f>
        <v>0.18232155679395459</v>
      </c>
      <c r="S2" t="s">
        <v>56</v>
      </c>
      <c r="T2">
        <v>1</v>
      </c>
      <c r="U2" t="s">
        <v>57</v>
      </c>
      <c r="V2" t="s">
        <v>58</v>
      </c>
      <c r="W2">
        <v>0</v>
      </c>
      <c r="X2">
        <v>0</v>
      </c>
      <c r="Y2">
        <v>1</v>
      </c>
      <c r="Z2">
        <v>1</v>
      </c>
      <c r="AA2">
        <v>0</v>
      </c>
      <c r="AB2">
        <v>2500</v>
      </c>
      <c r="AC2">
        <v>2462</v>
      </c>
      <c r="AD2">
        <v>2462</v>
      </c>
      <c r="AE2">
        <v>0</v>
      </c>
      <c r="AF2">
        <v>0</v>
      </c>
      <c r="AG2">
        <v>0</v>
      </c>
      <c r="AH2">
        <v>986</v>
      </c>
      <c r="AI2">
        <v>0</v>
      </c>
      <c r="AJ2">
        <v>0</v>
      </c>
      <c r="AK2">
        <v>330</v>
      </c>
      <c r="AL2">
        <v>14</v>
      </c>
      <c r="AM2">
        <v>0</v>
      </c>
      <c r="AN2">
        <v>0</v>
      </c>
      <c r="AO2" t="s">
        <v>59</v>
      </c>
      <c r="AP2">
        <v>1</v>
      </c>
      <c r="AQ2" t="s">
        <v>60</v>
      </c>
      <c r="AR2" t="s">
        <v>61</v>
      </c>
      <c r="AS2">
        <v>1</v>
      </c>
      <c r="AT2">
        <v>4</v>
      </c>
      <c r="AU2">
        <v>0</v>
      </c>
      <c r="AV2">
        <v>5600</v>
      </c>
      <c r="AW2">
        <v>100</v>
      </c>
      <c r="AX2" s="1">
        <v>44902</v>
      </c>
      <c r="AY2">
        <v>36600</v>
      </c>
      <c r="AZ2">
        <v>548378</v>
      </c>
      <c r="BA2">
        <v>585000</v>
      </c>
      <c r="BB2">
        <v>546500</v>
      </c>
      <c r="BC2">
        <v>25</v>
      </c>
      <c r="BD2" s="3">
        <f>Wapato_Sales[[#This Row],[land_extract]]*Lookups!$B$3</f>
        <v>8076.2776806307193</v>
      </c>
      <c r="BE2" s="3">
        <f>Lookups!$B$2</f>
        <v>107530.54</v>
      </c>
      <c r="BF2">
        <f>VLOOKUP(Wapato_Sales[[#This Row],[quality]],Lookups!$H$2:$J$11,3,FALSE)</f>
        <v>152073</v>
      </c>
      <c r="BG2">
        <f>VLOOKUP(Wapato_Sales[[#This Row],[condition]],Lookups!$H$17:$J$24,3,FALSE)</f>
        <v>122095</v>
      </c>
      <c r="BH2" s="3">
        <f>Wapato_Sales[[#This Row],[Age]]*Lookups!$B$16</f>
        <v>-370.67570000000001</v>
      </c>
      <c r="BI2" s="3">
        <f>Wapato_Sales[[#This Row],[Main Floor]]*Lookups!$B$17</f>
        <v>102913.419418</v>
      </c>
      <c r="BJ2" s="3">
        <f>Wapato_Sales[[#This Row],[Upper Floor]]*Lookups!$B$18</f>
        <v>0</v>
      </c>
      <c r="BK2" s="3">
        <f>Wapato_Sales[[#This Row],[Fin BSMT]]*Lookups!$B$19</f>
        <v>0</v>
      </c>
      <c r="BL2" s="3">
        <f>Wapato_Sales[[#This Row],[garage_sqft]]*Lookups!$B$20</f>
        <v>36490.629472000001</v>
      </c>
      <c r="BM2" s="3">
        <f>Wapato_Sales[[#This Row],[Patio]]*Lookups!$B$21</f>
        <v>14296.913070000001</v>
      </c>
      <c r="BN2" s="3">
        <f>Wapato_Sales[[#This Row],[detatched_value]]*Lookups!$B$22</f>
        <v>5265.4817599999997</v>
      </c>
      <c r="BO2" s="3">
        <f>Wapato_Sales[[#This Row],[days_prior]]*Lookups!$B$23</f>
        <v>-1871.0619999999999</v>
      </c>
      <c r="BP2" s="3">
        <f>SUM(Wapato_Sales[[#This Row],[land_value]:[days_prior_value]])</f>
        <v>546499.52370063076</v>
      </c>
      <c r="BQ2" s="2">
        <f>Wapato_Sales[[#This Row],[predicted_total]]/Wapato_Sales[[#This Row],[sale_price]]</f>
        <v>0.99999912845495109</v>
      </c>
      <c r="BR2" s="3">
        <f>Wapato_Sales[[#This Row],[predicted_total]]-Wapato_Sales[[#This Row],[sale_price]]</f>
        <v>-0.4762993692420423</v>
      </c>
      <c r="BS2" s="3">
        <f>Wapato_Sales[[#This Row],[pred_var]]*Wapato_Sales[[#This Row],[pred_var]]</f>
        <v>0.22686108914036734</v>
      </c>
      <c r="BT2" s="2">
        <f>VLOOKUP(Wapato_Sales[[#This Row],[quality]],Lookups!$A$28:$C$37,3,FALSE)</f>
        <v>1.0000008715458084</v>
      </c>
      <c r="BU2" s="2">
        <f>VLOOKUP(Wapato_Sales[[#This Row],[condition]],Lookups!$A$41:$C$48,3,FALSE)</f>
        <v>1.00041560026225</v>
      </c>
      <c r="BV2" s="2">
        <f>VLOOKUP(Wapato_Sales[[#This Row],[decade]],Lookups!$F$28:$H$43,3,FALSE)</f>
        <v>1.00041560026225</v>
      </c>
      <c r="BW2" s="2">
        <f>VLOOKUP(Wapato_Sales[[#This Row],[living_area_range]],Lookups!$K$28:$M$37,3,FALSE)</f>
        <v>0.90813907160181651</v>
      </c>
      <c r="BX2" s="2">
        <f>AVERAGE(Wapato_Sales[[#This Row],[qual_adj]:[size_adj]])</f>
        <v>0.97724278591803126</v>
      </c>
      <c r="BY2" s="3">
        <f>SUM(Wapato_Sales[[#This Row],[quality_value]:[days_prior_value]])+(Wapato_Sales[[#This Row],[intercept]]*0.5)-Wapato_Sales[[#This Row],[det_value]]</f>
        <v>479392.49426000006</v>
      </c>
      <c r="BZ2" s="3">
        <f>Wapato_Sales[[#This Row],[land_value]]+(0.5*Wapato_Sales[[#This Row],[intercept]])</f>
        <v>61841.547680630712</v>
      </c>
      <c r="CA2" s="3">
        <f>Wapato_Sales[[#This Row],[det_value]]</f>
        <v>5265.4817599999997</v>
      </c>
      <c r="CB2" s="3">
        <f>Wapato_Sales[[#This Row],[summed_res]]*Wapato_Sales[[#This Row],[overall_adj]]</f>
        <v>468482.85663883627</v>
      </c>
      <c r="CC2" s="3">
        <f>Wapato_Sales[[#This Row],[final_res]]+Wapato_Sales[[#This Row],[final_det]]+Wapato_Sales[[#This Row],[final_land]]</f>
        <v>535589.88607946702</v>
      </c>
      <c r="CD2" s="2">
        <f>Wapato_Sales[[#This Row],[final_total]]/Wapato_Sales[[#This Row],[sale_price]]</f>
        <v>0.98003638806855808</v>
      </c>
      <c r="CE2" s="3">
        <f>(Wapato_Sales[[#This Row],[final_total]]-Wapato_Sales[[#This Row],[sale_price]])^2</f>
        <v>119030585.75900756</v>
      </c>
      <c r="CF2" s="3">
        <f>(Wapato_Sales[[#This Row],[final_total]]-AVERAGE(Wapato_Sales[sale_price]))^2</f>
        <v>109932074393.86208</v>
      </c>
      <c r="CG2" s="3">
        <f>Wapato_Sales[[#This Row],[SSE]]+Wapato_Sales[[#This Row],[SSR]]</f>
        <v>110051104979.62108</v>
      </c>
      <c r="CH2" s="2">
        <f>ABS(Wapato_Sales[[#This Row],[final_ratio]]-MEDIAN(Wapato_Sales[final_ratio]))</f>
        <v>1.9401381248549399E-3</v>
      </c>
    </row>
    <row r="3" spans="1:86" x14ac:dyDescent="0.25">
      <c r="A3">
        <v>19111133559</v>
      </c>
      <c r="B3">
        <v>0.19</v>
      </c>
      <c r="C3">
        <v>0</v>
      </c>
      <c r="D3">
        <v>0</v>
      </c>
      <c r="E3" t="s">
        <v>54</v>
      </c>
      <c r="F3" t="s">
        <v>54</v>
      </c>
      <c r="G3">
        <v>3</v>
      </c>
      <c r="H3" t="s">
        <v>55</v>
      </c>
      <c r="I3">
        <v>266600</v>
      </c>
      <c r="J3">
        <v>34100</v>
      </c>
      <c r="K3">
        <v>0.19</v>
      </c>
      <c r="L3">
        <v>0</v>
      </c>
      <c r="M3">
        <v>0</v>
      </c>
      <c r="N3">
        <v>0</v>
      </c>
      <c r="O3">
        <v>27904.037</v>
      </c>
      <c r="P3">
        <v>74398.407600000006</v>
      </c>
      <c r="Q3">
        <f t="shared" ref="Q3:Q58" si="0">(R3*O3)+P3</f>
        <v>28057.302557794006</v>
      </c>
      <c r="R3">
        <f t="shared" ref="R3:R58" si="1">LN(K3)</f>
        <v>-1.6607312068216509</v>
      </c>
      <c r="S3" t="s">
        <v>62</v>
      </c>
      <c r="T3">
        <v>1</v>
      </c>
      <c r="U3" t="s">
        <v>63</v>
      </c>
      <c r="V3" t="s">
        <v>58</v>
      </c>
      <c r="W3">
        <v>0</v>
      </c>
      <c r="X3">
        <v>0</v>
      </c>
      <c r="Y3">
        <v>2</v>
      </c>
      <c r="Z3">
        <v>2</v>
      </c>
      <c r="AA3">
        <v>0</v>
      </c>
      <c r="AB3">
        <v>1500</v>
      </c>
      <c r="AC3">
        <v>1248</v>
      </c>
      <c r="AD3">
        <v>1248</v>
      </c>
      <c r="AE3">
        <v>0</v>
      </c>
      <c r="AF3">
        <v>0</v>
      </c>
      <c r="AG3">
        <v>0</v>
      </c>
      <c r="AH3">
        <v>460</v>
      </c>
      <c r="AI3">
        <v>0</v>
      </c>
      <c r="AJ3">
        <v>0</v>
      </c>
      <c r="AK3">
        <v>0</v>
      </c>
      <c r="AL3">
        <v>8</v>
      </c>
      <c r="AM3">
        <v>0</v>
      </c>
      <c r="AN3">
        <v>0</v>
      </c>
      <c r="AO3" t="s">
        <v>59</v>
      </c>
      <c r="AP3">
        <v>1</v>
      </c>
      <c r="AQ3" t="s">
        <v>64</v>
      </c>
      <c r="AR3" t="s">
        <v>61</v>
      </c>
      <c r="AS3">
        <v>1</v>
      </c>
      <c r="AT3">
        <v>3</v>
      </c>
      <c r="AU3">
        <v>0</v>
      </c>
      <c r="AV3">
        <v>0</v>
      </c>
      <c r="AW3">
        <v>100</v>
      </c>
      <c r="AX3" s="1">
        <v>44677</v>
      </c>
      <c r="AY3">
        <v>28600</v>
      </c>
      <c r="AZ3">
        <v>234116</v>
      </c>
      <c r="BA3">
        <v>262700</v>
      </c>
      <c r="BB3">
        <v>334000</v>
      </c>
      <c r="BC3">
        <v>250</v>
      </c>
      <c r="BD3" s="3">
        <f>Wapato_Sales[[#This Row],[land_extract]]*Lookups!$B$3</f>
        <v>2850.8015066082407</v>
      </c>
      <c r="BE3" s="3">
        <f>Lookups!$B$2</f>
        <v>107530.54</v>
      </c>
      <c r="BF3">
        <f>VLOOKUP(Wapato_Sales[[#This Row],[quality]],Lookups!$H$2:$J$11,3,FALSE)</f>
        <v>50594</v>
      </c>
      <c r="BG3">
        <f>VLOOKUP(Wapato_Sales[[#This Row],[condition]],Lookups!$H$17:$J$24,3,FALSE)</f>
        <v>122095</v>
      </c>
      <c r="BH3" s="3">
        <f>Wapato_Sales[[#This Row],[Age]]*Lookups!$B$16</f>
        <v>-741.35140000000001</v>
      </c>
      <c r="BI3" s="3">
        <f>Wapato_Sales[[#This Row],[Main Floor]]*Lookups!$B$17</f>
        <v>52167.322271999998</v>
      </c>
      <c r="BJ3" s="3">
        <f>Wapato_Sales[[#This Row],[Upper Floor]]*Lookups!$B$18</f>
        <v>0</v>
      </c>
      <c r="BK3" s="3">
        <f>Wapato_Sales[[#This Row],[Fin BSMT]]*Lookups!$B$19</f>
        <v>0</v>
      </c>
      <c r="BL3" s="3">
        <f>Wapato_Sales[[#This Row],[garage_sqft]]*Lookups!$B$20</f>
        <v>17024.02592</v>
      </c>
      <c r="BM3" s="3">
        <f>Wapato_Sales[[#This Row],[Patio]]*Lookups!$B$21</f>
        <v>0</v>
      </c>
      <c r="BN3" s="3">
        <f>Wapato_Sales[[#This Row],[detatched_value]]*Lookups!$B$22</f>
        <v>0</v>
      </c>
      <c r="BO3" s="3">
        <f>Wapato_Sales[[#This Row],[days_prior]]*Lookups!$B$23</f>
        <v>-18710.62</v>
      </c>
      <c r="BP3" s="3">
        <f>SUM(Wapato_Sales[[#This Row],[land_value]:[days_prior_value]])</f>
        <v>332809.71829860826</v>
      </c>
      <c r="BQ3" s="2">
        <f>Wapato_Sales[[#This Row],[predicted_total]]/Wapato_Sales[[#This Row],[sale_price]]</f>
        <v>0.99643628233116244</v>
      </c>
      <c r="BR3" s="3">
        <f>Wapato_Sales[[#This Row],[predicted_total]]-Wapato_Sales[[#This Row],[sale_price]]</f>
        <v>-1190.2817013917374</v>
      </c>
      <c r="BS3" s="3">
        <f>Wapato_Sales[[#This Row],[pred_var]]*Wapato_Sales[[#This Row],[pred_var]]</f>
        <v>1416770.5286680092</v>
      </c>
      <c r="BT3" s="2">
        <f>VLOOKUP(Wapato_Sales[[#This Row],[quality]],Lookups!$A$28:$C$37,3,FALSE)</f>
        <v>0.99197423394367223</v>
      </c>
      <c r="BU3" s="2">
        <f>VLOOKUP(Wapato_Sales[[#This Row],[condition]],Lookups!$A$41:$C$48,3,FALSE)</f>
        <v>1.00041560026225</v>
      </c>
      <c r="BV3" s="2">
        <f>VLOOKUP(Wapato_Sales[[#This Row],[decade]],Lookups!$F$28:$H$43,3,FALSE)</f>
        <v>1.00041560026225</v>
      </c>
      <c r="BW3" s="2">
        <f>VLOOKUP(Wapato_Sales[[#This Row],[living_area_range]],Lookups!$K$28:$M$37,3,FALSE)</f>
        <v>1.0061411172456287</v>
      </c>
      <c r="BX3" s="2">
        <f>AVERAGE(Wapato_Sales[[#This Row],[qual_adj]:[size_adj]])</f>
        <v>0.99973663792845024</v>
      </c>
      <c r="BY3" s="3">
        <f>SUM(Wapato_Sales[[#This Row],[quality_value]:[days_prior_value]])+(Wapato_Sales[[#This Row],[intercept]]*0.5)-Wapato_Sales[[#This Row],[det_value]]</f>
        <v>276193.64679199998</v>
      </c>
      <c r="BZ3" s="3">
        <f>Wapato_Sales[[#This Row],[land_value]]+(0.5*Wapato_Sales[[#This Row],[intercept]])</f>
        <v>56616.071506608234</v>
      </c>
      <c r="CA3" s="3">
        <f>Wapato_Sales[[#This Row],[det_value]]</f>
        <v>0</v>
      </c>
      <c r="CB3" s="3">
        <f>Wapato_Sales[[#This Row],[summed_res]]*Wapato_Sales[[#This Row],[overall_adj]]</f>
        <v>276120.90786103194</v>
      </c>
      <c r="CC3" s="3">
        <f>Wapato_Sales[[#This Row],[final_res]]+Wapato_Sales[[#This Row],[final_det]]+Wapato_Sales[[#This Row],[final_land]]</f>
        <v>332736.97936764016</v>
      </c>
      <c r="CD3" s="2">
        <f>Wapato_Sales[[#This Row],[final_total]]/Wapato_Sales[[#This Row],[sale_price]]</f>
        <v>0.99621850110071908</v>
      </c>
      <c r="CE3" s="3">
        <f>(Wapato_Sales[[#This Row],[final_total]]-Wapato_Sales[[#This Row],[sale_price]])^2</f>
        <v>1595221.1177666488</v>
      </c>
      <c r="CF3" s="3">
        <f>(Wapato_Sales[[#This Row],[final_total]]-AVERAGE(Wapato_Sales[sale_price]))^2</f>
        <v>16565531698.316566</v>
      </c>
      <c r="CG3" s="3">
        <f>Wapato_Sales[[#This Row],[SSE]]+Wapato_Sales[[#This Row],[SSR]]</f>
        <v>16567126919.434334</v>
      </c>
      <c r="CH3" s="2">
        <f>ABS(Wapato_Sales[[#This Row],[final_ratio]]-MEDIAN(Wapato_Sales[final_ratio]))</f>
        <v>1.4241974907306054E-2</v>
      </c>
    </row>
    <row r="4" spans="1:86" x14ac:dyDescent="0.25">
      <c r="A4">
        <v>19111034406</v>
      </c>
      <c r="B4">
        <v>0.26</v>
      </c>
      <c r="C4">
        <v>11218</v>
      </c>
      <c r="D4">
        <v>0</v>
      </c>
      <c r="E4" t="s">
        <v>54</v>
      </c>
      <c r="F4" t="s">
        <v>54</v>
      </c>
      <c r="G4">
        <v>3</v>
      </c>
      <c r="H4" t="s">
        <v>55</v>
      </c>
      <c r="I4">
        <v>341000</v>
      </c>
      <c r="J4">
        <v>35800</v>
      </c>
      <c r="K4">
        <v>0.26</v>
      </c>
      <c r="L4">
        <v>0</v>
      </c>
      <c r="M4">
        <v>0</v>
      </c>
      <c r="N4">
        <v>0</v>
      </c>
      <c r="O4">
        <v>27904.037</v>
      </c>
      <c r="P4">
        <v>74398.407600000006</v>
      </c>
      <c r="Q4">
        <f t="shared" si="0"/>
        <v>36809.614685414766</v>
      </c>
      <c r="R4">
        <f t="shared" si="1"/>
        <v>-1.3470736479666092</v>
      </c>
      <c r="S4" t="s">
        <v>56</v>
      </c>
      <c r="T4">
        <v>1</v>
      </c>
      <c r="U4" t="s">
        <v>65</v>
      </c>
      <c r="V4" t="s">
        <v>58</v>
      </c>
      <c r="W4">
        <v>0</v>
      </c>
      <c r="X4">
        <v>0</v>
      </c>
      <c r="Y4">
        <v>2</v>
      </c>
      <c r="Z4">
        <v>2</v>
      </c>
      <c r="AA4">
        <v>0</v>
      </c>
      <c r="AB4">
        <v>2000</v>
      </c>
      <c r="AC4">
        <v>1584</v>
      </c>
      <c r="AD4">
        <v>1584</v>
      </c>
      <c r="AE4">
        <v>0</v>
      </c>
      <c r="AF4">
        <v>0</v>
      </c>
      <c r="AG4">
        <v>0</v>
      </c>
      <c r="AH4">
        <v>506</v>
      </c>
      <c r="AI4">
        <v>0</v>
      </c>
      <c r="AJ4">
        <v>0</v>
      </c>
      <c r="AK4">
        <v>0</v>
      </c>
      <c r="AL4">
        <v>10</v>
      </c>
      <c r="AM4">
        <v>0</v>
      </c>
      <c r="AN4">
        <v>0</v>
      </c>
      <c r="AO4" t="s">
        <v>59</v>
      </c>
      <c r="AP4">
        <v>1</v>
      </c>
      <c r="AQ4" t="s">
        <v>60</v>
      </c>
      <c r="AR4" t="s">
        <v>61</v>
      </c>
      <c r="AS4">
        <v>1</v>
      </c>
      <c r="AT4">
        <v>3</v>
      </c>
      <c r="AU4">
        <v>0</v>
      </c>
      <c r="AV4">
        <v>0</v>
      </c>
      <c r="AW4">
        <v>100</v>
      </c>
      <c r="AX4" s="1">
        <v>44428</v>
      </c>
      <c r="AY4">
        <v>18700</v>
      </c>
      <c r="AZ4">
        <v>328620</v>
      </c>
      <c r="BA4">
        <v>347300</v>
      </c>
      <c r="BB4">
        <v>366000</v>
      </c>
      <c r="BC4">
        <v>499</v>
      </c>
      <c r="BD4" s="3">
        <f>Wapato_Sales[[#This Row],[land_extract]]*Lookups!$B$3</f>
        <v>3740.092433572127</v>
      </c>
      <c r="BE4" s="3">
        <f>Lookups!$B$2</f>
        <v>107530.54</v>
      </c>
      <c r="BF4">
        <f>VLOOKUP(Wapato_Sales[[#This Row],[quality]],Lookups!$H$2:$J$11,3,FALSE)</f>
        <v>92307</v>
      </c>
      <c r="BG4">
        <f>VLOOKUP(Wapato_Sales[[#This Row],[condition]],Lookups!$H$17:$J$24,3,FALSE)</f>
        <v>122095</v>
      </c>
      <c r="BH4" s="3">
        <f>Wapato_Sales[[#This Row],[Age]]*Lookups!$B$16</f>
        <v>-741.35140000000001</v>
      </c>
      <c r="BI4" s="3">
        <f>Wapato_Sales[[#This Row],[Main Floor]]*Lookups!$B$17</f>
        <v>66212.370576000001</v>
      </c>
      <c r="BJ4" s="3">
        <f>Wapato_Sales[[#This Row],[Upper Floor]]*Lookups!$B$18</f>
        <v>0</v>
      </c>
      <c r="BK4" s="3">
        <f>Wapato_Sales[[#This Row],[Fin BSMT]]*Lookups!$B$19</f>
        <v>0</v>
      </c>
      <c r="BL4" s="3">
        <f>Wapato_Sales[[#This Row],[garage_sqft]]*Lookups!$B$20</f>
        <v>18726.428512000002</v>
      </c>
      <c r="BM4" s="3">
        <f>Wapato_Sales[[#This Row],[Patio]]*Lookups!$B$21</f>
        <v>0</v>
      </c>
      <c r="BN4" s="3">
        <f>Wapato_Sales[[#This Row],[detatched_value]]*Lookups!$B$22</f>
        <v>0</v>
      </c>
      <c r="BO4" s="3">
        <f>Wapato_Sales[[#This Row],[days_prior]]*Lookups!$B$23</f>
        <v>-37346.397519999999</v>
      </c>
      <c r="BP4" s="3">
        <f>SUM(Wapato_Sales[[#This Row],[land_value]:[days_prior_value]])</f>
        <v>372523.68260157213</v>
      </c>
      <c r="BQ4" s="2">
        <f>Wapato_Sales[[#This Row],[predicted_total]]/Wapato_Sales[[#This Row],[sale_price]]</f>
        <v>1.0178242694032025</v>
      </c>
      <c r="BR4" s="3">
        <f>Wapato_Sales[[#This Row],[predicted_total]]-Wapato_Sales[[#This Row],[sale_price]]</f>
        <v>6523.6826015721308</v>
      </c>
      <c r="BS4" s="3">
        <f>Wapato_Sales[[#This Row],[pred_var]]*Wapato_Sales[[#This Row],[pred_var]]</f>
        <v>42558434.686054923</v>
      </c>
      <c r="BT4" s="2">
        <f>VLOOKUP(Wapato_Sales[[#This Row],[quality]],Lookups!$A$28:$C$37,3,FALSE)</f>
        <v>1.0013727718490204</v>
      </c>
      <c r="BU4" s="2">
        <f>VLOOKUP(Wapato_Sales[[#This Row],[condition]],Lookups!$A$41:$C$48,3,FALSE)</f>
        <v>1.00041560026225</v>
      </c>
      <c r="BV4" s="2">
        <f>VLOOKUP(Wapato_Sales[[#This Row],[decade]],Lookups!$F$28:$H$43,3,FALSE)</f>
        <v>1.00041560026225</v>
      </c>
      <c r="BW4" s="2">
        <f>VLOOKUP(Wapato_Sales[[#This Row],[living_area_range]],Lookups!$K$28:$M$37,3,FALSE)</f>
        <v>0.99330894324714125</v>
      </c>
      <c r="BX4" s="2">
        <f>AVERAGE(Wapato_Sales[[#This Row],[qual_adj]:[size_adj]])</f>
        <v>0.99887822890516531</v>
      </c>
      <c r="BY4" s="3">
        <f>SUM(Wapato_Sales[[#This Row],[quality_value]:[days_prior_value]])+(Wapato_Sales[[#This Row],[intercept]]*0.5)-Wapato_Sales[[#This Row],[det_value]]</f>
        <v>315018.32016800001</v>
      </c>
      <c r="BZ4" s="3">
        <f>Wapato_Sales[[#This Row],[land_value]]+(0.5*Wapato_Sales[[#This Row],[intercept]])</f>
        <v>57505.362433572125</v>
      </c>
      <c r="CA4" s="3">
        <f>Wapato_Sales[[#This Row],[det_value]]</f>
        <v>0</v>
      </c>
      <c r="CB4" s="3">
        <f>Wapato_Sales[[#This Row],[summed_res]]*Wapato_Sales[[#This Row],[overall_adj]]</f>
        <v>314664.94172209216</v>
      </c>
      <c r="CC4" s="3">
        <f>Wapato_Sales[[#This Row],[final_res]]+Wapato_Sales[[#This Row],[final_det]]+Wapato_Sales[[#This Row],[final_land]]</f>
        <v>372170.30415566429</v>
      </c>
      <c r="CD4" s="2">
        <f>Wapato_Sales[[#This Row],[final_total]]/Wapato_Sales[[#This Row],[sale_price]]</f>
        <v>1.0168587545236729</v>
      </c>
      <c r="CE4" s="3">
        <f>(Wapato_Sales[[#This Row],[final_total]]-Wapato_Sales[[#This Row],[sale_price]])^2</f>
        <v>38072653.373407952</v>
      </c>
      <c r="CF4" s="3">
        <f>(Wapato_Sales[[#This Row],[final_total]]-AVERAGE(Wapato_Sales[sale_price]))^2</f>
        <v>28271220878.188023</v>
      </c>
      <c r="CG4" s="3">
        <f>Wapato_Sales[[#This Row],[SSE]]+Wapato_Sales[[#This Row],[SSR]]</f>
        <v>28309293531.561432</v>
      </c>
      <c r="CH4" s="2">
        <f>ABS(Wapato_Sales[[#This Row],[final_ratio]]-MEDIAN(Wapato_Sales[final_ratio]))</f>
        <v>3.488222833025989E-2</v>
      </c>
    </row>
    <row r="5" spans="1:86" x14ac:dyDescent="0.25">
      <c r="A5">
        <v>19111133558</v>
      </c>
      <c r="B5">
        <v>0.19</v>
      </c>
      <c r="C5">
        <v>0</v>
      </c>
      <c r="D5">
        <v>0</v>
      </c>
      <c r="E5" t="s">
        <v>54</v>
      </c>
      <c r="F5" t="s">
        <v>54</v>
      </c>
      <c r="G5">
        <v>3</v>
      </c>
      <c r="H5" t="s">
        <v>55</v>
      </c>
      <c r="I5">
        <v>266600</v>
      </c>
      <c r="J5">
        <v>34100</v>
      </c>
      <c r="K5">
        <v>0.19</v>
      </c>
      <c r="L5">
        <v>0</v>
      </c>
      <c r="M5">
        <v>0</v>
      </c>
      <c r="N5">
        <v>0</v>
      </c>
      <c r="O5">
        <v>27904.037</v>
      </c>
      <c r="P5">
        <v>74398.407600000006</v>
      </c>
      <c r="Q5">
        <f t="shared" si="0"/>
        <v>28057.302557794006</v>
      </c>
      <c r="R5">
        <f t="shared" si="1"/>
        <v>-1.6607312068216509</v>
      </c>
      <c r="S5" t="s">
        <v>62</v>
      </c>
      <c r="T5">
        <v>1</v>
      </c>
      <c r="U5" t="s">
        <v>63</v>
      </c>
      <c r="V5" t="s">
        <v>58</v>
      </c>
      <c r="W5">
        <v>0</v>
      </c>
      <c r="X5">
        <v>0</v>
      </c>
      <c r="Y5">
        <v>2</v>
      </c>
      <c r="Z5">
        <v>2</v>
      </c>
      <c r="AA5">
        <v>0</v>
      </c>
      <c r="AB5">
        <v>1500</v>
      </c>
      <c r="AC5">
        <v>1248</v>
      </c>
      <c r="AD5">
        <v>1248</v>
      </c>
      <c r="AE5">
        <v>0</v>
      </c>
      <c r="AF5">
        <v>0</v>
      </c>
      <c r="AG5">
        <v>0</v>
      </c>
      <c r="AH5">
        <v>460</v>
      </c>
      <c r="AI5">
        <v>0</v>
      </c>
      <c r="AJ5">
        <v>0</v>
      </c>
      <c r="AK5">
        <v>0</v>
      </c>
      <c r="AL5">
        <v>8</v>
      </c>
      <c r="AM5">
        <v>0</v>
      </c>
      <c r="AN5">
        <v>0</v>
      </c>
      <c r="AO5" t="s">
        <v>59</v>
      </c>
      <c r="AP5">
        <v>1</v>
      </c>
      <c r="AQ5" t="s">
        <v>64</v>
      </c>
      <c r="AR5" t="s">
        <v>61</v>
      </c>
      <c r="AS5">
        <v>1</v>
      </c>
      <c r="AT5">
        <v>3</v>
      </c>
      <c r="AU5">
        <v>0</v>
      </c>
      <c r="AV5">
        <v>0</v>
      </c>
      <c r="AW5">
        <v>100</v>
      </c>
      <c r="AX5" s="1">
        <v>44635</v>
      </c>
      <c r="AY5">
        <v>28600</v>
      </c>
      <c r="AZ5">
        <v>234116</v>
      </c>
      <c r="BA5">
        <v>262700</v>
      </c>
      <c r="BB5">
        <v>335000</v>
      </c>
      <c r="BC5">
        <v>292</v>
      </c>
      <c r="BD5" s="3">
        <f>Wapato_Sales[[#This Row],[land_extract]]*Lookups!$B$3</f>
        <v>2850.8015066082407</v>
      </c>
      <c r="BE5" s="3">
        <f>Lookups!$B$2</f>
        <v>107530.54</v>
      </c>
      <c r="BF5">
        <f>VLOOKUP(Wapato_Sales[[#This Row],[quality]],Lookups!$H$2:$J$11,3,FALSE)</f>
        <v>50594</v>
      </c>
      <c r="BG5">
        <f>VLOOKUP(Wapato_Sales[[#This Row],[condition]],Lookups!$H$17:$J$24,3,FALSE)</f>
        <v>122095</v>
      </c>
      <c r="BH5" s="3">
        <f>Wapato_Sales[[#This Row],[Age]]*Lookups!$B$16</f>
        <v>-741.35140000000001</v>
      </c>
      <c r="BI5" s="3">
        <f>Wapato_Sales[[#This Row],[Main Floor]]*Lookups!$B$17</f>
        <v>52167.322271999998</v>
      </c>
      <c r="BJ5" s="3">
        <f>Wapato_Sales[[#This Row],[Upper Floor]]*Lookups!$B$18</f>
        <v>0</v>
      </c>
      <c r="BK5" s="3">
        <f>Wapato_Sales[[#This Row],[Fin BSMT]]*Lookups!$B$19</f>
        <v>0</v>
      </c>
      <c r="BL5" s="3">
        <f>Wapato_Sales[[#This Row],[garage_sqft]]*Lookups!$B$20</f>
        <v>17024.02592</v>
      </c>
      <c r="BM5" s="3">
        <f>Wapato_Sales[[#This Row],[Patio]]*Lookups!$B$21</f>
        <v>0</v>
      </c>
      <c r="BN5" s="3">
        <f>Wapato_Sales[[#This Row],[detatched_value]]*Lookups!$B$22</f>
        <v>0</v>
      </c>
      <c r="BO5" s="3">
        <f>Wapato_Sales[[#This Row],[days_prior]]*Lookups!$B$23</f>
        <v>-21854.004159999997</v>
      </c>
      <c r="BP5" s="3">
        <f>SUM(Wapato_Sales[[#This Row],[land_value]:[days_prior_value]])</f>
        <v>329666.33413860825</v>
      </c>
      <c r="BQ5" s="2">
        <f>Wapato_Sales[[#This Row],[predicted_total]]/Wapato_Sales[[#This Row],[sale_price]]</f>
        <v>0.98407860936897984</v>
      </c>
      <c r="BR5" s="3">
        <f>Wapato_Sales[[#This Row],[predicted_total]]-Wapato_Sales[[#This Row],[sale_price]]</f>
        <v>-5333.6658613917534</v>
      </c>
      <c r="BS5" s="3">
        <f>Wapato_Sales[[#This Row],[pred_var]]*Wapato_Sales[[#This Row],[pred_var]]</f>
        <v>28447991.520975836</v>
      </c>
      <c r="BT5" s="2">
        <f>VLOOKUP(Wapato_Sales[[#This Row],[quality]],Lookups!$A$28:$C$37,3,FALSE)</f>
        <v>0.99197423394367223</v>
      </c>
      <c r="BU5" s="2">
        <f>VLOOKUP(Wapato_Sales[[#This Row],[condition]],Lookups!$A$41:$C$48,3,FALSE)</f>
        <v>1.00041560026225</v>
      </c>
      <c r="BV5" s="2">
        <f>VLOOKUP(Wapato_Sales[[#This Row],[decade]],Lookups!$F$28:$H$43,3,FALSE)</f>
        <v>1.00041560026225</v>
      </c>
      <c r="BW5" s="2">
        <f>VLOOKUP(Wapato_Sales[[#This Row],[living_area_range]],Lookups!$K$28:$M$37,3,FALSE)</f>
        <v>1.0061411172456287</v>
      </c>
      <c r="BX5" s="2">
        <f>AVERAGE(Wapato_Sales[[#This Row],[qual_adj]:[size_adj]])</f>
        <v>0.99973663792845024</v>
      </c>
      <c r="BY5" s="3">
        <f>SUM(Wapato_Sales[[#This Row],[quality_value]:[days_prior_value]])+(Wapato_Sales[[#This Row],[intercept]]*0.5)-Wapato_Sales[[#This Row],[det_value]]</f>
        <v>273050.26263199997</v>
      </c>
      <c r="BZ5" s="3">
        <f>Wapato_Sales[[#This Row],[land_value]]+(0.5*Wapato_Sales[[#This Row],[intercept]])</f>
        <v>56616.071506608234</v>
      </c>
      <c r="CA5" s="3">
        <f>Wapato_Sales[[#This Row],[det_value]]</f>
        <v>0</v>
      </c>
      <c r="CB5" s="3">
        <f>Wapato_Sales[[#This Row],[summed_res]]*Wapato_Sales[[#This Row],[overall_adj]]</f>
        <v>272978.351549196</v>
      </c>
      <c r="CC5" s="3">
        <f>Wapato_Sales[[#This Row],[final_res]]+Wapato_Sales[[#This Row],[final_det]]+Wapato_Sales[[#This Row],[final_land]]</f>
        <v>329594.42305580422</v>
      </c>
      <c r="CD5" s="2">
        <f>Wapato_Sales[[#This Row],[final_total]]/Wapato_Sales[[#This Row],[sale_price]]</f>
        <v>0.98386394942031108</v>
      </c>
      <c r="CE5" s="3">
        <f>(Wapato_Sales[[#This Row],[final_total]]-Wapato_Sales[[#This Row],[sale_price]])^2</f>
        <v>29220262.099621005</v>
      </c>
      <c r="CF5" s="3">
        <f>(Wapato_Sales[[#This Row],[final_total]]-AVERAGE(Wapato_Sales[sale_price]))^2</f>
        <v>15766468395.060057</v>
      </c>
      <c r="CG5" s="3">
        <f>Wapato_Sales[[#This Row],[SSE]]+Wapato_Sales[[#This Row],[SSR]]</f>
        <v>15795688657.159678</v>
      </c>
      <c r="CH5" s="2">
        <f>ABS(Wapato_Sales[[#This Row],[final_ratio]]-MEDIAN(Wapato_Sales[final_ratio]))</f>
        <v>1.8874232268980551E-3</v>
      </c>
    </row>
    <row r="6" spans="1:86" x14ac:dyDescent="0.25">
      <c r="A6">
        <v>19111511513</v>
      </c>
      <c r="B6">
        <v>0</v>
      </c>
      <c r="C6">
        <v>6000</v>
      </c>
      <c r="D6">
        <v>0</v>
      </c>
      <c r="E6" t="s">
        <v>54</v>
      </c>
      <c r="F6" t="s">
        <v>54</v>
      </c>
      <c r="G6">
        <v>3</v>
      </c>
      <c r="H6" t="s">
        <v>55</v>
      </c>
      <c r="I6">
        <v>158200</v>
      </c>
      <c r="J6">
        <v>31800</v>
      </c>
      <c r="K6">
        <v>0.14000000000000001</v>
      </c>
      <c r="L6">
        <v>0</v>
      </c>
      <c r="M6">
        <v>0</v>
      </c>
      <c r="N6">
        <v>0</v>
      </c>
      <c r="O6">
        <v>27904.037</v>
      </c>
      <c r="P6">
        <v>74398.407600000006</v>
      </c>
      <c r="Q6">
        <f t="shared" si="0"/>
        <v>19535.921709596798</v>
      </c>
      <c r="R6">
        <f t="shared" si="1"/>
        <v>-1.9661128563728327</v>
      </c>
      <c r="S6" t="s">
        <v>66</v>
      </c>
      <c r="T6">
        <v>1</v>
      </c>
      <c r="U6" t="s">
        <v>67</v>
      </c>
      <c r="V6" t="s">
        <v>68</v>
      </c>
      <c r="W6">
        <v>0</v>
      </c>
      <c r="X6">
        <v>0</v>
      </c>
      <c r="Y6">
        <v>3</v>
      </c>
      <c r="Z6">
        <v>98</v>
      </c>
      <c r="AA6">
        <v>100</v>
      </c>
      <c r="AB6">
        <v>1500</v>
      </c>
      <c r="AC6">
        <v>1288</v>
      </c>
      <c r="AD6">
        <v>1288</v>
      </c>
      <c r="AE6">
        <v>0</v>
      </c>
      <c r="AF6">
        <v>0</v>
      </c>
      <c r="AG6">
        <v>1288</v>
      </c>
      <c r="AH6">
        <v>0</v>
      </c>
      <c r="AI6">
        <v>0</v>
      </c>
      <c r="AJ6">
        <v>0</v>
      </c>
      <c r="AK6">
        <v>0</v>
      </c>
      <c r="AL6">
        <v>5</v>
      </c>
      <c r="AM6">
        <v>0</v>
      </c>
      <c r="AN6">
        <v>0</v>
      </c>
      <c r="AO6" t="s">
        <v>59</v>
      </c>
      <c r="AP6">
        <v>1</v>
      </c>
      <c r="AQ6" t="s">
        <v>64</v>
      </c>
      <c r="AR6" t="s">
        <v>61</v>
      </c>
      <c r="AS6">
        <v>0</v>
      </c>
      <c r="AT6">
        <v>2</v>
      </c>
      <c r="AU6">
        <v>0</v>
      </c>
      <c r="AV6">
        <v>0</v>
      </c>
      <c r="AW6">
        <v>100</v>
      </c>
      <c r="AX6" s="1">
        <v>44322</v>
      </c>
      <c r="AY6">
        <v>26600</v>
      </c>
      <c r="AZ6">
        <v>211959</v>
      </c>
      <c r="BA6">
        <v>238600</v>
      </c>
      <c r="BB6">
        <v>189000</v>
      </c>
      <c r="BC6">
        <v>605</v>
      </c>
      <c r="BD6" s="3">
        <f>Wapato_Sales[[#This Row],[land_extract]]*Lookups!$B$3</f>
        <v>1984.9746755939761</v>
      </c>
      <c r="BE6" s="3">
        <f>Lookups!$B$2</f>
        <v>107530.54</v>
      </c>
      <c r="BF6">
        <f>VLOOKUP(Wapato_Sales[[#This Row],[quality]],Lookups!$H$2:$J$11,3,FALSE)</f>
        <v>50405</v>
      </c>
      <c r="BG6">
        <f>VLOOKUP(Wapato_Sales[[#This Row],[condition]],Lookups!$H$17:$J$24,3,FALSE)</f>
        <v>52231</v>
      </c>
      <c r="BH6" s="3">
        <f>Wapato_Sales[[#This Row],[Age]]*Lookups!$B$16</f>
        <v>-36326.2186</v>
      </c>
      <c r="BI6" s="3">
        <f>Wapato_Sales[[#This Row],[Main Floor]]*Lookups!$B$17</f>
        <v>53839.351832</v>
      </c>
      <c r="BJ6" s="3">
        <f>Wapato_Sales[[#This Row],[Upper Floor]]*Lookups!$B$18</f>
        <v>0</v>
      </c>
      <c r="BK6" s="3">
        <f>Wapato_Sales[[#This Row],[Fin BSMT]]*Lookups!$B$19</f>
        <v>0</v>
      </c>
      <c r="BL6" s="3">
        <f>Wapato_Sales[[#This Row],[garage_sqft]]*Lookups!$B$20</f>
        <v>0</v>
      </c>
      <c r="BM6" s="3">
        <f>Wapato_Sales[[#This Row],[Patio]]*Lookups!$B$21</f>
        <v>0</v>
      </c>
      <c r="BN6" s="3">
        <f>Wapato_Sales[[#This Row],[detatched_value]]*Lookups!$B$22</f>
        <v>0</v>
      </c>
      <c r="BO6" s="3">
        <f>Wapato_Sales[[#This Row],[days_prior]]*Lookups!$B$23</f>
        <v>-45279.700399999994</v>
      </c>
      <c r="BP6" s="3">
        <f>SUM(Wapato_Sales[[#This Row],[land_value]:[days_prior_value]])</f>
        <v>184384.94750759398</v>
      </c>
      <c r="BQ6" s="2">
        <f>Wapato_Sales[[#This Row],[predicted_total]]/Wapato_Sales[[#This Row],[sale_price]]</f>
        <v>0.97558173284441263</v>
      </c>
      <c r="BR6" s="3">
        <f>Wapato_Sales[[#This Row],[predicted_total]]-Wapato_Sales[[#This Row],[sale_price]]</f>
        <v>-4615.0524924060155</v>
      </c>
      <c r="BS6" s="3">
        <f>Wapato_Sales[[#This Row],[pred_var]]*Wapato_Sales[[#This Row],[pred_var]]</f>
        <v>21298709.507662974</v>
      </c>
      <c r="BT6" s="2">
        <f>VLOOKUP(Wapato_Sales[[#This Row],[quality]],Lookups!$A$28:$C$37,3,FALSE)</f>
        <v>0.97993206410140754</v>
      </c>
      <c r="BU6" s="2">
        <f>VLOOKUP(Wapato_Sales[[#This Row],[condition]],Lookups!$A$41:$C$48,3,FALSE)</f>
        <v>0.9832333997567807</v>
      </c>
      <c r="BV6" s="2">
        <f>VLOOKUP(Wapato_Sales[[#This Row],[decade]],Lookups!$F$28:$H$43,3,FALSE)</f>
        <v>1.0114203040664467</v>
      </c>
      <c r="BW6" s="2">
        <f>VLOOKUP(Wapato_Sales[[#This Row],[living_area_range]],Lookups!$K$28:$M$37,3,FALSE)</f>
        <v>1.0061411172456287</v>
      </c>
      <c r="BX6" s="2">
        <f>AVERAGE(Wapato_Sales[[#This Row],[qual_adj]:[size_adj]])</f>
        <v>0.99518172129256599</v>
      </c>
      <c r="BY6" s="3">
        <f>SUM(Wapato_Sales[[#This Row],[quality_value]:[days_prior_value]])+(Wapato_Sales[[#This Row],[intercept]]*0.5)-Wapato_Sales[[#This Row],[det_value]]</f>
        <v>128634.70283200001</v>
      </c>
      <c r="BZ6" s="3">
        <f>Wapato_Sales[[#This Row],[land_value]]+(0.5*Wapato_Sales[[#This Row],[intercept]])</f>
        <v>55750.244675593975</v>
      </c>
      <c r="CA6" s="3">
        <f>Wapato_Sales[[#This Row],[det_value]]</f>
        <v>0</v>
      </c>
      <c r="CB6" s="3">
        <f>Wapato_Sales[[#This Row],[summed_res]]*Wapato_Sales[[#This Row],[overall_adj]]</f>
        <v>128014.90498230749</v>
      </c>
      <c r="CC6" s="3">
        <f>Wapato_Sales[[#This Row],[final_res]]+Wapato_Sales[[#This Row],[final_det]]+Wapato_Sales[[#This Row],[final_land]]</f>
        <v>183765.14965790146</v>
      </c>
      <c r="CD6" s="2">
        <f>Wapato_Sales[[#This Row],[final_total]]/Wapato_Sales[[#This Row],[sale_price]]</f>
        <v>0.97230237914233575</v>
      </c>
      <c r="CE6" s="3">
        <f>(Wapato_Sales[[#This Row],[final_total]]-Wapato_Sales[[#This Row],[sale_price]])^2</f>
        <v>27403658.10416916</v>
      </c>
      <c r="CF6" s="3">
        <f>(Wapato_Sales[[#This Row],[final_total]]-AVERAGE(Wapato_Sales[sale_price]))^2</f>
        <v>410657048.94462574</v>
      </c>
      <c r="CG6" s="3">
        <f>Wapato_Sales[[#This Row],[SSE]]+Wapato_Sales[[#This Row],[SSR]]</f>
        <v>438060707.04879487</v>
      </c>
      <c r="CH6" s="2">
        <f>ABS(Wapato_Sales[[#This Row],[final_ratio]]-MEDIAN(Wapato_Sales[final_ratio]))</f>
        <v>9.6741470510772753E-3</v>
      </c>
    </row>
    <row r="7" spans="1:86" x14ac:dyDescent="0.25">
      <c r="A7">
        <v>19111034405</v>
      </c>
      <c r="B7">
        <v>0.26</v>
      </c>
      <c r="C7">
        <v>11407</v>
      </c>
      <c r="D7">
        <v>0</v>
      </c>
      <c r="E7" t="s">
        <v>54</v>
      </c>
      <c r="F7" t="s">
        <v>54</v>
      </c>
      <c r="G7">
        <v>3</v>
      </c>
      <c r="H7" t="s">
        <v>55</v>
      </c>
      <c r="I7">
        <v>323400</v>
      </c>
      <c r="J7">
        <v>35800</v>
      </c>
      <c r="K7">
        <v>0.26</v>
      </c>
      <c r="L7">
        <v>0</v>
      </c>
      <c r="M7">
        <v>0</v>
      </c>
      <c r="N7">
        <v>0</v>
      </c>
      <c r="O7">
        <v>27904.037</v>
      </c>
      <c r="P7">
        <v>74398.407600000006</v>
      </c>
      <c r="Q7">
        <f t="shared" si="0"/>
        <v>36809.614685414766</v>
      </c>
      <c r="R7">
        <f t="shared" si="1"/>
        <v>-1.3470736479666092</v>
      </c>
      <c r="S7" t="s">
        <v>56</v>
      </c>
      <c r="T7">
        <v>2</v>
      </c>
      <c r="U7" t="s">
        <v>65</v>
      </c>
      <c r="V7" t="s">
        <v>69</v>
      </c>
      <c r="W7">
        <v>0</v>
      </c>
      <c r="X7">
        <v>0</v>
      </c>
      <c r="Y7">
        <v>17</v>
      </c>
      <c r="Z7">
        <v>17</v>
      </c>
      <c r="AA7">
        <v>20</v>
      </c>
      <c r="AB7">
        <v>2000</v>
      </c>
      <c r="AC7">
        <v>1966</v>
      </c>
      <c r="AD7">
        <v>974</v>
      </c>
      <c r="AE7">
        <v>992</v>
      </c>
      <c r="AF7">
        <v>0</v>
      </c>
      <c r="AG7">
        <v>0</v>
      </c>
      <c r="AH7">
        <v>440</v>
      </c>
      <c r="AI7">
        <v>0</v>
      </c>
      <c r="AJ7">
        <v>0</v>
      </c>
      <c r="AK7">
        <v>80</v>
      </c>
      <c r="AL7">
        <v>12</v>
      </c>
      <c r="AM7">
        <v>0</v>
      </c>
      <c r="AN7">
        <v>0</v>
      </c>
      <c r="AO7" t="s">
        <v>59</v>
      </c>
      <c r="AP7">
        <v>1</v>
      </c>
      <c r="AQ7" t="s">
        <v>60</v>
      </c>
      <c r="AR7" t="s">
        <v>61</v>
      </c>
      <c r="AS7">
        <v>1</v>
      </c>
      <c r="AT7">
        <v>3</v>
      </c>
      <c r="AU7">
        <v>0</v>
      </c>
      <c r="AV7">
        <v>0</v>
      </c>
      <c r="AW7">
        <v>100</v>
      </c>
      <c r="AX7" s="1">
        <v>44280</v>
      </c>
      <c r="AY7">
        <v>26200</v>
      </c>
      <c r="AZ7">
        <v>338655</v>
      </c>
      <c r="BA7">
        <v>364900</v>
      </c>
      <c r="BB7">
        <v>355000</v>
      </c>
      <c r="BC7">
        <v>647</v>
      </c>
      <c r="BD7" s="3">
        <f>Wapato_Sales[[#This Row],[land_extract]]*Lookups!$B$3</f>
        <v>3740.092433572127</v>
      </c>
      <c r="BE7" s="3">
        <f>Lookups!$B$2</f>
        <v>107530.54</v>
      </c>
      <c r="BF7">
        <f>VLOOKUP(Wapato_Sales[[#This Row],[quality]],Lookups!$H$2:$J$11,3,FALSE)</f>
        <v>92307</v>
      </c>
      <c r="BG7">
        <f>VLOOKUP(Wapato_Sales[[#This Row],[condition]],Lookups!$H$17:$J$24,3,FALSE)</f>
        <v>74543</v>
      </c>
      <c r="BH7" s="3">
        <f>Wapato_Sales[[#This Row],[Age]]*Lookups!$B$16</f>
        <v>-6301.4868999999999</v>
      </c>
      <c r="BI7" s="3">
        <f>Wapato_Sales[[#This Row],[Main Floor]]*Lookups!$B$17</f>
        <v>40713.919785999999</v>
      </c>
      <c r="BJ7" s="3">
        <f>Wapato_Sales[[#This Row],[Upper Floor]]*Lookups!$B$18</f>
        <v>49204.329888</v>
      </c>
      <c r="BK7" s="3">
        <f>Wapato_Sales[[#This Row],[Fin BSMT]]*Lookups!$B$19</f>
        <v>0</v>
      </c>
      <c r="BL7" s="3">
        <f>Wapato_Sales[[#This Row],[garage_sqft]]*Lookups!$B$20</f>
        <v>16283.85088</v>
      </c>
      <c r="BM7" s="3">
        <f>Wapato_Sales[[#This Row],[Patio]]*Lookups!$B$21</f>
        <v>3465.9183200000002</v>
      </c>
      <c r="BN7" s="3">
        <f>Wapato_Sales[[#This Row],[detatched_value]]*Lookups!$B$22</f>
        <v>0</v>
      </c>
      <c r="BO7" s="3">
        <f>Wapato_Sales[[#This Row],[days_prior]]*Lookups!$B$23</f>
        <v>-48423.084559999996</v>
      </c>
      <c r="BP7" s="3">
        <f>SUM(Wapato_Sales[[#This Row],[land_value]:[days_prior_value]])</f>
        <v>333064.07984757202</v>
      </c>
      <c r="BQ7" s="2">
        <f>Wapato_Sales[[#This Row],[predicted_total]]/Wapato_Sales[[#This Row],[sale_price]]</f>
        <v>0.93820867562696342</v>
      </c>
      <c r="BR7" s="3">
        <f>Wapato_Sales[[#This Row],[predicted_total]]-Wapato_Sales[[#This Row],[sale_price]]</f>
        <v>-21935.920152427978</v>
      </c>
      <c r="BS7" s="3">
        <f>Wapato_Sales[[#This Row],[pred_var]]*Wapato_Sales[[#This Row],[pred_var]]</f>
        <v>481184592.93369585</v>
      </c>
      <c r="BT7" s="2">
        <f>VLOOKUP(Wapato_Sales[[#This Row],[quality]],Lookups!$A$28:$C$37,3,FALSE)</f>
        <v>1.0013727718490204</v>
      </c>
      <c r="BU7" s="2">
        <f>VLOOKUP(Wapato_Sales[[#This Row],[condition]],Lookups!$A$41:$C$48,3,FALSE)</f>
        <v>0.98442438223270734</v>
      </c>
      <c r="BV7" s="2">
        <f>VLOOKUP(Wapato_Sales[[#This Row],[decade]],Lookups!$F$28:$H$43,3,FALSE)</f>
        <v>1.0658609603367226</v>
      </c>
      <c r="BW7" s="2">
        <f>VLOOKUP(Wapato_Sales[[#This Row],[living_area_range]],Lookups!$K$28:$M$37,3,FALSE)</f>
        <v>0.99330894324714125</v>
      </c>
      <c r="BX7" s="2">
        <f>AVERAGE(Wapato_Sales[[#This Row],[qual_adj]:[size_adj]])</f>
        <v>1.011241764416398</v>
      </c>
      <c r="BY7" s="3">
        <f>SUM(Wapato_Sales[[#This Row],[quality_value]:[days_prior_value]])+(Wapato_Sales[[#This Row],[intercept]]*0.5)-Wapato_Sales[[#This Row],[det_value]]</f>
        <v>275558.71741400007</v>
      </c>
      <c r="BZ7" s="3">
        <f>Wapato_Sales[[#This Row],[land_value]]+(0.5*Wapato_Sales[[#This Row],[intercept]])</f>
        <v>57505.362433572125</v>
      </c>
      <c r="CA7" s="3">
        <f>Wapato_Sales[[#This Row],[det_value]]</f>
        <v>0</v>
      </c>
      <c r="CB7" s="3">
        <f>Wapato_Sales[[#This Row],[summed_res]]*Wapato_Sales[[#This Row],[overall_adj]]</f>
        <v>278656.48359805305</v>
      </c>
      <c r="CC7" s="3">
        <f>Wapato_Sales[[#This Row],[final_res]]+Wapato_Sales[[#This Row],[final_det]]+Wapato_Sales[[#This Row],[final_land]]</f>
        <v>336161.84603162517</v>
      </c>
      <c r="CD7" s="2">
        <f>Wapato_Sales[[#This Row],[final_total]]/Wapato_Sales[[#This Row],[sale_price]]</f>
        <v>0.94693477755387367</v>
      </c>
      <c r="CE7" s="3">
        <f>(Wapato_Sales[[#This Row],[final_total]]-Wapato_Sales[[#This Row],[sale_price]])^2</f>
        <v>354876044.93619627</v>
      </c>
      <c r="CF7" s="3">
        <f>(Wapato_Sales[[#This Row],[final_total]]-AVERAGE(Wapato_Sales[sale_price]))^2</f>
        <v>17458871097.807117</v>
      </c>
      <c r="CG7" s="3">
        <f>Wapato_Sales[[#This Row],[SSE]]+Wapato_Sales[[#This Row],[SSR]]</f>
        <v>17813747142.743313</v>
      </c>
      <c r="CH7" s="2">
        <f>ABS(Wapato_Sales[[#This Row],[final_ratio]]-MEDIAN(Wapato_Sales[final_ratio]))</f>
        <v>3.504174863953935E-2</v>
      </c>
    </row>
    <row r="8" spans="1:86" x14ac:dyDescent="0.25">
      <c r="A8">
        <v>19111514552</v>
      </c>
      <c r="B8">
        <v>0.15</v>
      </c>
      <c r="C8">
        <v>6338</v>
      </c>
      <c r="D8">
        <v>0</v>
      </c>
      <c r="E8" t="s">
        <v>54</v>
      </c>
      <c r="F8" t="s">
        <v>54</v>
      </c>
      <c r="G8">
        <v>3</v>
      </c>
      <c r="H8" t="s">
        <v>55</v>
      </c>
      <c r="I8">
        <v>218900</v>
      </c>
      <c r="J8">
        <v>32300</v>
      </c>
      <c r="K8">
        <v>0.15</v>
      </c>
      <c r="L8">
        <v>0</v>
      </c>
      <c r="M8">
        <v>0</v>
      </c>
      <c r="N8">
        <v>0</v>
      </c>
      <c r="O8">
        <v>27904.037</v>
      </c>
      <c r="P8">
        <v>74398.407600000006</v>
      </c>
      <c r="Q8">
        <f t="shared" si="0"/>
        <v>21461.101348304932</v>
      </c>
      <c r="R8">
        <f t="shared" si="1"/>
        <v>-1.8971199848858813</v>
      </c>
      <c r="S8" t="s">
        <v>66</v>
      </c>
      <c r="T8">
        <v>1</v>
      </c>
      <c r="U8" t="s">
        <v>67</v>
      </c>
      <c r="V8" t="s">
        <v>70</v>
      </c>
      <c r="W8">
        <v>0</v>
      </c>
      <c r="X8">
        <v>0</v>
      </c>
      <c r="Y8">
        <v>29</v>
      </c>
      <c r="Z8">
        <v>103</v>
      </c>
      <c r="AA8">
        <v>100</v>
      </c>
      <c r="AB8">
        <v>1500</v>
      </c>
      <c r="AC8">
        <v>1188</v>
      </c>
      <c r="AD8">
        <v>1188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8</v>
      </c>
      <c r="AM8">
        <v>0</v>
      </c>
      <c r="AN8">
        <v>0</v>
      </c>
      <c r="AO8" t="s">
        <v>59</v>
      </c>
      <c r="AP8">
        <v>1</v>
      </c>
      <c r="AQ8" t="s">
        <v>60</v>
      </c>
      <c r="AR8" t="s">
        <v>65</v>
      </c>
      <c r="AS8">
        <v>1</v>
      </c>
      <c r="AT8">
        <v>3</v>
      </c>
      <c r="AU8">
        <v>0</v>
      </c>
      <c r="AV8">
        <v>0</v>
      </c>
      <c r="AW8">
        <v>100</v>
      </c>
      <c r="AX8" s="1">
        <v>44636</v>
      </c>
      <c r="AY8">
        <v>27000</v>
      </c>
      <c r="AZ8">
        <v>163064</v>
      </c>
      <c r="BA8">
        <v>190100</v>
      </c>
      <c r="BB8">
        <v>280000</v>
      </c>
      <c r="BC8">
        <v>291</v>
      </c>
      <c r="BD8" s="3">
        <f>Wapato_Sales[[#This Row],[land_extract]]*Lookups!$B$3</f>
        <v>2180.5852480364101</v>
      </c>
      <c r="BE8" s="3">
        <f>Lookups!$B$2</f>
        <v>107530.54</v>
      </c>
      <c r="BF8">
        <f>VLOOKUP(Wapato_Sales[[#This Row],[quality]],Lookups!$H$2:$J$11,3,FALSE)</f>
        <v>50405</v>
      </c>
      <c r="BG8">
        <f>VLOOKUP(Wapato_Sales[[#This Row],[condition]],Lookups!$H$17:$J$24,3,FALSE)</f>
        <v>84338</v>
      </c>
      <c r="BH8" s="3">
        <f>Wapato_Sales[[#This Row],[Age]]*Lookups!$B$16</f>
        <v>-38179.597099999999</v>
      </c>
      <c r="BI8" s="3">
        <f>Wapato_Sales[[#This Row],[Main Floor]]*Lookups!$B$17</f>
        <v>49659.277931999997</v>
      </c>
      <c r="BJ8" s="3">
        <f>Wapato_Sales[[#This Row],[Upper Floor]]*Lookups!$B$18</f>
        <v>0</v>
      </c>
      <c r="BK8" s="3">
        <f>Wapato_Sales[[#This Row],[Fin BSMT]]*Lookups!$B$19</f>
        <v>0</v>
      </c>
      <c r="BL8" s="3">
        <f>Wapato_Sales[[#This Row],[garage_sqft]]*Lookups!$B$20</f>
        <v>0</v>
      </c>
      <c r="BM8" s="3">
        <f>Wapato_Sales[[#This Row],[Patio]]*Lookups!$B$21</f>
        <v>0</v>
      </c>
      <c r="BN8" s="3">
        <f>Wapato_Sales[[#This Row],[detatched_value]]*Lookups!$B$22</f>
        <v>0</v>
      </c>
      <c r="BO8" s="3">
        <f>Wapato_Sales[[#This Row],[days_prior]]*Lookups!$B$23</f>
        <v>-21779.161679999997</v>
      </c>
      <c r="BP8" s="3">
        <f>SUM(Wapato_Sales[[#This Row],[land_value]:[days_prior_value]])</f>
        <v>234154.6444000364</v>
      </c>
      <c r="BQ8" s="2">
        <f>Wapato_Sales[[#This Row],[predicted_total]]/Wapato_Sales[[#This Row],[sale_price]]</f>
        <v>0.83626658714298718</v>
      </c>
      <c r="BR8" s="3">
        <f>Wapato_Sales[[#This Row],[predicted_total]]-Wapato_Sales[[#This Row],[sale_price]]</f>
        <v>-45845.355599963601</v>
      </c>
      <c r="BS8" s="3">
        <f>Wapato_Sales[[#This Row],[pred_var]]*Wapato_Sales[[#This Row],[pred_var]]</f>
        <v>2101796630.0871139</v>
      </c>
      <c r="BT8" s="2">
        <f>VLOOKUP(Wapato_Sales[[#This Row],[quality]],Lookups!$A$28:$C$37,3,FALSE)</f>
        <v>0.97993206410140754</v>
      </c>
      <c r="BU8" s="2">
        <f>VLOOKUP(Wapato_Sales[[#This Row],[condition]],Lookups!$A$41:$C$48,3,FALSE)</f>
        <v>0.99478075210508476</v>
      </c>
      <c r="BV8" s="2">
        <f>VLOOKUP(Wapato_Sales[[#This Row],[decade]],Lookups!$F$28:$H$43,3,FALSE)</f>
        <v>1.0114203040664467</v>
      </c>
      <c r="BW8" s="2">
        <f>VLOOKUP(Wapato_Sales[[#This Row],[living_area_range]],Lookups!$K$28:$M$37,3,FALSE)</f>
        <v>1.0061411172456287</v>
      </c>
      <c r="BX8" s="2">
        <f>AVERAGE(Wapato_Sales[[#This Row],[qual_adj]:[size_adj]])</f>
        <v>0.9980685593796419</v>
      </c>
      <c r="BY8" s="3">
        <f>SUM(Wapato_Sales[[#This Row],[quality_value]:[days_prior_value]])+(Wapato_Sales[[#This Row],[intercept]]*0.5)-Wapato_Sales[[#This Row],[det_value]]</f>
        <v>178208.78915199998</v>
      </c>
      <c r="BZ8" s="3">
        <f>Wapato_Sales[[#This Row],[land_value]]+(0.5*Wapato_Sales[[#This Row],[intercept]])</f>
        <v>55945.855248036409</v>
      </c>
      <c r="CA8" s="3">
        <f>Wapato_Sales[[#This Row],[det_value]]</f>
        <v>0</v>
      </c>
      <c r="CB8" s="3">
        <f>Wapato_Sales[[#This Row],[summed_res]]*Wapato_Sales[[#This Row],[overall_adj]]</f>
        <v>177864.58945772698</v>
      </c>
      <c r="CC8" s="3">
        <f>Wapato_Sales[[#This Row],[final_res]]+Wapato_Sales[[#This Row],[final_det]]+Wapato_Sales[[#This Row],[final_land]]</f>
        <v>233810.4447057634</v>
      </c>
      <c r="CD8" s="2">
        <f>Wapato_Sales[[#This Row],[final_total]]/Wapato_Sales[[#This Row],[sale_price]]</f>
        <v>0.8350373025205835</v>
      </c>
      <c r="CE8" s="3">
        <f>(Wapato_Sales[[#This Row],[final_total]]-Wapato_Sales[[#This Row],[sale_price]])^2</f>
        <v>2133475018.2793407</v>
      </c>
      <c r="CF8" s="3">
        <f>(Wapato_Sales[[#This Row],[final_total]]-AVERAGE(Wapato_Sales[sale_price]))^2</f>
        <v>886885336.18265367</v>
      </c>
      <c r="CG8" s="3">
        <f>Wapato_Sales[[#This Row],[SSE]]+Wapato_Sales[[#This Row],[SSR]]</f>
        <v>3020360354.4619942</v>
      </c>
      <c r="CH8" s="2">
        <f>ABS(Wapato_Sales[[#This Row],[final_ratio]]-MEDIAN(Wapato_Sales[final_ratio]))</f>
        <v>0.14693922367282952</v>
      </c>
    </row>
    <row r="9" spans="1:86" x14ac:dyDescent="0.25">
      <c r="A9">
        <v>19111044409</v>
      </c>
      <c r="B9">
        <v>0.15</v>
      </c>
      <c r="C9">
        <v>6393</v>
      </c>
      <c r="D9">
        <v>0</v>
      </c>
      <c r="E9" t="s">
        <v>54</v>
      </c>
      <c r="F9" t="s">
        <v>54</v>
      </c>
      <c r="G9">
        <v>3</v>
      </c>
      <c r="H9" t="s">
        <v>55</v>
      </c>
      <c r="I9">
        <v>73500</v>
      </c>
      <c r="J9">
        <v>32300</v>
      </c>
      <c r="K9">
        <v>0.15</v>
      </c>
      <c r="L9">
        <v>0</v>
      </c>
      <c r="M9">
        <v>0</v>
      </c>
      <c r="N9">
        <v>0</v>
      </c>
      <c r="O9">
        <v>27904.037</v>
      </c>
      <c r="P9">
        <v>74398.407600000006</v>
      </c>
      <c r="Q9">
        <f t="shared" si="0"/>
        <v>21461.101348304932</v>
      </c>
      <c r="R9">
        <f t="shared" si="1"/>
        <v>-1.8971199848858813</v>
      </c>
      <c r="S9" t="s">
        <v>66</v>
      </c>
      <c r="T9">
        <v>1</v>
      </c>
      <c r="U9" t="s">
        <v>71</v>
      </c>
      <c r="V9" t="s">
        <v>70</v>
      </c>
      <c r="W9">
        <v>0</v>
      </c>
      <c r="X9">
        <v>0</v>
      </c>
      <c r="Y9">
        <v>29</v>
      </c>
      <c r="Z9">
        <v>103</v>
      </c>
      <c r="AA9">
        <v>100</v>
      </c>
      <c r="AB9">
        <v>1000</v>
      </c>
      <c r="AC9">
        <v>925</v>
      </c>
      <c r="AD9">
        <v>925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5</v>
      </c>
      <c r="AM9">
        <v>0</v>
      </c>
      <c r="AN9">
        <v>0</v>
      </c>
      <c r="AO9" t="s">
        <v>59</v>
      </c>
      <c r="AP9">
        <v>1</v>
      </c>
      <c r="AQ9" t="s">
        <v>72</v>
      </c>
      <c r="AR9" t="s">
        <v>61</v>
      </c>
      <c r="AS9">
        <v>0</v>
      </c>
      <c r="AT9">
        <v>2</v>
      </c>
      <c r="AU9">
        <v>0</v>
      </c>
      <c r="AV9">
        <v>0</v>
      </c>
      <c r="AW9">
        <v>100</v>
      </c>
      <c r="AX9" s="1">
        <v>44868</v>
      </c>
      <c r="AY9">
        <v>27000</v>
      </c>
      <c r="AZ9">
        <v>105682</v>
      </c>
      <c r="BA9">
        <v>132700</v>
      </c>
      <c r="BB9">
        <v>220000</v>
      </c>
      <c r="BC9">
        <v>59</v>
      </c>
      <c r="BD9" s="3">
        <f>Wapato_Sales[[#This Row],[land_extract]]*Lookups!$B$3</f>
        <v>2180.5852480364101</v>
      </c>
      <c r="BE9" s="3">
        <f>Lookups!$B$2</f>
        <v>107530.54</v>
      </c>
      <c r="BF9">
        <f>VLOOKUP(Wapato_Sales[[#This Row],[quality]],Lookups!$H$2:$J$11,3,FALSE)</f>
        <v>28034</v>
      </c>
      <c r="BG9">
        <f>VLOOKUP(Wapato_Sales[[#This Row],[condition]],Lookups!$H$17:$J$24,3,FALSE)</f>
        <v>84338</v>
      </c>
      <c r="BH9" s="3">
        <f>Wapato_Sales[[#This Row],[Age]]*Lookups!$B$16</f>
        <v>-38179.597099999999</v>
      </c>
      <c r="BI9" s="3">
        <f>Wapato_Sales[[#This Row],[Main Floor]]*Lookups!$B$17</f>
        <v>38665.683575000003</v>
      </c>
      <c r="BJ9" s="3">
        <f>Wapato_Sales[[#This Row],[Upper Floor]]*Lookups!$B$18</f>
        <v>0</v>
      </c>
      <c r="BK9" s="3">
        <f>Wapato_Sales[[#This Row],[Fin BSMT]]*Lookups!$B$19</f>
        <v>0</v>
      </c>
      <c r="BL9" s="3">
        <f>Wapato_Sales[[#This Row],[garage_sqft]]*Lookups!$B$20</f>
        <v>0</v>
      </c>
      <c r="BM9" s="3">
        <f>Wapato_Sales[[#This Row],[Patio]]*Lookups!$B$21</f>
        <v>0</v>
      </c>
      <c r="BN9" s="3">
        <f>Wapato_Sales[[#This Row],[detatched_value]]*Lookups!$B$22</f>
        <v>0</v>
      </c>
      <c r="BO9" s="3">
        <f>Wapato_Sales[[#This Row],[days_prior]]*Lookups!$B$23</f>
        <v>-4415.7063199999993</v>
      </c>
      <c r="BP9" s="3">
        <f>SUM(Wapato_Sales[[#This Row],[land_value]:[days_prior_value]])</f>
        <v>218153.5054030364</v>
      </c>
      <c r="BQ9" s="2">
        <f>Wapato_Sales[[#This Row],[predicted_total]]/Wapato_Sales[[#This Row],[sale_price]]</f>
        <v>0.99160684274107458</v>
      </c>
      <c r="BR9" s="3">
        <f>Wapato_Sales[[#This Row],[predicted_total]]-Wapato_Sales[[#This Row],[sale_price]]</f>
        <v>-1846.4945969636028</v>
      </c>
      <c r="BS9" s="3">
        <f>Wapato_Sales[[#This Row],[pred_var]]*Wapato_Sales[[#This Row],[pred_var]]</f>
        <v>3409542.296615778</v>
      </c>
      <c r="BT9" s="2">
        <f>VLOOKUP(Wapato_Sales[[#This Row],[quality]],Lookups!$A$28:$C$37,3,FALSE)</f>
        <v>0.96265813922927435</v>
      </c>
      <c r="BU9" s="2">
        <f>VLOOKUP(Wapato_Sales[[#This Row],[condition]],Lookups!$A$41:$C$48,3,FALSE)</f>
        <v>0.99478075210508476</v>
      </c>
      <c r="BV9" s="2">
        <f>VLOOKUP(Wapato_Sales[[#This Row],[decade]],Lookups!$F$28:$H$43,3,FALSE)</f>
        <v>1.0114203040664467</v>
      </c>
      <c r="BW9" s="2">
        <f>VLOOKUP(Wapato_Sales[[#This Row],[living_area_range]],Lookups!$K$28:$M$37,3,FALSE)</f>
        <v>0.99022994770196116</v>
      </c>
      <c r="BX9" s="2">
        <f>AVERAGE(Wapato_Sales[[#This Row],[qual_adj]:[size_adj]])</f>
        <v>0.98977228577569176</v>
      </c>
      <c r="BY9" s="3">
        <f>SUM(Wapato_Sales[[#This Row],[quality_value]:[days_prior_value]])+(Wapato_Sales[[#This Row],[intercept]]*0.5)-Wapato_Sales[[#This Row],[det_value]]</f>
        <v>162207.65015500001</v>
      </c>
      <c r="BZ9" s="3">
        <f>Wapato_Sales[[#This Row],[land_value]]+(0.5*Wapato_Sales[[#This Row],[intercept]])</f>
        <v>55945.855248036409</v>
      </c>
      <c r="CA9" s="3">
        <f>Wapato_Sales[[#This Row],[det_value]]</f>
        <v>0</v>
      </c>
      <c r="CB9" s="3">
        <f>Wapato_Sales[[#This Row],[summed_res]]*Wapato_Sales[[#This Row],[overall_adj]]</f>
        <v>160548.63666421809</v>
      </c>
      <c r="CC9" s="3">
        <f>Wapato_Sales[[#This Row],[final_res]]+Wapato_Sales[[#This Row],[final_det]]+Wapato_Sales[[#This Row],[final_land]]</f>
        <v>216494.49191225451</v>
      </c>
      <c r="CD9" s="2">
        <f>Wapato_Sales[[#This Row],[final_total]]/Wapato_Sales[[#This Row],[sale_price]]</f>
        <v>0.98406587232842957</v>
      </c>
      <c r="CE9" s="3">
        <f>(Wapato_Sales[[#This Row],[final_total]]-Wapato_Sales[[#This Row],[sale_price]])^2</f>
        <v>12288586.953249037</v>
      </c>
      <c r="CF9" s="3">
        <f>(Wapato_Sales[[#This Row],[final_total]]-AVERAGE(Wapato_Sales[sale_price]))^2</f>
        <v>155367932.16737086</v>
      </c>
      <c r="CG9" s="3">
        <f>Wapato_Sales[[#This Row],[SSE]]+Wapato_Sales[[#This Row],[SSR]]</f>
        <v>167656519.12061989</v>
      </c>
      <c r="CH9" s="2">
        <f>ABS(Wapato_Sales[[#This Row],[final_ratio]]-MEDIAN(Wapato_Sales[final_ratio]))</f>
        <v>2.0893461350165454E-3</v>
      </c>
    </row>
    <row r="10" spans="1:86" x14ac:dyDescent="0.25">
      <c r="A10">
        <v>19111433423</v>
      </c>
      <c r="B10">
        <v>0.48</v>
      </c>
      <c r="C10">
        <v>20983</v>
      </c>
      <c r="D10">
        <v>0</v>
      </c>
      <c r="E10" t="s">
        <v>54</v>
      </c>
      <c r="F10" t="s">
        <v>54</v>
      </c>
      <c r="G10">
        <v>3</v>
      </c>
      <c r="H10" t="s">
        <v>55</v>
      </c>
      <c r="I10">
        <v>203600</v>
      </c>
      <c r="J10">
        <v>40100</v>
      </c>
      <c r="K10">
        <v>0.48</v>
      </c>
      <c r="L10">
        <v>0</v>
      </c>
      <c r="M10">
        <v>0</v>
      </c>
      <c r="N10">
        <v>0</v>
      </c>
      <c r="O10">
        <v>27904.037</v>
      </c>
      <c r="P10">
        <v>74398.407600000006</v>
      </c>
      <c r="Q10">
        <f t="shared" si="0"/>
        <v>53917.704581702616</v>
      </c>
      <c r="R10">
        <f t="shared" si="1"/>
        <v>-0.73396917508020043</v>
      </c>
      <c r="S10" t="s">
        <v>59</v>
      </c>
      <c r="T10">
        <v>1</v>
      </c>
      <c r="U10" t="s">
        <v>63</v>
      </c>
      <c r="V10" t="s">
        <v>73</v>
      </c>
      <c r="W10">
        <v>0</v>
      </c>
      <c r="X10">
        <v>0</v>
      </c>
      <c r="Y10">
        <v>37</v>
      </c>
      <c r="Z10">
        <v>37</v>
      </c>
      <c r="AA10">
        <v>40</v>
      </c>
      <c r="AB10">
        <v>2000</v>
      </c>
      <c r="AC10">
        <v>1780</v>
      </c>
      <c r="AD10">
        <v>1780</v>
      </c>
      <c r="AE10">
        <v>0</v>
      </c>
      <c r="AF10">
        <v>0</v>
      </c>
      <c r="AG10">
        <v>0</v>
      </c>
      <c r="AH10">
        <v>480</v>
      </c>
      <c r="AI10">
        <v>0</v>
      </c>
      <c r="AJ10">
        <v>0</v>
      </c>
      <c r="AK10">
        <v>0</v>
      </c>
      <c r="AL10">
        <v>8</v>
      </c>
      <c r="AM10">
        <v>0</v>
      </c>
      <c r="AN10">
        <v>0</v>
      </c>
      <c r="AO10" t="s">
        <v>74</v>
      </c>
      <c r="AP10">
        <v>1</v>
      </c>
      <c r="AQ10" t="s">
        <v>64</v>
      </c>
      <c r="AR10" t="s">
        <v>61</v>
      </c>
      <c r="AS10">
        <v>0</v>
      </c>
      <c r="AT10">
        <v>3</v>
      </c>
      <c r="AU10">
        <v>0</v>
      </c>
      <c r="AV10">
        <v>0</v>
      </c>
      <c r="AW10">
        <v>100</v>
      </c>
      <c r="AX10" s="1">
        <v>44438</v>
      </c>
      <c r="AY10">
        <v>34500</v>
      </c>
      <c r="AZ10">
        <v>261838</v>
      </c>
      <c r="BA10">
        <v>296300</v>
      </c>
      <c r="BB10">
        <v>229000</v>
      </c>
      <c r="BC10">
        <v>489</v>
      </c>
      <c r="BD10" s="3">
        <f>Wapato_Sales[[#This Row],[land_extract]]*Lookups!$B$3</f>
        <v>5478.383858810309</v>
      </c>
      <c r="BE10" s="3">
        <f>Lookups!$B$2</f>
        <v>107530.54</v>
      </c>
      <c r="BF10">
        <f>VLOOKUP(Wapato_Sales[[#This Row],[quality]],Lookups!$H$2:$J$11,3,FALSE)</f>
        <v>50594</v>
      </c>
      <c r="BG10">
        <f>VLOOKUP(Wapato_Sales[[#This Row],[condition]],Lookups!$H$17:$J$24,3,FALSE)</f>
        <v>16276</v>
      </c>
      <c r="BH10" s="3">
        <f>Wapato_Sales[[#This Row],[Age]]*Lookups!$B$16</f>
        <v>-13715.000900000001</v>
      </c>
      <c r="BI10" s="3">
        <f>Wapato_Sales[[#This Row],[Main Floor]]*Lookups!$B$17</f>
        <v>74405.315419999999</v>
      </c>
      <c r="BJ10" s="3">
        <f>Wapato_Sales[[#This Row],[Upper Floor]]*Lookups!$B$18</f>
        <v>0</v>
      </c>
      <c r="BK10" s="3">
        <f>Wapato_Sales[[#This Row],[Fin BSMT]]*Lookups!$B$19</f>
        <v>0</v>
      </c>
      <c r="BL10" s="3">
        <f>Wapato_Sales[[#This Row],[garage_sqft]]*Lookups!$B$20</f>
        <v>17764.200960000002</v>
      </c>
      <c r="BM10" s="3">
        <f>Wapato_Sales[[#This Row],[Patio]]*Lookups!$B$21</f>
        <v>0</v>
      </c>
      <c r="BN10" s="3">
        <f>Wapato_Sales[[#This Row],[detatched_value]]*Lookups!$B$22</f>
        <v>0</v>
      </c>
      <c r="BO10" s="3">
        <f>Wapato_Sales[[#This Row],[days_prior]]*Lookups!$B$23</f>
        <v>-36597.972719999998</v>
      </c>
      <c r="BP10" s="3">
        <f>SUM(Wapato_Sales[[#This Row],[land_value]:[days_prior_value]])</f>
        <v>221735.46661881029</v>
      </c>
      <c r="BQ10" s="2">
        <f>Wapato_Sales[[#This Row],[predicted_total]]/Wapato_Sales[[#This Row],[sale_price]]</f>
        <v>0.96827714680703181</v>
      </c>
      <c r="BR10" s="3">
        <f>Wapato_Sales[[#This Row],[predicted_total]]-Wapato_Sales[[#This Row],[sale_price]]</f>
        <v>-7264.5333811897144</v>
      </c>
      <c r="BS10" s="3">
        <f>Wapato_Sales[[#This Row],[pred_var]]*Wapato_Sales[[#This Row],[pred_var]]</f>
        <v>52773445.246419668</v>
      </c>
      <c r="BT10" s="2">
        <f>VLOOKUP(Wapato_Sales[[#This Row],[quality]],Lookups!$A$28:$C$37,3,FALSE)</f>
        <v>0.99197423394367223</v>
      </c>
      <c r="BU10" s="2">
        <f>VLOOKUP(Wapato_Sales[[#This Row],[condition]],Lookups!$A$41:$C$48,3,FALSE)</f>
        <v>0.93399385491337139</v>
      </c>
      <c r="BV10" s="2">
        <f>VLOOKUP(Wapato_Sales[[#This Row],[decade]],Lookups!$F$28:$H$43,3,FALSE)</f>
        <v>1.0327621624630683</v>
      </c>
      <c r="BW10" s="2">
        <f>VLOOKUP(Wapato_Sales[[#This Row],[living_area_range]],Lookups!$K$28:$M$37,3,FALSE)</f>
        <v>0.99330894324714125</v>
      </c>
      <c r="BX10" s="2">
        <f>AVERAGE(Wapato_Sales[[#This Row],[qual_adj]:[size_adj]])</f>
        <v>0.98800979864181326</v>
      </c>
      <c r="BY10" s="3">
        <f>SUM(Wapato_Sales[[#This Row],[quality_value]:[days_prior_value]])+(Wapato_Sales[[#This Row],[intercept]]*0.5)-Wapato_Sales[[#This Row],[det_value]]</f>
        <v>162491.81276</v>
      </c>
      <c r="BZ10" s="3">
        <f>Wapato_Sales[[#This Row],[land_value]]+(0.5*Wapato_Sales[[#This Row],[intercept]])</f>
        <v>59243.653858810307</v>
      </c>
      <c r="CA10" s="3">
        <f>Wapato_Sales[[#This Row],[det_value]]</f>
        <v>0</v>
      </c>
      <c r="CB10" s="3">
        <f>Wapato_Sales[[#This Row],[summed_res]]*Wapato_Sales[[#This Row],[overall_adj]]</f>
        <v>160543.50320595084</v>
      </c>
      <c r="CC10" s="3">
        <f>Wapato_Sales[[#This Row],[final_res]]+Wapato_Sales[[#This Row],[final_det]]+Wapato_Sales[[#This Row],[final_land]]</f>
        <v>219787.15706476115</v>
      </c>
      <c r="CD10" s="2">
        <f>Wapato_Sales[[#This Row],[final_total]]/Wapato_Sales[[#This Row],[sale_price]]</f>
        <v>0.9597692448242845</v>
      </c>
      <c r="CE10" s="3">
        <f>(Wapato_Sales[[#This Row],[final_total]]-Wapato_Sales[[#This Row],[sale_price]])^2</f>
        <v>84876474.949380368</v>
      </c>
      <c r="CF10" s="3">
        <f>(Wapato_Sales[[#This Row],[final_total]]-AVERAGE(Wapato_Sales[sale_price]))^2</f>
        <v>248293527.62137115</v>
      </c>
      <c r="CG10" s="3">
        <f>Wapato_Sales[[#This Row],[SSE]]+Wapato_Sales[[#This Row],[SSR]]</f>
        <v>333170002.57075155</v>
      </c>
      <c r="CH10" s="2">
        <f>ABS(Wapato_Sales[[#This Row],[final_ratio]]-MEDIAN(Wapato_Sales[final_ratio]))</f>
        <v>2.2207281369128529E-2</v>
      </c>
    </row>
    <row r="11" spans="1:86" x14ac:dyDescent="0.25">
      <c r="A11">
        <v>19111041515</v>
      </c>
      <c r="B11">
        <v>0.14000000000000001</v>
      </c>
      <c r="C11">
        <v>6244</v>
      </c>
      <c r="D11">
        <v>0</v>
      </c>
      <c r="E11" t="s">
        <v>54</v>
      </c>
      <c r="F11" t="s">
        <v>54</v>
      </c>
      <c r="G11">
        <v>3</v>
      </c>
      <c r="H11" t="s">
        <v>55</v>
      </c>
      <c r="I11">
        <v>185700</v>
      </c>
      <c r="J11">
        <v>31900</v>
      </c>
      <c r="K11">
        <v>0.14000000000000001</v>
      </c>
      <c r="L11">
        <v>0</v>
      </c>
      <c r="M11">
        <v>0</v>
      </c>
      <c r="N11">
        <v>0</v>
      </c>
      <c r="O11">
        <v>27904.037</v>
      </c>
      <c r="P11">
        <v>74398.407600000006</v>
      </c>
      <c r="Q11">
        <f t="shared" si="0"/>
        <v>19535.921709596798</v>
      </c>
      <c r="R11">
        <f t="shared" si="1"/>
        <v>-1.9661128563728327</v>
      </c>
      <c r="S11" t="s">
        <v>66</v>
      </c>
      <c r="T11">
        <v>1</v>
      </c>
      <c r="U11" t="s">
        <v>75</v>
      </c>
      <c r="V11" t="s">
        <v>69</v>
      </c>
      <c r="W11">
        <v>0</v>
      </c>
      <c r="X11">
        <v>0</v>
      </c>
      <c r="Y11">
        <v>43</v>
      </c>
      <c r="Z11">
        <v>98</v>
      </c>
      <c r="AA11">
        <v>100</v>
      </c>
      <c r="AB11">
        <v>1000</v>
      </c>
      <c r="AC11">
        <v>988</v>
      </c>
      <c r="AD11">
        <v>988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5</v>
      </c>
      <c r="AM11">
        <v>0</v>
      </c>
      <c r="AN11">
        <v>0</v>
      </c>
      <c r="AO11" t="s">
        <v>59</v>
      </c>
      <c r="AP11">
        <v>1</v>
      </c>
      <c r="AQ11" t="s">
        <v>64</v>
      </c>
      <c r="AR11" t="s">
        <v>61</v>
      </c>
      <c r="AS11">
        <v>0</v>
      </c>
      <c r="AT11">
        <v>2</v>
      </c>
      <c r="AU11">
        <v>0</v>
      </c>
      <c r="AV11">
        <v>6700</v>
      </c>
      <c r="AW11">
        <v>100</v>
      </c>
      <c r="AX11" s="1">
        <v>44547</v>
      </c>
      <c r="AY11">
        <v>26900</v>
      </c>
      <c r="AZ11">
        <v>117550</v>
      </c>
      <c r="BA11">
        <v>144500</v>
      </c>
      <c r="BB11">
        <v>215000</v>
      </c>
      <c r="BC11">
        <v>380</v>
      </c>
      <c r="BD11" s="3">
        <f>Wapato_Sales[[#This Row],[land_extract]]*Lookups!$B$3</f>
        <v>1984.9746755939761</v>
      </c>
      <c r="BE11" s="3">
        <f>Lookups!$B$2</f>
        <v>107530.54</v>
      </c>
      <c r="BF11">
        <f>VLOOKUP(Wapato_Sales[[#This Row],[quality]],Lookups!$H$2:$J$11,3,FALSE)</f>
        <v>48043</v>
      </c>
      <c r="BG11">
        <f>VLOOKUP(Wapato_Sales[[#This Row],[condition]],Lookups!$H$17:$J$24,3,FALSE)</f>
        <v>74543</v>
      </c>
      <c r="BH11" s="3">
        <f>Wapato_Sales[[#This Row],[Age]]*Lookups!$B$16</f>
        <v>-36326.2186</v>
      </c>
      <c r="BI11" s="3">
        <f>Wapato_Sales[[#This Row],[Main Floor]]*Lookups!$B$17</f>
        <v>41299.130131999998</v>
      </c>
      <c r="BJ11" s="3">
        <f>Wapato_Sales[[#This Row],[Upper Floor]]*Lookups!$B$18</f>
        <v>0</v>
      </c>
      <c r="BK11" s="3">
        <f>Wapato_Sales[[#This Row],[Fin BSMT]]*Lookups!$B$19</f>
        <v>0</v>
      </c>
      <c r="BL11" s="3">
        <f>Wapato_Sales[[#This Row],[garage_sqft]]*Lookups!$B$20</f>
        <v>0</v>
      </c>
      <c r="BM11" s="3">
        <f>Wapato_Sales[[#This Row],[Patio]]*Lookups!$B$21</f>
        <v>0</v>
      </c>
      <c r="BN11" s="3">
        <f>Wapato_Sales[[#This Row],[detatched_value]]*Lookups!$B$22</f>
        <v>6299.7728200000001</v>
      </c>
      <c r="BO11" s="3">
        <f>Wapato_Sales[[#This Row],[days_prior]]*Lookups!$B$23</f>
        <v>-28440.142399999997</v>
      </c>
      <c r="BP11" s="3">
        <f>SUM(Wapato_Sales[[#This Row],[land_value]:[days_prior_value]])</f>
        <v>214934.05662759399</v>
      </c>
      <c r="BQ11" s="2">
        <f>Wapato_Sales[[#This Row],[predicted_total]]/Wapato_Sales[[#This Row],[sale_price]]</f>
        <v>0.99969328663997203</v>
      </c>
      <c r="BR11" s="3">
        <f>Wapato_Sales[[#This Row],[predicted_total]]-Wapato_Sales[[#This Row],[sale_price]]</f>
        <v>-65.943372406007256</v>
      </c>
      <c r="BS11" s="3">
        <f>Wapato_Sales[[#This Row],[pred_var]]*Wapato_Sales[[#This Row],[pred_var]]</f>
        <v>4348.5283642773593</v>
      </c>
      <c r="BT11" s="2">
        <f>VLOOKUP(Wapato_Sales[[#This Row],[quality]],Lookups!$A$28:$C$37,3,FALSE)</f>
        <v>0.98196844879778955</v>
      </c>
      <c r="BU11" s="2">
        <f>VLOOKUP(Wapato_Sales[[#This Row],[condition]],Lookups!$A$41:$C$48,3,FALSE)</f>
        <v>0.98442438223270734</v>
      </c>
      <c r="BV11" s="2">
        <f>VLOOKUP(Wapato_Sales[[#This Row],[decade]],Lookups!$F$28:$H$43,3,FALSE)</f>
        <v>1.0114203040664467</v>
      </c>
      <c r="BW11" s="2">
        <f>VLOOKUP(Wapato_Sales[[#This Row],[living_area_range]],Lookups!$K$28:$M$37,3,FALSE)</f>
        <v>0.99022994770196116</v>
      </c>
      <c r="BX11" s="2">
        <f>AVERAGE(Wapato_Sales[[#This Row],[qual_adj]:[size_adj]])</f>
        <v>0.99201077069972621</v>
      </c>
      <c r="BY11" s="3">
        <f>SUM(Wapato_Sales[[#This Row],[quality_value]:[days_prior_value]])+(Wapato_Sales[[#This Row],[intercept]]*0.5)-Wapato_Sales[[#This Row],[det_value]]</f>
        <v>152884.03913200001</v>
      </c>
      <c r="BZ11" s="3">
        <f>Wapato_Sales[[#This Row],[land_value]]+(0.5*Wapato_Sales[[#This Row],[intercept]])</f>
        <v>55750.244675593975</v>
      </c>
      <c r="CA11" s="3">
        <f>Wapato_Sales[[#This Row],[det_value]]</f>
        <v>6299.7728200000001</v>
      </c>
      <c r="CB11" s="3">
        <f>Wapato_Sales[[#This Row],[summed_res]]*Wapato_Sales[[#This Row],[overall_adj]]</f>
        <v>151662.61348702243</v>
      </c>
      <c r="CC11" s="3">
        <f>Wapato_Sales[[#This Row],[final_res]]+Wapato_Sales[[#This Row],[final_det]]+Wapato_Sales[[#This Row],[final_land]]</f>
        <v>213712.63098261642</v>
      </c>
      <c r="CD11" s="2">
        <f>Wapato_Sales[[#This Row],[final_total]]/Wapato_Sales[[#This Row],[sale_price]]</f>
        <v>0.99401223712844844</v>
      </c>
      <c r="CE11" s="3">
        <f>(Wapato_Sales[[#This Row],[final_total]]-Wapato_Sales[[#This Row],[sale_price]])^2</f>
        <v>1657318.9869191605</v>
      </c>
      <c r="CF11" s="3">
        <f>(Wapato_Sales[[#This Row],[final_total]]-AVERAGE(Wapato_Sales[sale_price]))^2</f>
        <v>93756740.190681964</v>
      </c>
      <c r="CG11" s="3">
        <f>Wapato_Sales[[#This Row],[SSE]]+Wapato_Sales[[#This Row],[SSR]]</f>
        <v>95414059.177601129</v>
      </c>
      <c r="CH11" s="2">
        <f>ABS(Wapato_Sales[[#This Row],[final_ratio]]-MEDIAN(Wapato_Sales[final_ratio]))</f>
        <v>1.2035710935035415E-2</v>
      </c>
    </row>
    <row r="12" spans="1:86" x14ac:dyDescent="0.25">
      <c r="A12">
        <v>19111542402</v>
      </c>
      <c r="B12">
        <v>0.37</v>
      </c>
      <c r="C12">
        <v>15975</v>
      </c>
      <c r="D12">
        <v>0</v>
      </c>
      <c r="E12" t="s">
        <v>54</v>
      </c>
      <c r="F12" t="s">
        <v>54</v>
      </c>
      <c r="G12">
        <v>3</v>
      </c>
      <c r="H12" t="s">
        <v>55</v>
      </c>
      <c r="I12">
        <v>256900</v>
      </c>
      <c r="J12">
        <v>38300</v>
      </c>
      <c r="K12">
        <v>0.37</v>
      </c>
      <c r="L12">
        <v>0</v>
      </c>
      <c r="M12">
        <v>0</v>
      </c>
      <c r="N12">
        <v>0</v>
      </c>
      <c r="O12">
        <v>27904.037</v>
      </c>
      <c r="P12">
        <v>74398.407600000006</v>
      </c>
      <c r="Q12">
        <f t="shared" si="0"/>
        <v>46654.755377278634</v>
      </c>
      <c r="R12">
        <f t="shared" si="1"/>
        <v>-0.9942522733438669</v>
      </c>
      <c r="S12" t="s">
        <v>62</v>
      </c>
      <c r="T12">
        <v>1</v>
      </c>
      <c r="U12" t="s">
        <v>67</v>
      </c>
      <c r="V12" t="s">
        <v>69</v>
      </c>
      <c r="W12">
        <v>0</v>
      </c>
      <c r="X12">
        <v>0</v>
      </c>
      <c r="Y12">
        <v>44</v>
      </c>
      <c r="Z12">
        <v>49</v>
      </c>
      <c r="AA12">
        <v>50</v>
      </c>
      <c r="AB12">
        <v>2000</v>
      </c>
      <c r="AC12">
        <v>1976</v>
      </c>
      <c r="AD12">
        <v>1976</v>
      </c>
      <c r="AE12">
        <v>0</v>
      </c>
      <c r="AF12">
        <v>0</v>
      </c>
      <c r="AG12">
        <v>0</v>
      </c>
      <c r="AH12">
        <v>352</v>
      </c>
      <c r="AI12">
        <v>0</v>
      </c>
      <c r="AJ12">
        <v>0</v>
      </c>
      <c r="AK12">
        <v>690</v>
      </c>
      <c r="AL12">
        <v>9</v>
      </c>
      <c r="AM12">
        <v>0</v>
      </c>
      <c r="AN12">
        <v>0</v>
      </c>
      <c r="AO12" t="s">
        <v>59</v>
      </c>
      <c r="AP12">
        <v>1</v>
      </c>
      <c r="AQ12" t="s">
        <v>64</v>
      </c>
      <c r="AR12" t="s">
        <v>65</v>
      </c>
      <c r="AS12">
        <v>1</v>
      </c>
      <c r="AT12">
        <v>4</v>
      </c>
      <c r="AU12">
        <v>0</v>
      </c>
      <c r="AV12">
        <v>0</v>
      </c>
      <c r="AW12">
        <v>100</v>
      </c>
      <c r="AX12" s="1">
        <v>44312</v>
      </c>
      <c r="AY12">
        <v>32400</v>
      </c>
      <c r="AZ12">
        <v>238959</v>
      </c>
      <c r="BA12">
        <v>271400</v>
      </c>
      <c r="BB12">
        <v>285000</v>
      </c>
      <c r="BC12">
        <v>615</v>
      </c>
      <c r="BD12" s="3">
        <f>Wapato_Sales[[#This Row],[land_extract]]*Lookups!$B$3</f>
        <v>4740.4217367659239</v>
      </c>
      <c r="BE12" s="3">
        <f>Lookups!$B$2</f>
        <v>107530.54</v>
      </c>
      <c r="BF12">
        <f>VLOOKUP(Wapato_Sales[[#This Row],[quality]],Lookups!$H$2:$J$11,3,FALSE)</f>
        <v>50405</v>
      </c>
      <c r="BG12">
        <f>VLOOKUP(Wapato_Sales[[#This Row],[condition]],Lookups!$H$17:$J$24,3,FALSE)</f>
        <v>74543</v>
      </c>
      <c r="BH12" s="3">
        <f>Wapato_Sales[[#This Row],[Age]]*Lookups!$B$16</f>
        <v>-18163.1093</v>
      </c>
      <c r="BI12" s="3">
        <f>Wapato_Sales[[#This Row],[Main Floor]]*Lookups!$B$17</f>
        <v>82598.260263999997</v>
      </c>
      <c r="BJ12" s="3">
        <f>Wapato_Sales[[#This Row],[Upper Floor]]*Lookups!$B$18</f>
        <v>0</v>
      </c>
      <c r="BK12" s="3">
        <f>Wapato_Sales[[#This Row],[Fin BSMT]]*Lookups!$B$19</f>
        <v>0</v>
      </c>
      <c r="BL12" s="3">
        <f>Wapato_Sales[[#This Row],[garage_sqft]]*Lookups!$B$20</f>
        <v>13027.080704</v>
      </c>
      <c r="BM12" s="3">
        <f>Wapato_Sales[[#This Row],[Patio]]*Lookups!$B$21</f>
        <v>29893.54551</v>
      </c>
      <c r="BN12" s="3">
        <f>Wapato_Sales[[#This Row],[detatched_value]]*Lookups!$B$22</f>
        <v>0</v>
      </c>
      <c r="BO12" s="3">
        <f>Wapato_Sales[[#This Row],[days_prior]]*Lookups!$B$23</f>
        <v>-46028.125199999995</v>
      </c>
      <c r="BP12" s="3">
        <f>SUM(Wapato_Sales[[#This Row],[land_value]:[days_prior_value]])</f>
        <v>298546.61371476593</v>
      </c>
      <c r="BQ12" s="2">
        <f>Wapato_Sales[[#This Row],[predicted_total]]/Wapato_Sales[[#This Row],[sale_price]]</f>
        <v>1.0475319779465471</v>
      </c>
      <c r="BR12" s="3">
        <f>Wapato_Sales[[#This Row],[predicted_total]]-Wapato_Sales[[#This Row],[sale_price]]</f>
        <v>13546.613714765932</v>
      </c>
      <c r="BS12" s="3">
        <f>Wapato_Sales[[#This Row],[pred_var]]*Wapato_Sales[[#This Row],[pred_var]]</f>
        <v>183510743.13708445</v>
      </c>
      <c r="BT12" s="2">
        <f>VLOOKUP(Wapato_Sales[[#This Row],[quality]],Lookups!$A$28:$C$37,3,FALSE)</f>
        <v>0.97993206410140754</v>
      </c>
      <c r="BU12" s="2">
        <f>VLOOKUP(Wapato_Sales[[#This Row],[condition]],Lookups!$A$41:$C$48,3,FALSE)</f>
        <v>0.98442438223270734</v>
      </c>
      <c r="BV12" s="2">
        <f>VLOOKUP(Wapato_Sales[[#This Row],[decade]],Lookups!$F$28:$H$43,3,FALSE)</f>
        <v>0.96240333884358298</v>
      </c>
      <c r="BW12" s="2">
        <f>VLOOKUP(Wapato_Sales[[#This Row],[living_area_range]],Lookups!$K$28:$M$37,3,FALSE)</f>
        <v>0.99330894324714125</v>
      </c>
      <c r="BX12" s="2">
        <f>AVERAGE(Wapato_Sales[[#This Row],[qual_adj]:[size_adj]])</f>
        <v>0.98001718210620981</v>
      </c>
      <c r="BY12" s="3">
        <f>SUM(Wapato_Sales[[#This Row],[quality_value]:[days_prior_value]])+(Wapato_Sales[[#This Row],[intercept]]*0.5)-Wapato_Sales[[#This Row],[det_value]]</f>
        <v>240040.921978</v>
      </c>
      <c r="BZ12" s="3">
        <f>Wapato_Sales[[#This Row],[land_value]]+(0.5*Wapato_Sales[[#This Row],[intercept]])</f>
        <v>58505.691736765919</v>
      </c>
      <c r="CA12" s="3">
        <f>Wapato_Sales[[#This Row],[det_value]]</f>
        <v>0</v>
      </c>
      <c r="CB12" s="3">
        <f>Wapato_Sales[[#This Row],[summed_res]]*Wapato_Sales[[#This Row],[overall_adj]]</f>
        <v>235244.22794705612</v>
      </c>
      <c r="CC12" s="3">
        <f>Wapato_Sales[[#This Row],[final_res]]+Wapato_Sales[[#This Row],[final_det]]+Wapato_Sales[[#This Row],[final_land]]</f>
        <v>293749.91968382202</v>
      </c>
      <c r="CD12" s="2">
        <f>Wapato_Sales[[#This Row],[final_total]]/Wapato_Sales[[#This Row],[sale_price]]</f>
        <v>1.030701472574814</v>
      </c>
      <c r="CE12" s="3">
        <f>(Wapato_Sales[[#This Row],[final_total]]-Wapato_Sales[[#This Row],[sale_price]])^2</f>
        <v>76561094.473336101</v>
      </c>
      <c r="CF12" s="3">
        <f>(Wapato_Sales[[#This Row],[final_total]]-AVERAGE(Wapato_Sales[sale_price]))^2</f>
        <v>8049695468.7758265</v>
      </c>
      <c r="CG12" s="3">
        <f>Wapato_Sales[[#This Row],[SSE]]+Wapato_Sales[[#This Row],[SSR]]</f>
        <v>8126256563.2491627</v>
      </c>
      <c r="CH12" s="2">
        <f>ABS(Wapato_Sales[[#This Row],[final_ratio]]-MEDIAN(Wapato_Sales[final_ratio]))</f>
        <v>4.8724946381401013E-2</v>
      </c>
    </row>
    <row r="13" spans="1:86" x14ac:dyDescent="0.25">
      <c r="A13">
        <v>19111433400</v>
      </c>
      <c r="B13">
        <v>0.45</v>
      </c>
      <c r="C13">
        <v>19769</v>
      </c>
      <c r="D13">
        <v>0</v>
      </c>
      <c r="E13" t="s">
        <v>54</v>
      </c>
      <c r="F13" t="s">
        <v>54</v>
      </c>
      <c r="G13">
        <v>3</v>
      </c>
      <c r="H13" t="s">
        <v>55</v>
      </c>
      <c r="I13">
        <v>343700</v>
      </c>
      <c r="J13">
        <v>39600</v>
      </c>
      <c r="K13">
        <v>0.45</v>
      </c>
      <c r="L13">
        <v>0</v>
      </c>
      <c r="M13">
        <v>0</v>
      </c>
      <c r="N13">
        <v>0</v>
      </c>
      <c r="O13">
        <v>27904.037</v>
      </c>
      <c r="P13">
        <v>74398.407600000006</v>
      </c>
      <c r="Q13">
        <f t="shared" si="0"/>
        <v>52116.819299954543</v>
      </c>
      <c r="R13">
        <f t="shared" si="1"/>
        <v>-0.79850769621777162</v>
      </c>
      <c r="S13" t="s">
        <v>62</v>
      </c>
      <c r="T13">
        <v>1</v>
      </c>
      <c r="U13" t="s">
        <v>65</v>
      </c>
      <c r="V13" t="s">
        <v>70</v>
      </c>
      <c r="W13">
        <v>0</v>
      </c>
      <c r="X13">
        <v>0</v>
      </c>
      <c r="Y13">
        <v>44</v>
      </c>
      <c r="Z13">
        <v>46</v>
      </c>
      <c r="AA13">
        <v>50</v>
      </c>
      <c r="AB13">
        <v>3000</v>
      </c>
      <c r="AC13">
        <v>2630</v>
      </c>
      <c r="AD13">
        <v>2630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351</v>
      </c>
      <c r="AL13">
        <v>12</v>
      </c>
      <c r="AM13">
        <v>0</v>
      </c>
      <c r="AN13">
        <v>1</v>
      </c>
      <c r="AO13" t="s">
        <v>59</v>
      </c>
      <c r="AP13">
        <v>1</v>
      </c>
      <c r="AQ13" t="s">
        <v>64</v>
      </c>
      <c r="AR13" t="s">
        <v>65</v>
      </c>
      <c r="AS13">
        <v>1</v>
      </c>
      <c r="AT13">
        <v>4</v>
      </c>
      <c r="AU13">
        <v>0</v>
      </c>
      <c r="AV13">
        <v>28100</v>
      </c>
      <c r="AW13">
        <v>100</v>
      </c>
      <c r="AX13" s="1">
        <v>44867</v>
      </c>
      <c r="AY13">
        <v>33900</v>
      </c>
      <c r="AZ13">
        <v>423761</v>
      </c>
      <c r="BA13">
        <v>457700</v>
      </c>
      <c r="BB13">
        <v>405000</v>
      </c>
      <c r="BC13">
        <v>60</v>
      </c>
      <c r="BD13" s="3">
        <f>Wapato_Sales[[#This Row],[land_extract]]*Lookups!$B$3</f>
        <v>5295.4023885189008</v>
      </c>
      <c r="BE13" s="3">
        <f>Lookups!$B$2</f>
        <v>107530.54</v>
      </c>
      <c r="BF13">
        <f>VLOOKUP(Wapato_Sales[[#This Row],[quality]],Lookups!$H$2:$J$11,3,FALSE)</f>
        <v>92307</v>
      </c>
      <c r="BG13">
        <f>VLOOKUP(Wapato_Sales[[#This Row],[condition]],Lookups!$H$17:$J$24,3,FALSE)</f>
        <v>84338</v>
      </c>
      <c r="BH13" s="3">
        <f>Wapato_Sales[[#This Row],[Age]]*Lookups!$B$16</f>
        <v>-17051.082200000001</v>
      </c>
      <c r="BI13" s="3">
        <f>Wapato_Sales[[#This Row],[Main Floor]]*Lookups!$B$17</f>
        <v>109935.94357</v>
      </c>
      <c r="BJ13" s="3">
        <f>Wapato_Sales[[#This Row],[Upper Floor]]*Lookups!$B$18</f>
        <v>0</v>
      </c>
      <c r="BK13" s="3">
        <f>Wapato_Sales[[#This Row],[Fin BSMT]]*Lookups!$B$19</f>
        <v>0</v>
      </c>
      <c r="BL13" s="3">
        <f>Wapato_Sales[[#This Row],[garage_sqft]]*Lookups!$B$20</f>
        <v>0</v>
      </c>
      <c r="BM13" s="3">
        <f>Wapato_Sales[[#This Row],[Patio]]*Lookups!$B$21</f>
        <v>15206.716629</v>
      </c>
      <c r="BN13" s="3">
        <f>Wapato_Sales[[#This Row],[detatched_value]]*Lookups!$B$22</f>
        <v>26421.435259999998</v>
      </c>
      <c r="BO13" s="3">
        <f>Wapato_Sales[[#This Row],[days_prior]]*Lookups!$B$23</f>
        <v>-4490.5487999999996</v>
      </c>
      <c r="BP13" s="3">
        <f>SUM(Wapato_Sales[[#This Row],[land_value]:[days_prior_value]])</f>
        <v>419493.40684751887</v>
      </c>
      <c r="BQ13" s="2">
        <f>Wapato_Sales[[#This Row],[predicted_total]]/Wapato_Sales[[#This Row],[sale_price]]</f>
        <v>1.0357861897469602</v>
      </c>
      <c r="BR13" s="3">
        <f>Wapato_Sales[[#This Row],[predicted_total]]-Wapato_Sales[[#This Row],[sale_price]]</f>
        <v>14493.406847518869</v>
      </c>
      <c r="BS13" s="3">
        <f>Wapato_Sales[[#This Row],[pred_var]]*Wapato_Sales[[#This Row],[pred_var]]</f>
        <v>210058842.04770684</v>
      </c>
      <c r="BT13" s="2">
        <f>VLOOKUP(Wapato_Sales[[#This Row],[quality]],Lookups!$A$28:$C$37,3,FALSE)</f>
        <v>1.0013727718490204</v>
      </c>
      <c r="BU13" s="2">
        <f>VLOOKUP(Wapato_Sales[[#This Row],[condition]],Lookups!$A$41:$C$48,3,FALSE)</f>
        <v>0.99478075210508476</v>
      </c>
      <c r="BV13" s="2">
        <f>VLOOKUP(Wapato_Sales[[#This Row],[decade]],Lookups!$F$28:$H$43,3,FALSE)</f>
        <v>0.96240333884358298</v>
      </c>
      <c r="BW13" s="2">
        <f>VLOOKUP(Wapato_Sales[[#This Row],[living_area_range]],Lookups!$K$28:$M$37,3,FALSE)</f>
        <v>1.0155869662067822</v>
      </c>
      <c r="BX13" s="2">
        <f>AVERAGE(Wapato_Sales[[#This Row],[qual_adj]:[size_adj]])</f>
        <v>0.99353595725111754</v>
      </c>
      <c r="BY13" s="3">
        <f>SUM(Wapato_Sales[[#This Row],[quality_value]:[days_prior_value]])+(Wapato_Sales[[#This Row],[intercept]]*0.5)-Wapato_Sales[[#This Row],[det_value]]</f>
        <v>334011.299199</v>
      </c>
      <c r="BZ13" s="3">
        <f>Wapato_Sales[[#This Row],[land_value]]+(0.5*Wapato_Sales[[#This Row],[intercept]])</f>
        <v>59060.672388518899</v>
      </c>
      <c r="CA13" s="3">
        <f>Wapato_Sales[[#This Row],[det_value]]</f>
        <v>26421.435259999998</v>
      </c>
      <c r="CB13" s="3">
        <f>Wapato_Sales[[#This Row],[summed_res]]*Wapato_Sales[[#This Row],[overall_adj]]</f>
        <v>331852.23588236788</v>
      </c>
      <c r="CC13" s="3">
        <f>Wapato_Sales[[#This Row],[final_res]]+Wapato_Sales[[#This Row],[final_det]]+Wapato_Sales[[#This Row],[final_land]]</f>
        <v>417334.34353088681</v>
      </c>
      <c r="CD13" s="2">
        <f>Wapato_Sales[[#This Row],[final_total]]/Wapato_Sales[[#This Row],[sale_price]]</f>
        <v>1.0304551692120663</v>
      </c>
      <c r="CE13" s="3">
        <f>(Wapato_Sales[[#This Row],[final_total]]-Wapato_Sales[[#This Row],[sale_price]])^2</f>
        <v>152136030.33792922</v>
      </c>
      <c r="CF13" s="3">
        <f>(Wapato_Sales[[#This Row],[final_total]]-AVERAGE(Wapato_Sales[sale_price]))^2</f>
        <v>45498817812.802658</v>
      </c>
      <c r="CG13" s="3">
        <f>Wapato_Sales[[#This Row],[SSE]]+Wapato_Sales[[#This Row],[SSR]]</f>
        <v>45650953843.140587</v>
      </c>
      <c r="CH13" s="2">
        <f>ABS(Wapato_Sales[[#This Row],[final_ratio]]-MEDIAN(Wapato_Sales[final_ratio]))</f>
        <v>4.8478643018653234E-2</v>
      </c>
    </row>
    <row r="14" spans="1:86" x14ac:dyDescent="0.25">
      <c r="A14">
        <v>19111033009</v>
      </c>
      <c r="B14">
        <v>0.32</v>
      </c>
      <c r="C14">
        <v>13908</v>
      </c>
      <c r="D14">
        <v>0</v>
      </c>
      <c r="E14" t="s">
        <v>54</v>
      </c>
      <c r="F14" t="s">
        <v>54</v>
      </c>
      <c r="G14">
        <v>3</v>
      </c>
      <c r="H14" t="s">
        <v>55</v>
      </c>
      <c r="I14">
        <v>206900</v>
      </c>
      <c r="J14">
        <v>37200</v>
      </c>
      <c r="K14">
        <v>0.32</v>
      </c>
      <c r="L14">
        <v>0</v>
      </c>
      <c r="M14">
        <v>0</v>
      </c>
      <c r="N14">
        <v>0</v>
      </c>
      <c r="O14">
        <v>27904.037</v>
      </c>
      <c r="P14">
        <v>74398.407600000006</v>
      </c>
      <c r="Q14">
        <f t="shared" si="0"/>
        <v>42603.591202843396</v>
      </c>
      <c r="R14">
        <f t="shared" si="1"/>
        <v>-1.1394342831883648</v>
      </c>
      <c r="S14" t="s">
        <v>62</v>
      </c>
      <c r="T14">
        <v>1</v>
      </c>
      <c r="U14" t="s">
        <v>75</v>
      </c>
      <c r="V14" t="s">
        <v>69</v>
      </c>
      <c r="W14">
        <v>0</v>
      </c>
      <c r="X14">
        <v>0</v>
      </c>
      <c r="Y14">
        <v>45</v>
      </c>
      <c r="Z14">
        <v>52</v>
      </c>
      <c r="AA14">
        <v>50</v>
      </c>
      <c r="AB14">
        <v>1500</v>
      </c>
      <c r="AC14">
        <v>1300</v>
      </c>
      <c r="AD14">
        <v>1300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304</v>
      </c>
      <c r="AL14">
        <v>8</v>
      </c>
      <c r="AM14">
        <v>1</v>
      </c>
      <c r="AN14">
        <v>0</v>
      </c>
      <c r="AO14" t="s">
        <v>59</v>
      </c>
      <c r="AP14">
        <v>1</v>
      </c>
      <c r="AQ14" t="s">
        <v>76</v>
      </c>
      <c r="AR14" t="s">
        <v>61</v>
      </c>
      <c r="AS14">
        <v>0</v>
      </c>
      <c r="AT14">
        <v>4</v>
      </c>
      <c r="AU14">
        <v>0</v>
      </c>
      <c r="AV14">
        <v>0</v>
      </c>
      <c r="AW14">
        <v>100</v>
      </c>
      <c r="AX14" s="1">
        <v>44120</v>
      </c>
      <c r="AY14">
        <v>27500</v>
      </c>
      <c r="AZ14">
        <v>144091</v>
      </c>
      <c r="BA14">
        <v>171600</v>
      </c>
      <c r="BB14">
        <v>215000</v>
      </c>
      <c r="BC14">
        <v>807</v>
      </c>
      <c r="BD14" s="3">
        <f>Wapato_Sales[[#This Row],[land_extract]]*Lookups!$B$3</f>
        <v>4328.7975291925868</v>
      </c>
      <c r="BE14" s="3">
        <f>Lookups!$B$2</f>
        <v>107530.54</v>
      </c>
      <c r="BF14">
        <f>VLOOKUP(Wapato_Sales[[#This Row],[quality]],Lookups!$H$2:$J$11,3,FALSE)</f>
        <v>48043</v>
      </c>
      <c r="BG14">
        <f>VLOOKUP(Wapato_Sales[[#This Row],[condition]],Lookups!$H$17:$J$24,3,FALSE)</f>
        <v>74543</v>
      </c>
      <c r="BH14" s="3">
        <f>Wapato_Sales[[#This Row],[Age]]*Lookups!$B$16</f>
        <v>-19275.136399999999</v>
      </c>
      <c r="BI14" s="3">
        <f>Wapato_Sales[[#This Row],[Main Floor]]*Lookups!$B$17</f>
        <v>54340.960700000003</v>
      </c>
      <c r="BJ14" s="3">
        <f>Wapato_Sales[[#This Row],[Upper Floor]]*Lookups!$B$18</f>
        <v>0</v>
      </c>
      <c r="BK14" s="3">
        <f>Wapato_Sales[[#This Row],[Fin BSMT]]*Lookups!$B$19</f>
        <v>0</v>
      </c>
      <c r="BL14" s="3">
        <f>Wapato_Sales[[#This Row],[garage_sqft]]*Lookups!$B$20</f>
        <v>0</v>
      </c>
      <c r="BM14" s="3">
        <f>Wapato_Sales[[#This Row],[Patio]]*Lookups!$B$21</f>
        <v>13170.489616000001</v>
      </c>
      <c r="BN14" s="3">
        <f>Wapato_Sales[[#This Row],[detatched_value]]*Lookups!$B$22</f>
        <v>0</v>
      </c>
      <c r="BO14" s="3">
        <f>Wapato_Sales[[#This Row],[days_prior]]*Lookups!$B$23</f>
        <v>-60397.881359999999</v>
      </c>
      <c r="BP14" s="3">
        <f>SUM(Wapato_Sales[[#This Row],[land_value]:[days_prior_value]])</f>
        <v>222283.77008519258</v>
      </c>
      <c r="BQ14" s="2">
        <f>Wapato_Sales[[#This Row],[predicted_total]]/Wapato_Sales[[#This Row],[sale_price]]</f>
        <v>1.0338780003962444</v>
      </c>
      <c r="BR14" s="3">
        <f>Wapato_Sales[[#This Row],[predicted_total]]-Wapato_Sales[[#This Row],[sale_price]]</f>
        <v>7283.7700851925765</v>
      </c>
      <c r="BS14" s="3">
        <f>Wapato_Sales[[#This Row],[pred_var]]*Wapato_Sales[[#This Row],[pred_var]]</f>
        <v>53053306.653946273</v>
      </c>
      <c r="BT14" s="2">
        <f>VLOOKUP(Wapato_Sales[[#This Row],[quality]],Lookups!$A$28:$C$37,3,FALSE)</f>
        <v>0.98196844879778955</v>
      </c>
      <c r="BU14" s="2">
        <f>VLOOKUP(Wapato_Sales[[#This Row],[condition]],Lookups!$A$41:$C$48,3,FALSE)</f>
        <v>0.98442438223270734</v>
      </c>
      <c r="BV14" s="2">
        <f>VLOOKUP(Wapato_Sales[[#This Row],[decade]],Lookups!$F$28:$H$43,3,FALSE)</f>
        <v>0.96240333884358298</v>
      </c>
      <c r="BW14" s="2">
        <f>VLOOKUP(Wapato_Sales[[#This Row],[living_area_range]],Lookups!$K$28:$M$37,3,FALSE)</f>
        <v>1.0061411172456287</v>
      </c>
      <c r="BX14" s="2">
        <f>AVERAGE(Wapato_Sales[[#This Row],[qual_adj]:[size_adj]])</f>
        <v>0.98373432177992715</v>
      </c>
      <c r="BY14" s="3">
        <f>SUM(Wapato_Sales[[#This Row],[quality_value]:[days_prior_value]])+(Wapato_Sales[[#This Row],[intercept]]*0.5)-Wapato_Sales[[#This Row],[det_value]]</f>
        <v>164189.702556</v>
      </c>
      <c r="BZ14" s="3">
        <f>Wapato_Sales[[#This Row],[land_value]]+(0.5*Wapato_Sales[[#This Row],[intercept]])</f>
        <v>58094.067529192587</v>
      </c>
      <c r="CA14" s="3">
        <f>Wapato_Sales[[#This Row],[det_value]]</f>
        <v>0</v>
      </c>
      <c r="CB14" s="3">
        <f>Wapato_Sales[[#This Row],[summed_res]]*Wapato_Sales[[#This Row],[overall_adj]]</f>
        <v>161519.04568717463</v>
      </c>
      <c r="CC14" s="3">
        <f>Wapato_Sales[[#This Row],[final_res]]+Wapato_Sales[[#This Row],[final_det]]+Wapato_Sales[[#This Row],[final_land]]</f>
        <v>219613.1132163672</v>
      </c>
      <c r="CD14" s="2">
        <f>Wapato_Sales[[#This Row],[final_total]]/Wapato_Sales[[#This Row],[sale_price]]</f>
        <v>1.0214563405412429</v>
      </c>
      <c r="CE14" s="3">
        <f>(Wapato_Sales[[#This Row],[final_total]]-Wapato_Sales[[#This Row],[sale_price]])^2</f>
        <v>21280813.547021743</v>
      </c>
      <c r="CF14" s="3">
        <f>(Wapato_Sales[[#This Row],[final_total]]-AVERAGE(Wapato_Sales[sale_price]))^2</f>
        <v>242838885.30392003</v>
      </c>
      <c r="CG14" s="3">
        <f>Wapato_Sales[[#This Row],[SSE]]+Wapato_Sales[[#This Row],[SSR]]</f>
        <v>264119698.85094178</v>
      </c>
      <c r="CH14" s="2">
        <f>ABS(Wapato_Sales[[#This Row],[final_ratio]]-MEDIAN(Wapato_Sales[final_ratio]))</f>
        <v>3.9479814347829878E-2</v>
      </c>
    </row>
    <row r="15" spans="1:86" x14ac:dyDescent="0.25">
      <c r="A15">
        <v>19111513532</v>
      </c>
      <c r="B15">
        <v>0.11</v>
      </c>
      <c r="C15">
        <v>4961</v>
      </c>
      <c r="D15">
        <v>0</v>
      </c>
      <c r="E15" t="s">
        <v>54</v>
      </c>
      <c r="F15" t="s">
        <v>54</v>
      </c>
      <c r="G15">
        <v>3</v>
      </c>
      <c r="H15" t="s">
        <v>55</v>
      </c>
      <c r="I15">
        <v>157500</v>
      </c>
      <c r="J15">
        <v>30200</v>
      </c>
      <c r="K15">
        <v>0.11</v>
      </c>
      <c r="L15">
        <v>0</v>
      </c>
      <c r="M15">
        <v>0</v>
      </c>
      <c r="N15">
        <v>0</v>
      </c>
      <c r="O15">
        <v>27904.037</v>
      </c>
      <c r="P15">
        <v>74398.407600000006</v>
      </c>
      <c r="Q15">
        <f t="shared" si="0"/>
        <v>12806.526753182254</v>
      </c>
      <c r="R15">
        <f t="shared" si="1"/>
        <v>-2.2072749131897207</v>
      </c>
      <c r="S15" t="s">
        <v>62</v>
      </c>
      <c r="T15">
        <v>1</v>
      </c>
      <c r="U15" t="s">
        <v>67</v>
      </c>
      <c r="V15" t="s">
        <v>68</v>
      </c>
      <c r="W15">
        <v>0</v>
      </c>
      <c r="X15">
        <v>0</v>
      </c>
      <c r="Y15">
        <v>48</v>
      </c>
      <c r="Z15">
        <v>63</v>
      </c>
      <c r="AA15">
        <v>60</v>
      </c>
      <c r="AB15">
        <v>1500</v>
      </c>
      <c r="AC15">
        <v>1008</v>
      </c>
      <c r="AD15">
        <v>1008</v>
      </c>
      <c r="AE15">
        <v>0</v>
      </c>
      <c r="AF15">
        <v>0</v>
      </c>
      <c r="AG15">
        <v>0</v>
      </c>
      <c r="AH15">
        <v>336</v>
      </c>
      <c r="AI15">
        <v>0</v>
      </c>
      <c r="AJ15">
        <v>0</v>
      </c>
      <c r="AK15">
        <v>168</v>
      </c>
      <c r="AL15">
        <v>5</v>
      </c>
      <c r="AM15">
        <v>0</v>
      </c>
      <c r="AN15">
        <v>0</v>
      </c>
      <c r="AO15" t="s">
        <v>59</v>
      </c>
      <c r="AP15">
        <v>1</v>
      </c>
      <c r="AQ15" t="s">
        <v>64</v>
      </c>
      <c r="AR15" t="s">
        <v>65</v>
      </c>
      <c r="AS15">
        <v>1</v>
      </c>
      <c r="AT15">
        <v>3</v>
      </c>
      <c r="AU15">
        <v>0</v>
      </c>
      <c r="AV15">
        <v>2200</v>
      </c>
      <c r="AW15">
        <v>100</v>
      </c>
      <c r="AX15" s="1">
        <v>44489</v>
      </c>
      <c r="AY15">
        <v>25600</v>
      </c>
      <c r="AZ15">
        <v>119827</v>
      </c>
      <c r="BA15">
        <v>145400</v>
      </c>
      <c r="BB15">
        <v>227000</v>
      </c>
      <c r="BC15">
        <v>438</v>
      </c>
      <c r="BD15" s="3">
        <f>Wapato_Sales[[#This Row],[land_extract]]*Lookups!$B$3</f>
        <v>1301.2250798945374</v>
      </c>
      <c r="BE15" s="3">
        <f>Lookups!$B$2</f>
        <v>107530.54</v>
      </c>
      <c r="BF15">
        <f>VLOOKUP(Wapato_Sales[[#This Row],[quality]],Lookups!$H$2:$J$11,3,FALSE)</f>
        <v>50405</v>
      </c>
      <c r="BG15">
        <f>VLOOKUP(Wapato_Sales[[#This Row],[condition]],Lookups!$H$17:$J$24,3,FALSE)</f>
        <v>52231</v>
      </c>
      <c r="BH15" s="3">
        <f>Wapato_Sales[[#This Row],[Age]]*Lookups!$B$16</f>
        <v>-23352.569100000001</v>
      </c>
      <c r="BI15" s="3">
        <f>Wapato_Sales[[#This Row],[Main Floor]]*Lookups!$B$17</f>
        <v>42135.144912000003</v>
      </c>
      <c r="BJ15" s="3">
        <f>Wapato_Sales[[#This Row],[Upper Floor]]*Lookups!$B$18</f>
        <v>0</v>
      </c>
      <c r="BK15" s="3">
        <f>Wapato_Sales[[#This Row],[Fin BSMT]]*Lookups!$B$19</f>
        <v>0</v>
      </c>
      <c r="BL15" s="3">
        <f>Wapato_Sales[[#This Row],[garage_sqft]]*Lookups!$B$20</f>
        <v>12434.940672000001</v>
      </c>
      <c r="BM15" s="3">
        <f>Wapato_Sales[[#This Row],[Patio]]*Lookups!$B$21</f>
        <v>7278.4284720000005</v>
      </c>
      <c r="BN15" s="3">
        <f>Wapato_Sales[[#This Row],[detatched_value]]*Lookups!$B$22</f>
        <v>2068.58212</v>
      </c>
      <c r="BO15" s="3">
        <f>Wapato_Sales[[#This Row],[days_prior]]*Lookups!$B$23</f>
        <v>-32781.006239999995</v>
      </c>
      <c r="BP15" s="3">
        <f>SUM(Wapato_Sales[[#This Row],[land_value]:[days_prior_value]])</f>
        <v>219251.28591589455</v>
      </c>
      <c r="BQ15" s="2">
        <f>Wapato_Sales[[#This Row],[predicted_total]]/Wapato_Sales[[#This Row],[sale_price]]</f>
        <v>0.96586469566473365</v>
      </c>
      <c r="BR15" s="3">
        <f>Wapato_Sales[[#This Row],[predicted_total]]-Wapato_Sales[[#This Row],[sale_price]]</f>
        <v>-7748.7140841054497</v>
      </c>
      <c r="BS15" s="3">
        <f>Wapato_Sales[[#This Row],[pred_var]]*Wapato_Sales[[#This Row],[pred_var]]</f>
        <v>60042569.957214162</v>
      </c>
      <c r="BT15" s="2">
        <f>VLOOKUP(Wapato_Sales[[#This Row],[quality]],Lookups!$A$28:$C$37,3,FALSE)</f>
        <v>0.97993206410140754</v>
      </c>
      <c r="BU15" s="2">
        <f>VLOOKUP(Wapato_Sales[[#This Row],[condition]],Lookups!$A$41:$C$48,3,FALSE)</f>
        <v>0.9832333997567807</v>
      </c>
      <c r="BV15" s="2">
        <f>VLOOKUP(Wapato_Sales[[#This Row],[decade]],Lookups!$F$28:$H$43,3,FALSE)</f>
        <v>1.035341704162583</v>
      </c>
      <c r="BW15" s="2">
        <f>VLOOKUP(Wapato_Sales[[#This Row],[living_area_range]],Lookups!$K$28:$M$37,3,FALSE)</f>
        <v>1.0061411172456287</v>
      </c>
      <c r="BX15" s="2">
        <f>AVERAGE(Wapato_Sales[[#This Row],[qual_adj]:[size_adj]])</f>
        <v>1.0011620713166001</v>
      </c>
      <c r="BY15" s="3">
        <f>SUM(Wapato_Sales[[#This Row],[quality_value]:[days_prior_value]])+(Wapato_Sales[[#This Row],[intercept]]*0.5)-Wapato_Sales[[#This Row],[det_value]]</f>
        <v>162116.20871600002</v>
      </c>
      <c r="BZ15" s="3">
        <f>Wapato_Sales[[#This Row],[land_value]]+(0.5*Wapato_Sales[[#This Row],[intercept]])</f>
        <v>55066.495079894536</v>
      </c>
      <c r="CA15" s="3">
        <f>Wapato_Sales[[#This Row],[det_value]]</f>
        <v>2068.58212</v>
      </c>
      <c r="CB15" s="3">
        <f>Wapato_Sales[[#This Row],[summed_res]]*Wapato_Sales[[#This Row],[overall_adj]]</f>
        <v>162304.59931210484</v>
      </c>
      <c r="CC15" s="3">
        <f>Wapato_Sales[[#This Row],[final_res]]+Wapato_Sales[[#This Row],[final_det]]+Wapato_Sales[[#This Row],[final_land]]</f>
        <v>219439.67651199939</v>
      </c>
      <c r="CD15" s="2">
        <f>Wapato_Sales[[#This Row],[final_total]]/Wapato_Sales[[#This Row],[sale_price]]</f>
        <v>0.96669461018501934</v>
      </c>
      <c r="CE15" s="3">
        <f>(Wapato_Sales[[#This Row],[final_total]]-Wapato_Sales[[#This Row],[sale_price]])^2</f>
        <v>57158491.243213646</v>
      </c>
      <c r="CF15" s="3">
        <f>(Wapato_Sales[[#This Row],[final_total]]-AVERAGE(Wapato_Sales[sale_price]))^2</f>
        <v>237463537.13928375</v>
      </c>
      <c r="CG15" s="3">
        <f>Wapato_Sales[[#This Row],[SSE]]+Wapato_Sales[[#This Row],[SSR]]</f>
        <v>294622028.38249737</v>
      </c>
      <c r="CH15" s="2">
        <f>ABS(Wapato_Sales[[#This Row],[final_ratio]]-MEDIAN(Wapato_Sales[final_ratio]))</f>
        <v>1.5281916008393681E-2</v>
      </c>
    </row>
    <row r="16" spans="1:86" x14ac:dyDescent="0.25">
      <c r="A16">
        <v>19111034414</v>
      </c>
      <c r="B16">
        <v>0.56999999999999995</v>
      </c>
      <c r="C16">
        <v>24908</v>
      </c>
      <c r="D16">
        <v>0</v>
      </c>
      <c r="E16" t="s">
        <v>54</v>
      </c>
      <c r="F16" t="s">
        <v>54</v>
      </c>
      <c r="G16">
        <v>3</v>
      </c>
      <c r="H16" t="s">
        <v>55</v>
      </c>
      <c r="I16">
        <v>259300</v>
      </c>
      <c r="J16">
        <v>41300</v>
      </c>
      <c r="K16">
        <v>0.56999999999999995</v>
      </c>
      <c r="L16">
        <v>0</v>
      </c>
      <c r="M16">
        <v>0</v>
      </c>
      <c r="N16">
        <v>0</v>
      </c>
      <c r="O16">
        <v>27904.037</v>
      </c>
      <c r="P16">
        <v>74398.407600000006</v>
      </c>
      <c r="Q16">
        <f t="shared" si="0"/>
        <v>58713.020509443617</v>
      </c>
      <c r="R16">
        <f t="shared" si="1"/>
        <v>-0.56211891815354131</v>
      </c>
      <c r="S16" t="s">
        <v>66</v>
      </c>
      <c r="T16">
        <v>1</v>
      </c>
      <c r="U16" t="s">
        <v>65</v>
      </c>
      <c r="V16" t="s">
        <v>68</v>
      </c>
      <c r="W16">
        <v>0</v>
      </c>
      <c r="X16">
        <v>0</v>
      </c>
      <c r="Y16">
        <v>49</v>
      </c>
      <c r="Z16">
        <v>67</v>
      </c>
      <c r="AA16">
        <v>70</v>
      </c>
      <c r="AB16">
        <v>3000</v>
      </c>
      <c r="AC16">
        <v>2976</v>
      </c>
      <c r="AD16">
        <v>1986</v>
      </c>
      <c r="AE16">
        <v>0</v>
      </c>
      <c r="AF16">
        <v>990</v>
      </c>
      <c r="AG16">
        <v>0</v>
      </c>
      <c r="AH16">
        <v>0</v>
      </c>
      <c r="AI16">
        <v>0</v>
      </c>
      <c r="AJ16">
        <v>0</v>
      </c>
      <c r="AK16">
        <v>410</v>
      </c>
      <c r="AL16">
        <v>6</v>
      </c>
      <c r="AM16">
        <v>0</v>
      </c>
      <c r="AN16">
        <v>2</v>
      </c>
      <c r="AO16" t="s">
        <v>59</v>
      </c>
      <c r="AP16">
        <v>1</v>
      </c>
      <c r="AQ16" t="s">
        <v>64</v>
      </c>
      <c r="AR16" t="s">
        <v>77</v>
      </c>
      <c r="AS16">
        <v>1</v>
      </c>
      <c r="AT16">
        <v>3</v>
      </c>
      <c r="AU16">
        <v>0</v>
      </c>
      <c r="AV16">
        <v>14200</v>
      </c>
      <c r="AW16">
        <v>100</v>
      </c>
      <c r="AX16" s="1">
        <v>44519</v>
      </c>
      <c r="AY16">
        <v>31100</v>
      </c>
      <c r="AZ16">
        <v>376749</v>
      </c>
      <c r="BA16">
        <v>407800</v>
      </c>
      <c r="BB16">
        <v>340000</v>
      </c>
      <c r="BC16">
        <v>408</v>
      </c>
      <c r="BD16" s="3">
        <f>Wapato_Sales[[#This Row],[land_extract]]*Lookups!$B$3</f>
        <v>5965.6186470907323</v>
      </c>
      <c r="BE16" s="3">
        <f>Lookups!$B$2</f>
        <v>107530.54</v>
      </c>
      <c r="BF16">
        <f>VLOOKUP(Wapato_Sales[[#This Row],[quality]],Lookups!$H$2:$J$11,3,FALSE)</f>
        <v>92307</v>
      </c>
      <c r="BG16">
        <f>VLOOKUP(Wapato_Sales[[#This Row],[condition]],Lookups!$H$17:$J$24,3,FALSE)</f>
        <v>52231</v>
      </c>
      <c r="BH16" s="3">
        <f>Wapato_Sales[[#This Row],[Age]]*Lookups!$B$16</f>
        <v>-24835.2719</v>
      </c>
      <c r="BI16" s="3">
        <f>Wapato_Sales[[#This Row],[Main Floor]]*Lookups!$B$17</f>
        <v>83016.267653999996</v>
      </c>
      <c r="BJ16" s="3">
        <f>Wapato_Sales[[#This Row],[Upper Floor]]*Lookups!$B$18</f>
        <v>0</v>
      </c>
      <c r="BK16" s="3">
        <f>Wapato_Sales[[#This Row],[Fin BSMT]]*Lookups!$B$19</f>
        <v>24123.0726</v>
      </c>
      <c r="BL16" s="3">
        <f>Wapato_Sales[[#This Row],[garage_sqft]]*Lookups!$B$20</f>
        <v>0</v>
      </c>
      <c r="BM16" s="3">
        <f>Wapato_Sales[[#This Row],[Patio]]*Lookups!$B$21</f>
        <v>17762.831389999999</v>
      </c>
      <c r="BN16" s="3">
        <f>Wapato_Sales[[#This Row],[detatched_value]]*Lookups!$B$22</f>
        <v>13351.757320000001</v>
      </c>
      <c r="BO16" s="3">
        <f>Wapato_Sales[[#This Row],[days_prior]]*Lookups!$B$23</f>
        <v>-30535.731839999997</v>
      </c>
      <c r="BP16" s="3">
        <f>SUM(Wapato_Sales[[#This Row],[land_value]:[days_prior_value]])</f>
        <v>340917.08387109067</v>
      </c>
      <c r="BQ16" s="2">
        <f>Wapato_Sales[[#This Row],[predicted_total]]/Wapato_Sales[[#This Row],[sale_price]]</f>
        <v>1.0026973055032078</v>
      </c>
      <c r="BR16" s="3">
        <f>Wapato_Sales[[#This Row],[predicted_total]]-Wapato_Sales[[#This Row],[sale_price]]</f>
        <v>917.08387109066825</v>
      </c>
      <c r="BS16" s="3">
        <f>Wapato_Sales[[#This Row],[pred_var]]*Wapato_Sales[[#This Row],[pred_var]]</f>
        <v>841042.82661464543</v>
      </c>
      <c r="BT16" s="2">
        <f>VLOOKUP(Wapato_Sales[[#This Row],[quality]],Lookups!$A$28:$C$37,3,FALSE)</f>
        <v>1.0013727718490204</v>
      </c>
      <c r="BU16" s="2">
        <f>VLOOKUP(Wapato_Sales[[#This Row],[condition]],Lookups!$A$41:$C$48,3,FALSE)</f>
        <v>0.9832333997567807</v>
      </c>
      <c r="BV16" s="2">
        <f>VLOOKUP(Wapato_Sales[[#This Row],[decade]],Lookups!$F$28:$H$43,3,FALSE)</f>
        <v>1.0012715221492001</v>
      </c>
      <c r="BW16" s="2">
        <f>VLOOKUP(Wapato_Sales[[#This Row],[living_area_range]],Lookups!$K$28:$M$37,3,FALSE)</f>
        <v>1.0155869662067822</v>
      </c>
      <c r="BX16" s="2">
        <f>AVERAGE(Wapato_Sales[[#This Row],[qual_adj]:[size_adj]])</f>
        <v>1.0003661649904458</v>
      </c>
      <c r="BY16" s="3">
        <f>SUM(Wapato_Sales[[#This Row],[quality_value]:[days_prior_value]])+(Wapato_Sales[[#This Row],[intercept]]*0.5)-Wapato_Sales[[#This Row],[det_value]]</f>
        <v>267834.43790400005</v>
      </c>
      <c r="BZ16" s="3">
        <f>Wapato_Sales[[#This Row],[land_value]]+(0.5*Wapato_Sales[[#This Row],[intercept]])</f>
        <v>59730.888647090731</v>
      </c>
      <c r="CA16" s="3">
        <f>Wapato_Sales[[#This Row],[det_value]]</f>
        <v>13351.757320000001</v>
      </c>
      <c r="CB16" s="3">
        <f>Wapato_Sales[[#This Row],[summed_res]]*Wapato_Sales[[#This Row],[overall_adj]]</f>
        <v>267932.50949839625</v>
      </c>
      <c r="CC16" s="3">
        <f>Wapato_Sales[[#This Row],[final_res]]+Wapato_Sales[[#This Row],[final_det]]+Wapato_Sales[[#This Row],[final_land]]</f>
        <v>341015.15546548693</v>
      </c>
      <c r="CD16" s="2">
        <f>Wapato_Sales[[#This Row],[final_total]]/Wapato_Sales[[#This Row],[sale_price]]</f>
        <v>1.0029857513690792</v>
      </c>
      <c r="CE16" s="3">
        <f>(Wapato_Sales[[#This Row],[final_total]]-Wapato_Sales[[#This Row],[sale_price]])^2</f>
        <v>1030540.6191079756</v>
      </c>
      <c r="CF16" s="3">
        <f>(Wapato_Sales[[#This Row],[final_total]]-AVERAGE(Wapato_Sales[sale_price]))^2</f>
        <v>18764980882.90123</v>
      </c>
      <c r="CG16" s="3">
        <f>Wapato_Sales[[#This Row],[SSE]]+Wapato_Sales[[#This Row],[SSR]]</f>
        <v>18766011423.520336</v>
      </c>
      <c r="CH16" s="2">
        <f>ABS(Wapato_Sales[[#This Row],[final_ratio]]-MEDIAN(Wapato_Sales[final_ratio]))</f>
        <v>2.1009225175666169E-2</v>
      </c>
    </row>
    <row r="17" spans="1:86" x14ac:dyDescent="0.25">
      <c r="A17">
        <v>19111513486</v>
      </c>
      <c r="B17">
        <v>0.14000000000000001</v>
      </c>
      <c r="C17">
        <v>6309</v>
      </c>
      <c r="D17">
        <v>0</v>
      </c>
      <c r="E17" t="s">
        <v>54</v>
      </c>
      <c r="F17" t="s">
        <v>54</v>
      </c>
      <c r="G17">
        <v>3</v>
      </c>
      <c r="H17" t="s">
        <v>55</v>
      </c>
      <c r="I17">
        <v>227100</v>
      </c>
      <c r="J17">
        <v>31900</v>
      </c>
      <c r="K17">
        <v>0.14000000000000001</v>
      </c>
      <c r="L17">
        <v>0</v>
      </c>
      <c r="M17">
        <v>0</v>
      </c>
      <c r="N17">
        <v>0</v>
      </c>
      <c r="O17">
        <v>27904.037</v>
      </c>
      <c r="P17">
        <v>74398.407600000006</v>
      </c>
      <c r="Q17">
        <f t="shared" si="0"/>
        <v>19535.921709596798</v>
      </c>
      <c r="R17">
        <f t="shared" si="1"/>
        <v>-1.9661128563728327</v>
      </c>
      <c r="S17" t="s">
        <v>66</v>
      </c>
      <c r="T17">
        <v>1</v>
      </c>
      <c r="U17" t="s">
        <v>67</v>
      </c>
      <c r="V17" t="s">
        <v>68</v>
      </c>
      <c r="W17">
        <v>0</v>
      </c>
      <c r="X17">
        <v>0</v>
      </c>
      <c r="Y17">
        <v>50</v>
      </c>
      <c r="Z17">
        <v>73</v>
      </c>
      <c r="AA17">
        <v>70</v>
      </c>
      <c r="AB17">
        <v>3000</v>
      </c>
      <c r="AC17">
        <v>2708</v>
      </c>
      <c r="AD17">
        <v>1508</v>
      </c>
      <c r="AE17">
        <v>0</v>
      </c>
      <c r="AF17">
        <v>1200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8</v>
      </c>
      <c r="AM17">
        <v>0</v>
      </c>
      <c r="AN17">
        <v>1</v>
      </c>
      <c r="AO17" t="s">
        <v>59</v>
      </c>
      <c r="AP17">
        <v>1</v>
      </c>
      <c r="AQ17" t="s">
        <v>60</v>
      </c>
      <c r="AR17" t="s">
        <v>61</v>
      </c>
      <c r="AS17">
        <v>1</v>
      </c>
      <c r="AT17">
        <v>3</v>
      </c>
      <c r="AU17">
        <v>0</v>
      </c>
      <c r="AV17">
        <v>10900</v>
      </c>
      <c r="AW17">
        <v>100</v>
      </c>
      <c r="AX17" s="1">
        <v>44509</v>
      </c>
      <c r="AY17">
        <v>26900</v>
      </c>
      <c r="AZ17">
        <v>227127</v>
      </c>
      <c r="BA17">
        <v>254000</v>
      </c>
      <c r="BB17">
        <v>280000</v>
      </c>
      <c r="BC17">
        <v>418</v>
      </c>
      <c r="BD17" s="3">
        <f>Wapato_Sales[[#This Row],[land_extract]]*Lookups!$B$3</f>
        <v>1984.9746755939761</v>
      </c>
      <c r="BE17" s="3">
        <f>Lookups!$B$2</f>
        <v>107530.54</v>
      </c>
      <c r="BF17">
        <f>VLOOKUP(Wapato_Sales[[#This Row],[quality]],Lookups!$H$2:$J$11,3,FALSE)</f>
        <v>50405</v>
      </c>
      <c r="BG17">
        <f>VLOOKUP(Wapato_Sales[[#This Row],[condition]],Lookups!$H$17:$J$24,3,FALSE)</f>
        <v>52231</v>
      </c>
      <c r="BH17" s="3">
        <f>Wapato_Sales[[#This Row],[Age]]*Lookups!$B$16</f>
        <v>-27059.326100000002</v>
      </c>
      <c r="BI17" s="3">
        <f>Wapato_Sales[[#This Row],[Main Floor]]*Lookups!$B$17</f>
        <v>63035.514411999997</v>
      </c>
      <c r="BJ17" s="3">
        <f>Wapato_Sales[[#This Row],[Upper Floor]]*Lookups!$B$18</f>
        <v>0</v>
      </c>
      <c r="BK17" s="3">
        <f>Wapato_Sales[[#This Row],[Fin BSMT]]*Lookups!$B$19</f>
        <v>29240.088</v>
      </c>
      <c r="BL17" s="3">
        <f>Wapato_Sales[[#This Row],[garage_sqft]]*Lookups!$B$20</f>
        <v>0</v>
      </c>
      <c r="BM17" s="3">
        <f>Wapato_Sales[[#This Row],[Patio]]*Lookups!$B$21</f>
        <v>0</v>
      </c>
      <c r="BN17" s="3">
        <f>Wapato_Sales[[#This Row],[detatched_value]]*Lookups!$B$22</f>
        <v>10248.88414</v>
      </c>
      <c r="BO17" s="3">
        <f>Wapato_Sales[[#This Row],[days_prior]]*Lookups!$B$23</f>
        <v>-31284.156639999997</v>
      </c>
      <c r="BP17" s="3">
        <f>SUM(Wapato_Sales[[#This Row],[land_value]:[days_prior_value]])</f>
        <v>256332.51848759392</v>
      </c>
      <c r="BQ17" s="2">
        <f>Wapato_Sales[[#This Row],[predicted_total]]/Wapato_Sales[[#This Row],[sale_price]]</f>
        <v>0.91547328031283537</v>
      </c>
      <c r="BR17" s="3">
        <f>Wapato_Sales[[#This Row],[predicted_total]]-Wapato_Sales[[#This Row],[sale_price]]</f>
        <v>-23667.481512406084</v>
      </c>
      <c r="BS17" s="3">
        <f>Wapato_Sales[[#This Row],[pred_var]]*Wapato_Sales[[#This Row],[pred_var]]</f>
        <v>560149681.14008379</v>
      </c>
      <c r="BT17" s="2">
        <f>VLOOKUP(Wapato_Sales[[#This Row],[quality]],Lookups!$A$28:$C$37,3,FALSE)</f>
        <v>0.97993206410140754</v>
      </c>
      <c r="BU17" s="2">
        <f>VLOOKUP(Wapato_Sales[[#This Row],[condition]],Lookups!$A$41:$C$48,3,FALSE)</f>
        <v>0.9832333997567807</v>
      </c>
      <c r="BV17" s="2">
        <f>VLOOKUP(Wapato_Sales[[#This Row],[decade]],Lookups!$F$28:$H$43,3,FALSE)</f>
        <v>1.0012715221492001</v>
      </c>
      <c r="BW17" s="2">
        <f>VLOOKUP(Wapato_Sales[[#This Row],[living_area_range]],Lookups!$K$28:$M$37,3,FALSE)</f>
        <v>1.0155869662067822</v>
      </c>
      <c r="BX17" s="2">
        <f>AVERAGE(Wapato_Sales[[#This Row],[qual_adj]:[size_adj]])</f>
        <v>0.99500598805354268</v>
      </c>
      <c r="BY17" s="3">
        <f>SUM(Wapato_Sales[[#This Row],[quality_value]:[days_prior_value]])+(Wapato_Sales[[#This Row],[intercept]]*0.5)-Wapato_Sales[[#This Row],[det_value]]</f>
        <v>190333.38967199996</v>
      </c>
      <c r="BZ17" s="3">
        <f>Wapato_Sales[[#This Row],[land_value]]+(0.5*Wapato_Sales[[#This Row],[intercept]])</f>
        <v>55750.244675593975</v>
      </c>
      <c r="CA17" s="3">
        <f>Wapato_Sales[[#This Row],[det_value]]</f>
        <v>10248.88414</v>
      </c>
      <c r="CB17" s="3">
        <f>Wapato_Sales[[#This Row],[summed_res]]*Wapato_Sales[[#This Row],[overall_adj]]</f>
        <v>189382.86245016826</v>
      </c>
      <c r="CC17" s="3">
        <f>Wapato_Sales[[#This Row],[final_res]]+Wapato_Sales[[#This Row],[final_det]]+Wapato_Sales[[#This Row],[final_land]]</f>
        <v>255381.99126576225</v>
      </c>
      <c r="CD17" s="2">
        <f>Wapato_Sales[[#This Row],[final_total]]/Wapato_Sales[[#This Row],[sale_price]]</f>
        <v>0.91207854023486512</v>
      </c>
      <c r="CE17" s="3">
        <f>(Wapato_Sales[[#This Row],[final_total]]-Wapato_Sales[[#This Row],[sale_price]])^2</f>
        <v>606046354.03900623</v>
      </c>
      <c r="CF17" s="3">
        <f>(Wapato_Sales[[#This Row],[final_total]]-AVERAGE(Wapato_Sales[sale_price]))^2</f>
        <v>2637045025.2322502</v>
      </c>
      <c r="CG17" s="3">
        <f>Wapato_Sales[[#This Row],[SSE]]+Wapato_Sales[[#This Row],[SSR]]</f>
        <v>3243091379.2712564</v>
      </c>
      <c r="CH17" s="2">
        <f>ABS(Wapato_Sales[[#This Row],[final_ratio]]-MEDIAN(Wapato_Sales[final_ratio]))</f>
        <v>6.9897985958547904E-2</v>
      </c>
    </row>
    <row r="18" spans="1:86" x14ac:dyDescent="0.25">
      <c r="A18">
        <v>19111511546</v>
      </c>
      <c r="B18">
        <v>0.08</v>
      </c>
      <c r="C18">
        <v>3288</v>
      </c>
      <c r="D18">
        <v>0</v>
      </c>
      <c r="E18" t="s">
        <v>54</v>
      </c>
      <c r="F18" t="s">
        <v>54</v>
      </c>
      <c r="G18">
        <v>3</v>
      </c>
      <c r="H18" t="s">
        <v>55</v>
      </c>
      <c r="I18">
        <v>144300</v>
      </c>
      <c r="J18">
        <v>27900</v>
      </c>
      <c r="K18">
        <v>0.08</v>
      </c>
      <c r="L18">
        <v>0</v>
      </c>
      <c r="M18">
        <v>0</v>
      </c>
      <c r="N18">
        <v>0</v>
      </c>
      <c r="O18">
        <v>27904.037</v>
      </c>
      <c r="P18">
        <v>74398.407600000006</v>
      </c>
      <c r="Q18">
        <f t="shared" si="0"/>
        <v>3920.3820572625991</v>
      </c>
      <c r="R18">
        <f t="shared" si="1"/>
        <v>-2.5257286443082556</v>
      </c>
      <c r="S18" t="s">
        <v>56</v>
      </c>
      <c r="T18">
        <v>2</v>
      </c>
      <c r="U18" t="s">
        <v>75</v>
      </c>
      <c r="V18" t="s">
        <v>68</v>
      </c>
      <c r="W18">
        <v>0</v>
      </c>
      <c r="X18">
        <v>0</v>
      </c>
      <c r="Y18">
        <v>50</v>
      </c>
      <c r="Z18">
        <v>73</v>
      </c>
      <c r="AA18">
        <v>70</v>
      </c>
      <c r="AB18">
        <v>1500</v>
      </c>
      <c r="AC18">
        <v>1050</v>
      </c>
      <c r="AD18">
        <v>810</v>
      </c>
      <c r="AE18">
        <v>240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5</v>
      </c>
      <c r="AM18">
        <v>0</v>
      </c>
      <c r="AN18">
        <v>0</v>
      </c>
      <c r="AO18" t="s">
        <v>59</v>
      </c>
      <c r="AP18">
        <v>1</v>
      </c>
      <c r="AQ18" t="s">
        <v>64</v>
      </c>
      <c r="AR18" t="s">
        <v>65</v>
      </c>
      <c r="AS18">
        <v>1</v>
      </c>
      <c r="AT18">
        <v>3</v>
      </c>
      <c r="AU18">
        <v>0</v>
      </c>
      <c r="AV18">
        <v>4400</v>
      </c>
      <c r="AW18">
        <v>100</v>
      </c>
      <c r="AX18" s="1">
        <v>44586</v>
      </c>
      <c r="AY18">
        <v>23400</v>
      </c>
      <c r="AZ18">
        <v>98246</v>
      </c>
      <c r="BA18">
        <v>121600</v>
      </c>
      <c r="BB18">
        <v>170000</v>
      </c>
      <c r="BC18">
        <v>341</v>
      </c>
      <c r="BD18" s="3">
        <f>Wapato_Sales[[#This Row],[land_extract]]*Lookups!$B$3</f>
        <v>398.33590746304657</v>
      </c>
      <c r="BE18" s="3">
        <f>Lookups!$B$2</f>
        <v>107530.54</v>
      </c>
      <c r="BF18">
        <f>VLOOKUP(Wapato_Sales[[#This Row],[quality]],Lookups!$H$2:$J$11,3,FALSE)</f>
        <v>48043</v>
      </c>
      <c r="BG18">
        <f>VLOOKUP(Wapato_Sales[[#This Row],[condition]],Lookups!$H$17:$J$24,3,FALSE)</f>
        <v>52231</v>
      </c>
      <c r="BH18" s="3">
        <f>Wapato_Sales[[#This Row],[Age]]*Lookups!$B$16</f>
        <v>-27059.326100000002</v>
      </c>
      <c r="BI18" s="3">
        <f>Wapato_Sales[[#This Row],[Main Floor]]*Lookups!$B$17</f>
        <v>33858.598590000001</v>
      </c>
      <c r="BJ18" s="3">
        <f>Wapato_Sales[[#This Row],[Upper Floor]]*Lookups!$B$18</f>
        <v>11904.273360000001</v>
      </c>
      <c r="BK18" s="3">
        <f>Wapato_Sales[[#This Row],[Fin BSMT]]*Lookups!$B$19</f>
        <v>0</v>
      </c>
      <c r="BL18" s="3">
        <f>Wapato_Sales[[#This Row],[garage_sqft]]*Lookups!$B$20</f>
        <v>0</v>
      </c>
      <c r="BM18" s="3">
        <f>Wapato_Sales[[#This Row],[Patio]]*Lookups!$B$21</f>
        <v>0</v>
      </c>
      <c r="BN18" s="3">
        <f>Wapato_Sales[[#This Row],[detatched_value]]*Lookups!$B$22</f>
        <v>4137.1642400000001</v>
      </c>
      <c r="BO18" s="3">
        <f>Wapato_Sales[[#This Row],[days_prior]]*Lookups!$B$23</f>
        <v>-25521.285679999997</v>
      </c>
      <c r="BP18" s="3">
        <f>SUM(Wapato_Sales[[#This Row],[land_value]:[days_prior_value]])</f>
        <v>205522.30031746303</v>
      </c>
      <c r="BQ18" s="2">
        <f>Wapato_Sales[[#This Row],[predicted_total]]/Wapato_Sales[[#This Row],[sale_price]]</f>
        <v>1.2089547077497824</v>
      </c>
      <c r="BR18" s="3">
        <f>Wapato_Sales[[#This Row],[predicted_total]]-Wapato_Sales[[#This Row],[sale_price]]</f>
        <v>35522.300317463028</v>
      </c>
      <c r="BS18" s="3">
        <f>Wapato_Sales[[#This Row],[pred_var]]*Wapato_Sales[[#This Row],[pred_var]]</f>
        <v>1261833819.844034</v>
      </c>
      <c r="BT18" s="2">
        <f>VLOOKUP(Wapato_Sales[[#This Row],[quality]],Lookups!$A$28:$C$37,3,FALSE)</f>
        <v>0.98196844879778955</v>
      </c>
      <c r="BU18" s="2">
        <f>VLOOKUP(Wapato_Sales[[#This Row],[condition]],Lookups!$A$41:$C$48,3,FALSE)</f>
        <v>0.9832333997567807</v>
      </c>
      <c r="BV18" s="2">
        <f>VLOOKUP(Wapato_Sales[[#This Row],[decade]],Lookups!$F$28:$H$43,3,FALSE)</f>
        <v>1.0012715221492001</v>
      </c>
      <c r="BW18" s="2">
        <f>VLOOKUP(Wapato_Sales[[#This Row],[living_area_range]],Lookups!$K$28:$M$37,3,FALSE)</f>
        <v>1.0061411172456287</v>
      </c>
      <c r="BX18" s="2">
        <f>AVERAGE(Wapato_Sales[[#This Row],[qual_adj]:[size_adj]])</f>
        <v>0.9931536219873498</v>
      </c>
      <c r="BY18" s="3">
        <f>SUM(Wapato_Sales[[#This Row],[quality_value]:[days_prior_value]])+(Wapato_Sales[[#This Row],[intercept]]*0.5)-Wapato_Sales[[#This Row],[det_value]]</f>
        <v>147221.53016999998</v>
      </c>
      <c r="BZ18" s="3">
        <f>Wapato_Sales[[#This Row],[land_value]]+(0.5*Wapato_Sales[[#This Row],[intercept]])</f>
        <v>54163.605907463047</v>
      </c>
      <c r="CA18" s="3">
        <f>Wapato_Sales[[#This Row],[det_value]]</f>
        <v>4137.1642400000001</v>
      </c>
      <c r="CB18" s="3">
        <f>Wapato_Sales[[#This Row],[summed_res]]*Wapato_Sales[[#This Row],[overall_adj]]</f>
        <v>146213.59592285537</v>
      </c>
      <c r="CC18" s="3">
        <f>Wapato_Sales[[#This Row],[final_res]]+Wapato_Sales[[#This Row],[final_det]]+Wapato_Sales[[#This Row],[final_land]]</f>
        <v>204514.36607031844</v>
      </c>
      <c r="CD18" s="2">
        <f>Wapato_Sales[[#This Row],[final_total]]/Wapato_Sales[[#This Row],[sale_price]]</f>
        <v>1.2030256827665791</v>
      </c>
      <c r="CE18" s="3">
        <f>(Wapato_Sales[[#This Row],[final_total]]-Wapato_Sales[[#This Row],[sale_price]])^2</f>
        <v>1191241465.235949</v>
      </c>
      <c r="CF18" s="3">
        <f>(Wapato_Sales[[#This Row],[final_total]]-AVERAGE(Wapato_Sales[sale_price]))^2</f>
        <v>234780.47386155903</v>
      </c>
      <c r="CG18" s="3">
        <f>Wapato_Sales[[#This Row],[SSE]]+Wapato_Sales[[#This Row],[SSR]]</f>
        <v>1191476245.7098105</v>
      </c>
      <c r="CH18" s="2">
        <f>ABS(Wapato_Sales[[#This Row],[final_ratio]]-MEDIAN(Wapato_Sales[final_ratio]))</f>
        <v>0.22104915657316604</v>
      </c>
    </row>
    <row r="19" spans="1:86" x14ac:dyDescent="0.25">
      <c r="A19">
        <v>19112214436</v>
      </c>
      <c r="B19">
        <v>0.18</v>
      </c>
      <c r="C19">
        <v>7872</v>
      </c>
      <c r="D19">
        <v>0</v>
      </c>
      <c r="E19" t="s">
        <v>54</v>
      </c>
      <c r="F19" t="s">
        <v>54</v>
      </c>
      <c r="G19">
        <v>3</v>
      </c>
      <c r="H19" t="s">
        <v>55</v>
      </c>
      <c r="I19">
        <v>128900</v>
      </c>
      <c r="J19">
        <v>33700</v>
      </c>
      <c r="K19">
        <v>0.18</v>
      </c>
      <c r="L19">
        <v>0</v>
      </c>
      <c r="M19">
        <v>0</v>
      </c>
      <c r="N19">
        <v>0</v>
      </c>
      <c r="O19">
        <v>27904.037</v>
      </c>
      <c r="P19">
        <v>74398.407600000006</v>
      </c>
      <c r="Q19">
        <f t="shared" si="0"/>
        <v>26548.608814981046</v>
      </c>
      <c r="R19">
        <f t="shared" si="1"/>
        <v>-1.7147984280919266</v>
      </c>
      <c r="S19" t="s">
        <v>66</v>
      </c>
      <c r="T19">
        <v>1</v>
      </c>
      <c r="U19" t="s">
        <v>78</v>
      </c>
      <c r="V19" t="s">
        <v>68</v>
      </c>
      <c r="W19">
        <v>0</v>
      </c>
      <c r="X19">
        <v>0</v>
      </c>
      <c r="Y19">
        <v>50</v>
      </c>
      <c r="Z19">
        <v>73</v>
      </c>
      <c r="AA19">
        <v>70</v>
      </c>
      <c r="AB19">
        <v>1000</v>
      </c>
      <c r="AC19">
        <v>864</v>
      </c>
      <c r="AD19">
        <v>864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5</v>
      </c>
      <c r="AM19">
        <v>1</v>
      </c>
      <c r="AN19">
        <v>0</v>
      </c>
      <c r="AO19" t="s">
        <v>59</v>
      </c>
      <c r="AP19">
        <v>1</v>
      </c>
      <c r="AQ19" t="s">
        <v>72</v>
      </c>
      <c r="AR19" t="s">
        <v>61</v>
      </c>
      <c r="AS19">
        <v>0</v>
      </c>
      <c r="AT19">
        <v>3</v>
      </c>
      <c r="AU19">
        <v>0</v>
      </c>
      <c r="AV19">
        <v>4800</v>
      </c>
      <c r="AW19">
        <v>100</v>
      </c>
      <c r="AX19" s="1">
        <v>44102</v>
      </c>
      <c r="AY19">
        <v>24600</v>
      </c>
      <c r="AZ19">
        <v>79826</v>
      </c>
      <c r="BA19">
        <v>104400</v>
      </c>
      <c r="BB19">
        <v>138800</v>
      </c>
      <c r="BC19">
        <v>825</v>
      </c>
      <c r="BD19" s="3">
        <f>Wapato_Sales[[#This Row],[land_extract]]*Lookups!$B$3</f>
        <v>2697.5085666984901</v>
      </c>
      <c r="BE19" s="3">
        <f>Lookups!$B$2</f>
        <v>107530.54</v>
      </c>
      <c r="BF19">
        <f>VLOOKUP(Wapato_Sales[[#This Row],[quality]],Lookups!$H$2:$J$11,3,FALSE)</f>
        <v>23424</v>
      </c>
      <c r="BG19">
        <f>VLOOKUP(Wapato_Sales[[#This Row],[condition]],Lookups!$H$17:$J$24,3,FALSE)</f>
        <v>52231</v>
      </c>
      <c r="BH19" s="3">
        <f>Wapato_Sales[[#This Row],[Age]]*Lookups!$B$16</f>
        <v>-27059.326100000002</v>
      </c>
      <c r="BI19" s="3">
        <f>Wapato_Sales[[#This Row],[Main Floor]]*Lookups!$B$17</f>
        <v>36115.838495999997</v>
      </c>
      <c r="BJ19" s="3">
        <f>Wapato_Sales[[#This Row],[Upper Floor]]*Lookups!$B$18</f>
        <v>0</v>
      </c>
      <c r="BK19" s="3">
        <f>Wapato_Sales[[#This Row],[Fin BSMT]]*Lookups!$B$19</f>
        <v>0</v>
      </c>
      <c r="BL19" s="3">
        <f>Wapato_Sales[[#This Row],[garage_sqft]]*Lookups!$B$20</f>
        <v>0</v>
      </c>
      <c r="BM19" s="3">
        <f>Wapato_Sales[[#This Row],[Patio]]*Lookups!$B$21</f>
        <v>0</v>
      </c>
      <c r="BN19" s="3">
        <f>Wapato_Sales[[#This Row],[detatched_value]]*Lookups!$B$22</f>
        <v>4513.2700800000002</v>
      </c>
      <c r="BO19" s="3">
        <f>Wapato_Sales[[#This Row],[days_prior]]*Lookups!$B$23</f>
        <v>-61745.045999999995</v>
      </c>
      <c r="BP19" s="3">
        <f>SUM(Wapato_Sales[[#This Row],[land_value]:[days_prior_value]])</f>
        <v>137707.78504269847</v>
      </c>
      <c r="BQ19" s="2">
        <f>Wapato_Sales[[#This Row],[predicted_total]]/Wapato_Sales[[#This Row],[sale_price]]</f>
        <v>0.99213101615776988</v>
      </c>
      <c r="BR19" s="3">
        <f>Wapato_Sales[[#This Row],[predicted_total]]-Wapato_Sales[[#This Row],[sale_price]]</f>
        <v>-1092.214957301534</v>
      </c>
      <c r="BS19" s="3">
        <f>Wapato_Sales[[#This Row],[pred_var]]*Wapato_Sales[[#This Row],[pred_var]]</f>
        <v>1192933.5129531918</v>
      </c>
      <c r="BT19" s="2">
        <f>VLOOKUP(Wapato_Sales[[#This Row],[quality]],Lookups!$A$28:$C$37,3,FALSE)</f>
        <v>1.0091195562373767</v>
      </c>
      <c r="BU19" s="2">
        <f>VLOOKUP(Wapato_Sales[[#This Row],[condition]],Lookups!$A$41:$C$48,3,FALSE)</f>
        <v>0.9832333997567807</v>
      </c>
      <c r="BV19" s="2">
        <f>VLOOKUP(Wapato_Sales[[#This Row],[decade]],Lookups!$F$28:$H$43,3,FALSE)</f>
        <v>1.0012715221492001</v>
      </c>
      <c r="BW19" s="2">
        <f>VLOOKUP(Wapato_Sales[[#This Row],[living_area_range]],Lookups!$K$28:$M$37,3,FALSE)</f>
        <v>0.99022994770196116</v>
      </c>
      <c r="BX19" s="2">
        <f>AVERAGE(Wapato_Sales[[#This Row],[qual_adj]:[size_adj]])</f>
        <v>0.99596360646132964</v>
      </c>
      <c r="BY19" s="3">
        <f>SUM(Wapato_Sales[[#This Row],[quality_value]:[days_prior_value]])+(Wapato_Sales[[#This Row],[intercept]]*0.5)-Wapato_Sales[[#This Row],[det_value]]</f>
        <v>76731.736395999993</v>
      </c>
      <c r="BZ19" s="3">
        <f>Wapato_Sales[[#This Row],[land_value]]+(0.5*Wapato_Sales[[#This Row],[intercept]])</f>
        <v>56462.778566698486</v>
      </c>
      <c r="CA19" s="3">
        <f>Wapato_Sales[[#This Row],[det_value]]</f>
        <v>4513.2700800000002</v>
      </c>
      <c r="CB19" s="3">
        <f>Wapato_Sales[[#This Row],[summed_res]]*Wapato_Sales[[#This Row],[overall_adj]]</f>
        <v>76422.016911000217</v>
      </c>
      <c r="CC19" s="3">
        <f>Wapato_Sales[[#This Row],[final_res]]+Wapato_Sales[[#This Row],[final_det]]+Wapato_Sales[[#This Row],[final_land]]</f>
        <v>137398.06555769872</v>
      </c>
      <c r="CD19" s="2">
        <f>Wapato_Sales[[#This Row],[final_total]]/Wapato_Sales[[#This Row],[sale_price]]</f>
        <v>0.9898996077644</v>
      </c>
      <c r="CE19" s="3">
        <f>(Wapato_Sales[[#This Row],[final_total]]-Wapato_Sales[[#This Row],[sale_price]])^2</f>
        <v>1965420.1805106031</v>
      </c>
      <c r="CF19" s="3">
        <f>(Wapato_Sales[[#This Row],[final_total]]-AVERAGE(Wapato_Sales[sale_price]))^2</f>
        <v>4439791307.9277945</v>
      </c>
      <c r="CG19" s="3">
        <f>Wapato_Sales[[#This Row],[SSE]]+Wapato_Sales[[#This Row],[SSR]]</f>
        <v>4441756728.108305</v>
      </c>
      <c r="CH19" s="2">
        <f>ABS(Wapato_Sales[[#This Row],[final_ratio]]-MEDIAN(Wapato_Sales[final_ratio]))</f>
        <v>7.9230815709869784E-3</v>
      </c>
    </row>
    <row r="20" spans="1:86" x14ac:dyDescent="0.25">
      <c r="A20">
        <v>19111133543</v>
      </c>
      <c r="B20">
        <v>0.36</v>
      </c>
      <c r="C20">
        <v>15546</v>
      </c>
      <c r="D20">
        <v>0</v>
      </c>
      <c r="E20" t="s">
        <v>54</v>
      </c>
      <c r="F20" t="s">
        <v>54</v>
      </c>
      <c r="G20">
        <v>3</v>
      </c>
      <c r="H20" t="s">
        <v>55</v>
      </c>
      <c r="I20">
        <v>217000</v>
      </c>
      <c r="J20">
        <v>38700</v>
      </c>
      <c r="K20">
        <v>0.36</v>
      </c>
      <c r="L20">
        <v>0</v>
      </c>
      <c r="M20">
        <v>0</v>
      </c>
      <c r="N20">
        <v>0</v>
      </c>
      <c r="O20">
        <v>27904.037</v>
      </c>
      <c r="P20">
        <v>74398.407600000006</v>
      </c>
      <c r="Q20">
        <f t="shared" si="0"/>
        <v>45890.213387771437</v>
      </c>
      <c r="R20">
        <f t="shared" si="1"/>
        <v>-1.0216512475319814</v>
      </c>
      <c r="S20" t="s">
        <v>66</v>
      </c>
      <c r="T20">
        <v>1</v>
      </c>
      <c r="U20" t="s">
        <v>75</v>
      </c>
      <c r="V20" t="s">
        <v>68</v>
      </c>
      <c r="W20">
        <v>0</v>
      </c>
      <c r="X20">
        <v>0</v>
      </c>
      <c r="Y20">
        <v>50</v>
      </c>
      <c r="Z20">
        <v>73</v>
      </c>
      <c r="AA20">
        <v>70</v>
      </c>
      <c r="AB20">
        <v>1500</v>
      </c>
      <c r="AC20">
        <v>1448</v>
      </c>
      <c r="AD20">
        <v>1448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608</v>
      </c>
      <c r="AL20">
        <v>5</v>
      </c>
      <c r="AM20">
        <v>1</v>
      </c>
      <c r="AN20">
        <v>0</v>
      </c>
      <c r="AO20" t="s">
        <v>79</v>
      </c>
      <c r="AP20">
        <v>1</v>
      </c>
      <c r="AQ20" t="s">
        <v>64</v>
      </c>
      <c r="AR20" t="s">
        <v>65</v>
      </c>
      <c r="AS20">
        <v>1</v>
      </c>
      <c r="AT20">
        <v>3</v>
      </c>
      <c r="AU20">
        <v>0</v>
      </c>
      <c r="AV20">
        <v>10400</v>
      </c>
      <c r="AW20">
        <v>100</v>
      </c>
      <c r="AX20" s="1">
        <v>43850</v>
      </c>
      <c r="AY20">
        <v>32900</v>
      </c>
      <c r="AZ20">
        <v>165426</v>
      </c>
      <c r="BA20">
        <v>198300</v>
      </c>
      <c r="BB20">
        <v>210000</v>
      </c>
      <c r="BC20">
        <v>1077</v>
      </c>
      <c r="BD20" s="3">
        <f>Wapato_Sales[[#This Row],[land_extract]]*Lookups!$B$3</f>
        <v>4662.7393775632599</v>
      </c>
      <c r="BE20" s="3">
        <f>Lookups!$B$2</f>
        <v>107530.54</v>
      </c>
      <c r="BF20">
        <f>VLOOKUP(Wapato_Sales[[#This Row],[quality]],Lookups!$H$2:$J$11,3,FALSE)</f>
        <v>48043</v>
      </c>
      <c r="BG20">
        <f>VLOOKUP(Wapato_Sales[[#This Row],[condition]],Lookups!$H$17:$J$24,3,FALSE)</f>
        <v>52231</v>
      </c>
      <c r="BH20" s="3">
        <f>Wapato_Sales[[#This Row],[Age]]*Lookups!$B$16</f>
        <v>-27059.326100000002</v>
      </c>
      <c r="BI20" s="3">
        <f>Wapato_Sales[[#This Row],[Main Floor]]*Lookups!$B$17</f>
        <v>60527.470072000004</v>
      </c>
      <c r="BJ20" s="3">
        <f>Wapato_Sales[[#This Row],[Upper Floor]]*Lookups!$B$18</f>
        <v>0</v>
      </c>
      <c r="BK20" s="3">
        <f>Wapato_Sales[[#This Row],[Fin BSMT]]*Lookups!$B$19</f>
        <v>0</v>
      </c>
      <c r="BL20" s="3">
        <f>Wapato_Sales[[#This Row],[garage_sqft]]*Lookups!$B$20</f>
        <v>0</v>
      </c>
      <c r="BM20" s="3">
        <f>Wapato_Sales[[#This Row],[Patio]]*Lookups!$B$21</f>
        <v>26340.979232000002</v>
      </c>
      <c r="BN20" s="3">
        <f>Wapato_Sales[[#This Row],[detatched_value]]*Lookups!$B$22</f>
        <v>9778.7518400000008</v>
      </c>
      <c r="BO20" s="3">
        <f>Wapato_Sales[[#This Row],[days_prior]]*Lookups!$B$23</f>
        <v>-80605.350959999996</v>
      </c>
      <c r="BP20" s="3">
        <f>SUM(Wapato_Sales[[#This Row],[land_value]:[days_prior_value]])</f>
        <v>201449.80346156325</v>
      </c>
      <c r="BQ20" s="2">
        <f>Wapato_Sales[[#This Row],[predicted_total]]/Wapato_Sales[[#This Row],[sale_price]]</f>
        <v>0.95928477838839643</v>
      </c>
      <c r="BR20" s="3">
        <f>Wapato_Sales[[#This Row],[predicted_total]]-Wapato_Sales[[#This Row],[sale_price]]</f>
        <v>-8550.1965384367504</v>
      </c>
      <c r="BS20" s="3">
        <f>Wapato_Sales[[#This Row],[pred_var]]*Wapato_Sales[[#This Row],[pred_var]]</f>
        <v>73105860.845895782</v>
      </c>
      <c r="BT20" s="2">
        <f>VLOOKUP(Wapato_Sales[[#This Row],[quality]],Lookups!$A$28:$C$37,3,FALSE)</f>
        <v>0.98196844879778955</v>
      </c>
      <c r="BU20" s="2">
        <f>VLOOKUP(Wapato_Sales[[#This Row],[condition]],Lookups!$A$41:$C$48,3,FALSE)</f>
        <v>0.9832333997567807</v>
      </c>
      <c r="BV20" s="2">
        <f>VLOOKUP(Wapato_Sales[[#This Row],[decade]],Lookups!$F$28:$H$43,3,FALSE)</f>
        <v>1.0012715221492001</v>
      </c>
      <c r="BW20" s="2">
        <f>VLOOKUP(Wapato_Sales[[#This Row],[living_area_range]],Lookups!$K$28:$M$37,3,FALSE)</f>
        <v>1.0061411172456287</v>
      </c>
      <c r="BX20" s="2">
        <f>AVERAGE(Wapato_Sales[[#This Row],[qual_adj]:[size_adj]])</f>
        <v>0.9931536219873498</v>
      </c>
      <c r="BY20" s="3">
        <f>SUM(Wapato_Sales[[#This Row],[quality_value]:[days_prior_value]])+(Wapato_Sales[[#This Row],[intercept]]*0.5)-Wapato_Sales[[#This Row],[det_value]]</f>
        <v>133243.04224400001</v>
      </c>
      <c r="BZ20" s="3">
        <f>Wapato_Sales[[#This Row],[land_value]]+(0.5*Wapato_Sales[[#This Row],[intercept]])</f>
        <v>58428.009377563256</v>
      </c>
      <c r="CA20" s="3">
        <f>Wapato_Sales[[#This Row],[det_value]]</f>
        <v>9778.7518400000008</v>
      </c>
      <c r="CB20" s="3">
        <f>Wapato_Sales[[#This Row],[summed_res]]*Wapato_Sales[[#This Row],[overall_adj]]</f>
        <v>132330.81000924206</v>
      </c>
      <c r="CC20" s="3">
        <f>Wapato_Sales[[#This Row],[final_res]]+Wapato_Sales[[#This Row],[final_det]]+Wapato_Sales[[#This Row],[final_land]]</f>
        <v>200537.57122680533</v>
      </c>
      <c r="CD20" s="2">
        <f>Wapato_Sales[[#This Row],[final_total]]/Wapato_Sales[[#This Row],[sale_price]]</f>
        <v>0.95494081536573971</v>
      </c>
      <c r="CE20" s="3">
        <f>(Wapato_Sales[[#This Row],[final_total]]-Wapato_Sales[[#This Row],[sale_price]])^2</f>
        <v>89537558.287782341</v>
      </c>
      <c r="CF20" s="3">
        <f>(Wapato_Sales[[#This Row],[final_total]]-AVERAGE(Wapato_Sales[sale_price]))^2</f>
        <v>12195833.353012102</v>
      </c>
      <c r="CG20" s="3">
        <f>Wapato_Sales[[#This Row],[SSE]]+Wapato_Sales[[#This Row],[SSR]]</f>
        <v>101733391.64079444</v>
      </c>
      <c r="CH20" s="2">
        <f>ABS(Wapato_Sales[[#This Row],[final_ratio]]-MEDIAN(Wapato_Sales[final_ratio]))</f>
        <v>2.7035710827673309E-2</v>
      </c>
    </row>
    <row r="21" spans="1:86" x14ac:dyDescent="0.25">
      <c r="A21">
        <v>19111521402</v>
      </c>
      <c r="B21">
        <v>0.21</v>
      </c>
      <c r="C21">
        <v>9100</v>
      </c>
      <c r="D21">
        <v>0</v>
      </c>
      <c r="E21" t="s">
        <v>54</v>
      </c>
      <c r="F21" t="s">
        <v>54</v>
      </c>
      <c r="G21">
        <v>3</v>
      </c>
      <c r="H21" t="s">
        <v>55</v>
      </c>
      <c r="I21">
        <v>112800</v>
      </c>
      <c r="J21">
        <v>34300</v>
      </c>
      <c r="K21">
        <v>0.21</v>
      </c>
      <c r="L21">
        <v>0</v>
      </c>
      <c r="M21">
        <v>0</v>
      </c>
      <c r="N21">
        <v>0</v>
      </c>
      <c r="O21">
        <v>27904.037</v>
      </c>
      <c r="P21">
        <v>74398.407600000006</v>
      </c>
      <c r="Q21">
        <f t="shared" si="0"/>
        <v>30850.035088456018</v>
      </c>
      <c r="R21">
        <f t="shared" si="1"/>
        <v>-1.5606477482646683</v>
      </c>
      <c r="S21" t="s">
        <v>66</v>
      </c>
      <c r="T21">
        <v>1</v>
      </c>
      <c r="U21" t="s">
        <v>71</v>
      </c>
      <c r="V21" t="s">
        <v>68</v>
      </c>
      <c r="W21">
        <v>0</v>
      </c>
      <c r="X21">
        <v>0</v>
      </c>
      <c r="Y21">
        <v>50</v>
      </c>
      <c r="Z21">
        <v>73</v>
      </c>
      <c r="AA21">
        <v>70</v>
      </c>
      <c r="AB21">
        <v>1000</v>
      </c>
      <c r="AC21">
        <v>808</v>
      </c>
      <c r="AD21">
        <v>808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5</v>
      </c>
      <c r="AM21">
        <v>0</v>
      </c>
      <c r="AN21">
        <v>1</v>
      </c>
      <c r="AO21" t="s">
        <v>59</v>
      </c>
      <c r="AP21">
        <v>1</v>
      </c>
      <c r="AQ21" t="s">
        <v>72</v>
      </c>
      <c r="AR21" t="s">
        <v>61</v>
      </c>
      <c r="AS21">
        <v>0</v>
      </c>
      <c r="AT21">
        <v>2</v>
      </c>
      <c r="AU21">
        <v>0</v>
      </c>
      <c r="AV21">
        <v>0</v>
      </c>
      <c r="AW21">
        <v>100</v>
      </c>
      <c r="AX21" s="1">
        <v>43889</v>
      </c>
      <c r="AY21">
        <v>28600</v>
      </c>
      <c r="AZ21">
        <v>73911</v>
      </c>
      <c r="BA21">
        <v>102500</v>
      </c>
      <c r="BB21">
        <v>149900</v>
      </c>
      <c r="BC21">
        <v>1038</v>
      </c>
      <c r="BD21" s="3">
        <f>Wapato_Sales[[#This Row],[land_extract]]*Lookups!$B$3</f>
        <v>3134.5610052116976</v>
      </c>
      <c r="BE21" s="3">
        <f>Lookups!$B$2</f>
        <v>107530.54</v>
      </c>
      <c r="BF21">
        <f>VLOOKUP(Wapato_Sales[[#This Row],[quality]],Lookups!$H$2:$J$11,3,FALSE)</f>
        <v>28034</v>
      </c>
      <c r="BG21">
        <f>VLOOKUP(Wapato_Sales[[#This Row],[condition]],Lookups!$H$17:$J$24,3,FALSE)</f>
        <v>52231</v>
      </c>
      <c r="BH21" s="3">
        <f>Wapato_Sales[[#This Row],[Age]]*Lookups!$B$16</f>
        <v>-27059.326100000002</v>
      </c>
      <c r="BI21" s="3">
        <f>Wapato_Sales[[#This Row],[Main Floor]]*Lookups!$B$17</f>
        <v>33774.997111999997</v>
      </c>
      <c r="BJ21" s="3">
        <f>Wapato_Sales[[#This Row],[Upper Floor]]*Lookups!$B$18</f>
        <v>0</v>
      </c>
      <c r="BK21" s="3">
        <f>Wapato_Sales[[#This Row],[Fin BSMT]]*Lookups!$B$19</f>
        <v>0</v>
      </c>
      <c r="BL21" s="3">
        <f>Wapato_Sales[[#This Row],[garage_sqft]]*Lookups!$B$20</f>
        <v>0</v>
      </c>
      <c r="BM21" s="3">
        <f>Wapato_Sales[[#This Row],[Patio]]*Lookups!$B$21</f>
        <v>0</v>
      </c>
      <c r="BN21" s="3">
        <f>Wapato_Sales[[#This Row],[detatched_value]]*Lookups!$B$22</f>
        <v>0</v>
      </c>
      <c r="BO21" s="3">
        <f>Wapato_Sales[[#This Row],[days_prior]]*Lookups!$B$23</f>
        <v>-77686.49424</v>
      </c>
      <c r="BP21" s="3">
        <f>SUM(Wapato_Sales[[#This Row],[land_value]:[days_prior_value]])</f>
        <v>119959.27777721171</v>
      </c>
      <c r="BQ21" s="2">
        <f>Wapato_Sales[[#This Row],[predicted_total]]/Wapato_Sales[[#This Row],[sale_price]]</f>
        <v>0.80026202653243306</v>
      </c>
      <c r="BR21" s="3">
        <f>Wapato_Sales[[#This Row],[predicted_total]]-Wapato_Sales[[#This Row],[sale_price]]</f>
        <v>-29940.722222788288</v>
      </c>
      <c r="BS21" s="3">
        <f>Wapato_Sales[[#This Row],[pred_var]]*Wapato_Sales[[#This Row],[pred_var]]</f>
        <v>896446847.22216845</v>
      </c>
      <c r="BT21" s="2">
        <f>VLOOKUP(Wapato_Sales[[#This Row],[quality]],Lookups!$A$28:$C$37,3,FALSE)</f>
        <v>0.96265813922927435</v>
      </c>
      <c r="BU21" s="2">
        <f>VLOOKUP(Wapato_Sales[[#This Row],[condition]],Lookups!$A$41:$C$48,3,FALSE)</f>
        <v>0.9832333997567807</v>
      </c>
      <c r="BV21" s="2">
        <f>VLOOKUP(Wapato_Sales[[#This Row],[decade]],Lookups!$F$28:$H$43,3,FALSE)</f>
        <v>1.0012715221492001</v>
      </c>
      <c r="BW21" s="2">
        <f>VLOOKUP(Wapato_Sales[[#This Row],[living_area_range]],Lookups!$K$28:$M$37,3,FALSE)</f>
        <v>0.99022994770196116</v>
      </c>
      <c r="BX21" s="2">
        <f>AVERAGE(Wapato_Sales[[#This Row],[qual_adj]:[size_adj]])</f>
        <v>0.984348252209304</v>
      </c>
      <c r="BY21" s="3">
        <f>SUM(Wapato_Sales[[#This Row],[quality_value]:[days_prior_value]])+(Wapato_Sales[[#This Row],[intercept]]*0.5)-Wapato_Sales[[#This Row],[det_value]]</f>
        <v>63059.446771999988</v>
      </c>
      <c r="BZ21" s="3">
        <f>Wapato_Sales[[#This Row],[land_value]]+(0.5*Wapato_Sales[[#This Row],[intercept]])</f>
        <v>56899.831005211694</v>
      </c>
      <c r="CA21" s="3">
        <f>Wapato_Sales[[#This Row],[det_value]]</f>
        <v>0</v>
      </c>
      <c r="CB21" s="3">
        <f>Wapato_Sales[[#This Row],[summed_res]]*Wapato_Sales[[#This Row],[overall_adj]]</f>
        <v>62072.456215303828</v>
      </c>
      <c r="CC21" s="3">
        <f>Wapato_Sales[[#This Row],[final_res]]+Wapato_Sales[[#This Row],[final_det]]+Wapato_Sales[[#This Row],[final_land]]</f>
        <v>118972.28722051551</v>
      </c>
      <c r="CD21" s="2">
        <f>Wapato_Sales[[#This Row],[final_total]]/Wapato_Sales[[#This Row],[sale_price]]</f>
        <v>0.79367769993672788</v>
      </c>
      <c r="CE21" s="3">
        <f>(Wapato_Sales[[#This Row],[final_total]]-Wapato_Sales[[#This Row],[sale_price]])^2</f>
        <v>956523417.77028799</v>
      </c>
      <c r="CF21" s="3">
        <f>(Wapato_Sales[[#This Row],[final_total]]-AVERAGE(Wapato_Sales[sale_price]))^2</f>
        <v>7234784658.4965563</v>
      </c>
      <c r="CG21" s="3">
        <f>Wapato_Sales[[#This Row],[SSE]]+Wapato_Sales[[#This Row],[SSR]]</f>
        <v>8191308076.2668438</v>
      </c>
      <c r="CH21" s="2">
        <f>ABS(Wapato_Sales[[#This Row],[final_ratio]]-MEDIAN(Wapato_Sales[final_ratio]))</f>
        <v>0.18829882625668515</v>
      </c>
    </row>
    <row r="22" spans="1:86" x14ac:dyDescent="0.25">
      <c r="A22">
        <v>19111513463</v>
      </c>
      <c r="B22">
        <v>0.12</v>
      </c>
      <c r="C22">
        <v>5341</v>
      </c>
      <c r="D22">
        <v>0</v>
      </c>
      <c r="E22" t="s">
        <v>54</v>
      </c>
      <c r="F22" t="s">
        <v>54</v>
      </c>
      <c r="G22">
        <v>3</v>
      </c>
      <c r="H22" t="s">
        <v>55</v>
      </c>
      <c r="I22">
        <v>177000</v>
      </c>
      <c r="J22">
        <v>30800</v>
      </c>
      <c r="K22">
        <v>0.12</v>
      </c>
      <c r="L22">
        <v>0</v>
      </c>
      <c r="M22">
        <v>0</v>
      </c>
      <c r="N22">
        <v>0</v>
      </c>
      <c r="O22">
        <v>27904.037</v>
      </c>
      <c r="P22">
        <v>74398.407600000006</v>
      </c>
      <c r="Q22">
        <f t="shared" si="0"/>
        <v>15234.495436121826</v>
      </c>
      <c r="R22">
        <f t="shared" si="1"/>
        <v>-2.120263536200091</v>
      </c>
      <c r="S22" t="s">
        <v>66</v>
      </c>
      <c r="T22">
        <v>1</v>
      </c>
      <c r="U22" t="s">
        <v>67</v>
      </c>
      <c r="V22" t="s">
        <v>68</v>
      </c>
      <c r="W22">
        <v>0</v>
      </c>
      <c r="X22">
        <v>0</v>
      </c>
      <c r="Y22">
        <v>50</v>
      </c>
      <c r="Z22">
        <v>73</v>
      </c>
      <c r="AA22">
        <v>70</v>
      </c>
      <c r="AB22">
        <v>1500</v>
      </c>
      <c r="AC22">
        <v>1436</v>
      </c>
      <c r="AD22">
        <v>1436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8</v>
      </c>
      <c r="AM22">
        <v>0</v>
      </c>
      <c r="AN22">
        <v>0</v>
      </c>
      <c r="AO22" t="s">
        <v>59</v>
      </c>
      <c r="AP22">
        <v>1</v>
      </c>
      <c r="AQ22" t="s">
        <v>64</v>
      </c>
      <c r="AR22" t="s">
        <v>61</v>
      </c>
      <c r="AS22">
        <v>0</v>
      </c>
      <c r="AT22">
        <v>2</v>
      </c>
      <c r="AU22">
        <v>0</v>
      </c>
      <c r="AV22">
        <v>4900</v>
      </c>
      <c r="AW22">
        <v>100</v>
      </c>
      <c r="AX22" s="1">
        <v>44291</v>
      </c>
      <c r="AY22">
        <v>25900</v>
      </c>
      <c r="AZ22">
        <v>144190</v>
      </c>
      <c r="BA22">
        <v>170100</v>
      </c>
      <c r="BB22">
        <v>207500</v>
      </c>
      <c r="BC22">
        <v>636</v>
      </c>
      <c r="BD22" s="3">
        <f>Wapato_Sales[[#This Row],[land_extract]]*Lookups!$B$3</f>
        <v>1547.9222370807688</v>
      </c>
      <c r="BE22" s="3">
        <f>Lookups!$B$2</f>
        <v>107530.54</v>
      </c>
      <c r="BF22">
        <f>VLOOKUP(Wapato_Sales[[#This Row],[quality]],Lookups!$H$2:$J$11,3,FALSE)</f>
        <v>50405</v>
      </c>
      <c r="BG22">
        <f>VLOOKUP(Wapato_Sales[[#This Row],[condition]],Lookups!$H$17:$J$24,3,FALSE)</f>
        <v>52231</v>
      </c>
      <c r="BH22" s="3">
        <f>Wapato_Sales[[#This Row],[Age]]*Lookups!$B$16</f>
        <v>-27059.326100000002</v>
      </c>
      <c r="BI22" s="3">
        <f>Wapato_Sales[[#This Row],[Main Floor]]*Lookups!$B$17</f>
        <v>60025.861204000001</v>
      </c>
      <c r="BJ22" s="3">
        <f>Wapato_Sales[[#This Row],[Upper Floor]]*Lookups!$B$18</f>
        <v>0</v>
      </c>
      <c r="BK22" s="3">
        <f>Wapato_Sales[[#This Row],[Fin BSMT]]*Lookups!$B$19</f>
        <v>0</v>
      </c>
      <c r="BL22" s="3">
        <f>Wapato_Sales[[#This Row],[garage_sqft]]*Lookups!$B$20</f>
        <v>0</v>
      </c>
      <c r="BM22" s="3">
        <f>Wapato_Sales[[#This Row],[Patio]]*Lookups!$B$21</f>
        <v>0</v>
      </c>
      <c r="BN22" s="3">
        <f>Wapato_Sales[[#This Row],[detatched_value]]*Lookups!$B$22</f>
        <v>4607.2965400000003</v>
      </c>
      <c r="BO22" s="3">
        <f>Wapato_Sales[[#This Row],[days_prior]]*Lookups!$B$23</f>
        <v>-47599.817279999996</v>
      </c>
      <c r="BP22" s="3">
        <f>SUM(Wapato_Sales[[#This Row],[land_value]:[days_prior_value]])</f>
        <v>201688.47660108077</v>
      </c>
      <c r="BQ22" s="2">
        <f>Wapato_Sales[[#This Row],[predicted_total]]/Wapato_Sales[[#This Row],[sale_price]]</f>
        <v>0.97199265831846149</v>
      </c>
      <c r="BR22" s="3">
        <f>Wapato_Sales[[#This Row],[predicted_total]]-Wapato_Sales[[#This Row],[sale_price]]</f>
        <v>-5811.5233989192348</v>
      </c>
      <c r="BS22" s="3">
        <f>Wapato_Sales[[#This Row],[pred_var]]*Wapato_Sales[[#This Row],[pred_var]]</f>
        <v>33773804.216185778</v>
      </c>
      <c r="BT22" s="2">
        <f>VLOOKUP(Wapato_Sales[[#This Row],[quality]],Lookups!$A$28:$C$37,3,FALSE)</f>
        <v>0.97993206410140754</v>
      </c>
      <c r="BU22" s="2">
        <f>VLOOKUP(Wapato_Sales[[#This Row],[condition]],Lookups!$A$41:$C$48,3,FALSE)</f>
        <v>0.9832333997567807</v>
      </c>
      <c r="BV22" s="2">
        <f>VLOOKUP(Wapato_Sales[[#This Row],[decade]],Lookups!$F$28:$H$43,3,FALSE)</f>
        <v>1.0012715221492001</v>
      </c>
      <c r="BW22" s="2">
        <f>VLOOKUP(Wapato_Sales[[#This Row],[living_area_range]],Lookups!$K$28:$M$37,3,FALSE)</f>
        <v>1.0061411172456287</v>
      </c>
      <c r="BX22" s="2">
        <f>AVERAGE(Wapato_Sales[[#This Row],[qual_adj]:[size_adj]])</f>
        <v>0.99264452581325435</v>
      </c>
      <c r="BY22" s="3">
        <f>SUM(Wapato_Sales[[#This Row],[quality_value]:[days_prior_value]])+(Wapato_Sales[[#This Row],[intercept]]*0.5)-Wapato_Sales[[#This Row],[det_value]]</f>
        <v>141767.98782400001</v>
      </c>
      <c r="BZ22" s="3">
        <f>Wapato_Sales[[#This Row],[land_value]]+(0.5*Wapato_Sales[[#This Row],[intercept]])</f>
        <v>55313.192237080766</v>
      </c>
      <c r="CA22" s="3">
        <f>Wapato_Sales[[#This Row],[det_value]]</f>
        <v>4607.2965400000003</v>
      </c>
      <c r="CB22" s="3">
        <f>Wapato_Sales[[#This Row],[summed_res]]*Wapato_Sales[[#This Row],[overall_adj]]</f>
        <v>140725.2170490537</v>
      </c>
      <c r="CC22" s="3">
        <f>Wapato_Sales[[#This Row],[final_res]]+Wapato_Sales[[#This Row],[final_det]]+Wapato_Sales[[#This Row],[final_land]]</f>
        <v>200645.70582613448</v>
      </c>
      <c r="CD22" s="2">
        <f>Wapato_Sales[[#This Row],[final_total]]/Wapato_Sales[[#This Row],[sale_price]]</f>
        <v>0.96696725699341912</v>
      </c>
      <c r="CE22" s="3">
        <f>(Wapato_Sales[[#This Row],[final_total]]-Wapato_Sales[[#This Row],[sale_price]])^2</f>
        <v>46981348.62188682</v>
      </c>
      <c r="CF22" s="3">
        <f>(Wapato_Sales[[#This Row],[final_total]]-AVERAGE(Wapato_Sales[sale_price]))^2</f>
        <v>11452259.614398874</v>
      </c>
      <c r="CG22" s="3">
        <f>Wapato_Sales[[#This Row],[SSE]]+Wapato_Sales[[#This Row],[SSR]]</f>
        <v>58433608.236285694</v>
      </c>
      <c r="CH22" s="2">
        <f>ABS(Wapato_Sales[[#This Row],[final_ratio]]-MEDIAN(Wapato_Sales[final_ratio]))</f>
        <v>1.5009269199993902E-2</v>
      </c>
    </row>
    <row r="23" spans="1:86" x14ac:dyDescent="0.25">
      <c r="A23">
        <v>19111514574</v>
      </c>
      <c r="B23">
        <v>0.11</v>
      </c>
      <c r="C23">
        <v>4619</v>
      </c>
      <c r="D23">
        <v>0</v>
      </c>
      <c r="E23" t="s">
        <v>54</v>
      </c>
      <c r="F23" t="s">
        <v>54</v>
      </c>
      <c r="G23">
        <v>3</v>
      </c>
      <c r="H23" t="s">
        <v>55</v>
      </c>
      <c r="I23">
        <v>169400</v>
      </c>
      <c r="J23">
        <v>30200</v>
      </c>
      <c r="K23">
        <v>0.11</v>
      </c>
      <c r="L23">
        <v>0</v>
      </c>
      <c r="M23">
        <v>0</v>
      </c>
      <c r="N23">
        <v>0</v>
      </c>
      <c r="O23">
        <v>27904.037</v>
      </c>
      <c r="P23">
        <v>74398.407600000006</v>
      </c>
      <c r="Q23">
        <f t="shared" si="0"/>
        <v>12806.526753182254</v>
      </c>
      <c r="R23">
        <f t="shared" si="1"/>
        <v>-2.2072749131897207</v>
      </c>
      <c r="S23" t="s">
        <v>66</v>
      </c>
      <c r="T23">
        <v>1</v>
      </c>
      <c r="U23" t="s">
        <v>71</v>
      </c>
      <c r="V23" t="s">
        <v>68</v>
      </c>
      <c r="W23">
        <v>0</v>
      </c>
      <c r="X23">
        <v>0</v>
      </c>
      <c r="Y23">
        <v>50</v>
      </c>
      <c r="Z23">
        <v>98</v>
      </c>
      <c r="AA23">
        <v>100</v>
      </c>
      <c r="AB23">
        <v>1500</v>
      </c>
      <c r="AC23">
        <v>1104</v>
      </c>
      <c r="AD23">
        <v>1104</v>
      </c>
      <c r="AE23">
        <v>0</v>
      </c>
      <c r="AF23">
        <v>0</v>
      </c>
      <c r="AG23">
        <v>0</v>
      </c>
      <c r="AH23">
        <v>1092</v>
      </c>
      <c r="AI23">
        <v>0</v>
      </c>
      <c r="AJ23">
        <v>184</v>
      </c>
      <c r="AK23">
        <v>0</v>
      </c>
      <c r="AL23">
        <v>5</v>
      </c>
      <c r="AM23">
        <v>0</v>
      </c>
      <c r="AN23">
        <v>0</v>
      </c>
      <c r="AO23" t="s">
        <v>59</v>
      </c>
      <c r="AP23">
        <v>1</v>
      </c>
      <c r="AQ23" t="s">
        <v>72</v>
      </c>
      <c r="AR23" t="s">
        <v>61</v>
      </c>
      <c r="AS23">
        <v>0</v>
      </c>
      <c r="AT23">
        <v>3</v>
      </c>
      <c r="AU23">
        <v>0</v>
      </c>
      <c r="AV23">
        <v>0</v>
      </c>
      <c r="AW23">
        <v>100</v>
      </c>
      <c r="AX23" s="1">
        <v>44169</v>
      </c>
      <c r="AY23">
        <v>25200</v>
      </c>
      <c r="AZ23">
        <v>119694</v>
      </c>
      <c r="BA23">
        <v>144900</v>
      </c>
      <c r="BB23">
        <v>190000</v>
      </c>
      <c r="BC23">
        <v>758</v>
      </c>
      <c r="BD23" s="3">
        <f>Wapato_Sales[[#This Row],[land_extract]]*Lookups!$B$3</f>
        <v>1301.2250798945374</v>
      </c>
      <c r="BE23" s="3">
        <f>Lookups!$B$2</f>
        <v>107530.54</v>
      </c>
      <c r="BF23">
        <f>VLOOKUP(Wapato_Sales[[#This Row],[quality]],Lookups!$H$2:$J$11,3,FALSE)</f>
        <v>28034</v>
      </c>
      <c r="BG23">
        <f>VLOOKUP(Wapato_Sales[[#This Row],[condition]],Lookups!$H$17:$J$24,3,FALSE)</f>
        <v>52231</v>
      </c>
      <c r="BH23" s="3">
        <f>Wapato_Sales[[#This Row],[Age]]*Lookups!$B$16</f>
        <v>-36326.2186</v>
      </c>
      <c r="BI23" s="3">
        <f>Wapato_Sales[[#This Row],[Main Floor]]*Lookups!$B$17</f>
        <v>46148.015855999998</v>
      </c>
      <c r="BJ23" s="3">
        <f>Wapato_Sales[[#This Row],[Upper Floor]]*Lookups!$B$18</f>
        <v>0</v>
      </c>
      <c r="BK23" s="3">
        <f>Wapato_Sales[[#This Row],[Fin BSMT]]*Lookups!$B$19</f>
        <v>0</v>
      </c>
      <c r="BL23" s="3">
        <f>Wapato_Sales[[#This Row],[garage_sqft]]*Lookups!$B$20</f>
        <v>40413.557184000005</v>
      </c>
      <c r="BM23" s="3">
        <f>Wapato_Sales[[#This Row],[Patio]]*Lookups!$B$21</f>
        <v>0</v>
      </c>
      <c r="BN23" s="3">
        <f>Wapato_Sales[[#This Row],[detatched_value]]*Lookups!$B$22</f>
        <v>0</v>
      </c>
      <c r="BO23" s="3">
        <f>Wapato_Sales[[#This Row],[days_prior]]*Lookups!$B$23</f>
        <v>-56730.599839999995</v>
      </c>
      <c r="BP23" s="3">
        <f>SUM(Wapato_Sales[[#This Row],[land_value]:[days_prior_value]])</f>
        <v>182601.5196798945</v>
      </c>
      <c r="BQ23" s="2">
        <f>Wapato_Sales[[#This Row],[predicted_total]]/Wapato_Sales[[#This Row],[sale_price]]</f>
        <v>0.96106062989418151</v>
      </c>
      <c r="BR23" s="3">
        <f>Wapato_Sales[[#This Row],[predicted_total]]-Wapato_Sales[[#This Row],[sale_price]]</f>
        <v>-7398.4803201055038</v>
      </c>
      <c r="BS23" s="3">
        <f>Wapato_Sales[[#This Row],[pred_var]]*Wapato_Sales[[#This Row],[pred_var]]</f>
        <v>54737511.046988435</v>
      </c>
      <c r="BT23" s="2">
        <f>VLOOKUP(Wapato_Sales[[#This Row],[quality]],Lookups!$A$28:$C$37,3,FALSE)</f>
        <v>0.96265813922927435</v>
      </c>
      <c r="BU23" s="2">
        <f>VLOOKUP(Wapato_Sales[[#This Row],[condition]],Lookups!$A$41:$C$48,3,FALSE)</f>
        <v>0.9832333997567807</v>
      </c>
      <c r="BV23" s="2">
        <f>VLOOKUP(Wapato_Sales[[#This Row],[decade]],Lookups!$F$28:$H$43,3,FALSE)</f>
        <v>1.0114203040664467</v>
      </c>
      <c r="BW23" s="2">
        <f>VLOOKUP(Wapato_Sales[[#This Row],[living_area_range]],Lookups!$K$28:$M$37,3,FALSE)</f>
        <v>1.0061411172456287</v>
      </c>
      <c r="BX23" s="2">
        <f>AVERAGE(Wapato_Sales[[#This Row],[qual_adj]:[size_adj]])</f>
        <v>0.99086324007453253</v>
      </c>
      <c r="BY23" s="3">
        <f>SUM(Wapato_Sales[[#This Row],[quality_value]:[days_prior_value]])+(Wapato_Sales[[#This Row],[intercept]]*0.5)-Wapato_Sales[[#This Row],[det_value]]</f>
        <v>127535.0246</v>
      </c>
      <c r="BZ23" s="3">
        <f>Wapato_Sales[[#This Row],[land_value]]+(0.5*Wapato_Sales[[#This Row],[intercept]])</f>
        <v>55066.495079894536</v>
      </c>
      <c r="CA23" s="3">
        <f>Wapato_Sales[[#This Row],[det_value]]</f>
        <v>0</v>
      </c>
      <c r="CB23" s="3">
        <f>Wapato_Sales[[#This Row],[summed_res]]*Wapato_Sales[[#This Row],[overall_adj]]</f>
        <v>126369.76769814122</v>
      </c>
      <c r="CC23" s="3">
        <f>Wapato_Sales[[#This Row],[final_res]]+Wapato_Sales[[#This Row],[final_det]]+Wapato_Sales[[#This Row],[final_land]]</f>
        <v>181436.26277803577</v>
      </c>
      <c r="CD23" s="2">
        <f>Wapato_Sales[[#This Row],[final_total]]/Wapato_Sales[[#This Row],[sale_price]]</f>
        <v>0.9549276988317672</v>
      </c>
      <c r="CE23" s="3">
        <f>(Wapato_Sales[[#This Row],[final_total]]-Wapato_Sales[[#This Row],[sale_price]])^2</f>
        <v>73337595.20685558</v>
      </c>
      <c r="CF23" s="3">
        <f>(Wapato_Sales[[#This Row],[final_total]]-AVERAGE(Wapato_Sales[sale_price]))^2</f>
        <v>510469034.05885518</v>
      </c>
      <c r="CG23" s="3">
        <f>Wapato_Sales[[#This Row],[SSE]]+Wapato_Sales[[#This Row],[SSR]]</f>
        <v>583806629.26571071</v>
      </c>
      <c r="CH23" s="2">
        <f>ABS(Wapato_Sales[[#This Row],[final_ratio]]-MEDIAN(Wapato_Sales[final_ratio]))</f>
        <v>2.7048827361645822E-2</v>
      </c>
    </row>
    <row r="24" spans="1:86" x14ac:dyDescent="0.25">
      <c r="A24">
        <v>19111521432</v>
      </c>
      <c r="B24">
        <v>0.21</v>
      </c>
      <c r="C24">
        <v>9253</v>
      </c>
      <c r="D24">
        <v>0</v>
      </c>
      <c r="E24" t="s">
        <v>54</v>
      </c>
      <c r="F24" t="s">
        <v>54</v>
      </c>
      <c r="G24">
        <v>3</v>
      </c>
      <c r="H24" t="s">
        <v>55</v>
      </c>
      <c r="I24">
        <v>131400</v>
      </c>
      <c r="J24">
        <v>34300</v>
      </c>
      <c r="K24">
        <v>0.21</v>
      </c>
      <c r="L24">
        <v>0</v>
      </c>
      <c r="M24">
        <v>0</v>
      </c>
      <c r="N24">
        <v>0</v>
      </c>
      <c r="O24">
        <v>27904.037</v>
      </c>
      <c r="P24">
        <v>74398.407600000006</v>
      </c>
      <c r="Q24">
        <f t="shared" si="0"/>
        <v>30850.035088456018</v>
      </c>
      <c r="R24">
        <f t="shared" si="1"/>
        <v>-1.5606477482646683</v>
      </c>
      <c r="S24" t="s">
        <v>66</v>
      </c>
      <c r="T24">
        <v>1</v>
      </c>
      <c r="U24" t="s">
        <v>75</v>
      </c>
      <c r="V24" t="s">
        <v>68</v>
      </c>
      <c r="W24">
        <v>0</v>
      </c>
      <c r="X24">
        <v>0</v>
      </c>
      <c r="Y24">
        <v>50</v>
      </c>
      <c r="Z24">
        <v>73</v>
      </c>
      <c r="AA24">
        <v>70</v>
      </c>
      <c r="AB24">
        <v>1000</v>
      </c>
      <c r="AC24">
        <v>788</v>
      </c>
      <c r="AD24">
        <v>788</v>
      </c>
      <c r="AE24">
        <v>0</v>
      </c>
      <c r="AF24">
        <v>0</v>
      </c>
      <c r="AG24">
        <v>0</v>
      </c>
      <c r="AH24">
        <v>0</v>
      </c>
      <c r="AI24">
        <v>736</v>
      </c>
      <c r="AJ24">
        <v>0</v>
      </c>
      <c r="AK24">
        <v>352</v>
      </c>
      <c r="AL24">
        <v>7</v>
      </c>
      <c r="AM24">
        <v>0</v>
      </c>
      <c r="AN24">
        <v>0</v>
      </c>
      <c r="AO24" t="s">
        <v>59</v>
      </c>
      <c r="AP24">
        <v>0</v>
      </c>
      <c r="AQ24" t="s">
        <v>80</v>
      </c>
      <c r="AR24" t="s">
        <v>65</v>
      </c>
      <c r="AS24">
        <v>0</v>
      </c>
      <c r="AT24">
        <v>2</v>
      </c>
      <c r="AU24">
        <v>0</v>
      </c>
      <c r="AV24">
        <v>5300</v>
      </c>
      <c r="AW24">
        <v>100</v>
      </c>
      <c r="AX24" s="1">
        <v>44231</v>
      </c>
      <c r="AY24">
        <v>28700</v>
      </c>
      <c r="AZ24">
        <v>96407</v>
      </c>
      <c r="BA24">
        <v>125100</v>
      </c>
      <c r="BB24">
        <v>187000</v>
      </c>
      <c r="BC24">
        <v>696</v>
      </c>
      <c r="BD24" s="3">
        <f>Wapato_Sales[[#This Row],[land_extract]]*Lookups!$B$3</f>
        <v>3134.5610052116976</v>
      </c>
      <c r="BE24" s="3">
        <f>Lookups!$B$2</f>
        <v>107530.54</v>
      </c>
      <c r="BF24">
        <f>VLOOKUP(Wapato_Sales[[#This Row],[quality]],Lookups!$H$2:$J$11,3,FALSE)</f>
        <v>48043</v>
      </c>
      <c r="BG24">
        <f>VLOOKUP(Wapato_Sales[[#This Row],[condition]],Lookups!$H$17:$J$24,3,FALSE)</f>
        <v>52231</v>
      </c>
      <c r="BH24" s="3">
        <f>Wapato_Sales[[#This Row],[Age]]*Lookups!$B$16</f>
        <v>-27059.326100000002</v>
      </c>
      <c r="BI24" s="3">
        <f>Wapato_Sales[[#This Row],[Main Floor]]*Lookups!$B$17</f>
        <v>32938.982332</v>
      </c>
      <c r="BJ24" s="3">
        <f>Wapato_Sales[[#This Row],[Upper Floor]]*Lookups!$B$18</f>
        <v>0</v>
      </c>
      <c r="BK24" s="3">
        <f>Wapato_Sales[[#This Row],[Fin BSMT]]*Lookups!$B$19</f>
        <v>0</v>
      </c>
      <c r="BL24" s="3">
        <f>Wapato_Sales[[#This Row],[garage_sqft]]*Lookups!$B$20</f>
        <v>0</v>
      </c>
      <c r="BM24" s="3">
        <f>Wapato_Sales[[#This Row],[Patio]]*Lookups!$B$21</f>
        <v>15250.040608000001</v>
      </c>
      <c r="BN24" s="3">
        <f>Wapato_Sales[[#This Row],[detatched_value]]*Lookups!$B$22</f>
        <v>4983.4023800000004</v>
      </c>
      <c r="BO24" s="3">
        <f>Wapato_Sales[[#This Row],[days_prior]]*Lookups!$B$23</f>
        <v>-52090.36608</v>
      </c>
      <c r="BP24" s="3">
        <f>SUM(Wapato_Sales[[#This Row],[land_value]:[days_prior_value]])</f>
        <v>184961.8341452117</v>
      </c>
      <c r="BQ24" s="2">
        <f>Wapato_Sales[[#This Row],[predicted_total]]/Wapato_Sales[[#This Row],[sale_price]]</f>
        <v>0.98910071735407323</v>
      </c>
      <c r="BR24" s="3">
        <f>Wapato_Sales[[#This Row],[predicted_total]]-Wapato_Sales[[#This Row],[sale_price]]</f>
        <v>-2038.165854788298</v>
      </c>
      <c r="BS24" s="3">
        <f>Wapato_Sales[[#This Row],[pred_var]]*Wapato_Sales[[#This Row],[pred_var]]</f>
        <v>4154120.0516249137</v>
      </c>
      <c r="BT24" s="2">
        <f>VLOOKUP(Wapato_Sales[[#This Row],[quality]],Lookups!$A$28:$C$37,3,FALSE)</f>
        <v>0.98196844879778955</v>
      </c>
      <c r="BU24" s="2">
        <f>VLOOKUP(Wapato_Sales[[#This Row],[condition]],Lookups!$A$41:$C$48,3,FALSE)</f>
        <v>0.9832333997567807</v>
      </c>
      <c r="BV24" s="2">
        <f>VLOOKUP(Wapato_Sales[[#This Row],[decade]],Lookups!$F$28:$H$43,3,FALSE)</f>
        <v>1.0012715221492001</v>
      </c>
      <c r="BW24" s="2">
        <f>VLOOKUP(Wapato_Sales[[#This Row],[living_area_range]],Lookups!$K$28:$M$37,3,FALSE)</f>
        <v>0.99022994770196116</v>
      </c>
      <c r="BX24" s="2">
        <f>AVERAGE(Wapato_Sales[[#This Row],[qual_adj]:[size_adj]])</f>
        <v>0.98917582960143291</v>
      </c>
      <c r="BY24" s="3">
        <f>SUM(Wapato_Sales[[#This Row],[quality_value]:[days_prior_value]])+(Wapato_Sales[[#This Row],[intercept]]*0.5)-Wapato_Sales[[#This Row],[det_value]]</f>
        <v>123078.60075999999</v>
      </c>
      <c r="BZ24" s="3">
        <f>Wapato_Sales[[#This Row],[land_value]]+(0.5*Wapato_Sales[[#This Row],[intercept]])</f>
        <v>56899.831005211694</v>
      </c>
      <c r="CA24" s="3">
        <f>Wapato_Sales[[#This Row],[det_value]]</f>
        <v>4983.4023800000004</v>
      </c>
      <c r="CB24" s="3">
        <f>Wapato_Sales[[#This Row],[summed_res]]*Wapato_Sales[[#This Row],[overall_adj]]</f>
        <v>121746.37701295654</v>
      </c>
      <c r="CC24" s="3">
        <f>Wapato_Sales[[#This Row],[final_res]]+Wapato_Sales[[#This Row],[final_det]]+Wapato_Sales[[#This Row],[final_land]]</f>
        <v>183629.61039816824</v>
      </c>
      <c r="CD24" s="2">
        <f>Wapato_Sales[[#This Row],[final_total]]/Wapato_Sales[[#This Row],[sale_price]]</f>
        <v>0.98197652619341302</v>
      </c>
      <c r="CE24" s="3">
        <f>(Wapato_Sales[[#This Row],[final_total]]-Wapato_Sales[[#This Row],[sale_price]])^2</f>
        <v>11359526.068135656</v>
      </c>
      <c r="CF24" s="3">
        <f>(Wapato_Sales[[#This Row],[final_total]]-AVERAGE(Wapato_Sales[sale_price]))^2</f>
        <v>416168737.90586501</v>
      </c>
      <c r="CG24" s="3">
        <f>Wapato_Sales[[#This Row],[SSE]]+Wapato_Sales[[#This Row],[SSR]]</f>
        <v>427528263.97400069</v>
      </c>
      <c r="CH24" s="2">
        <f>ABS(Wapato_Sales[[#This Row],[final_ratio]]-MEDIAN(Wapato_Sales[final_ratio]))</f>
        <v>0</v>
      </c>
    </row>
    <row r="25" spans="1:86" x14ac:dyDescent="0.25">
      <c r="A25">
        <v>19111521407</v>
      </c>
      <c r="B25">
        <v>0.2</v>
      </c>
      <c r="C25">
        <v>8750</v>
      </c>
      <c r="D25">
        <v>0</v>
      </c>
      <c r="E25" t="s">
        <v>54</v>
      </c>
      <c r="F25" t="s">
        <v>54</v>
      </c>
      <c r="G25">
        <v>3</v>
      </c>
      <c r="H25" t="s">
        <v>55</v>
      </c>
      <c r="I25">
        <v>148800</v>
      </c>
      <c r="J25">
        <v>33900</v>
      </c>
      <c r="K25">
        <v>0.2</v>
      </c>
      <c r="L25">
        <v>0</v>
      </c>
      <c r="M25">
        <v>0</v>
      </c>
      <c r="N25">
        <v>0</v>
      </c>
      <c r="O25">
        <v>27904.037</v>
      </c>
      <c r="P25">
        <v>74398.407600000006</v>
      </c>
      <c r="Q25">
        <f t="shared" si="0"/>
        <v>29488.592542236111</v>
      </c>
      <c r="R25">
        <f t="shared" si="1"/>
        <v>-1.6094379124341003</v>
      </c>
      <c r="S25" t="s">
        <v>66</v>
      </c>
      <c r="T25">
        <v>1</v>
      </c>
      <c r="U25" t="s">
        <v>71</v>
      </c>
      <c r="V25" t="s">
        <v>69</v>
      </c>
      <c r="W25">
        <v>0</v>
      </c>
      <c r="X25">
        <v>0</v>
      </c>
      <c r="Y25">
        <v>50</v>
      </c>
      <c r="Z25">
        <v>73</v>
      </c>
      <c r="AA25">
        <v>70</v>
      </c>
      <c r="AB25">
        <v>1000</v>
      </c>
      <c r="AC25">
        <v>772</v>
      </c>
      <c r="AD25">
        <v>772</v>
      </c>
      <c r="AE25">
        <v>0</v>
      </c>
      <c r="AF25">
        <v>0</v>
      </c>
      <c r="AG25">
        <v>0</v>
      </c>
      <c r="AH25">
        <v>0</v>
      </c>
      <c r="AI25">
        <v>264</v>
      </c>
      <c r="AJ25">
        <v>0</v>
      </c>
      <c r="AK25">
        <v>216</v>
      </c>
      <c r="AL25">
        <v>5</v>
      </c>
      <c r="AM25">
        <v>0</v>
      </c>
      <c r="AN25">
        <v>1</v>
      </c>
      <c r="AO25" t="s">
        <v>59</v>
      </c>
      <c r="AP25">
        <v>1</v>
      </c>
      <c r="AQ25" t="s">
        <v>72</v>
      </c>
      <c r="AR25" t="s">
        <v>61</v>
      </c>
      <c r="AS25">
        <v>0</v>
      </c>
      <c r="AT25">
        <v>2</v>
      </c>
      <c r="AU25">
        <v>0</v>
      </c>
      <c r="AV25">
        <v>3200</v>
      </c>
      <c r="AW25">
        <v>100</v>
      </c>
      <c r="AX25" s="1">
        <v>43840</v>
      </c>
      <c r="AY25">
        <v>28400</v>
      </c>
      <c r="AZ25">
        <v>90538</v>
      </c>
      <c r="BA25">
        <v>118900</v>
      </c>
      <c r="BB25">
        <v>130000</v>
      </c>
      <c r="BC25">
        <v>1087</v>
      </c>
      <c r="BD25" s="3">
        <f>Wapato_Sales[[#This Row],[land_extract]]*Lookups!$B$3</f>
        <v>2996.2297292834592</v>
      </c>
      <c r="BE25" s="3">
        <f>Lookups!$B$2</f>
        <v>107530.54</v>
      </c>
      <c r="BF25">
        <f>VLOOKUP(Wapato_Sales[[#This Row],[quality]],Lookups!$H$2:$J$11,3,FALSE)</f>
        <v>28034</v>
      </c>
      <c r="BG25">
        <f>VLOOKUP(Wapato_Sales[[#This Row],[condition]],Lookups!$H$17:$J$24,3,FALSE)</f>
        <v>74543</v>
      </c>
      <c r="BH25" s="3">
        <f>Wapato_Sales[[#This Row],[Age]]*Lookups!$B$16</f>
        <v>-27059.326100000002</v>
      </c>
      <c r="BI25" s="3">
        <f>Wapato_Sales[[#This Row],[Main Floor]]*Lookups!$B$17</f>
        <v>32270.170507999999</v>
      </c>
      <c r="BJ25" s="3">
        <f>Wapato_Sales[[#This Row],[Upper Floor]]*Lookups!$B$18</f>
        <v>0</v>
      </c>
      <c r="BK25" s="3">
        <f>Wapato_Sales[[#This Row],[Fin BSMT]]*Lookups!$B$19</f>
        <v>0</v>
      </c>
      <c r="BL25" s="3">
        <f>Wapato_Sales[[#This Row],[garage_sqft]]*Lookups!$B$20</f>
        <v>0</v>
      </c>
      <c r="BM25" s="3">
        <f>Wapato_Sales[[#This Row],[Patio]]*Lookups!$B$21</f>
        <v>9357.979464</v>
      </c>
      <c r="BN25" s="3">
        <f>Wapato_Sales[[#This Row],[detatched_value]]*Lookups!$B$22</f>
        <v>3008.84672</v>
      </c>
      <c r="BO25" s="3">
        <f>Wapato_Sales[[#This Row],[days_prior]]*Lookups!$B$23</f>
        <v>-81353.77575999999</v>
      </c>
      <c r="BP25" s="3">
        <f>SUM(Wapato_Sales[[#This Row],[land_value]:[days_prior_value]])</f>
        <v>149327.66456128348</v>
      </c>
      <c r="BQ25" s="2">
        <f>Wapato_Sales[[#This Row],[predicted_total]]/Wapato_Sales[[#This Row],[sale_price]]</f>
        <v>1.1486743427791037</v>
      </c>
      <c r="BR25" s="3">
        <f>Wapato_Sales[[#This Row],[predicted_total]]-Wapato_Sales[[#This Row],[sale_price]]</f>
        <v>19327.664561283484</v>
      </c>
      <c r="BS25" s="3">
        <f>Wapato_Sales[[#This Row],[pred_var]]*Wapato_Sales[[#This Row],[pred_var]]</f>
        <v>373558617.39349347</v>
      </c>
      <c r="BT25" s="2">
        <f>VLOOKUP(Wapato_Sales[[#This Row],[quality]],Lookups!$A$28:$C$37,3,FALSE)</f>
        <v>0.96265813922927435</v>
      </c>
      <c r="BU25" s="2">
        <f>VLOOKUP(Wapato_Sales[[#This Row],[condition]],Lookups!$A$41:$C$48,3,FALSE)</f>
        <v>0.98442438223270734</v>
      </c>
      <c r="BV25" s="2">
        <f>VLOOKUP(Wapato_Sales[[#This Row],[decade]],Lookups!$F$28:$H$43,3,FALSE)</f>
        <v>1.0012715221492001</v>
      </c>
      <c r="BW25" s="2">
        <f>VLOOKUP(Wapato_Sales[[#This Row],[living_area_range]],Lookups!$K$28:$M$37,3,FALSE)</f>
        <v>0.99022994770196116</v>
      </c>
      <c r="BX25" s="2">
        <f>AVERAGE(Wapato_Sales[[#This Row],[qual_adj]:[size_adj]])</f>
        <v>0.98464599782828566</v>
      </c>
      <c r="BY25" s="3">
        <f>SUM(Wapato_Sales[[#This Row],[quality_value]:[days_prior_value]])+(Wapato_Sales[[#This Row],[intercept]]*0.5)-Wapato_Sales[[#This Row],[det_value]]</f>
        <v>89557.318112000008</v>
      </c>
      <c r="BZ25" s="3">
        <f>Wapato_Sales[[#This Row],[land_value]]+(0.5*Wapato_Sales[[#This Row],[intercept]])</f>
        <v>56761.49972928346</v>
      </c>
      <c r="CA25" s="3">
        <f>Wapato_Sales[[#This Row],[det_value]]</f>
        <v>3008.84672</v>
      </c>
      <c r="CB25" s="3">
        <f>Wapato_Sales[[#This Row],[summed_res]]*Wapato_Sales[[#This Row],[overall_adj]]</f>
        <v>88182.254855215448</v>
      </c>
      <c r="CC25" s="3">
        <f>Wapato_Sales[[#This Row],[final_res]]+Wapato_Sales[[#This Row],[final_det]]+Wapato_Sales[[#This Row],[final_land]]</f>
        <v>147952.60130449891</v>
      </c>
      <c r="CD25" s="2">
        <f>Wapato_Sales[[#This Row],[final_total]]/Wapato_Sales[[#This Row],[sale_price]]</f>
        <v>1.13809693311153</v>
      </c>
      <c r="CE25" s="3">
        <f>(Wapato_Sales[[#This Row],[final_total]]-Wapato_Sales[[#This Row],[sale_price]])^2</f>
        <v>322295893.59829593</v>
      </c>
      <c r="CF25" s="3">
        <f>(Wapato_Sales[[#This Row],[final_total]]-AVERAGE(Wapato_Sales[sale_price]))^2</f>
        <v>3144654968.2047224</v>
      </c>
      <c r="CG25" s="3">
        <f>Wapato_Sales[[#This Row],[SSE]]+Wapato_Sales[[#This Row],[SSR]]</f>
        <v>3466950861.8030186</v>
      </c>
      <c r="CH25" s="2">
        <f>ABS(Wapato_Sales[[#This Row],[final_ratio]]-MEDIAN(Wapato_Sales[final_ratio]))</f>
        <v>0.15612040691811702</v>
      </c>
    </row>
    <row r="26" spans="1:86" x14ac:dyDescent="0.25">
      <c r="A26">
        <v>19111514442</v>
      </c>
      <c r="B26">
        <v>0.12</v>
      </c>
      <c r="C26">
        <v>5407</v>
      </c>
      <c r="D26">
        <v>0</v>
      </c>
      <c r="E26" t="s">
        <v>54</v>
      </c>
      <c r="F26" t="s">
        <v>54</v>
      </c>
      <c r="G26">
        <v>3</v>
      </c>
      <c r="H26" t="s">
        <v>55</v>
      </c>
      <c r="I26">
        <v>166300</v>
      </c>
      <c r="J26">
        <v>30800</v>
      </c>
      <c r="K26">
        <v>0.12</v>
      </c>
      <c r="L26">
        <v>0</v>
      </c>
      <c r="M26">
        <v>0</v>
      </c>
      <c r="N26">
        <v>0</v>
      </c>
      <c r="O26">
        <v>27904.037</v>
      </c>
      <c r="P26">
        <v>74398.407600000006</v>
      </c>
      <c r="Q26">
        <f t="shared" si="0"/>
        <v>15234.495436121826</v>
      </c>
      <c r="R26">
        <f t="shared" si="1"/>
        <v>-2.120263536200091</v>
      </c>
      <c r="S26" t="s">
        <v>66</v>
      </c>
      <c r="T26">
        <v>1</v>
      </c>
      <c r="U26" t="s">
        <v>67</v>
      </c>
      <c r="V26" t="s">
        <v>68</v>
      </c>
      <c r="W26">
        <v>0</v>
      </c>
      <c r="X26">
        <v>0</v>
      </c>
      <c r="Y26">
        <v>51</v>
      </c>
      <c r="Z26">
        <v>83</v>
      </c>
      <c r="AA26">
        <v>80</v>
      </c>
      <c r="AB26">
        <v>2500</v>
      </c>
      <c r="AC26">
        <v>2089</v>
      </c>
      <c r="AD26">
        <v>1297</v>
      </c>
      <c r="AE26">
        <v>0</v>
      </c>
      <c r="AF26">
        <v>792</v>
      </c>
      <c r="AG26">
        <v>352</v>
      </c>
      <c r="AH26">
        <v>0</v>
      </c>
      <c r="AI26">
        <v>0</v>
      </c>
      <c r="AJ26">
        <v>0</v>
      </c>
      <c r="AK26">
        <v>0</v>
      </c>
      <c r="AL26">
        <v>7</v>
      </c>
      <c r="AM26">
        <v>0</v>
      </c>
      <c r="AN26">
        <v>0</v>
      </c>
      <c r="AO26" t="s">
        <v>59</v>
      </c>
      <c r="AP26">
        <v>1</v>
      </c>
      <c r="AQ26" t="s">
        <v>64</v>
      </c>
      <c r="AR26" t="s">
        <v>77</v>
      </c>
      <c r="AS26">
        <v>1</v>
      </c>
      <c r="AT26">
        <v>3</v>
      </c>
      <c r="AU26">
        <v>0</v>
      </c>
      <c r="AV26">
        <v>11000</v>
      </c>
      <c r="AW26">
        <v>100</v>
      </c>
      <c r="AX26" s="1">
        <v>44232</v>
      </c>
      <c r="AY26">
        <v>26000</v>
      </c>
      <c r="AZ26">
        <v>186489</v>
      </c>
      <c r="BA26">
        <v>212500</v>
      </c>
      <c r="BB26">
        <v>220000</v>
      </c>
      <c r="BC26">
        <v>695</v>
      </c>
      <c r="BD26" s="3">
        <f>Wapato_Sales[[#This Row],[land_extract]]*Lookups!$B$3</f>
        <v>1547.9222370807688</v>
      </c>
      <c r="BE26" s="3">
        <f>Lookups!$B$2</f>
        <v>107530.54</v>
      </c>
      <c r="BF26">
        <f>VLOOKUP(Wapato_Sales[[#This Row],[quality]],Lookups!$H$2:$J$11,3,FALSE)</f>
        <v>50405</v>
      </c>
      <c r="BG26">
        <f>VLOOKUP(Wapato_Sales[[#This Row],[condition]],Lookups!$H$17:$J$24,3,FALSE)</f>
        <v>52231</v>
      </c>
      <c r="BH26" s="3">
        <f>Wapato_Sales[[#This Row],[Age]]*Lookups!$B$16</f>
        <v>-30766.0831</v>
      </c>
      <c r="BI26" s="3">
        <f>Wapato_Sales[[#This Row],[Main Floor]]*Lookups!$B$17</f>
        <v>54215.558483000001</v>
      </c>
      <c r="BJ26" s="3">
        <f>Wapato_Sales[[#This Row],[Upper Floor]]*Lookups!$B$18</f>
        <v>0</v>
      </c>
      <c r="BK26" s="3">
        <f>Wapato_Sales[[#This Row],[Fin BSMT]]*Lookups!$B$19</f>
        <v>19298.45808</v>
      </c>
      <c r="BL26" s="3">
        <f>Wapato_Sales[[#This Row],[garage_sqft]]*Lookups!$B$20</f>
        <v>0</v>
      </c>
      <c r="BM26" s="3">
        <f>Wapato_Sales[[#This Row],[Patio]]*Lookups!$B$21</f>
        <v>0</v>
      </c>
      <c r="BN26" s="3">
        <f>Wapato_Sales[[#This Row],[detatched_value]]*Lookups!$B$22</f>
        <v>10342.910599999999</v>
      </c>
      <c r="BO26" s="3">
        <f>Wapato_Sales[[#This Row],[days_prior]]*Lookups!$B$23</f>
        <v>-52015.523599999993</v>
      </c>
      <c r="BP26" s="3">
        <f>SUM(Wapato_Sales[[#This Row],[land_value]:[days_prior_value]])</f>
        <v>212789.7827000808</v>
      </c>
      <c r="BQ26" s="2">
        <f>Wapato_Sales[[#This Row],[predicted_total]]/Wapato_Sales[[#This Row],[sale_price]]</f>
        <v>0.96722628500036734</v>
      </c>
      <c r="BR26" s="3">
        <f>Wapato_Sales[[#This Row],[predicted_total]]-Wapato_Sales[[#This Row],[sale_price]]</f>
        <v>-7210.2172999191971</v>
      </c>
      <c r="BS26" s="3">
        <f>Wapato_Sales[[#This Row],[pred_var]]*Wapato_Sales[[#This Row],[pred_var]]</f>
        <v>51987233.512054078</v>
      </c>
      <c r="BT26" s="2">
        <f>VLOOKUP(Wapato_Sales[[#This Row],[quality]],Lookups!$A$28:$C$37,3,FALSE)</f>
        <v>0.97993206410140754</v>
      </c>
      <c r="BU26" s="2">
        <f>VLOOKUP(Wapato_Sales[[#This Row],[condition]],Lookups!$A$41:$C$48,3,FALSE)</f>
        <v>0.9832333997567807</v>
      </c>
      <c r="BV26" s="2">
        <f>VLOOKUP(Wapato_Sales[[#This Row],[decade]],Lookups!$F$28:$H$43,3,FALSE)</f>
        <v>0.8438929209510081</v>
      </c>
      <c r="BW26" s="2">
        <f>VLOOKUP(Wapato_Sales[[#This Row],[living_area_range]],Lookups!$K$28:$M$37,3,FALSE)</f>
        <v>0.90813907160181651</v>
      </c>
      <c r="BX26" s="2">
        <f>AVERAGE(Wapato_Sales[[#This Row],[qual_adj]:[size_adj]])</f>
        <v>0.92879936410275321</v>
      </c>
      <c r="BY26" s="3">
        <f>SUM(Wapato_Sales[[#This Row],[quality_value]:[days_prior_value]])+(Wapato_Sales[[#This Row],[intercept]]*0.5)-Wapato_Sales[[#This Row],[det_value]]</f>
        <v>147133.679863</v>
      </c>
      <c r="BZ26" s="3">
        <f>Wapato_Sales[[#This Row],[land_value]]+(0.5*Wapato_Sales[[#This Row],[intercept]])</f>
        <v>55313.192237080766</v>
      </c>
      <c r="CA26" s="3">
        <f>Wapato_Sales[[#This Row],[det_value]]</f>
        <v>10342.910599999999</v>
      </c>
      <c r="CB26" s="3">
        <f>Wapato_Sales[[#This Row],[summed_res]]*Wapato_Sales[[#This Row],[overall_adj]]</f>
        <v>136657.66829485245</v>
      </c>
      <c r="CC26" s="3">
        <f>Wapato_Sales[[#This Row],[final_res]]+Wapato_Sales[[#This Row],[final_det]]+Wapato_Sales[[#This Row],[final_land]]</f>
        <v>202313.77113193323</v>
      </c>
      <c r="CD26" s="2">
        <f>Wapato_Sales[[#This Row],[final_total]]/Wapato_Sales[[#This Row],[sale_price]]</f>
        <v>0.91960805059969652</v>
      </c>
      <c r="CE26" s="3">
        <f>(Wapato_Sales[[#This Row],[final_total]]-Wapato_Sales[[#This Row],[sale_price]])^2</f>
        <v>312802691.57363838</v>
      </c>
      <c r="CF26" s="3">
        <f>(Wapato_Sales[[#This Row],[final_total]]-AVERAGE(Wapato_Sales[sale_price]))^2</f>
        <v>2944839.3727967129</v>
      </c>
      <c r="CG26" s="3">
        <f>Wapato_Sales[[#This Row],[SSE]]+Wapato_Sales[[#This Row],[SSR]]</f>
        <v>315747530.94643509</v>
      </c>
      <c r="CH26" s="2">
        <f>ABS(Wapato_Sales[[#This Row],[final_ratio]]-MEDIAN(Wapato_Sales[final_ratio]))</f>
        <v>6.2368475593716499E-2</v>
      </c>
    </row>
    <row r="27" spans="1:86" x14ac:dyDescent="0.25">
      <c r="A27">
        <v>19110944415</v>
      </c>
      <c r="B27">
        <v>0.66</v>
      </c>
      <c r="C27">
        <v>28564</v>
      </c>
      <c r="D27">
        <v>0</v>
      </c>
      <c r="E27" t="s">
        <v>54</v>
      </c>
      <c r="F27" t="s">
        <v>54</v>
      </c>
      <c r="G27">
        <v>3</v>
      </c>
      <c r="H27" t="s">
        <v>55</v>
      </c>
      <c r="I27">
        <v>141300</v>
      </c>
      <c r="J27">
        <v>42300</v>
      </c>
      <c r="K27">
        <v>0.66</v>
      </c>
      <c r="L27">
        <v>0</v>
      </c>
      <c r="M27">
        <v>0</v>
      </c>
      <c r="N27">
        <v>0</v>
      </c>
      <c r="O27">
        <v>27904.037</v>
      </c>
      <c r="P27">
        <v>74398.407600000006</v>
      </c>
      <c r="Q27">
        <f t="shared" si="0"/>
        <v>62803.849277622256</v>
      </c>
      <c r="R27">
        <f t="shared" si="1"/>
        <v>-0.41551544396166579</v>
      </c>
      <c r="S27" t="s">
        <v>66</v>
      </c>
      <c r="T27">
        <v>1</v>
      </c>
      <c r="U27" t="s">
        <v>67</v>
      </c>
      <c r="V27" t="s">
        <v>68</v>
      </c>
      <c r="W27">
        <v>0</v>
      </c>
      <c r="X27">
        <v>0</v>
      </c>
      <c r="Y27">
        <v>51</v>
      </c>
      <c r="Z27">
        <v>83</v>
      </c>
      <c r="AA27">
        <v>80</v>
      </c>
      <c r="AB27">
        <v>2000</v>
      </c>
      <c r="AC27">
        <v>1562</v>
      </c>
      <c r="AD27">
        <v>1562</v>
      </c>
      <c r="AE27">
        <v>0</v>
      </c>
      <c r="AF27">
        <v>0</v>
      </c>
      <c r="AG27">
        <v>0</v>
      </c>
      <c r="AH27">
        <v>518</v>
      </c>
      <c r="AI27">
        <v>176</v>
      </c>
      <c r="AJ27">
        <v>0</v>
      </c>
      <c r="AK27">
        <v>0</v>
      </c>
      <c r="AL27">
        <v>6</v>
      </c>
      <c r="AM27">
        <v>1</v>
      </c>
      <c r="AN27">
        <v>0</v>
      </c>
      <c r="AO27" t="s">
        <v>81</v>
      </c>
      <c r="AP27">
        <v>1</v>
      </c>
      <c r="AQ27" t="s">
        <v>76</v>
      </c>
      <c r="AR27" t="s">
        <v>61</v>
      </c>
      <c r="AS27">
        <v>0</v>
      </c>
      <c r="AT27">
        <v>3</v>
      </c>
      <c r="AU27">
        <v>0</v>
      </c>
      <c r="AV27">
        <v>0</v>
      </c>
      <c r="AW27">
        <v>100</v>
      </c>
      <c r="AX27" s="1">
        <v>44245</v>
      </c>
      <c r="AY27">
        <v>32100</v>
      </c>
      <c r="AZ27">
        <v>173371</v>
      </c>
      <c r="BA27">
        <v>205500</v>
      </c>
      <c r="BB27">
        <v>183000</v>
      </c>
      <c r="BC27">
        <v>682</v>
      </c>
      <c r="BD27" s="3">
        <f>Wapato_Sales[[#This Row],[land_extract]]*Lookups!$B$3</f>
        <v>6381.273031241798</v>
      </c>
      <c r="BE27" s="3">
        <f>Lookups!$B$2</f>
        <v>107530.54</v>
      </c>
      <c r="BF27">
        <f>VLOOKUP(Wapato_Sales[[#This Row],[quality]],Lookups!$H$2:$J$11,3,FALSE)</f>
        <v>50405</v>
      </c>
      <c r="BG27">
        <f>VLOOKUP(Wapato_Sales[[#This Row],[condition]],Lookups!$H$17:$J$24,3,FALSE)</f>
        <v>52231</v>
      </c>
      <c r="BH27" s="3">
        <f>Wapato_Sales[[#This Row],[Age]]*Lookups!$B$16</f>
        <v>-30766.0831</v>
      </c>
      <c r="BI27" s="3">
        <f>Wapato_Sales[[#This Row],[Main Floor]]*Lookups!$B$17</f>
        <v>65292.754317999999</v>
      </c>
      <c r="BJ27" s="3">
        <f>Wapato_Sales[[#This Row],[Upper Floor]]*Lookups!$B$18</f>
        <v>0</v>
      </c>
      <c r="BK27" s="3">
        <f>Wapato_Sales[[#This Row],[Fin BSMT]]*Lookups!$B$19</f>
        <v>0</v>
      </c>
      <c r="BL27" s="3">
        <f>Wapato_Sales[[#This Row],[garage_sqft]]*Lookups!$B$20</f>
        <v>19170.533535999999</v>
      </c>
      <c r="BM27" s="3">
        <f>Wapato_Sales[[#This Row],[Patio]]*Lookups!$B$21</f>
        <v>0</v>
      </c>
      <c r="BN27" s="3">
        <f>Wapato_Sales[[#This Row],[detatched_value]]*Lookups!$B$22</f>
        <v>0</v>
      </c>
      <c r="BO27" s="3">
        <f>Wapato_Sales[[#This Row],[days_prior]]*Lookups!$B$23</f>
        <v>-51042.571359999994</v>
      </c>
      <c r="BP27" s="3">
        <f>SUM(Wapato_Sales[[#This Row],[land_value]:[days_prior_value]])</f>
        <v>219202.44642524177</v>
      </c>
      <c r="BQ27" s="2">
        <f>Wapato_Sales[[#This Row],[predicted_total]]/Wapato_Sales[[#This Row],[sale_price]]</f>
        <v>1.1978275760942174</v>
      </c>
      <c r="BR27" s="3">
        <f>Wapato_Sales[[#This Row],[predicted_total]]-Wapato_Sales[[#This Row],[sale_price]]</f>
        <v>36202.446425241767</v>
      </c>
      <c r="BS27" s="3">
        <f>Wapato_Sales[[#This Row],[pred_var]]*Wapato_Sales[[#This Row],[pred_var]]</f>
        <v>1310617127.1725004</v>
      </c>
      <c r="BT27" s="2">
        <f>VLOOKUP(Wapato_Sales[[#This Row],[quality]],Lookups!$A$28:$C$37,3,FALSE)</f>
        <v>0.97993206410140754</v>
      </c>
      <c r="BU27" s="2">
        <f>VLOOKUP(Wapato_Sales[[#This Row],[condition]],Lookups!$A$41:$C$48,3,FALSE)</f>
        <v>0.9832333997567807</v>
      </c>
      <c r="BV27" s="2">
        <f>VLOOKUP(Wapato_Sales[[#This Row],[decade]],Lookups!$F$28:$H$43,3,FALSE)</f>
        <v>0.8438929209510081</v>
      </c>
      <c r="BW27" s="2">
        <f>VLOOKUP(Wapato_Sales[[#This Row],[living_area_range]],Lookups!$K$28:$M$37,3,FALSE)</f>
        <v>0.99330894324714125</v>
      </c>
      <c r="BX27" s="2">
        <f>AVERAGE(Wapato_Sales[[#This Row],[qual_adj]:[size_adj]])</f>
        <v>0.95009183201408443</v>
      </c>
      <c r="BY27" s="3">
        <f>SUM(Wapato_Sales[[#This Row],[quality_value]:[days_prior_value]])+(Wapato_Sales[[#This Row],[intercept]]*0.5)-Wapato_Sales[[#This Row],[det_value]]</f>
        <v>159055.90339399999</v>
      </c>
      <c r="BZ27" s="3">
        <f>Wapato_Sales[[#This Row],[land_value]]+(0.5*Wapato_Sales[[#This Row],[intercept]])</f>
        <v>60146.543031241796</v>
      </c>
      <c r="CA27" s="3">
        <f>Wapato_Sales[[#This Row],[det_value]]</f>
        <v>0</v>
      </c>
      <c r="CB27" s="3">
        <f>Wapato_Sales[[#This Row],[summed_res]]*Wapato_Sales[[#This Row],[overall_adj]]</f>
        <v>151117.71464826068</v>
      </c>
      <c r="CC27" s="3">
        <f>Wapato_Sales[[#This Row],[final_res]]+Wapato_Sales[[#This Row],[final_det]]+Wapato_Sales[[#This Row],[final_land]]</f>
        <v>211264.25767950248</v>
      </c>
      <c r="CD27" s="2">
        <f>Wapato_Sales[[#This Row],[final_total]]/Wapato_Sales[[#This Row],[sale_price]]</f>
        <v>1.1544494955164071</v>
      </c>
      <c r="CE27" s="3">
        <f>(Wapato_Sales[[#This Row],[final_total]]-Wapato_Sales[[#This Row],[sale_price]])^2</f>
        <v>798868262.17331493</v>
      </c>
      <c r="CF27" s="3">
        <f>(Wapato_Sales[[#This Row],[final_total]]-AVERAGE(Wapato_Sales[sale_price]))^2</f>
        <v>52337022.540247165</v>
      </c>
      <c r="CG27" s="3">
        <f>Wapato_Sales[[#This Row],[SSE]]+Wapato_Sales[[#This Row],[SSR]]</f>
        <v>851205284.71356213</v>
      </c>
      <c r="CH27" s="2">
        <f>ABS(Wapato_Sales[[#This Row],[final_ratio]]-MEDIAN(Wapato_Sales[final_ratio]))</f>
        <v>0.17247296932299405</v>
      </c>
    </row>
    <row r="28" spans="1:86" x14ac:dyDescent="0.25">
      <c r="A28">
        <v>19111512014</v>
      </c>
      <c r="B28">
        <v>0.14000000000000001</v>
      </c>
      <c r="C28">
        <v>6248</v>
      </c>
      <c r="D28">
        <v>0</v>
      </c>
      <c r="E28" t="s">
        <v>54</v>
      </c>
      <c r="F28" t="s">
        <v>54</v>
      </c>
      <c r="G28">
        <v>3</v>
      </c>
      <c r="H28" t="s">
        <v>55</v>
      </c>
      <c r="I28">
        <v>97300</v>
      </c>
      <c r="J28">
        <v>31900</v>
      </c>
      <c r="K28">
        <v>0.14000000000000001</v>
      </c>
      <c r="L28">
        <v>0</v>
      </c>
      <c r="M28">
        <v>0</v>
      </c>
      <c r="N28">
        <v>0</v>
      </c>
      <c r="O28">
        <v>27904.037</v>
      </c>
      <c r="P28">
        <v>74398.407600000006</v>
      </c>
      <c r="Q28">
        <f t="shared" si="0"/>
        <v>19535.921709596798</v>
      </c>
      <c r="R28">
        <f t="shared" si="1"/>
        <v>-1.9661128563728327</v>
      </c>
      <c r="S28" t="s">
        <v>66</v>
      </c>
      <c r="T28">
        <v>1</v>
      </c>
      <c r="U28" t="s">
        <v>71</v>
      </c>
      <c r="V28" t="s">
        <v>68</v>
      </c>
      <c r="W28">
        <v>0</v>
      </c>
      <c r="X28">
        <v>0</v>
      </c>
      <c r="Y28">
        <v>51</v>
      </c>
      <c r="Z28">
        <v>78</v>
      </c>
      <c r="AA28">
        <v>80</v>
      </c>
      <c r="AB28">
        <v>1000</v>
      </c>
      <c r="AC28">
        <v>720</v>
      </c>
      <c r="AD28">
        <v>720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5</v>
      </c>
      <c r="AM28">
        <v>0</v>
      </c>
      <c r="AN28">
        <v>0</v>
      </c>
      <c r="AO28" t="s">
        <v>59</v>
      </c>
      <c r="AP28">
        <v>1</v>
      </c>
      <c r="AQ28" t="s">
        <v>64</v>
      </c>
      <c r="AR28" t="s">
        <v>65</v>
      </c>
      <c r="AS28">
        <v>0</v>
      </c>
      <c r="AT28">
        <v>3</v>
      </c>
      <c r="AU28">
        <v>0</v>
      </c>
      <c r="AV28">
        <v>0</v>
      </c>
      <c r="AW28">
        <v>100</v>
      </c>
      <c r="AX28" s="1">
        <v>44354</v>
      </c>
      <c r="AY28">
        <v>26900</v>
      </c>
      <c r="AZ28">
        <v>66052</v>
      </c>
      <c r="BA28">
        <v>93000</v>
      </c>
      <c r="BB28">
        <v>150000</v>
      </c>
      <c r="BC28">
        <v>573</v>
      </c>
      <c r="BD28" s="3">
        <f>Wapato_Sales[[#This Row],[land_extract]]*Lookups!$B$3</f>
        <v>1984.9746755939761</v>
      </c>
      <c r="BE28" s="3">
        <f>Lookups!$B$2</f>
        <v>107530.54</v>
      </c>
      <c r="BF28">
        <f>VLOOKUP(Wapato_Sales[[#This Row],[quality]],Lookups!$H$2:$J$11,3,FALSE)</f>
        <v>28034</v>
      </c>
      <c r="BG28">
        <f>VLOOKUP(Wapato_Sales[[#This Row],[condition]],Lookups!$H$17:$J$24,3,FALSE)</f>
        <v>52231</v>
      </c>
      <c r="BH28" s="3">
        <f>Wapato_Sales[[#This Row],[Age]]*Lookups!$B$16</f>
        <v>-28912.704600000001</v>
      </c>
      <c r="BI28" s="3">
        <f>Wapato_Sales[[#This Row],[Main Floor]]*Lookups!$B$17</f>
        <v>30096.532080000001</v>
      </c>
      <c r="BJ28" s="3">
        <f>Wapato_Sales[[#This Row],[Upper Floor]]*Lookups!$B$18</f>
        <v>0</v>
      </c>
      <c r="BK28" s="3">
        <f>Wapato_Sales[[#This Row],[Fin BSMT]]*Lookups!$B$19</f>
        <v>0</v>
      </c>
      <c r="BL28" s="3">
        <f>Wapato_Sales[[#This Row],[garage_sqft]]*Lookups!$B$20</f>
        <v>0</v>
      </c>
      <c r="BM28" s="3">
        <f>Wapato_Sales[[#This Row],[Patio]]*Lookups!$B$21</f>
        <v>0</v>
      </c>
      <c r="BN28" s="3">
        <f>Wapato_Sales[[#This Row],[detatched_value]]*Lookups!$B$22</f>
        <v>0</v>
      </c>
      <c r="BO28" s="3">
        <f>Wapato_Sales[[#This Row],[days_prior]]*Lookups!$B$23</f>
        <v>-42884.741039999994</v>
      </c>
      <c r="BP28" s="3">
        <f>SUM(Wapato_Sales[[#This Row],[land_value]:[days_prior_value]])</f>
        <v>148079.60111559398</v>
      </c>
      <c r="BQ28" s="2">
        <f>Wapato_Sales[[#This Row],[predicted_total]]/Wapato_Sales[[#This Row],[sale_price]]</f>
        <v>0.98719734077062649</v>
      </c>
      <c r="BR28" s="3">
        <f>Wapato_Sales[[#This Row],[predicted_total]]-Wapato_Sales[[#This Row],[sale_price]]</f>
        <v>-1920.3988844060223</v>
      </c>
      <c r="BS28" s="3">
        <f>Wapato_Sales[[#This Row],[pred_var]]*Wapato_Sales[[#This Row],[pred_var]]</f>
        <v>3687931.8752278946</v>
      </c>
      <c r="BT28" s="2">
        <f>VLOOKUP(Wapato_Sales[[#This Row],[quality]],Lookups!$A$28:$C$37,3,FALSE)</f>
        <v>0.96265813922927435</v>
      </c>
      <c r="BU28" s="2">
        <f>VLOOKUP(Wapato_Sales[[#This Row],[condition]],Lookups!$A$41:$C$48,3,FALSE)</f>
        <v>0.9832333997567807</v>
      </c>
      <c r="BV28" s="2">
        <f>VLOOKUP(Wapato_Sales[[#This Row],[decade]],Lookups!$F$28:$H$43,3,FALSE)</f>
        <v>0.8438929209510081</v>
      </c>
      <c r="BW28" s="2">
        <f>VLOOKUP(Wapato_Sales[[#This Row],[living_area_range]],Lookups!$K$28:$M$37,3,FALSE)</f>
        <v>0.99022994770196116</v>
      </c>
      <c r="BX28" s="2">
        <f>AVERAGE(Wapato_Sales[[#This Row],[qual_adj]:[size_adj]])</f>
        <v>0.94500360190975607</v>
      </c>
      <c r="BY28" s="3">
        <f>SUM(Wapato_Sales[[#This Row],[quality_value]:[days_prior_value]])+(Wapato_Sales[[#This Row],[intercept]]*0.5)-Wapato_Sales[[#This Row],[det_value]]</f>
        <v>92329.356440000003</v>
      </c>
      <c r="BZ28" s="3">
        <f>Wapato_Sales[[#This Row],[land_value]]+(0.5*Wapato_Sales[[#This Row],[intercept]])</f>
        <v>55750.244675593975</v>
      </c>
      <c r="CA28" s="3">
        <f>Wapato_Sales[[#This Row],[det_value]]</f>
        <v>0</v>
      </c>
      <c r="CB28" s="3">
        <f>Wapato_Sales[[#This Row],[summed_res]]*Wapato_Sales[[#This Row],[overall_adj]]</f>
        <v>87251.574397809731</v>
      </c>
      <c r="CC28" s="3">
        <f>Wapato_Sales[[#This Row],[final_res]]+Wapato_Sales[[#This Row],[final_det]]+Wapato_Sales[[#This Row],[final_land]]</f>
        <v>143001.81907340372</v>
      </c>
      <c r="CD28" s="2">
        <f>Wapato_Sales[[#This Row],[final_total]]/Wapato_Sales[[#This Row],[sale_price]]</f>
        <v>0.95334546048935809</v>
      </c>
      <c r="CE28" s="3">
        <f>(Wapato_Sales[[#This Row],[final_total]]-Wapato_Sales[[#This Row],[sale_price]])^2</f>
        <v>48974536.281375974</v>
      </c>
      <c r="CF28" s="3">
        <f>(Wapato_Sales[[#This Row],[final_total]]-AVERAGE(Wapato_Sales[sale_price]))^2</f>
        <v>3724417453.8433328</v>
      </c>
      <c r="CG28" s="3">
        <f>Wapato_Sales[[#This Row],[SSE]]+Wapato_Sales[[#This Row],[SSR]]</f>
        <v>3773391990.1247087</v>
      </c>
      <c r="CH28" s="2">
        <f>ABS(Wapato_Sales[[#This Row],[final_ratio]]-MEDIAN(Wapato_Sales[final_ratio]))</f>
        <v>2.8631065704054937E-2</v>
      </c>
    </row>
    <row r="29" spans="1:86" x14ac:dyDescent="0.25">
      <c r="A29">
        <v>19111041469</v>
      </c>
      <c r="B29">
        <v>0.14000000000000001</v>
      </c>
      <c r="C29">
        <v>6250</v>
      </c>
      <c r="D29">
        <v>0</v>
      </c>
      <c r="E29" t="s">
        <v>54</v>
      </c>
      <c r="F29" t="s">
        <v>54</v>
      </c>
      <c r="G29">
        <v>3</v>
      </c>
      <c r="H29" t="s">
        <v>55</v>
      </c>
      <c r="I29">
        <v>45400</v>
      </c>
      <c r="J29">
        <v>31900</v>
      </c>
      <c r="K29">
        <v>0.14000000000000001</v>
      </c>
      <c r="L29">
        <v>0</v>
      </c>
      <c r="M29">
        <v>0</v>
      </c>
      <c r="N29">
        <v>0</v>
      </c>
      <c r="O29">
        <v>27904.037</v>
      </c>
      <c r="P29">
        <v>74398.407600000006</v>
      </c>
      <c r="Q29">
        <f t="shared" si="0"/>
        <v>19535.921709596798</v>
      </c>
      <c r="R29">
        <f t="shared" si="1"/>
        <v>-1.9661128563728327</v>
      </c>
      <c r="S29" t="s">
        <v>66</v>
      </c>
      <c r="T29">
        <v>1</v>
      </c>
      <c r="U29" t="s">
        <v>71</v>
      </c>
      <c r="V29" t="s">
        <v>73</v>
      </c>
      <c r="W29">
        <v>0</v>
      </c>
      <c r="X29">
        <v>0</v>
      </c>
      <c r="Y29">
        <v>51</v>
      </c>
      <c r="Z29">
        <v>83</v>
      </c>
      <c r="AA29">
        <v>80</v>
      </c>
      <c r="AB29">
        <v>500</v>
      </c>
      <c r="AC29">
        <v>420</v>
      </c>
      <c r="AD29">
        <v>420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5</v>
      </c>
      <c r="AM29">
        <v>0</v>
      </c>
      <c r="AN29">
        <v>0</v>
      </c>
      <c r="AO29" t="s">
        <v>82</v>
      </c>
      <c r="AP29">
        <v>1</v>
      </c>
      <c r="AQ29" t="s">
        <v>76</v>
      </c>
      <c r="AR29" t="s">
        <v>61</v>
      </c>
      <c r="AS29">
        <v>0</v>
      </c>
      <c r="AT29">
        <v>1</v>
      </c>
      <c r="AU29">
        <v>0</v>
      </c>
      <c r="AV29">
        <v>0</v>
      </c>
      <c r="AW29">
        <v>100</v>
      </c>
      <c r="AX29" s="1">
        <v>44321</v>
      </c>
      <c r="AY29">
        <v>26900</v>
      </c>
      <c r="AZ29">
        <v>33618</v>
      </c>
      <c r="BA29">
        <v>60500</v>
      </c>
      <c r="BB29">
        <v>60000</v>
      </c>
      <c r="BC29">
        <v>606</v>
      </c>
      <c r="BD29" s="3">
        <f>Wapato_Sales[[#This Row],[land_extract]]*Lookups!$B$3</f>
        <v>1984.9746755939761</v>
      </c>
      <c r="BE29" s="3">
        <f>Lookups!$B$2</f>
        <v>107530.54</v>
      </c>
      <c r="BF29">
        <f>VLOOKUP(Wapato_Sales[[#This Row],[quality]],Lookups!$H$2:$J$11,3,FALSE)</f>
        <v>28034</v>
      </c>
      <c r="BG29">
        <f>VLOOKUP(Wapato_Sales[[#This Row],[condition]],Lookups!$H$17:$J$24,3,FALSE)</f>
        <v>16276</v>
      </c>
      <c r="BH29" s="3">
        <f>Wapato_Sales[[#This Row],[Age]]*Lookups!$B$16</f>
        <v>-30766.0831</v>
      </c>
      <c r="BI29" s="3">
        <f>Wapato_Sales[[#This Row],[Main Floor]]*Lookups!$B$17</f>
        <v>17556.310379999999</v>
      </c>
      <c r="BJ29" s="3">
        <f>Wapato_Sales[[#This Row],[Upper Floor]]*Lookups!$B$18</f>
        <v>0</v>
      </c>
      <c r="BK29" s="3">
        <f>Wapato_Sales[[#This Row],[Fin BSMT]]*Lookups!$B$19</f>
        <v>0</v>
      </c>
      <c r="BL29" s="3">
        <f>Wapato_Sales[[#This Row],[garage_sqft]]*Lookups!$B$20</f>
        <v>0</v>
      </c>
      <c r="BM29" s="3">
        <f>Wapato_Sales[[#This Row],[Patio]]*Lookups!$B$21</f>
        <v>0</v>
      </c>
      <c r="BN29" s="3">
        <f>Wapato_Sales[[#This Row],[detatched_value]]*Lookups!$B$22</f>
        <v>0</v>
      </c>
      <c r="BO29" s="3">
        <f>Wapato_Sales[[#This Row],[days_prior]]*Lookups!$B$23</f>
        <v>-45354.542879999994</v>
      </c>
      <c r="BP29" s="3">
        <f>SUM(Wapato_Sales[[#This Row],[land_value]:[days_prior_value]])</f>
        <v>95261.199075593962</v>
      </c>
      <c r="BQ29" s="2">
        <f>Wapato_Sales[[#This Row],[predicted_total]]/Wapato_Sales[[#This Row],[sale_price]]</f>
        <v>1.5876866512598993</v>
      </c>
      <c r="BR29" s="3">
        <f>Wapato_Sales[[#This Row],[predicted_total]]-Wapato_Sales[[#This Row],[sale_price]]</f>
        <v>35261.199075593962</v>
      </c>
      <c r="BS29" s="3">
        <f>Wapato_Sales[[#This Row],[pred_var]]*Wapato_Sales[[#This Row],[pred_var]]</f>
        <v>1243352160.2486684</v>
      </c>
      <c r="BT29" s="2">
        <f>VLOOKUP(Wapato_Sales[[#This Row],[quality]],Lookups!$A$28:$C$37,3,FALSE)</f>
        <v>0.96265813922927435</v>
      </c>
      <c r="BU29" s="2">
        <f>VLOOKUP(Wapato_Sales[[#This Row],[condition]],Lookups!$A$41:$C$48,3,FALSE)</f>
        <v>0.93399385491337139</v>
      </c>
      <c r="BV29" s="2">
        <f>VLOOKUP(Wapato_Sales[[#This Row],[decade]],Lookups!$F$28:$H$43,3,FALSE)</f>
        <v>0.8438929209510081</v>
      </c>
      <c r="BW29" s="2">
        <f>VLOOKUP(Wapato_Sales[[#This Row],[living_area_range]],Lookups!$K$28:$M$37,3,FALSE)</f>
        <v>0.62984720518148585</v>
      </c>
      <c r="BX29" s="2">
        <f>AVERAGE(Wapato_Sales[[#This Row],[qual_adj]:[size_adj]])</f>
        <v>0.84259803006878498</v>
      </c>
      <c r="BY29" s="3">
        <f>SUM(Wapato_Sales[[#This Row],[quality_value]:[days_prior_value]])+(Wapato_Sales[[#This Row],[intercept]]*0.5)-Wapato_Sales[[#This Row],[det_value]]</f>
        <v>39510.954400000002</v>
      </c>
      <c r="BZ29" s="3">
        <f>Wapato_Sales[[#This Row],[land_value]]+(0.5*Wapato_Sales[[#This Row],[intercept]])</f>
        <v>55750.244675593975</v>
      </c>
      <c r="CA29" s="3">
        <f>Wapato_Sales[[#This Row],[det_value]]</f>
        <v>0</v>
      </c>
      <c r="CB29" s="3">
        <f>Wapato_Sales[[#This Row],[summed_res]]*Wapato_Sales[[#This Row],[overall_adj]]</f>
        <v>33291.852343577593</v>
      </c>
      <c r="CC29" s="3">
        <f>Wapato_Sales[[#This Row],[final_res]]+Wapato_Sales[[#This Row],[final_det]]+Wapato_Sales[[#This Row],[final_land]]</f>
        <v>89042.097019171575</v>
      </c>
      <c r="CD29" s="2">
        <f>Wapato_Sales[[#This Row],[final_total]]/Wapato_Sales[[#This Row],[sale_price]]</f>
        <v>1.4840349503195263</v>
      </c>
      <c r="CE29" s="3">
        <f>(Wapato_Sales[[#This Row],[final_total]]-Wapato_Sales[[#This Row],[sale_price]])^2</f>
        <v>843443399.27097452</v>
      </c>
      <c r="CF29" s="3">
        <f>(Wapato_Sales[[#This Row],[final_total]]-AVERAGE(Wapato_Sales[sale_price]))^2</f>
        <v>13222177485.326565</v>
      </c>
      <c r="CG29" s="3">
        <f>Wapato_Sales[[#This Row],[SSE]]+Wapato_Sales[[#This Row],[SSR]]</f>
        <v>14065620884.59754</v>
      </c>
      <c r="CH29" s="2">
        <f>ABS(Wapato_Sales[[#This Row],[final_ratio]]-MEDIAN(Wapato_Sales[final_ratio]))</f>
        <v>0.50205842412611323</v>
      </c>
    </row>
    <row r="30" spans="1:86" x14ac:dyDescent="0.25">
      <c r="A30">
        <v>19111513533</v>
      </c>
      <c r="B30">
        <v>0.26</v>
      </c>
      <c r="C30">
        <v>11231</v>
      </c>
      <c r="D30">
        <v>0</v>
      </c>
      <c r="E30" t="s">
        <v>54</v>
      </c>
      <c r="F30" t="s">
        <v>54</v>
      </c>
      <c r="G30">
        <v>3</v>
      </c>
      <c r="H30" t="s">
        <v>55</v>
      </c>
      <c r="I30">
        <v>160600</v>
      </c>
      <c r="J30">
        <v>36300</v>
      </c>
      <c r="K30">
        <v>0.26</v>
      </c>
      <c r="L30">
        <v>0</v>
      </c>
      <c r="M30">
        <v>0</v>
      </c>
      <c r="N30">
        <v>0</v>
      </c>
      <c r="O30">
        <v>27904.037</v>
      </c>
      <c r="P30">
        <v>74398.407600000006</v>
      </c>
      <c r="Q30">
        <f t="shared" si="0"/>
        <v>36809.614685414766</v>
      </c>
      <c r="R30">
        <f t="shared" si="1"/>
        <v>-1.3470736479666092</v>
      </c>
      <c r="S30" t="s">
        <v>56</v>
      </c>
      <c r="T30">
        <v>2</v>
      </c>
      <c r="U30" t="s">
        <v>75</v>
      </c>
      <c r="V30" t="s">
        <v>68</v>
      </c>
      <c r="W30">
        <v>0</v>
      </c>
      <c r="X30">
        <v>0</v>
      </c>
      <c r="Y30">
        <v>52</v>
      </c>
      <c r="Z30">
        <v>88</v>
      </c>
      <c r="AA30">
        <v>90</v>
      </c>
      <c r="AB30">
        <v>1500</v>
      </c>
      <c r="AC30">
        <v>1463</v>
      </c>
      <c r="AD30">
        <v>915</v>
      </c>
      <c r="AE30">
        <v>330</v>
      </c>
      <c r="AF30">
        <v>218</v>
      </c>
      <c r="AG30">
        <v>442</v>
      </c>
      <c r="AH30">
        <v>0</v>
      </c>
      <c r="AI30">
        <v>304</v>
      </c>
      <c r="AJ30">
        <v>0</v>
      </c>
      <c r="AK30">
        <v>0</v>
      </c>
      <c r="AL30">
        <v>8</v>
      </c>
      <c r="AM30">
        <v>0</v>
      </c>
      <c r="AN30">
        <v>0</v>
      </c>
      <c r="AO30" t="s">
        <v>59</v>
      </c>
      <c r="AP30">
        <v>1</v>
      </c>
      <c r="AQ30" t="s">
        <v>64</v>
      </c>
      <c r="AR30" t="s">
        <v>61</v>
      </c>
      <c r="AS30">
        <v>0</v>
      </c>
      <c r="AT30">
        <v>3</v>
      </c>
      <c r="AU30">
        <v>0</v>
      </c>
      <c r="AV30">
        <v>0</v>
      </c>
      <c r="AW30">
        <v>100</v>
      </c>
      <c r="AX30" s="1">
        <v>43993</v>
      </c>
      <c r="AY30">
        <v>30800</v>
      </c>
      <c r="AZ30">
        <v>133034</v>
      </c>
      <c r="BA30">
        <v>163800</v>
      </c>
      <c r="BB30">
        <v>190000</v>
      </c>
      <c r="BC30">
        <v>934</v>
      </c>
      <c r="BD30" s="3">
        <f>Wapato_Sales[[#This Row],[land_extract]]*Lookups!$B$3</f>
        <v>3740.092433572127</v>
      </c>
      <c r="BE30" s="3">
        <f>Lookups!$B$2</f>
        <v>107530.54</v>
      </c>
      <c r="BF30">
        <f>VLOOKUP(Wapato_Sales[[#This Row],[quality]],Lookups!$H$2:$J$11,3,FALSE)</f>
        <v>48043</v>
      </c>
      <c r="BG30">
        <f>VLOOKUP(Wapato_Sales[[#This Row],[condition]],Lookups!$H$17:$J$24,3,FALSE)</f>
        <v>52231</v>
      </c>
      <c r="BH30" s="3">
        <f>Wapato_Sales[[#This Row],[Age]]*Lookups!$B$16</f>
        <v>-32619.461600000002</v>
      </c>
      <c r="BI30" s="3">
        <f>Wapato_Sales[[#This Row],[Main Floor]]*Lookups!$B$17</f>
        <v>38247.676184999997</v>
      </c>
      <c r="BJ30" s="3">
        <f>Wapato_Sales[[#This Row],[Upper Floor]]*Lookups!$B$18</f>
        <v>16368.375870000002</v>
      </c>
      <c r="BK30" s="3">
        <f>Wapato_Sales[[#This Row],[Fin BSMT]]*Lookups!$B$19</f>
        <v>5311.9493199999997</v>
      </c>
      <c r="BL30" s="3">
        <f>Wapato_Sales[[#This Row],[garage_sqft]]*Lookups!$B$20</f>
        <v>0</v>
      </c>
      <c r="BM30" s="3">
        <f>Wapato_Sales[[#This Row],[Patio]]*Lookups!$B$21</f>
        <v>0</v>
      </c>
      <c r="BN30" s="3">
        <f>Wapato_Sales[[#This Row],[detatched_value]]*Lookups!$B$22</f>
        <v>0</v>
      </c>
      <c r="BO30" s="3">
        <f>Wapato_Sales[[#This Row],[days_prior]]*Lookups!$B$23</f>
        <v>-69902.876319999996</v>
      </c>
      <c r="BP30" s="3">
        <f>SUM(Wapato_Sales[[#This Row],[land_value]:[days_prior_value]])</f>
        <v>168950.29588857212</v>
      </c>
      <c r="BQ30" s="2">
        <f>Wapato_Sales[[#This Row],[predicted_total]]/Wapato_Sales[[#This Row],[sale_price]]</f>
        <v>0.88921208362406379</v>
      </c>
      <c r="BR30" s="3">
        <f>Wapato_Sales[[#This Row],[predicted_total]]-Wapato_Sales[[#This Row],[sale_price]]</f>
        <v>-21049.704111427884</v>
      </c>
      <c r="BS30" s="3">
        <f>Wapato_Sales[[#This Row],[pred_var]]*Wapato_Sales[[#This Row],[pred_var]]</f>
        <v>443090043.17866397</v>
      </c>
      <c r="BT30" s="2">
        <f>VLOOKUP(Wapato_Sales[[#This Row],[quality]],Lookups!$A$28:$C$37,3,FALSE)</f>
        <v>0.98196844879778955</v>
      </c>
      <c r="BU30" s="2">
        <f>VLOOKUP(Wapato_Sales[[#This Row],[condition]],Lookups!$A$41:$C$48,3,FALSE)</f>
        <v>0.9832333997567807</v>
      </c>
      <c r="BV30" s="2">
        <f>VLOOKUP(Wapato_Sales[[#This Row],[decade]],Lookups!$F$28:$H$43,3,FALSE)</f>
        <v>0.94742695999815718</v>
      </c>
      <c r="BW30" s="2">
        <f>VLOOKUP(Wapato_Sales[[#This Row],[living_area_range]],Lookups!$K$28:$M$37,3,FALSE)</f>
        <v>1.0061411172456287</v>
      </c>
      <c r="BX30" s="2">
        <f>AVERAGE(Wapato_Sales[[#This Row],[qual_adj]:[size_adj]])</f>
        <v>0.97969248144958898</v>
      </c>
      <c r="BY30" s="3">
        <f>SUM(Wapato_Sales[[#This Row],[quality_value]:[days_prior_value]])+(Wapato_Sales[[#This Row],[intercept]]*0.5)-Wapato_Sales[[#This Row],[det_value]]</f>
        <v>111444.93345499999</v>
      </c>
      <c r="BZ30" s="3">
        <f>Wapato_Sales[[#This Row],[land_value]]+(0.5*Wapato_Sales[[#This Row],[intercept]])</f>
        <v>57505.362433572125</v>
      </c>
      <c r="CA30" s="3">
        <f>Wapato_Sales[[#This Row],[det_value]]</f>
        <v>0</v>
      </c>
      <c r="CB30" s="3">
        <f>Wapato_Sales[[#This Row],[summed_res]]*Wapato_Sales[[#This Row],[overall_adj]]</f>
        <v>109181.76340151326</v>
      </c>
      <c r="CC30" s="3">
        <f>Wapato_Sales[[#This Row],[final_res]]+Wapato_Sales[[#This Row],[final_det]]+Wapato_Sales[[#This Row],[final_land]]</f>
        <v>166687.1258350854</v>
      </c>
      <c r="CD30" s="2">
        <f>Wapato_Sales[[#This Row],[final_total]]/Wapato_Sales[[#This Row],[sale_price]]</f>
        <v>0.87730066228992321</v>
      </c>
      <c r="CE30" s="3">
        <f>(Wapato_Sales[[#This Row],[final_total]]-Wapato_Sales[[#This Row],[sale_price]])^2</f>
        <v>543490101.82914245</v>
      </c>
      <c r="CF30" s="3">
        <f>(Wapato_Sales[[#This Row],[final_total]]-AVERAGE(Wapato_Sales[sale_price]))^2</f>
        <v>1394477148.1645601</v>
      </c>
      <c r="CG30" s="3">
        <f>Wapato_Sales[[#This Row],[SSE]]+Wapato_Sales[[#This Row],[SSR]]</f>
        <v>1937967249.9937024</v>
      </c>
      <c r="CH30" s="2">
        <f>ABS(Wapato_Sales[[#This Row],[final_ratio]]-MEDIAN(Wapato_Sales[final_ratio]))</f>
        <v>0.10467586390348982</v>
      </c>
    </row>
    <row r="31" spans="1:86" x14ac:dyDescent="0.25">
      <c r="A31">
        <v>19111041530</v>
      </c>
      <c r="B31">
        <v>0.14000000000000001</v>
      </c>
      <c r="C31">
        <v>5970</v>
      </c>
      <c r="D31">
        <v>0</v>
      </c>
      <c r="E31" t="s">
        <v>54</v>
      </c>
      <c r="F31" t="s">
        <v>54</v>
      </c>
      <c r="G31">
        <v>3</v>
      </c>
      <c r="H31" t="s">
        <v>55</v>
      </c>
      <c r="I31">
        <v>172200</v>
      </c>
      <c r="J31">
        <v>31900</v>
      </c>
      <c r="K31">
        <v>0.14000000000000001</v>
      </c>
      <c r="L31">
        <v>0</v>
      </c>
      <c r="M31">
        <v>0</v>
      </c>
      <c r="N31">
        <v>0</v>
      </c>
      <c r="O31">
        <v>27904.037</v>
      </c>
      <c r="P31">
        <v>74398.407600000006</v>
      </c>
      <c r="Q31">
        <f t="shared" si="0"/>
        <v>19535.921709596798</v>
      </c>
      <c r="R31">
        <f t="shared" si="1"/>
        <v>-1.9661128563728327</v>
      </c>
      <c r="S31" t="s">
        <v>56</v>
      </c>
      <c r="T31">
        <v>2</v>
      </c>
      <c r="U31" t="s">
        <v>75</v>
      </c>
      <c r="V31" t="s">
        <v>68</v>
      </c>
      <c r="W31">
        <v>0</v>
      </c>
      <c r="X31">
        <v>0</v>
      </c>
      <c r="Y31">
        <v>52</v>
      </c>
      <c r="Z31">
        <v>88</v>
      </c>
      <c r="AA31">
        <v>90</v>
      </c>
      <c r="AB31">
        <v>2000</v>
      </c>
      <c r="AC31">
        <v>1540</v>
      </c>
      <c r="AD31">
        <v>832</v>
      </c>
      <c r="AE31">
        <v>240</v>
      </c>
      <c r="AF31">
        <v>468</v>
      </c>
      <c r="AG31">
        <v>156</v>
      </c>
      <c r="AH31">
        <v>0</v>
      </c>
      <c r="AI31">
        <v>0</v>
      </c>
      <c r="AJ31">
        <v>0</v>
      </c>
      <c r="AK31">
        <v>200</v>
      </c>
      <c r="AL31">
        <v>5</v>
      </c>
      <c r="AM31">
        <v>0</v>
      </c>
      <c r="AN31">
        <v>0</v>
      </c>
      <c r="AO31" t="s">
        <v>59</v>
      </c>
      <c r="AP31">
        <v>1</v>
      </c>
      <c r="AQ31" t="s">
        <v>60</v>
      </c>
      <c r="AR31" t="s">
        <v>65</v>
      </c>
      <c r="AS31">
        <v>1</v>
      </c>
      <c r="AT31">
        <v>3</v>
      </c>
      <c r="AU31">
        <v>0</v>
      </c>
      <c r="AV31">
        <v>12200</v>
      </c>
      <c r="AW31">
        <v>100</v>
      </c>
      <c r="AX31" s="1">
        <v>44494</v>
      </c>
      <c r="AY31">
        <v>26600</v>
      </c>
      <c r="AZ31">
        <v>136050</v>
      </c>
      <c r="BA31">
        <v>162700</v>
      </c>
      <c r="BB31">
        <v>250000</v>
      </c>
      <c r="BC31">
        <v>433</v>
      </c>
      <c r="BD31" s="3">
        <f>Wapato_Sales[[#This Row],[land_extract]]*Lookups!$B$3</f>
        <v>1984.9746755939761</v>
      </c>
      <c r="BE31" s="3">
        <f>Lookups!$B$2</f>
        <v>107530.54</v>
      </c>
      <c r="BF31">
        <f>VLOOKUP(Wapato_Sales[[#This Row],[quality]],Lookups!$H$2:$J$11,3,FALSE)</f>
        <v>48043</v>
      </c>
      <c r="BG31">
        <f>VLOOKUP(Wapato_Sales[[#This Row],[condition]],Lookups!$H$17:$J$24,3,FALSE)</f>
        <v>52231</v>
      </c>
      <c r="BH31" s="3">
        <f>Wapato_Sales[[#This Row],[Age]]*Lookups!$B$16</f>
        <v>-32619.461600000002</v>
      </c>
      <c r="BI31" s="3">
        <f>Wapato_Sales[[#This Row],[Main Floor]]*Lookups!$B$17</f>
        <v>34778.214848000003</v>
      </c>
      <c r="BJ31" s="3">
        <f>Wapato_Sales[[#This Row],[Upper Floor]]*Lookups!$B$18</f>
        <v>11904.273360000001</v>
      </c>
      <c r="BK31" s="3">
        <f>Wapato_Sales[[#This Row],[Fin BSMT]]*Lookups!$B$19</f>
        <v>11403.634319999999</v>
      </c>
      <c r="BL31" s="3">
        <f>Wapato_Sales[[#This Row],[garage_sqft]]*Lookups!$B$20</f>
        <v>0</v>
      </c>
      <c r="BM31" s="3">
        <f>Wapato_Sales[[#This Row],[Patio]]*Lookups!$B$21</f>
        <v>8664.7957999999999</v>
      </c>
      <c r="BN31" s="3">
        <f>Wapato_Sales[[#This Row],[detatched_value]]*Lookups!$B$22</f>
        <v>11471.22812</v>
      </c>
      <c r="BO31" s="3">
        <f>Wapato_Sales[[#This Row],[days_prior]]*Lookups!$B$23</f>
        <v>-32406.793839999998</v>
      </c>
      <c r="BP31" s="3">
        <f>SUM(Wapato_Sales[[#This Row],[land_value]:[days_prior_value]])</f>
        <v>222985.40568359394</v>
      </c>
      <c r="BQ31" s="2">
        <f>Wapato_Sales[[#This Row],[predicted_total]]/Wapato_Sales[[#This Row],[sale_price]]</f>
        <v>0.89194162273437572</v>
      </c>
      <c r="BR31" s="3">
        <f>Wapato_Sales[[#This Row],[predicted_total]]-Wapato_Sales[[#This Row],[sale_price]]</f>
        <v>-27014.594316406059</v>
      </c>
      <c r="BS31" s="3">
        <f>Wapato_Sales[[#This Row],[pred_var]]*Wapato_Sales[[#This Row],[pred_var]]</f>
        <v>729788306.07999849</v>
      </c>
      <c r="BT31" s="2">
        <f>VLOOKUP(Wapato_Sales[[#This Row],[quality]],Lookups!$A$28:$C$37,3,FALSE)</f>
        <v>0.98196844879778955</v>
      </c>
      <c r="BU31" s="2">
        <f>VLOOKUP(Wapato_Sales[[#This Row],[condition]],Lookups!$A$41:$C$48,3,FALSE)</f>
        <v>0.9832333997567807</v>
      </c>
      <c r="BV31" s="2">
        <f>VLOOKUP(Wapato_Sales[[#This Row],[decade]],Lookups!$F$28:$H$43,3,FALSE)</f>
        <v>0.94742695999815718</v>
      </c>
      <c r="BW31" s="2">
        <f>VLOOKUP(Wapato_Sales[[#This Row],[living_area_range]],Lookups!$K$28:$M$37,3,FALSE)</f>
        <v>0.99330894324714125</v>
      </c>
      <c r="BX31" s="2">
        <f>AVERAGE(Wapato_Sales[[#This Row],[qual_adj]:[size_adj]])</f>
        <v>0.97648443794996709</v>
      </c>
      <c r="BY31" s="3">
        <f>SUM(Wapato_Sales[[#This Row],[quality_value]:[days_prior_value]])+(Wapato_Sales[[#This Row],[intercept]]*0.5)-Wapato_Sales[[#This Row],[det_value]]</f>
        <v>155763.93288799998</v>
      </c>
      <c r="BZ31" s="3">
        <f>Wapato_Sales[[#This Row],[land_value]]+(0.5*Wapato_Sales[[#This Row],[intercept]])</f>
        <v>55750.244675593975</v>
      </c>
      <c r="CA31" s="3">
        <f>Wapato_Sales[[#This Row],[det_value]]</f>
        <v>11471.22812</v>
      </c>
      <c r="CB31" s="3">
        <f>Wapato_Sales[[#This Row],[summed_res]]*Wapato_Sales[[#This Row],[overall_adj]]</f>
        <v>152101.05645901506</v>
      </c>
      <c r="CC31" s="3">
        <f>Wapato_Sales[[#This Row],[final_res]]+Wapato_Sales[[#This Row],[final_det]]+Wapato_Sales[[#This Row],[final_land]]</f>
        <v>219322.52925460902</v>
      </c>
      <c r="CD31" s="2">
        <f>Wapato_Sales[[#This Row],[final_total]]/Wapato_Sales[[#This Row],[sale_price]]</f>
        <v>0.87729011701843607</v>
      </c>
      <c r="CE31" s="3">
        <f>(Wapato_Sales[[#This Row],[final_total]]-Wapato_Sales[[#This Row],[sale_price]])^2</f>
        <v>941107211.33431935</v>
      </c>
      <c r="CF31" s="3">
        <f>(Wapato_Sales[[#This Row],[final_total]]-AVERAGE(Wapato_Sales[sale_price]))^2</f>
        <v>233866816.83358979</v>
      </c>
      <c r="CG31" s="3">
        <f>Wapato_Sales[[#This Row],[SSE]]+Wapato_Sales[[#This Row],[SSR]]</f>
        <v>1174974028.1679091</v>
      </c>
      <c r="CH31" s="2">
        <f>ABS(Wapato_Sales[[#This Row],[final_ratio]]-MEDIAN(Wapato_Sales[final_ratio]))</f>
        <v>0.10468640917497696</v>
      </c>
    </row>
    <row r="32" spans="1:86" x14ac:dyDescent="0.25">
      <c r="A32">
        <v>19111041550</v>
      </c>
      <c r="B32">
        <v>0.28999999999999998</v>
      </c>
      <c r="C32">
        <v>12500</v>
      </c>
      <c r="D32">
        <v>0</v>
      </c>
      <c r="E32" t="s">
        <v>54</v>
      </c>
      <c r="F32" t="s">
        <v>54</v>
      </c>
      <c r="G32">
        <v>3</v>
      </c>
      <c r="H32" t="s">
        <v>55</v>
      </c>
      <c r="I32">
        <v>97400</v>
      </c>
      <c r="J32">
        <v>37100</v>
      </c>
      <c r="K32">
        <v>0.28999999999999998</v>
      </c>
      <c r="L32">
        <v>0</v>
      </c>
      <c r="M32">
        <v>0</v>
      </c>
      <c r="N32">
        <v>0</v>
      </c>
      <c r="O32">
        <v>27904.037</v>
      </c>
      <c r="P32">
        <v>74398.407600000006</v>
      </c>
      <c r="Q32">
        <f t="shared" si="0"/>
        <v>39856.715768779701</v>
      </c>
      <c r="R32">
        <f t="shared" si="1"/>
        <v>-1.2378743560016174</v>
      </c>
      <c r="S32" t="s">
        <v>66</v>
      </c>
      <c r="T32">
        <v>1</v>
      </c>
      <c r="U32" t="s">
        <v>78</v>
      </c>
      <c r="V32" t="s">
        <v>68</v>
      </c>
      <c r="W32">
        <v>0</v>
      </c>
      <c r="X32">
        <v>0</v>
      </c>
      <c r="Y32">
        <v>52</v>
      </c>
      <c r="Z32">
        <v>103</v>
      </c>
      <c r="AA32">
        <v>100</v>
      </c>
      <c r="AB32">
        <v>1000</v>
      </c>
      <c r="AC32">
        <v>748</v>
      </c>
      <c r="AD32">
        <v>748</v>
      </c>
      <c r="AE32">
        <v>0</v>
      </c>
      <c r="AF32">
        <v>0</v>
      </c>
      <c r="AG32">
        <v>748</v>
      </c>
      <c r="AH32">
        <v>0</v>
      </c>
      <c r="AI32">
        <v>0</v>
      </c>
      <c r="AJ32">
        <v>0</v>
      </c>
      <c r="AK32">
        <v>0</v>
      </c>
      <c r="AL32">
        <v>5</v>
      </c>
      <c r="AM32">
        <v>0</v>
      </c>
      <c r="AN32">
        <v>0</v>
      </c>
      <c r="AO32" t="s">
        <v>59</v>
      </c>
      <c r="AP32">
        <v>1</v>
      </c>
      <c r="AQ32" t="s">
        <v>76</v>
      </c>
      <c r="AR32" t="s">
        <v>61</v>
      </c>
      <c r="AS32">
        <v>0</v>
      </c>
      <c r="AT32">
        <v>2</v>
      </c>
      <c r="AU32">
        <v>0</v>
      </c>
      <c r="AV32">
        <v>0</v>
      </c>
      <c r="AW32">
        <v>100</v>
      </c>
      <c r="AX32" s="1">
        <v>44840</v>
      </c>
      <c r="AY32">
        <v>31500</v>
      </c>
      <c r="AZ32">
        <v>77835</v>
      </c>
      <c r="BA32">
        <v>109300</v>
      </c>
      <c r="BB32">
        <v>155000</v>
      </c>
      <c r="BC32">
        <v>87</v>
      </c>
      <c r="BD32" s="3">
        <f>Wapato_Sales[[#This Row],[land_extract]]*Lookups!$B$3</f>
        <v>4049.6974050889376</v>
      </c>
      <c r="BE32" s="3">
        <f>Lookups!$B$2</f>
        <v>107530.54</v>
      </c>
      <c r="BF32">
        <f>VLOOKUP(Wapato_Sales[[#This Row],[quality]],Lookups!$H$2:$J$11,3,FALSE)</f>
        <v>23424</v>
      </c>
      <c r="BG32">
        <f>VLOOKUP(Wapato_Sales[[#This Row],[condition]],Lookups!$H$17:$J$24,3,FALSE)</f>
        <v>52231</v>
      </c>
      <c r="BH32" s="3">
        <f>Wapato_Sales[[#This Row],[Age]]*Lookups!$B$16</f>
        <v>-38179.597099999999</v>
      </c>
      <c r="BI32" s="3">
        <f>Wapato_Sales[[#This Row],[Main Floor]]*Lookups!$B$17</f>
        <v>31266.952772000001</v>
      </c>
      <c r="BJ32" s="3">
        <f>Wapato_Sales[[#This Row],[Upper Floor]]*Lookups!$B$18</f>
        <v>0</v>
      </c>
      <c r="BK32" s="3">
        <f>Wapato_Sales[[#This Row],[Fin BSMT]]*Lookups!$B$19</f>
        <v>0</v>
      </c>
      <c r="BL32" s="3">
        <f>Wapato_Sales[[#This Row],[garage_sqft]]*Lookups!$B$20</f>
        <v>0</v>
      </c>
      <c r="BM32" s="3">
        <f>Wapato_Sales[[#This Row],[Patio]]*Lookups!$B$21</f>
        <v>0</v>
      </c>
      <c r="BN32" s="3">
        <f>Wapato_Sales[[#This Row],[detatched_value]]*Lookups!$B$22</f>
        <v>0</v>
      </c>
      <c r="BO32" s="3">
        <f>Wapato_Sales[[#This Row],[days_prior]]*Lookups!$B$23</f>
        <v>-6511.29576</v>
      </c>
      <c r="BP32" s="3">
        <f>SUM(Wapato_Sales[[#This Row],[land_value]:[days_prior_value]])</f>
        <v>173811.29731708893</v>
      </c>
      <c r="BQ32" s="2">
        <f>Wapato_Sales[[#This Row],[predicted_total]]/Wapato_Sales[[#This Row],[sale_price]]</f>
        <v>1.1213632084973479</v>
      </c>
      <c r="BR32" s="3">
        <f>Wapato_Sales[[#This Row],[predicted_total]]-Wapato_Sales[[#This Row],[sale_price]]</f>
        <v>18811.297317088931</v>
      </c>
      <c r="BS32" s="3">
        <f>Wapato_Sales[[#This Row],[pred_var]]*Wapato_Sales[[#This Row],[pred_var]]</f>
        <v>353864906.75191718</v>
      </c>
      <c r="BT32" s="2">
        <f>VLOOKUP(Wapato_Sales[[#This Row],[quality]],Lookups!$A$28:$C$37,3,FALSE)</f>
        <v>1.0091195562373767</v>
      </c>
      <c r="BU32" s="2">
        <f>VLOOKUP(Wapato_Sales[[#This Row],[condition]],Lookups!$A$41:$C$48,3,FALSE)</f>
        <v>0.9832333997567807</v>
      </c>
      <c r="BV32" s="2">
        <f>VLOOKUP(Wapato_Sales[[#This Row],[decade]],Lookups!$F$28:$H$43,3,FALSE)</f>
        <v>1.0114203040664467</v>
      </c>
      <c r="BW32" s="2">
        <f>VLOOKUP(Wapato_Sales[[#This Row],[living_area_range]],Lookups!$K$28:$M$37,3,FALSE)</f>
        <v>0.99022994770196116</v>
      </c>
      <c r="BX32" s="2">
        <f>AVERAGE(Wapato_Sales[[#This Row],[qual_adj]:[size_adj]])</f>
        <v>0.99850080194064128</v>
      </c>
      <c r="BY32" s="3">
        <f>SUM(Wapato_Sales[[#This Row],[quality_value]:[days_prior_value]])+(Wapato_Sales[[#This Row],[intercept]]*0.5)-Wapato_Sales[[#This Row],[det_value]]</f>
        <v>115996.329912</v>
      </c>
      <c r="BZ32" s="3">
        <f>Wapato_Sales[[#This Row],[land_value]]+(0.5*Wapato_Sales[[#This Row],[intercept]])</f>
        <v>57814.967405088937</v>
      </c>
      <c r="CA32" s="3">
        <f>Wapato_Sales[[#This Row],[det_value]]</f>
        <v>0</v>
      </c>
      <c r="CB32" s="3">
        <f>Wapato_Sales[[#This Row],[summed_res]]*Wapato_Sales[[#This Row],[overall_adj]]</f>
        <v>115822.4284393032</v>
      </c>
      <c r="CC32" s="3">
        <f>Wapato_Sales[[#This Row],[final_res]]+Wapato_Sales[[#This Row],[final_det]]+Wapato_Sales[[#This Row],[final_land]]</f>
        <v>173637.39584439213</v>
      </c>
      <c r="CD32" s="2">
        <f>Wapato_Sales[[#This Row],[final_total]]/Wapato_Sales[[#This Row],[sale_price]]</f>
        <v>1.1202412635122072</v>
      </c>
      <c r="CE32" s="3">
        <f>(Wapato_Sales[[#This Row],[final_total]]-Wapato_Sales[[#This Row],[sale_price]])^2</f>
        <v>347352523.86056501</v>
      </c>
      <c r="CF32" s="3">
        <f>(Wapato_Sales[[#This Row],[final_total]]-AVERAGE(Wapato_Sales[sale_price]))^2</f>
        <v>923699723.31861818</v>
      </c>
      <c r="CG32" s="3">
        <f>Wapato_Sales[[#This Row],[SSE]]+Wapato_Sales[[#This Row],[SSR]]</f>
        <v>1271052247.1791832</v>
      </c>
      <c r="CH32" s="2">
        <f>ABS(Wapato_Sales[[#This Row],[final_ratio]]-MEDIAN(Wapato_Sales[final_ratio]))</f>
        <v>0.13826473731879418</v>
      </c>
    </row>
    <row r="33" spans="1:86" x14ac:dyDescent="0.25">
      <c r="A33">
        <v>19112211454</v>
      </c>
      <c r="B33">
        <v>0.41</v>
      </c>
      <c r="C33">
        <v>17919</v>
      </c>
      <c r="D33">
        <v>0</v>
      </c>
      <c r="E33" t="s">
        <v>54</v>
      </c>
      <c r="F33" t="s">
        <v>54</v>
      </c>
      <c r="G33">
        <v>3</v>
      </c>
      <c r="H33" t="s">
        <v>55</v>
      </c>
      <c r="I33">
        <v>95200</v>
      </c>
      <c r="J33">
        <v>39500</v>
      </c>
      <c r="K33">
        <v>0.41</v>
      </c>
      <c r="L33">
        <v>0</v>
      </c>
      <c r="M33">
        <v>0</v>
      </c>
      <c r="N33">
        <v>0</v>
      </c>
      <c r="O33">
        <v>27904.037</v>
      </c>
      <c r="P33">
        <v>74398.407600000006</v>
      </c>
      <c r="Q33">
        <f t="shared" si="0"/>
        <v>49519.220690374888</v>
      </c>
      <c r="R33">
        <f t="shared" si="1"/>
        <v>-0.89159811928378363</v>
      </c>
      <c r="S33" t="s">
        <v>66</v>
      </c>
      <c r="T33">
        <v>1</v>
      </c>
      <c r="U33" t="s">
        <v>71</v>
      </c>
      <c r="V33" t="s">
        <v>73</v>
      </c>
      <c r="W33">
        <v>0</v>
      </c>
      <c r="X33">
        <v>0</v>
      </c>
      <c r="Y33">
        <v>52</v>
      </c>
      <c r="Z33">
        <v>88</v>
      </c>
      <c r="AA33">
        <v>90</v>
      </c>
      <c r="AB33">
        <v>1000</v>
      </c>
      <c r="AC33">
        <v>868</v>
      </c>
      <c r="AD33">
        <v>868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5</v>
      </c>
      <c r="AM33">
        <v>1</v>
      </c>
      <c r="AN33">
        <v>0</v>
      </c>
      <c r="AO33" t="s">
        <v>59</v>
      </c>
      <c r="AP33">
        <v>0</v>
      </c>
      <c r="AQ33" t="s">
        <v>80</v>
      </c>
      <c r="AR33" t="s">
        <v>61</v>
      </c>
      <c r="AS33">
        <v>0</v>
      </c>
      <c r="AT33">
        <v>3</v>
      </c>
      <c r="AU33">
        <v>0</v>
      </c>
      <c r="AV33">
        <v>10200</v>
      </c>
      <c r="AW33">
        <v>100</v>
      </c>
      <c r="AX33" s="1">
        <v>44628</v>
      </c>
      <c r="AY33">
        <v>29500</v>
      </c>
      <c r="AZ33">
        <v>66325</v>
      </c>
      <c r="BA33">
        <v>95800</v>
      </c>
      <c r="BB33">
        <v>160000</v>
      </c>
      <c r="BC33">
        <v>299</v>
      </c>
      <c r="BD33" s="3">
        <f>Wapato_Sales[[#This Row],[land_extract]]*Lookups!$B$3</f>
        <v>5031.4697451545071</v>
      </c>
      <c r="BE33" s="3">
        <f>Lookups!$B$2</f>
        <v>107530.54</v>
      </c>
      <c r="BF33">
        <f>VLOOKUP(Wapato_Sales[[#This Row],[quality]],Lookups!$H$2:$J$11,3,FALSE)</f>
        <v>28034</v>
      </c>
      <c r="BG33">
        <f>VLOOKUP(Wapato_Sales[[#This Row],[condition]],Lookups!$H$17:$J$24,3,FALSE)</f>
        <v>16276</v>
      </c>
      <c r="BH33" s="3">
        <f>Wapato_Sales[[#This Row],[Age]]*Lookups!$B$16</f>
        <v>-32619.461600000002</v>
      </c>
      <c r="BI33" s="3">
        <f>Wapato_Sales[[#This Row],[Main Floor]]*Lookups!$B$17</f>
        <v>36283.041451999998</v>
      </c>
      <c r="BJ33" s="3">
        <f>Wapato_Sales[[#This Row],[Upper Floor]]*Lookups!$B$18</f>
        <v>0</v>
      </c>
      <c r="BK33" s="3">
        <f>Wapato_Sales[[#This Row],[Fin BSMT]]*Lookups!$B$19</f>
        <v>0</v>
      </c>
      <c r="BL33" s="3">
        <f>Wapato_Sales[[#This Row],[garage_sqft]]*Lookups!$B$20</f>
        <v>0</v>
      </c>
      <c r="BM33" s="3">
        <f>Wapato_Sales[[#This Row],[Patio]]*Lookups!$B$21</f>
        <v>0</v>
      </c>
      <c r="BN33" s="3">
        <f>Wapato_Sales[[#This Row],[detatched_value]]*Lookups!$B$22</f>
        <v>9590.6989200000007</v>
      </c>
      <c r="BO33" s="3">
        <f>Wapato_Sales[[#This Row],[days_prior]]*Lookups!$B$23</f>
        <v>-22377.901519999999</v>
      </c>
      <c r="BP33" s="3">
        <f>SUM(Wapato_Sales[[#This Row],[land_value]:[days_prior_value]])</f>
        <v>147748.38699715451</v>
      </c>
      <c r="BQ33" s="2">
        <f>Wapato_Sales[[#This Row],[predicted_total]]/Wapato_Sales[[#This Row],[sale_price]]</f>
        <v>0.92342741873221568</v>
      </c>
      <c r="BR33" s="3">
        <f>Wapato_Sales[[#This Row],[predicted_total]]-Wapato_Sales[[#This Row],[sale_price]]</f>
        <v>-12251.613002845494</v>
      </c>
      <c r="BS33" s="3">
        <f>Wapato_Sales[[#This Row],[pred_var]]*Wapato_Sales[[#This Row],[pred_var]]</f>
        <v>150102021.17149279</v>
      </c>
      <c r="BT33" s="2">
        <f>VLOOKUP(Wapato_Sales[[#This Row],[quality]],Lookups!$A$28:$C$37,3,FALSE)</f>
        <v>0.96265813922927435</v>
      </c>
      <c r="BU33" s="2">
        <f>VLOOKUP(Wapato_Sales[[#This Row],[condition]],Lookups!$A$41:$C$48,3,FALSE)</f>
        <v>0.93399385491337139</v>
      </c>
      <c r="BV33" s="2">
        <f>VLOOKUP(Wapato_Sales[[#This Row],[decade]],Lookups!$F$28:$H$43,3,FALSE)</f>
        <v>0.94742695999815718</v>
      </c>
      <c r="BW33" s="2">
        <f>VLOOKUP(Wapato_Sales[[#This Row],[living_area_range]],Lookups!$K$28:$M$37,3,FALSE)</f>
        <v>0.99022994770196116</v>
      </c>
      <c r="BX33" s="2">
        <f>AVERAGE(Wapato_Sales[[#This Row],[qual_adj]:[size_adj]])</f>
        <v>0.95857722546069102</v>
      </c>
      <c r="BY33" s="3">
        <f>SUM(Wapato_Sales[[#This Row],[quality_value]:[days_prior_value]])+(Wapato_Sales[[#This Row],[intercept]]*0.5)-Wapato_Sales[[#This Row],[det_value]]</f>
        <v>79360.948332</v>
      </c>
      <c r="BZ33" s="3">
        <f>Wapato_Sales[[#This Row],[land_value]]+(0.5*Wapato_Sales[[#This Row],[intercept]])</f>
        <v>58796.739745154504</v>
      </c>
      <c r="CA33" s="3">
        <f>Wapato_Sales[[#This Row],[det_value]]</f>
        <v>9590.6989200000007</v>
      </c>
      <c r="CB33" s="3">
        <f>Wapato_Sales[[#This Row],[summed_res]]*Wapato_Sales[[#This Row],[overall_adj]]</f>
        <v>76073.597662017812</v>
      </c>
      <c r="CC33" s="3">
        <f>Wapato_Sales[[#This Row],[final_res]]+Wapato_Sales[[#This Row],[final_det]]+Wapato_Sales[[#This Row],[final_land]]</f>
        <v>144461.0363271723</v>
      </c>
      <c r="CD33" s="2">
        <f>Wapato_Sales[[#This Row],[final_total]]/Wapato_Sales[[#This Row],[sale_price]]</f>
        <v>0.90288147704482691</v>
      </c>
      <c r="CE33" s="3">
        <f>(Wapato_Sales[[#This Row],[final_total]]-Wapato_Sales[[#This Row],[sale_price]])^2</f>
        <v>241459392.02545881</v>
      </c>
      <c r="CF33" s="3">
        <f>(Wapato_Sales[[#This Row],[final_total]]-AVERAGE(Wapato_Sales[sale_price]))^2</f>
        <v>3548440531.6946826</v>
      </c>
      <c r="CG33" s="3">
        <f>Wapato_Sales[[#This Row],[SSE]]+Wapato_Sales[[#This Row],[SSR]]</f>
        <v>3789899923.7201414</v>
      </c>
      <c r="CH33" s="2">
        <f>ABS(Wapato_Sales[[#This Row],[final_ratio]]-MEDIAN(Wapato_Sales[final_ratio]))</f>
        <v>7.9095049148586116E-2</v>
      </c>
    </row>
    <row r="34" spans="1:86" x14ac:dyDescent="0.25">
      <c r="A34">
        <v>19111514510</v>
      </c>
      <c r="B34">
        <v>0.16</v>
      </c>
      <c r="C34">
        <v>6834</v>
      </c>
      <c r="D34">
        <v>0</v>
      </c>
      <c r="E34" t="s">
        <v>54</v>
      </c>
      <c r="F34" t="s">
        <v>54</v>
      </c>
      <c r="G34">
        <v>3</v>
      </c>
      <c r="H34" t="s">
        <v>55</v>
      </c>
      <c r="I34">
        <v>140500</v>
      </c>
      <c r="J34">
        <v>32800</v>
      </c>
      <c r="K34">
        <v>0.16</v>
      </c>
      <c r="L34">
        <v>0</v>
      </c>
      <c r="M34">
        <v>0</v>
      </c>
      <c r="N34">
        <v>0</v>
      </c>
      <c r="O34">
        <v>27904.037</v>
      </c>
      <c r="P34">
        <v>74398.407600000006</v>
      </c>
      <c r="Q34">
        <f t="shared" si="0"/>
        <v>23261.986630052997</v>
      </c>
      <c r="R34">
        <f t="shared" si="1"/>
        <v>-1.8325814637483102</v>
      </c>
      <c r="S34" t="s">
        <v>56</v>
      </c>
      <c r="T34">
        <v>2</v>
      </c>
      <c r="U34" t="s">
        <v>67</v>
      </c>
      <c r="V34" t="s">
        <v>73</v>
      </c>
      <c r="W34">
        <v>0</v>
      </c>
      <c r="X34">
        <v>0</v>
      </c>
      <c r="Y34">
        <v>52</v>
      </c>
      <c r="Z34">
        <v>88</v>
      </c>
      <c r="AA34">
        <v>90</v>
      </c>
      <c r="AB34">
        <v>2500</v>
      </c>
      <c r="AC34">
        <v>2216</v>
      </c>
      <c r="AD34">
        <v>1032</v>
      </c>
      <c r="AE34">
        <v>792</v>
      </c>
      <c r="AF34">
        <v>392</v>
      </c>
      <c r="AG34">
        <v>400</v>
      </c>
      <c r="AH34">
        <v>0</v>
      </c>
      <c r="AI34">
        <v>368</v>
      </c>
      <c r="AJ34">
        <v>0</v>
      </c>
      <c r="AK34">
        <v>256</v>
      </c>
      <c r="AL34">
        <v>8</v>
      </c>
      <c r="AM34">
        <v>0</v>
      </c>
      <c r="AN34">
        <v>0</v>
      </c>
      <c r="AO34" t="s">
        <v>59</v>
      </c>
      <c r="AP34">
        <v>1</v>
      </c>
      <c r="AQ34" t="s">
        <v>72</v>
      </c>
      <c r="AR34" t="s">
        <v>61</v>
      </c>
      <c r="AS34">
        <v>0</v>
      </c>
      <c r="AT34">
        <v>5</v>
      </c>
      <c r="AU34">
        <v>0</v>
      </c>
      <c r="AV34">
        <v>0</v>
      </c>
      <c r="AW34">
        <v>100</v>
      </c>
      <c r="AX34" s="1">
        <v>43867</v>
      </c>
      <c r="AY34">
        <v>27400</v>
      </c>
      <c r="AZ34">
        <v>149474</v>
      </c>
      <c r="BA34">
        <v>176900</v>
      </c>
      <c r="BB34">
        <v>131000</v>
      </c>
      <c r="BC34">
        <v>1060</v>
      </c>
      <c r="BD34" s="3">
        <f>Wapato_Sales[[#This Row],[land_extract]]*Lookups!$B$3</f>
        <v>2363.5667183278169</v>
      </c>
      <c r="BE34" s="3">
        <f>Lookups!$B$2</f>
        <v>107530.54</v>
      </c>
      <c r="BF34">
        <f>VLOOKUP(Wapato_Sales[[#This Row],[quality]],Lookups!$H$2:$J$11,3,FALSE)</f>
        <v>50405</v>
      </c>
      <c r="BG34">
        <f>VLOOKUP(Wapato_Sales[[#This Row],[condition]],Lookups!$H$17:$J$24,3,FALSE)</f>
        <v>16276</v>
      </c>
      <c r="BH34" s="3">
        <f>Wapato_Sales[[#This Row],[Age]]*Lookups!$B$16</f>
        <v>-32619.461600000002</v>
      </c>
      <c r="BI34" s="3">
        <f>Wapato_Sales[[#This Row],[Main Floor]]*Lookups!$B$17</f>
        <v>43138.362648000002</v>
      </c>
      <c r="BJ34" s="3">
        <f>Wapato_Sales[[#This Row],[Upper Floor]]*Lookups!$B$18</f>
        <v>39284.102088</v>
      </c>
      <c r="BK34" s="3">
        <f>Wapato_Sales[[#This Row],[Fin BSMT]]*Lookups!$B$19</f>
        <v>9551.7620800000004</v>
      </c>
      <c r="BL34" s="3">
        <f>Wapato_Sales[[#This Row],[garage_sqft]]*Lookups!$B$20</f>
        <v>0</v>
      </c>
      <c r="BM34" s="3">
        <f>Wapato_Sales[[#This Row],[Patio]]*Lookups!$B$21</f>
        <v>11090.938624</v>
      </c>
      <c r="BN34" s="3">
        <f>Wapato_Sales[[#This Row],[detatched_value]]*Lookups!$B$22</f>
        <v>0</v>
      </c>
      <c r="BO34" s="3">
        <f>Wapato_Sales[[#This Row],[days_prior]]*Lookups!$B$23</f>
        <v>-79333.0288</v>
      </c>
      <c r="BP34" s="3">
        <f>SUM(Wapato_Sales[[#This Row],[land_value]:[days_prior_value]])</f>
        <v>167687.78175832782</v>
      </c>
      <c r="BQ34" s="2">
        <f>Wapato_Sales[[#This Row],[predicted_total]]/Wapato_Sales[[#This Row],[sale_price]]</f>
        <v>1.2800594027353269</v>
      </c>
      <c r="BR34" s="3">
        <f>Wapato_Sales[[#This Row],[predicted_total]]-Wapato_Sales[[#This Row],[sale_price]]</f>
        <v>36687.781758327823</v>
      </c>
      <c r="BS34" s="3">
        <f>Wapato_Sales[[#This Row],[pred_var]]*Wapato_Sales[[#This Row],[pred_var]]</f>
        <v>1345993330.3466918</v>
      </c>
      <c r="BT34" s="2">
        <f>VLOOKUP(Wapato_Sales[[#This Row],[quality]],Lookups!$A$28:$C$37,3,FALSE)</f>
        <v>0.97993206410140754</v>
      </c>
      <c r="BU34" s="2">
        <f>VLOOKUP(Wapato_Sales[[#This Row],[condition]],Lookups!$A$41:$C$48,3,FALSE)</f>
        <v>0.93399385491337139</v>
      </c>
      <c r="BV34" s="2">
        <f>VLOOKUP(Wapato_Sales[[#This Row],[decade]],Lookups!$F$28:$H$43,3,FALSE)</f>
        <v>0.94742695999815718</v>
      </c>
      <c r="BW34" s="2">
        <f>VLOOKUP(Wapato_Sales[[#This Row],[living_area_range]],Lookups!$K$28:$M$37,3,FALSE)</f>
        <v>0.90813907160181651</v>
      </c>
      <c r="BX34" s="2">
        <f>AVERAGE(Wapato_Sales[[#This Row],[qual_adj]:[size_adj]])</f>
        <v>0.94237298765368815</v>
      </c>
      <c r="BY34" s="3">
        <f>SUM(Wapato_Sales[[#This Row],[quality_value]:[days_prior_value]])+(Wapato_Sales[[#This Row],[intercept]]*0.5)-Wapato_Sales[[#This Row],[det_value]]</f>
        <v>111558.94503999999</v>
      </c>
      <c r="BZ34" s="3">
        <f>Wapato_Sales[[#This Row],[land_value]]+(0.5*Wapato_Sales[[#This Row],[intercept]])</f>
        <v>56128.836718327817</v>
      </c>
      <c r="CA34" s="3">
        <f>Wapato_Sales[[#This Row],[det_value]]</f>
        <v>0</v>
      </c>
      <c r="CB34" s="3">
        <f>Wapato_Sales[[#This Row],[summed_res]]*Wapato_Sales[[#This Row],[overall_adj]]</f>
        <v>105130.13633683839</v>
      </c>
      <c r="CC34" s="3">
        <f>Wapato_Sales[[#This Row],[final_res]]+Wapato_Sales[[#This Row],[final_det]]+Wapato_Sales[[#This Row],[final_land]]</f>
        <v>161258.97305516619</v>
      </c>
      <c r="CD34" s="2">
        <f>Wapato_Sales[[#This Row],[final_total]]/Wapato_Sales[[#This Row],[sale_price]]</f>
        <v>1.2309845271386732</v>
      </c>
      <c r="CE34" s="3">
        <f>(Wapato_Sales[[#This Row],[final_total]]-Wapato_Sales[[#This Row],[sale_price]])^2</f>
        <v>915605450.35327363</v>
      </c>
      <c r="CF34" s="3">
        <f>(Wapato_Sales[[#This Row],[final_total]]-AVERAGE(Wapato_Sales[sale_price]))^2</f>
        <v>1829345738.568603</v>
      </c>
      <c r="CG34" s="3">
        <f>Wapato_Sales[[#This Row],[SSE]]+Wapato_Sales[[#This Row],[SSR]]</f>
        <v>2744951188.9218769</v>
      </c>
      <c r="CH34" s="2">
        <f>ABS(Wapato_Sales[[#This Row],[final_ratio]]-MEDIAN(Wapato_Sales[final_ratio]))</f>
        <v>0.24900800094526021</v>
      </c>
    </row>
    <row r="35" spans="1:86" x14ac:dyDescent="0.25">
      <c r="A35">
        <v>19111013001</v>
      </c>
      <c r="B35">
        <v>4.57</v>
      </c>
      <c r="C35">
        <v>199189</v>
      </c>
      <c r="D35">
        <v>0</v>
      </c>
      <c r="E35" t="s">
        <v>54</v>
      </c>
      <c r="F35" t="s">
        <v>54</v>
      </c>
      <c r="G35">
        <v>3</v>
      </c>
      <c r="H35" t="s">
        <v>55</v>
      </c>
      <c r="I35">
        <v>156600</v>
      </c>
      <c r="J35">
        <v>56700</v>
      </c>
      <c r="K35">
        <v>4.57</v>
      </c>
      <c r="L35">
        <v>0</v>
      </c>
      <c r="M35">
        <v>0</v>
      </c>
      <c r="N35">
        <v>0</v>
      </c>
      <c r="O35">
        <v>27904.037</v>
      </c>
      <c r="P35">
        <v>74398.407600000006</v>
      </c>
      <c r="Q35">
        <f t="shared" si="0"/>
        <v>116798.96029168877</v>
      </c>
      <c r="R35">
        <f t="shared" si="1"/>
        <v>1.5195132049061133</v>
      </c>
      <c r="S35" t="s">
        <v>66</v>
      </c>
      <c r="T35">
        <v>1</v>
      </c>
      <c r="U35" t="s">
        <v>75</v>
      </c>
      <c r="V35" t="s">
        <v>68</v>
      </c>
      <c r="W35">
        <v>0</v>
      </c>
      <c r="X35">
        <v>0</v>
      </c>
      <c r="Y35">
        <v>53</v>
      </c>
      <c r="Z35">
        <v>93</v>
      </c>
      <c r="AA35">
        <v>90</v>
      </c>
      <c r="AB35">
        <v>1000</v>
      </c>
      <c r="AC35">
        <v>904</v>
      </c>
      <c r="AD35">
        <v>904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5</v>
      </c>
      <c r="AM35">
        <v>0</v>
      </c>
      <c r="AN35">
        <v>1</v>
      </c>
      <c r="AO35" t="s">
        <v>59</v>
      </c>
      <c r="AP35">
        <v>1</v>
      </c>
      <c r="AQ35" t="s">
        <v>64</v>
      </c>
      <c r="AR35" t="s">
        <v>61</v>
      </c>
      <c r="AS35">
        <v>0</v>
      </c>
      <c r="AT35">
        <v>2</v>
      </c>
      <c r="AU35">
        <v>0</v>
      </c>
      <c r="AV35">
        <v>11000</v>
      </c>
      <c r="AW35">
        <v>100</v>
      </c>
      <c r="AX35" s="1">
        <v>43858</v>
      </c>
      <c r="AY35">
        <v>50200</v>
      </c>
      <c r="AZ35">
        <v>101907</v>
      </c>
      <c r="BA35">
        <v>152100</v>
      </c>
      <c r="BB35">
        <v>191000</v>
      </c>
      <c r="BC35">
        <v>1069</v>
      </c>
      <c r="BD35" s="3">
        <f>Wapato_Sales[[#This Row],[land_extract]]*Lookups!$B$3</f>
        <v>11867.521878981446</v>
      </c>
      <c r="BE35" s="3">
        <f>Lookups!$B$2</f>
        <v>107530.54</v>
      </c>
      <c r="BF35">
        <f>VLOOKUP(Wapato_Sales[[#This Row],[quality]],Lookups!$H$2:$J$11,3,FALSE)</f>
        <v>48043</v>
      </c>
      <c r="BG35">
        <f>VLOOKUP(Wapato_Sales[[#This Row],[condition]],Lookups!$H$17:$J$24,3,FALSE)</f>
        <v>52231</v>
      </c>
      <c r="BH35" s="3">
        <f>Wapato_Sales[[#This Row],[Age]]*Lookups!$B$16</f>
        <v>-34472.840100000001</v>
      </c>
      <c r="BI35" s="3">
        <f>Wapato_Sales[[#This Row],[Main Floor]]*Lookups!$B$17</f>
        <v>37787.868055999999</v>
      </c>
      <c r="BJ35" s="3">
        <f>Wapato_Sales[[#This Row],[Upper Floor]]*Lookups!$B$18</f>
        <v>0</v>
      </c>
      <c r="BK35" s="3">
        <f>Wapato_Sales[[#This Row],[Fin BSMT]]*Lookups!$B$19</f>
        <v>0</v>
      </c>
      <c r="BL35" s="3">
        <f>Wapato_Sales[[#This Row],[garage_sqft]]*Lookups!$B$20</f>
        <v>0</v>
      </c>
      <c r="BM35" s="3">
        <f>Wapato_Sales[[#This Row],[Patio]]*Lookups!$B$21</f>
        <v>0</v>
      </c>
      <c r="BN35" s="3">
        <f>Wapato_Sales[[#This Row],[detatched_value]]*Lookups!$B$22</f>
        <v>10342.910599999999</v>
      </c>
      <c r="BO35" s="3">
        <f>Wapato_Sales[[#This Row],[days_prior]]*Lookups!$B$23</f>
        <v>-80006.611120000001</v>
      </c>
      <c r="BP35" s="3">
        <f>SUM(Wapato_Sales[[#This Row],[land_value]:[days_prior_value]])</f>
        <v>153323.38931498147</v>
      </c>
      <c r="BQ35" s="2">
        <f>Wapato_Sales[[#This Row],[predicted_total]]/Wapato_Sales[[#This Row],[sale_price]]</f>
        <v>0.80274025819362027</v>
      </c>
      <c r="BR35" s="3">
        <f>Wapato_Sales[[#This Row],[predicted_total]]-Wapato_Sales[[#This Row],[sale_price]]</f>
        <v>-37676.610685018532</v>
      </c>
      <c r="BS35" s="3">
        <f>Wapato_Sales[[#This Row],[pred_var]]*Wapato_Sales[[#This Row],[pred_var]]</f>
        <v>1419526992.7104526</v>
      </c>
      <c r="BT35" s="2">
        <f>VLOOKUP(Wapato_Sales[[#This Row],[quality]],Lookups!$A$28:$C$37,3,FALSE)</f>
        <v>0.98196844879778955</v>
      </c>
      <c r="BU35" s="2">
        <f>VLOOKUP(Wapato_Sales[[#This Row],[condition]],Lookups!$A$41:$C$48,3,FALSE)</f>
        <v>0.9832333997567807</v>
      </c>
      <c r="BV35" s="2">
        <f>VLOOKUP(Wapato_Sales[[#This Row],[decade]],Lookups!$F$28:$H$43,3,FALSE)</f>
        <v>0.94742695999815718</v>
      </c>
      <c r="BW35" s="2">
        <f>VLOOKUP(Wapato_Sales[[#This Row],[living_area_range]],Lookups!$K$28:$M$37,3,FALSE)</f>
        <v>0.99022994770196116</v>
      </c>
      <c r="BX35" s="2">
        <f>AVERAGE(Wapato_Sales[[#This Row],[qual_adj]:[size_adj]])</f>
        <v>0.97571468906367209</v>
      </c>
      <c r="BY35" s="3">
        <f>SUM(Wapato_Sales[[#This Row],[quality_value]:[days_prior_value]])+(Wapato_Sales[[#This Row],[intercept]]*0.5)-Wapato_Sales[[#This Row],[det_value]]</f>
        <v>77347.686836000008</v>
      </c>
      <c r="BZ35" s="3">
        <f>Wapato_Sales[[#This Row],[land_value]]+(0.5*Wapato_Sales[[#This Row],[intercept]])</f>
        <v>65632.791878981443</v>
      </c>
      <c r="CA35" s="3">
        <f>Wapato_Sales[[#This Row],[det_value]]</f>
        <v>10342.910599999999</v>
      </c>
      <c r="CB35" s="3">
        <f>Wapato_Sales[[#This Row],[summed_res]]*Wapato_Sales[[#This Row],[overall_adj]]</f>
        <v>75469.274210982025</v>
      </c>
      <c r="CC35" s="3">
        <f>Wapato_Sales[[#This Row],[final_res]]+Wapato_Sales[[#This Row],[final_det]]+Wapato_Sales[[#This Row],[final_land]]</f>
        <v>151444.97668996349</v>
      </c>
      <c r="CD35" s="2">
        <f>Wapato_Sales[[#This Row],[final_total]]/Wapato_Sales[[#This Row],[sale_price]]</f>
        <v>0.79290563712022766</v>
      </c>
      <c r="CE35" s="3">
        <f>(Wapato_Sales[[#This Row],[final_total]]-Wapato_Sales[[#This Row],[sale_price]])^2</f>
        <v>1564599869.0575321</v>
      </c>
      <c r="CF35" s="3">
        <f>(Wapato_Sales[[#This Row],[final_total]]-AVERAGE(Wapato_Sales[sale_price]))^2</f>
        <v>2765166225.6624908</v>
      </c>
      <c r="CG35" s="3">
        <f>Wapato_Sales[[#This Row],[SSE]]+Wapato_Sales[[#This Row],[SSR]]</f>
        <v>4329766094.7200232</v>
      </c>
      <c r="CH35" s="2">
        <f>ABS(Wapato_Sales[[#This Row],[final_ratio]]-MEDIAN(Wapato_Sales[final_ratio]))</f>
        <v>0.18907088907318537</v>
      </c>
    </row>
    <row r="36" spans="1:86" x14ac:dyDescent="0.25">
      <c r="A36">
        <v>19111523464</v>
      </c>
      <c r="B36">
        <v>0.21</v>
      </c>
      <c r="C36">
        <v>9283</v>
      </c>
      <c r="D36">
        <v>0</v>
      </c>
      <c r="E36" t="s">
        <v>54</v>
      </c>
      <c r="F36" t="s">
        <v>54</v>
      </c>
      <c r="G36">
        <v>3</v>
      </c>
      <c r="H36" t="s">
        <v>55</v>
      </c>
      <c r="I36">
        <v>128900</v>
      </c>
      <c r="J36">
        <v>34800</v>
      </c>
      <c r="K36">
        <v>0.21</v>
      </c>
      <c r="L36">
        <v>0</v>
      </c>
      <c r="M36">
        <v>0</v>
      </c>
      <c r="N36">
        <v>0</v>
      </c>
      <c r="O36">
        <v>27904.037</v>
      </c>
      <c r="P36">
        <v>74398.407600000006</v>
      </c>
      <c r="Q36">
        <f t="shared" si="0"/>
        <v>30850.035088456018</v>
      </c>
      <c r="R36">
        <f t="shared" si="1"/>
        <v>-1.5606477482646683</v>
      </c>
      <c r="S36" t="s">
        <v>66</v>
      </c>
      <c r="T36">
        <v>1</v>
      </c>
      <c r="U36" t="s">
        <v>67</v>
      </c>
      <c r="V36" t="s">
        <v>68</v>
      </c>
      <c r="W36">
        <v>0</v>
      </c>
      <c r="X36">
        <v>0</v>
      </c>
      <c r="Y36">
        <v>53</v>
      </c>
      <c r="Z36">
        <v>93</v>
      </c>
      <c r="AA36">
        <v>90</v>
      </c>
      <c r="AB36">
        <v>1000</v>
      </c>
      <c r="AC36">
        <v>999</v>
      </c>
      <c r="AD36">
        <v>999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5</v>
      </c>
      <c r="AM36">
        <v>0</v>
      </c>
      <c r="AN36">
        <v>0</v>
      </c>
      <c r="AO36" t="s">
        <v>82</v>
      </c>
      <c r="AP36">
        <v>0</v>
      </c>
      <c r="AQ36" t="s">
        <v>80</v>
      </c>
      <c r="AR36" t="s">
        <v>77</v>
      </c>
      <c r="AS36">
        <v>0</v>
      </c>
      <c r="AT36">
        <v>3</v>
      </c>
      <c r="AU36">
        <v>0</v>
      </c>
      <c r="AV36">
        <v>0</v>
      </c>
      <c r="AW36">
        <v>100</v>
      </c>
      <c r="AX36" s="1">
        <v>44019</v>
      </c>
      <c r="AY36">
        <v>25500</v>
      </c>
      <c r="AZ36">
        <v>109281</v>
      </c>
      <c r="BA36">
        <v>134800</v>
      </c>
      <c r="BB36">
        <v>135000</v>
      </c>
      <c r="BC36">
        <v>908</v>
      </c>
      <c r="BD36" s="3">
        <f>Wapato_Sales[[#This Row],[land_extract]]*Lookups!$B$3</f>
        <v>3134.5610052116976</v>
      </c>
      <c r="BE36" s="3">
        <f>Lookups!$B$2</f>
        <v>107530.54</v>
      </c>
      <c r="BF36">
        <f>VLOOKUP(Wapato_Sales[[#This Row],[quality]],Lookups!$H$2:$J$11,3,FALSE)</f>
        <v>50405</v>
      </c>
      <c r="BG36">
        <f>VLOOKUP(Wapato_Sales[[#This Row],[condition]],Lookups!$H$17:$J$24,3,FALSE)</f>
        <v>52231</v>
      </c>
      <c r="BH36" s="3">
        <f>Wapato_Sales[[#This Row],[Age]]*Lookups!$B$16</f>
        <v>-34472.840100000001</v>
      </c>
      <c r="BI36" s="3">
        <f>Wapato_Sales[[#This Row],[Main Floor]]*Lookups!$B$17</f>
        <v>41758.938261000003</v>
      </c>
      <c r="BJ36" s="3">
        <f>Wapato_Sales[[#This Row],[Upper Floor]]*Lookups!$B$18</f>
        <v>0</v>
      </c>
      <c r="BK36" s="3">
        <f>Wapato_Sales[[#This Row],[Fin BSMT]]*Lookups!$B$19</f>
        <v>0</v>
      </c>
      <c r="BL36" s="3">
        <f>Wapato_Sales[[#This Row],[garage_sqft]]*Lookups!$B$20</f>
        <v>0</v>
      </c>
      <c r="BM36" s="3">
        <f>Wapato_Sales[[#This Row],[Patio]]*Lookups!$B$21</f>
        <v>0</v>
      </c>
      <c r="BN36" s="3">
        <f>Wapato_Sales[[#This Row],[detatched_value]]*Lookups!$B$22</f>
        <v>0</v>
      </c>
      <c r="BO36" s="3">
        <f>Wapato_Sales[[#This Row],[days_prior]]*Lookups!$B$23</f>
        <v>-67956.971839999998</v>
      </c>
      <c r="BP36" s="3">
        <f>SUM(Wapato_Sales[[#This Row],[land_value]:[days_prior_value]])</f>
        <v>152630.22732621169</v>
      </c>
      <c r="BQ36" s="2">
        <f>Wapato_Sales[[#This Row],[predicted_total]]/Wapato_Sales[[#This Row],[sale_price]]</f>
        <v>1.1305942764904571</v>
      </c>
      <c r="BR36" s="3">
        <f>Wapato_Sales[[#This Row],[predicted_total]]-Wapato_Sales[[#This Row],[sale_price]]</f>
        <v>17630.227326211694</v>
      </c>
      <c r="BS36" s="3">
        <f>Wapato_Sales[[#This Row],[pred_var]]*Wapato_Sales[[#This Row],[pred_var]]</f>
        <v>310824915.57390153</v>
      </c>
      <c r="BT36" s="2">
        <f>VLOOKUP(Wapato_Sales[[#This Row],[quality]],Lookups!$A$28:$C$37,3,FALSE)</f>
        <v>0.97993206410140754</v>
      </c>
      <c r="BU36" s="2">
        <f>VLOOKUP(Wapato_Sales[[#This Row],[condition]],Lookups!$A$41:$C$48,3,FALSE)</f>
        <v>0.9832333997567807</v>
      </c>
      <c r="BV36" s="2">
        <f>VLOOKUP(Wapato_Sales[[#This Row],[decade]],Lookups!$F$28:$H$43,3,FALSE)</f>
        <v>0.94742695999815718</v>
      </c>
      <c r="BW36" s="2">
        <f>VLOOKUP(Wapato_Sales[[#This Row],[living_area_range]],Lookups!$K$28:$M$37,3,FALSE)</f>
        <v>0.99022994770196116</v>
      </c>
      <c r="BX36" s="2">
        <f>AVERAGE(Wapato_Sales[[#This Row],[qual_adj]:[size_adj]])</f>
        <v>0.97520559288957664</v>
      </c>
      <c r="BY36" s="3">
        <f>SUM(Wapato_Sales[[#This Row],[quality_value]:[days_prior_value]])+(Wapato_Sales[[#This Row],[intercept]]*0.5)-Wapato_Sales[[#This Row],[det_value]]</f>
        <v>95730.396321000007</v>
      </c>
      <c r="BZ36" s="3">
        <f>Wapato_Sales[[#This Row],[land_value]]+(0.5*Wapato_Sales[[#This Row],[intercept]])</f>
        <v>56899.831005211694</v>
      </c>
      <c r="CA36" s="3">
        <f>Wapato_Sales[[#This Row],[det_value]]</f>
        <v>0</v>
      </c>
      <c r="CB36" s="3">
        <f>Wapato_Sales[[#This Row],[summed_res]]*Wapato_Sales[[#This Row],[overall_adj]]</f>
        <v>93356.817901774964</v>
      </c>
      <c r="CC36" s="3">
        <f>Wapato_Sales[[#This Row],[final_res]]+Wapato_Sales[[#This Row],[final_det]]+Wapato_Sales[[#This Row],[final_land]]</f>
        <v>150256.64890698667</v>
      </c>
      <c r="CD36" s="2">
        <f>Wapato_Sales[[#This Row],[final_total]]/Wapato_Sales[[#This Row],[sale_price]]</f>
        <v>1.1130122141258272</v>
      </c>
      <c r="CE36" s="3">
        <f>(Wapato_Sales[[#This Row],[final_total]]-Wapato_Sales[[#This Row],[sale_price]])^2</f>
        <v>232765335.87105742</v>
      </c>
      <c r="CF36" s="3">
        <f>(Wapato_Sales[[#This Row],[final_total]]-AVERAGE(Wapato_Sales[sale_price]))^2</f>
        <v>2891554419.9607687</v>
      </c>
      <c r="CG36" s="3">
        <f>Wapato_Sales[[#This Row],[SSE]]+Wapato_Sales[[#This Row],[SSR]]</f>
        <v>3124319755.8318262</v>
      </c>
      <c r="CH36" s="2">
        <f>ABS(Wapato_Sales[[#This Row],[final_ratio]]-MEDIAN(Wapato_Sales[final_ratio]))</f>
        <v>0.13103568793241416</v>
      </c>
    </row>
    <row r="37" spans="1:86" x14ac:dyDescent="0.25">
      <c r="A37">
        <v>19111041432</v>
      </c>
      <c r="B37">
        <v>0.17</v>
      </c>
      <c r="C37">
        <v>7227</v>
      </c>
      <c r="D37">
        <v>0</v>
      </c>
      <c r="E37" t="s">
        <v>54</v>
      </c>
      <c r="F37" t="s">
        <v>54</v>
      </c>
      <c r="G37">
        <v>3</v>
      </c>
      <c r="H37" t="s">
        <v>55</v>
      </c>
      <c r="I37">
        <v>172300</v>
      </c>
      <c r="J37">
        <v>33200</v>
      </c>
      <c r="K37">
        <v>0.17</v>
      </c>
      <c r="L37">
        <v>0</v>
      </c>
      <c r="M37">
        <v>0</v>
      </c>
      <c r="N37">
        <v>0</v>
      </c>
      <c r="O37">
        <v>27904.037</v>
      </c>
      <c r="P37">
        <v>74398.407600000006</v>
      </c>
      <c r="Q37">
        <f t="shared" si="0"/>
        <v>24953.658320329807</v>
      </c>
      <c r="R37">
        <f t="shared" si="1"/>
        <v>-1.7719568419318752</v>
      </c>
      <c r="S37" t="s">
        <v>66</v>
      </c>
      <c r="T37">
        <v>1</v>
      </c>
      <c r="U37" t="s">
        <v>71</v>
      </c>
      <c r="V37" t="s">
        <v>68</v>
      </c>
      <c r="W37">
        <v>0</v>
      </c>
      <c r="X37">
        <v>0</v>
      </c>
      <c r="Y37">
        <v>53</v>
      </c>
      <c r="Z37">
        <v>93</v>
      </c>
      <c r="AA37">
        <v>90</v>
      </c>
      <c r="AB37">
        <v>1000</v>
      </c>
      <c r="AC37">
        <v>784</v>
      </c>
      <c r="AD37">
        <v>784</v>
      </c>
      <c r="AE37">
        <v>0</v>
      </c>
      <c r="AF37">
        <v>0</v>
      </c>
      <c r="AG37">
        <v>0</v>
      </c>
      <c r="AH37">
        <v>0</v>
      </c>
      <c r="AI37">
        <v>192</v>
      </c>
      <c r="AJ37">
        <v>0</v>
      </c>
      <c r="AK37">
        <v>0</v>
      </c>
      <c r="AL37">
        <v>5</v>
      </c>
      <c r="AM37">
        <v>0</v>
      </c>
      <c r="AN37">
        <v>0</v>
      </c>
      <c r="AO37" t="s">
        <v>59</v>
      </c>
      <c r="AP37">
        <v>1</v>
      </c>
      <c r="AQ37" t="s">
        <v>64</v>
      </c>
      <c r="AR37" t="s">
        <v>61</v>
      </c>
      <c r="AS37">
        <v>1</v>
      </c>
      <c r="AT37">
        <v>2</v>
      </c>
      <c r="AU37">
        <v>0</v>
      </c>
      <c r="AV37">
        <v>0</v>
      </c>
      <c r="AW37">
        <v>100</v>
      </c>
      <c r="AX37" s="1">
        <v>44054</v>
      </c>
      <c r="AY37">
        <v>27800</v>
      </c>
      <c r="AZ37">
        <v>70171</v>
      </c>
      <c r="BA37">
        <v>98000</v>
      </c>
      <c r="BB37">
        <v>100000</v>
      </c>
      <c r="BC37">
        <v>873</v>
      </c>
      <c r="BD37" s="3">
        <f>Wapato_Sales[[#This Row],[land_extract]]*Lookups!$B$3</f>
        <v>2535.4513887587586</v>
      </c>
      <c r="BE37" s="3">
        <f>Lookups!$B$2</f>
        <v>107530.54</v>
      </c>
      <c r="BF37">
        <f>VLOOKUP(Wapato_Sales[[#This Row],[quality]],Lookups!$H$2:$J$11,3,FALSE)</f>
        <v>28034</v>
      </c>
      <c r="BG37">
        <f>VLOOKUP(Wapato_Sales[[#This Row],[condition]],Lookups!$H$17:$J$24,3,FALSE)</f>
        <v>52231</v>
      </c>
      <c r="BH37" s="3">
        <f>Wapato_Sales[[#This Row],[Age]]*Lookups!$B$16</f>
        <v>-34472.840100000001</v>
      </c>
      <c r="BI37" s="3">
        <f>Wapato_Sales[[#This Row],[Main Floor]]*Lookups!$B$17</f>
        <v>32771.779375999999</v>
      </c>
      <c r="BJ37" s="3">
        <f>Wapato_Sales[[#This Row],[Upper Floor]]*Lookups!$B$18</f>
        <v>0</v>
      </c>
      <c r="BK37" s="3">
        <f>Wapato_Sales[[#This Row],[Fin BSMT]]*Lookups!$B$19</f>
        <v>0</v>
      </c>
      <c r="BL37" s="3">
        <f>Wapato_Sales[[#This Row],[garage_sqft]]*Lookups!$B$20</f>
        <v>0</v>
      </c>
      <c r="BM37" s="3">
        <f>Wapato_Sales[[#This Row],[Patio]]*Lookups!$B$21</f>
        <v>0</v>
      </c>
      <c r="BN37" s="3">
        <f>Wapato_Sales[[#This Row],[detatched_value]]*Lookups!$B$22</f>
        <v>0</v>
      </c>
      <c r="BO37" s="3">
        <f>Wapato_Sales[[#This Row],[days_prior]]*Lookups!$B$23</f>
        <v>-65337.485039999992</v>
      </c>
      <c r="BP37" s="3">
        <f>SUM(Wapato_Sales[[#This Row],[land_value]:[days_prior_value]])</f>
        <v>123292.44562475875</v>
      </c>
      <c r="BQ37" s="2">
        <f>Wapato_Sales[[#This Row],[predicted_total]]/Wapato_Sales[[#This Row],[sale_price]]</f>
        <v>1.2329244562475876</v>
      </c>
      <c r="BR37" s="3">
        <f>Wapato_Sales[[#This Row],[predicted_total]]-Wapato_Sales[[#This Row],[sale_price]]</f>
        <v>23292.445624758751</v>
      </c>
      <c r="BS37" s="3">
        <f>Wapato_Sales[[#This Row],[pred_var]]*Wapato_Sales[[#This Row],[pred_var]]</f>
        <v>542538023.18234313</v>
      </c>
      <c r="BT37" s="2">
        <f>VLOOKUP(Wapato_Sales[[#This Row],[quality]],Lookups!$A$28:$C$37,3,FALSE)</f>
        <v>0.96265813922927435</v>
      </c>
      <c r="BU37" s="2">
        <f>VLOOKUP(Wapato_Sales[[#This Row],[condition]],Lookups!$A$41:$C$48,3,FALSE)</f>
        <v>0.9832333997567807</v>
      </c>
      <c r="BV37" s="2">
        <f>VLOOKUP(Wapato_Sales[[#This Row],[decade]],Lookups!$F$28:$H$43,3,FALSE)</f>
        <v>0.94742695999815718</v>
      </c>
      <c r="BW37" s="2">
        <f>VLOOKUP(Wapato_Sales[[#This Row],[living_area_range]],Lookups!$K$28:$M$37,3,FALSE)</f>
        <v>0.99022994770196116</v>
      </c>
      <c r="BX37" s="2">
        <f>AVERAGE(Wapato_Sales[[#This Row],[qual_adj]:[size_adj]])</f>
        <v>0.97088711167154329</v>
      </c>
      <c r="BY37" s="3">
        <f>SUM(Wapato_Sales[[#This Row],[quality_value]:[days_prior_value]])+(Wapato_Sales[[#This Row],[intercept]]*0.5)-Wapato_Sales[[#This Row],[det_value]]</f>
        <v>66991.724235999995</v>
      </c>
      <c r="BZ37" s="3">
        <f>Wapato_Sales[[#This Row],[land_value]]+(0.5*Wapato_Sales[[#This Row],[intercept]])</f>
        <v>56300.721388758757</v>
      </c>
      <c r="CA37" s="3">
        <f>Wapato_Sales[[#This Row],[det_value]]</f>
        <v>0</v>
      </c>
      <c r="CB37" s="3">
        <f>Wapato_Sales[[#This Row],[summed_res]]*Wapato_Sales[[#This Row],[overall_adj]]</f>
        <v>65041.401649386557</v>
      </c>
      <c r="CC37" s="3">
        <f>Wapato_Sales[[#This Row],[final_res]]+Wapato_Sales[[#This Row],[final_det]]+Wapato_Sales[[#This Row],[final_land]]</f>
        <v>121342.12303814531</v>
      </c>
      <c r="CD37" s="2">
        <f>Wapato_Sales[[#This Row],[final_total]]/Wapato_Sales[[#This Row],[sale_price]]</f>
        <v>1.2134212303814531</v>
      </c>
      <c r="CE37" s="3">
        <f>(Wapato_Sales[[#This Row],[final_total]]-Wapato_Sales[[#This Row],[sale_price]])^2</f>
        <v>455486215.77533263</v>
      </c>
      <c r="CF37" s="3">
        <f>(Wapato_Sales[[#This Row],[final_total]]-AVERAGE(Wapato_Sales[sale_price]))^2</f>
        <v>6837255983.1994371</v>
      </c>
      <c r="CG37" s="3">
        <f>Wapato_Sales[[#This Row],[SSE]]+Wapato_Sales[[#This Row],[SSR]]</f>
        <v>7292742198.9747696</v>
      </c>
      <c r="CH37" s="2">
        <f>ABS(Wapato_Sales[[#This Row],[final_ratio]]-MEDIAN(Wapato_Sales[final_ratio]))</f>
        <v>0.23144470418804008</v>
      </c>
    </row>
    <row r="38" spans="1:86" x14ac:dyDescent="0.25">
      <c r="A38">
        <v>19110944449</v>
      </c>
      <c r="B38">
        <v>0.51</v>
      </c>
      <c r="C38">
        <v>22160</v>
      </c>
      <c r="D38">
        <v>0</v>
      </c>
      <c r="E38" t="s">
        <v>54</v>
      </c>
      <c r="F38" t="s">
        <v>54</v>
      </c>
      <c r="G38">
        <v>3</v>
      </c>
      <c r="H38" t="s">
        <v>55</v>
      </c>
      <c r="I38">
        <v>136000</v>
      </c>
      <c r="J38">
        <v>40500</v>
      </c>
      <c r="K38">
        <v>0.51</v>
      </c>
      <c r="L38">
        <v>0</v>
      </c>
      <c r="M38">
        <v>0</v>
      </c>
      <c r="N38">
        <v>0</v>
      </c>
      <c r="O38">
        <v>27904.037</v>
      </c>
      <c r="P38">
        <v>74398.407600000006</v>
      </c>
      <c r="Q38">
        <f t="shared" si="0"/>
        <v>55609.376271979418</v>
      </c>
      <c r="R38">
        <f t="shared" si="1"/>
        <v>-0.67334455326376563</v>
      </c>
      <c r="S38" t="s">
        <v>66</v>
      </c>
      <c r="T38">
        <v>1</v>
      </c>
      <c r="U38" t="s">
        <v>75</v>
      </c>
      <c r="V38" t="s">
        <v>68</v>
      </c>
      <c r="W38">
        <v>0</v>
      </c>
      <c r="X38">
        <v>0</v>
      </c>
      <c r="Y38">
        <v>53</v>
      </c>
      <c r="Z38">
        <v>93</v>
      </c>
      <c r="AA38">
        <v>90</v>
      </c>
      <c r="AB38">
        <v>1500</v>
      </c>
      <c r="AC38">
        <v>1010</v>
      </c>
      <c r="AD38">
        <v>1010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5</v>
      </c>
      <c r="AM38">
        <v>0</v>
      </c>
      <c r="AN38">
        <v>0</v>
      </c>
      <c r="AO38" t="s">
        <v>59</v>
      </c>
      <c r="AP38">
        <v>1</v>
      </c>
      <c r="AQ38" t="s">
        <v>64</v>
      </c>
      <c r="AR38" t="s">
        <v>77</v>
      </c>
      <c r="AS38">
        <v>0</v>
      </c>
      <c r="AT38">
        <v>2</v>
      </c>
      <c r="AU38">
        <v>0</v>
      </c>
      <c r="AV38">
        <v>5800</v>
      </c>
      <c r="AW38">
        <v>100</v>
      </c>
      <c r="AX38" s="1">
        <v>44463</v>
      </c>
      <c r="AY38">
        <v>30400</v>
      </c>
      <c r="AZ38">
        <v>100457</v>
      </c>
      <c r="BA38">
        <v>130900</v>
      </c>
      <c r="BB38">
        <v>125000</v>
      </c>
      <c r="BC38">
        <v>464</v>
      </c>
      <c r="BD38" s="3">
        <f>Wapato_Sales[[#This Row],[land_extract]]*Lookups!$B$3</f>
        <v>5650.2685292412498</v>
      </c>
      <c r="BE38" s="3">
        <f>Lookups!$B$2</f>
        <v>107530.54</v>
      </c>
      <c r="BF38">
        <f>VLOOKUP(Wapato_Sales[[#This Row],[quality]],Lookups!$H$2:$J$11,3,FALSE)</f>
        <v>48043</v>
      </c>
      <c r="BG38">
        <f>VLOOKUP(Wapato_Sales[[#This Row],[condition]],Lookups!$H$17:$J$24,3,FALSE)</f>
        <v>52231</v>
      </c>
      <c r="BH38" s="3">
        <f>Wapato_Sales[[#This Row],[Age]]*Lookups!$B$16</f>
        <v>-34472.840100000001</v>
      </c>
      <c r="BI38" s="3">
        <f>Wapato_Sales[[#This Row],[Main Floor]]*Lookups!$B$17</f>
        <v>42218.74639</v>
      </c>
      <c r="BJ38" s="3">
        <f>Wapato_Sales[[#This Row],[Upper Floor]]*Lookups!$B$18</f>
        <v>0</v>
      </c>
      <c r="BK38" s="3">
        <f>Wapato_Sales[[#This Row],[Fin BSMT]]*Lookups!$B$19</f>
        <v>0</v>
      </c>
      <c r="BL38" s="3">
        <f>Wapato_Sales[[#This Row],[garage_sqft]]*Lookups!$B$20</f>
        <v>0</v>
      </c>
      <c r="BM38" s="3">
        <f>Wapato_Sales[[#This Row],[Patio]]*Lookups!$B$21</f>
        <v>0</v>
      </c>
      <c r="BN38" s="3">
        <f>Wapato_Sales[[#This Row],[detatched_value]]*Lookups!$B$22</f>
        <v>5453.5346799999998</v>
      </c>
      <c r="BO38" s="3">
        <f>Wapato_Sales[[#This Row],[days_prior]]*Lookups!$B$23</f>
        <v>-34726.91072</v>
      </c>
      <c r="BP38" s="3">
        <f>SUM(Wapato_Sales[[#This Row],[land_value]:[days_prior_value]])</f>
        <v>191927.33877924125</v>
      </c>
      <c r="BQ38" s="2">
        <f>Wapato_Sales[[#This Row],[predicted_total]]/Wapato_Sales[[#This Row],[sale_price]]</f>
        <v>1.5354187102339301</v>
      </c>
      <c r="BR38" s="3">
        <f>Wapato_Sales[[#This Row],[predicted_total]]-Wapato_Sales[[#This Row],[sale_price]]</f>
        <v>66927.338779241254</v>
      </c>
      <c r="BS38" s="3">
        <f>Wapato_Sales[[#This Row],[pred_var]]*Wapato_Sales[[#This Row],[pred_var]]</f>
        <v>4479268676.0713301</v>
      </c>
      <c r="BT38" s="2">
        <f>VLOOKUP(Wapato_Sales[[#This Row],[quality]],Lookups!$A$28:$C$37,3,FALSE)</f>
        <v>0.98196844879778955</v>
      </c>
      <c r="BU38" s="2">
        <f>VLOOKUP(Wapato_Sales[[#This Row],[condition]],Lookups!$A$41:$C$48,3,FALSE)</f>
        <v>0.9832333997567807</v>
      </c>
      <c r="BV38" s="2">
        <f>VLOOKUP(Wapato_Sales[[#This Row],[decade]],Lookups!$F$28:$H$43,3,FALSE)</f>
        <v>0.94742695999815718</v>
      </c>
      <c r="BW38" s="2">
        <f>VLOOKUP(Wapato_Sales[[#This Row],[living_area_range]],Lookups!$K$28:$M$37,3,FALSE)</f>
        <v>1.0061411172456287</v>
      </c>
      <c r="BX38" s="2">
        <f>AVERAGE(Wapato_Sales[[#This Row],[qual_adj]:[size_adj]])</f>
        <v>0.97969248144958898</v>
      </c>
      <c r="BY38" s="3">
        <f>SUM(Wapato_Sales[[#This Row],[quality_value]:[days_prior_value]])+(Wapato_Sales[[#This Row],[intercept]]*0.5)-Wapato_Sales[[#This Row],[det_value]]</f>
        <v>127058.26557</v>
      </c>
      <c r="BZ38" s="3">
        <f>Wapato_Sales[[#This Row],[land_value]]+(0.5*Wapato_Sales[[#This Row],[intercept]])</f>
        <v>59415.538529241247</v>
      </c>
      <c r="CA38" s="3">
        <f>Wapato_Sales[[#This Row],[det_value]]</f>
        <v>5453.5346799999998</v>
      </c>
      <c r="CB38" s="3">
        <f>Wapato_Sales[[#This Row],[summed_res]]*Wapato_Sales[[#This Row],[overall_adj]]</f>
        <v>124478.02748495417</v>
      </c>
      <c r="CC38" s="3">
        <f>Wapato_Sales[[#This Row],[final_res]]+Wapato_Sales[[#This Row],[final_det]]+Wapato_Sales[[#This Row],[final_land]]</f>
        <v>189347.10069419543</v>
      </c>
      <c r="CD38" s="2">
        <f>Wapato_Sales[[#This Row],[final_total]]/Wapato_Sales[[#This Row],[sale_price]]</f>
        <v>1.5147768055535633</v>
      </c>
      <c r="CE38" s="3">
        <f>(Wapato_Sales[[#This Row],[final_total]]-Wapato_Sales[[#This Row],[sale_price]])^2</f>
        <v>4140549367.7489252</v>
      </c>
      <c r="CF38" s="3">
        <f>(Wapato_Sales[[#This Row],[final_total]]-AVERAGE(Wapato_Sales[sale_price]))^2</f>
        <v>215582380.16068196</v>
      </c>
      <c r="CG38" s="3">
        <f>Wapato_Sales[[#This Row],[SSE]]+Wapato_Sales[[#This Row],[SSR]]</f>
        <v>4356131747.9096069</v>
      </c>
      <c r="CH38" s="2">
        <f>ABS(Wapato_Sales[[#This Row],[final_ratio]]-MEDIAN(Wapato_Sales[final_ratio]))</f>
        <v>0.53280027936015029</v>
      </c>
    </row>
    <row r="39" spans="1:86" x14ac:dyDescent="0.25">
      <c r="A39">
        <v>19111133505</v>
      </c>
      <c r="B39">
        <v>0.18</v>
      </c>
      <c r="C39">
        <v>7735</v>
      </c>
      <c r="D39">
        <v>0</v>
      </c>
      <c r="E39" t="s">
        <v>54</v>
      </c>
      <c r="F39" t="s">
        <v>54</v>
      </c>
      <c r="G39">
        <v>3</v>
      </c>
      <c r="H39" t="s">
        <v>55</v>
      </c>
      <c r="I39">
        <v>67600</v>
      </c>
      <c r="J39">
        <v>33700</v>
      </c>
      <c r="K39">
        <v>0.18</v>
      </c>
      <c r="L39">
        <v>0</v>
      </c>
      <c r="M39">
        <v>0</v>
      </c>
      <c r="N39">
        <v>0</v>
      </c>
      <c r="O39">
        <v>27904.037</v>
      </c>
      <c r="P39">
        <v>74398.407600000006</v>
      </c>
      <c r="Q39">
        <f t="shared" si="0"/>
        <v>26548.608814981046</v>
      </c>
      <c r="R39">
        <f t="shared" si="1"/>
        <v>-1.7147984280919266</v>
      </c>
      <c r="S39" t="s">
        <v>83</v>
      </c>
      <c r="T39">
        <v>1</v>
      </c>
      <c r="U39" t="s">
        <v>78</v>
      </c>
      <c r="V39" t="s">
        <v>73</v>
      </c>
      <c r="W39">
        <v>0</v>
      </c>
      <c r="X39">
        <v>0</v>
      </c>
      <c r="Y39">
        <v>53</v>
      </c>
      <c r="Z39">
        <v>98</v>
      </c>
      <c r="AA39">
        <v>100</v>
      </c>
      <c r="AB39">
        <v>1000</v>
      </c>
      <c r="AC39">
        <v>776</v>
      </c>
      <c r="AD39">
        <v>776</v>
      </c>
      <c r="AE39">
        <v>0</v>
      </c>
      <c r="AF39">
        <v>0</v>
      </c>
      <c r="AG39">
        <v>180</v>
      </c>
      <c r="AH39">
        <v>0</v>
      </c>
      <c r="AI39">
        <v>0</v>
      </c>
      <c r="AJ39">
        <v>0</v>
      </c>
      <c r="AK39">
        <v>0</v>
      </c>
      <c r="AL39">
        <v>5</v>
      </c>
      <c r="AM39">
        <v>0</v>
      </c>
      <c r="AN39">
        <v>0</v>
      </c>
      <c r="AO39" t="s">
        <v>59</v>
      </c>
      <c r="AP39">
        <v>0</v>
      </c>
      <c r="AQ39" t="s">
        <v>80</v>
      </c>
      <c r="AR39" t="s">
        <v>65</v>
      </c>
      <c r="AS39">
        <v>0</v>
      </c>
      <c r="AT39">
        <v>2</v>
      </c>
      <c r="AU39">
        <v>0</v>
      </c>
      <c r="AV39">
        <v>0</v>
      </c>
      <c r="AW39">
        <v>100</v>
      </c>
      <c r="AX39" s="1">
        <v>44138</v>
      </c>
      <c r="AY39">
        <v>28200</v>
      </c>
      <c r="AZ39">
        <v>38411</v>
      </c>
      <c r="BA39">
        <v>66600</v>
      </c>
      <c r="BB39">
        <v>100000</v>
      </c>
      <c r="BC39">
        <v>789</v>
      </c>
      <c r="BD39" s="3">
        <f>Wapato_Sales[[#This Row],[land_extract]]*Lookups!$B$3</f>
        <v>2697.5085666984901</v>
      </c>
      <c r="BE39" s="3">
        <f>Lookups!$B$2</f>
        <v>107530.54</v>
      </c>
      <c r="BF39">
        <f>VLOOKUP(Wapato_Sales[[#This Row],[quality]],Lookups!$H$2:$J$11,3,FALSE)</f>
        <v>23424</v>
      </c>
      <c r="BG39">
        <f>VLOOKUP(Wapato_Sales[[#This Row],[condition]],Lookups!$H$17:$J$24,3,FALSE)</f>
        <v>16276</v>
      </c>
      <c r="BH39" s="3">
        <f>Wapato_Sales[[#This Row],[Age]]*Lookups!$B$16</f>
        <v>-36326.2186</v>
      </c>
      <c r="BI39" s="3">
        <f>Wapato_Sales[[#This Row],[Main Floor]]*Lookups!$B$17</f>
        <v>32437.373464</v>
      </c>
      <c r="BJ39" s="3">
        <f>Wapato_Sales[[#This Row],[Upper Floor]]*Lookups!$B$18</f>
        <v>0</v>
      </c>
      <c r="BK39" s="3">
        <f>Wapato_Sales[[#This Row],[Fin BSMT]]*Lookups!$B$19</f>
        <v>0</v>
      </c>
      <c r="BL39" s="3">
        <f>Wapato_Sales[[#This Row],[garage_sqft]]*Lookups!$B$20</f>
        <v>0</v>
      </c>
      <c r="BM39" s="3">
        <f>Wapato_Sales[[#This Row],[Patio]]*Lookups!$B$21</f>
        <v>0</v>
      </c>
      <c r="BN39" s="3">
        <f>Wapato_Sales[[#This Row],[detatched_value]]*Lookups!$B$22</f>
        <v>0</v>
      </c>
      <c r="BO39" s="3">
        <f>Wapato_Sales[[#This Row],[days_prior]]*Lookups!$B$23</f>
        <v>-59050.716719999997</v>
      </c>
      <c r="BP39" s="3">
        <f>SUM(Wapato_Sales[[#This Row],[land_value]:[days_prior_value]])</f>
        <v>86988.486710698518</v>
      </c>
      <c r="BQ39" s="2">
        <f>Wapato_Sales[[#This Row],[predicted_total]]/Wapato_Sales[[#This Row],[sale_price]]</f>
        <v>0.8698848671069852</v>
      </c>
      <c r="BR39" s="3">
        <f>Wapato_Sales[[#This Row],[predicted_total]]-Wapato_Sales[[#This Row],[sale_price]]</f>
        <v>-13011.513289301482</v>
      </c>
      <c r="BS39" s="3">
        <f>Wapato_Sales[[#This Row],[pred_var]]*Wapato_Sales[[#This Row],[pred_var]]</f>
        <v>169299478.07766905</v>
      </c>
      <c r="BT39" s="2">
        <f>VLOOKUP(Wapato_Sales[[#This Row],[quality]],Lookups!$A$28:$C$37,3,FALSE)</f>
        <v>1.0091195562373767</v>
      </c>
      <c r="BU39" s="2">
        <f>VLOOKUP(Wapato_Sales[[#This Row],[condition]],Lookups!$A$41:$C$48,3,FALSE)</f>
        <v>0.93399385491337139</v>
      </c>
      <c r="BV39" s="2">
        <f>VLOOKUP(Wapato_Sales[[#This Row],[decade]],Lookups!$F$28:$H$43,3,FALSE)</f>
        <v>1.0114203040664467</v>
      </c>
      <c r="BW39" s="2">
        <f>VLOOKUP(Wapato_Sales[[#This Row],[living_area_range]],Lookups!$K$28:$M$37,3,FALSE)</f>
        <v>0.99022994770196116</v>
      </c>
      <c r="BX39" s="2">
        <f>AVERAGE(Wapato_Sales[[#This Row],[qual_adj]:[size_adj]])</f>
        <v>0.9861909157297889</v>
      </c>
      <c r="BY39" s="3">
        <f>SUM(Wapato_Sales[[#This Row],[quality_value]:[days_prior_value]])+(Wapato_Sales[[#This Row],[intercept]]*0.5)-Wapato_Sales[[#This Row],[det_value]]</f>
        <v>30525.708143999997</v>
      </c>
      <c r="BZ39" s="3">
        <f>Wapato_Sales[[#This Row],[land_value]]+(0.5*Wapato_Sales[[#This Row],[intercept]])</f>
        <v>56462.778566698486</v>
      </c>
      <c r="CA39" s="3">
        <f>Wapato_Sales[[#This Row],[det_value]]</f>
        <v>0</v>
      </c>
      <c r="CB39" s="3">
        <f>Wapato_Sales[[#This Row],[summed_res]]*Wapato_Sales[[#This Row],[overall_adj]]</f>
        <v>30104.176067831631</v>
      </c>
      <c r="CC39" s="3">
        <f>Wapato_Sales[[#This Row],[final_res]]+Wapato_Sales[[#This Row],[final_det]]+Wapato_Sales[[#This Row],[final_land]]</f>
        <v>86566.954634530121</v>
      </c>
      <c r="CD39" s="2">
        <f>Wapato_Sales[[#This Row],[final_total]]/Wapato_Sales[[#This Row],[sale_price]]</f>
        <v>0.86566954634530124</v>
      </c>
      <c r="CE39" s="3">
        <f>(Wapato_Sales[[#This Row],[final_total]]-Wapato_Sales[[#This Row],[sale_price]])^2</f>
        <v>180446707.79077181</v>
      </c>
      <c r="CF39" s="3">
        <f>(Wapato_Sales[[#This Row],[final_total]]-AVERAGE(Wapato_Sales[sale_price]))^2</f>
        <v>13797525811.457577</v>
      </c>
      <c r="CG39" s="3">
        <f>Wapato_Sales[[#This Row],[SSE]]+Wapato_Sales[[#This Row],[SSR]]</f>
        <v>13977972519.248348</v>
      </c>
      <c r="CH39" s="2">
        <f>ABS(Wapato_Sales[[#This Row],[final_ratio]]-MEDIAN(Wapato_Sales[final_ratio]))</f>
        <v>0.11630697984811178</v>
      </c>
    </row>
    <row r="40" spans="1:86" x14ac:dyDescent="0.25">
      <c r="A40">
        <v>19111041476</v>
      </c>
      <c r="B40">
        <v>0.14000000000000001</v>
      </c>
      <c r="C40">
        <v>6250</v>
      </c>
      <c r="D40">
        <v>0</v>
      </c>
      <c r="E40" t="s">
        <v>54</v>
      </c>
      <c r="F40" t="s">
        <v>54</v>
      </c>
      <c r="G40">
        <v>3</v>
      </c>
      <c r="H40" t="s">
        <v>55</v>
      </c>
      <c r="I40">
        <v>120400</v>
      </c>
      <c r="J40">
        <v>31900</v>
      </c>
      <c r="K40">
        <v>0.14000000000000001</v>
      </c>
      <c r="L40">
        <v>0</v>
      </c>
      <c r="M40">
        <v>0</v>
      </c>
      <c r="N40">
        <v>0</v>
      </c>
      <c r="O40">
        <v>27904.037</v>
      </c>
      <c r="P40">
        <v>74398.407600000006</v>
      </c>
      <c r="Q40">
        <f t="shared" si="0"/>
        <v>19535.921709596798</v>
      </c>
      <c r="R40">
        <f t="shared" si="1"/>
        <v>-1.9661128563728327</v>
      </c>
      <c r="S40" t="s">
        <v>66</v>
      </c>
      <c r="T40">
        <v>1</v>
      </c>
      <c r="U40" t="s">
        <v>75</v>
      </c>
      <c r="V40" t="s">
        <v>73</v>
      </c>
      <c r="W40">
        <v>0</v>
      </c>
      <c r="X40">
        <v>0</v>
      </c>
      <c r="Y40">
        <v>53</v>
      </c>
      <c r="Z40">
        <v>93</v>
      </c>
      <c r="AA40">
        <v>90</v>
      </c>
      <c r="AB40">
        <v>1500</v>
      </c>
      <c r="AC40">
        <v>1100</v>
      </c>
      <c r="AD40">
        <v>1100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130</v>
      </c>
      <c r="AK40">
        <v>130</v>
      </c>
      <c r="AL40">
        <v>7</v>
      </c>
      <c r="AM40">
        <v>0</v>
      </c>
      <c r="AN40">
        <v>0</v>
      </c>
      <c r="AO40" t="s">
        <v>59</v>
      </c>
      <c r="AP40">
        <v>1</v>
      </c>
      <c r="AQ40" t="s">
        <v>64</v>
      </c>
      <c r="AR40" t="s">
        <v>61</v>
      </c>
      <c r="AS40">
        <v>0</v>
      </c>
      <c r="AT40">
        <v>3</v>
      </c>
      <c r="AU40">
        <v>0</v>
      </c>
      <c r="AV40">
        <v>0</v>
      </c>
      <c r="AW40">
        <v>100</v>
      </c>
      <c r="AX40" s="1">
        <v>44414</v>
      </c>
      <c r="AY40">
        <v>26900</v>
      </c>
      <c r="AZ40">
        <v>76402</v>
      </c>
      <c r="BA40">
        <v>103300</v>
      </c>
      <c r="BB40">
        <v>192000</v>
      </c>
      <c r="BC40">
        <v>513</v>
      </c>
      <c r="BD40" s="3">
        <f>Wapato_Sales[[#This Row],[land_extract]]*Lookups!$B$3</f>
        <v>1984.9746755939761</v>
      </c>
      <c r="BE40" s="3">
        <f>Lookups!$B$2</f>
        <v>107530.54</v>
      </c>
      <c r="BF40">
        <f>VLOOKUP(Wapato_Sales[[#This Row],[quality]],Lookups!$H$2:$J$11,3,FALSE)</f>
        <v>48043</v>
      </c>
      <c r="BG40">
        <f>VLOOKUP(Wapato_Sales[[#This Row],[condition]],Lookups!$H$17:$J$24,3,FALSE)</f>
        <v>16276</v>
      </c>
      <c r="BH40" s="3">
        <f>Wapato_Sales[[#This Row],[Age]]*Lookups!$B$16</f>
        <v>-34472.840100000001</v>
      </c>
      <c r="BI40" s="3">
        <f>Wapato_Sales[[#This Row],[Main Floor]]*Lookups!$B$17</f>
        <v>45980.812899999997</v>
      </c>
      <c r="BJ40" s="3">
        <f>Wapato_Sales[[#This Row],[Upper Floor]]*Lookups!$B$18</f>
        <v>0</v>
      </c>
      <c r="BK40" s="3">
        <f>Wapato_Sales[[#This Row],[Fin BSMT]]*Lookups!$B$19</f>
        <v>0</v>
      </c>
      <c r="BL40" s="3">
        <f>Wapato_Sales[[#This Row],[garage_sqft]]*Lookups!$B$20</f>
        <v>0</v>
      </c>
      <c r="BM40" s="3">
        <f>Wapato_Sales[[#This Row],[Patio]]*Lookups!$B$21</f>
        <v>5632.1172699999997</v>
      </c>
      <c r="BN40" s="3">
        <f>Wapato_Sales[[#This Row],[detatched_value]]*Lookups!$B$22</f>
        <v>0</v>
      </c>
      <c r="BO40" s="3">
        <f>Wapato_Sales[[#This Row],[days_prior]]*Lookups!$B$23</f>
        <v>-38394.192239999997</v>
      </c>
      <c r="BP40" s="3">
        <f>SUM(Wapato_Sales[[#This Row],[land_value]:[days_prior_value]])</f>
        <v>152580.41250559394</v>
      </c>
      <c r="BQ40" s="2">
        <f>Wapato_Sales[[#This Row],[predicted_total]]/Wapato_Sales[[#This Row],[sale_price]]</f>
        <v>0.79468964846663503</v>
      </c>
      <c r="BR40" s="3">
        <f>Wapato_Sales[[#This Row],[predicted_total]]-Wapato_Sales[[#This Row],[sale_price]]</f>
        <v>-39419.587494406063</v>
      </c>
      <c r="BS40" s="3">
        <f>Wapato_Sales[[#This Row],[pred_var]]*Wapato_Sales[[#This Row],[pred_var]]</f>
        <v>1553903878.2291348</v>
      </c>
      <c r="BT40" s="2">
        <f>VLOOKUP(Wapato_Sales[[#This Row],[quality]],Lookups!$A$28:$C$37,3,FALSE)</f>
        <v>0.98196844879778955</v>
      </c>
      <c r="BU40" s="2">
        <f>VLOOKUP(Wapato_Sales[[#This Row],[condition]],Lookups!$A$41:$C$48,3,FALSE)</f>
        <v>0.93399385491337139</v>
      </c>
      <c r="BV40" s="2">
        <f>VLOOKUP(Wapato_Sales[[#This Row],[decade]],Lookups!$F$28:$H$43,3,FALSE)</f>
        <v>0.94742695999815718</v>
      </c>
      <c r="BW40" s="2">
        <f>VLOOKUP(Wapato_Sales[[#This Row],[living_area_range]],Lookups!$K$28:$M$37,3,FALSE)</f>
        <v>1.0061411172456287</v>
      </c>
      <c r="BX40" s="2">
        <f>AVERAGE(Wapato_Sales[[#This Row],[qual_adj]:[size_adj]])</f>
        <v>0.96738259523873671</v>
      </c>
      <c r="BY40" s="3">
        <f>SUM(Wapato_Sales[[#This Row],[quality_value]:[days_prior_value]])+(Wapato_Sales[[#This Row],[intercept]]*0.5)-Wapato_Sales[[#This Row],[det_value]]</f>
        <v>96830.167829999991</v>
      </c>
      <c r="BZ40" s="3">
        <f>Wapato_Sales[[#This Row],[land_value]]+(0.5*Wapato_Sales[[#This Row],[intercept]])</f>
        <v>55750.244675593975</v>
      </c>
      <c r="CA40" s="3">
        <f>Wapato_Sales[[#This Row],[det_value]]</f>
        <v>0</v>
      </c>
      <c r="CB40" s="3">
        <f>Wapato_Sales[[#This Row],[summed_res]]*Wapato_Sales[[#This Row],[overall_adj]]</f>
        <v>93671.819052787832</v>
      </c>
      <c r="CC40" s="3">
        <f>Wapato_Sales[[#This Row],[final_res]]+Wapato_Sales[[#This Row],[final_det]]+Wapato_Sales[[#This Row],[final_land]]</f>
        <v>149422.06372838182</v>
      </c>
      <c r="CD40" s="2">
        <f>Wapato_Sales[[#This Row],[final_total]]/Wapato_Sales[[#This Row],[sale_price]]</f>
        <v>0.77823991525198866</v>
      </c>
      <c r="CE40" s="3">
        <f>(Wapato_Sales[[#This Row],[final_total]]-Wapato_Sales[[#This Row],[sale_price]])^2</f>
        <v>1812880657.1499789</v>
      </c>
      <c r="CF40" s="3">
        <f>(Wapato_Sales[[#This Row],[final_total]]-AVERAGE(Wapato_Sales[sale_price]))^2</f>
        <v>2982007543.1964979</v>
      </c>
      <c r="CG40" s="3">
        <f>Wapato_Sales[[#This Row],[SSE]]+Wapato_Sales[[#This Row],[SSR]]</f>
        <v>4794888200.3464766</v>
      </c>
      <c r="CH40" s="2">
        <f>ABS(Wapato_Sales[[#This Row],[final_ratio]]-MEDIAN(Wapato_Sales[final_ratio]))</f>
        <v>0.20373661094142437</v>
      </c>
    </row>
    <row r="41" spans="1:86" x14ac:dyDescent="0.25">
      <c r="A41">
        <v>19111133483</v>
      </c>
      <c r="B41">
        <v>0.18</v>
      </c>
      <c r="C41">
        <v>7890</v>
      </c>
      <c r="D41">
        <v>0</v>
      </c>
      <c r="E41" t="s">
        <v>54</v>
      </c>
      <c r="F41" t="s">
        <v>54</v>
      </c>
      <c r="G41">
        <v>3</v>
      </c>
      <c r="H41" t="s">
        <v>55</v>
      </c>
      <c r="I41">
        <v>161900</v>
      </c>
      <c r="J41">
        <v>33700</v>
      </c>
      <c r="K41">
        <v>0.18</v>
      </c>
      <c r="L41">
        <v>0</v>
      </c>
      <c r="M41">
        <v>0</v>
      </c>
      <c r="N41">
        <v>0</v>
      </c>
      <c r="O41">
        <v>27904.037</v>
      </c>
      <c r="P41">
        <v>74398.407600000006</v>
      </c>
      <c r="Q41">
        <f t="shared" si="0"/>
        <v>26548.608814981046</v>
      </c>
      <c r="R41">
        <f t="shared" si="1"/>
        <v>-1.7147984280919266</v>
      </c>
      <c r="S41" t="s">
        <v>66</v>
      </c>
      <c r="T41">
        <v>1</v>
      </c>
      <c r="U41" t="s">
        <v>71</v>
      </c>
      <c r="V41" t="s">
        <v>69</v>
      </c>
      <c r="W41">
        <v>0</v>
      </c>
      <c r="X41">
        <v>0</v>
      </c>
      <c r="Y41">
        <v>53</v>
      </c>
      <c r="Z41">
        <v>93</v>
      </c>
      <c r="AA41">
        <v>90</v>
      </c>
      <c r="AB41">
        <v>1500</v>
      </c>
      <c r="AC41">
        <v>1008</v>
      </c>
      <c r="AD41">
        <v>1008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5</v>
      </c>
      <c r="AM41">
        <v>0</v>
      </c>
      <c r="AN41">
        <v>0</v>
      </c>
      <c r="AO41" t="s">
        <v>59</v>
      </c>
      <c r="AP41">
        <v>1</v>
      </c>
      <c r="AQ41" t="s">
        <v>64</v>
      </c>
      <c r="AR41" t="s">
        <v>65</v>
      </c>
      <c r="AS41">
        <v>0</v>
      </c>
      <c r="AT41">
        <v>3</v>
      </c>
      <c r="AU41">
        <v>0</v>
      </c>
      <c r="AV41">
        <v>21700</v>
      </c>
      <c r="AW41">
        <v>100</v>
      </c>
      <c r="AX41" s="1">
        <v>44566</v>
      </c>
      <c r="AY41">
        <v>28300</v>
      </c>
      <c r="AZ41">
        <v>113514</v>
      </c>
      <c r="BA41">
        <v>141800</v>
      </c>
      <c r="BB41">
        <v>220000</v>
      </c>
      <c r="BC41">
        <v>361</v>
      </c>
      <c r="BD41" s="3">
        <f>Wapato_Sales[[#This Row],[land_extract]]*Lookups!$B$3</f>
        <v>2697.5085666984901</v>
      </c>
      <c r="BE41" s="3">
        <f>Lookups!$B$2</f>
        <v>107530.54</v>
      </c>
      <c r="BF41">
        <f>VLOOKUP(Wapato_Sales[[#This Row],[quality]],Lookups!$H$2:$J$11,3,FALSE)</f>
        <v>28034</v>
      </c>
      <c r="BG41">
        <f>VLOOKUP(Wapato_Sales[[#This Row],[condition]],Lookups!$H$17:$J$24,3,FALSE)</f>
        <v>74543</v>
      </c>
      <c r="BH41" s="3">
        <f>Wapato_Sales[[#This Row],[Age]]*Lookups!$B$16</f>
        <v>-34472.840100000001</v>
      </c>
      <c r="BI41" s="3">
        <f>Wapato_Sales[[#This Row],[Main Floor]]*Lookups!$B$17</f>
        <v>42135.144912000003</v>
      </c>
      <c r="BJ41" s="3">
        <f>Wapato_Sales[[#This Row],[Upper Floor]]*Lookups!$B$18</f>
        <v>0</v>
      </c>
      <c r="BK41" s="3">
        <f>Wapato_Sales[[#This Row],[Fin BSMT]]*Lookups!$B$19</f>
        <v>0</v>
      </c>
      <c r="BL41" s="3">
        <f>Wapato_Sales[[#This Row],[garage_sqft]]*Lookups!$B$20</f>
        <v>0</v>
      </c>
      <c r="BM41" s="3">
        <f>Wapato_Sales[[#This Row],[Patio]]*Lookups!$B$21</f>
        <v>0</v>
      </c>
      <c r="BN41" s="3">
        <f>Wapato_Sales[[#This Row],[detatched_value]]*Lookups!$B$22</f>
        <v>20403.741819999999</v>
      </c>
      <c r="BO41" s="3">
        <f>Wapato_Sales[[#This Row],[days_prior]]*Lookups!$B$23</f>
        <v>-27018.135279999999</v>
      </c>
      <c r="BP41" s="3">
        <f>SUM(Wapato_Sales[[#This Row],[land_value]:[days_prior_value]])</f>
        <v>213852.95991869853</v>
      </c>
      <c r="BQ41" s="2">
        <f>Wapato_Sales[[#This Row],[predicted_total]]/Wapato_Sales[[#This Row],[sale_price]]</f>
        <v>0.97205890872135692</v>
      </c>
      <c r="BR41" s="3">
        <f>Wapato_Sales[[#This Row],[predicted_total]]-Wapato_Sales[[#This Row],[sale_price]]</f>
        <v>-6147.0400813014712</v>
      </c>
      <c r="BS41" s="3">
        <f>Wapato_Sales[[#This Row],[pred_var]]*Wapato_Sales[[#This Row],[pred_var]]</f>
        <v>37786101.761126801</v>
      </c>
      <c r="BT41" s="2">
        <f>VLOOKUP(Wapato_Sales[[#This Row],[quality]],Lookups!$A$28:$C$37,3,FALSE)</f>
        <v>0.96265813922927435</v>
      </c>
      <c r="BU41" s="2">
        <f>VLOOKUP(Wapato_Sales[[#This Row],[condition]],Lookups!$A$41:$C$48,3,FALSE)</f>
        <v>0.98442438223270734</v>
      </c>
      <c r="BV41" s="2">
        <f>VLOOKUP(Wapato_Sales[[#This Row],[decade]],Lookups!$F$28:$H$43,3,FALSE)</f>
        <v>0.94742695999815718</v>
      </c>
      <c r="BW41" s="2">
        <f>VLOOKUP(Wapato_Sales[[#This Row],[living_area_range]],Lookups!$K$28:$M$37,3,FALSE)</f>
        <v>1.0061411172456287</v>
      </c>
      <c r="BX41" s="2">
        <f>AVERAGE(Wapato_Sales[[#This Row],[qual_adj]:[size_adj]])</f>
        <v>0.97516264967644184</v>
      </c>
      <c r="BY41" s="3">
        <f>SUM(Wapato_Sales[[#This Row],[quality_value]:[days_prior_value]])+(Wapato_Sales[[#This Row],[intercept]]*0.5)-Wapato_Sales[[#This Row],[det_value]]</f>
        <v>136986.43953199999</v>
      </c>
      <c r="BZ41" s="3">
        <f>Wapato_Sales[[#This Row],[land_value]]+(0.5*Wapato_Sales[[#This Row],[intercept]])</f>
        <v>56462.778566698486</v>
      </c>
      <c r="CA41" s="3">
        <f>Wapato_Sales[[#This Row],[det_value]]</f>
        <v>20403.741819999999</v>
      </c>
      <c r="CB41" s="3">
        <f>Wapato_Sales[[#This Row],[summed_res]]*Wapato_Sales[[#This Row],[overall_adj]]</f>
        <v>133584.0593437668</v>
      </c>
      <c r="CC41" s="3">
        <f>Wapato_Sales[[#This Row],[final_res]]+Wapato_Sales[[#This Row],[final_det]]+Wapato_Sales[[#This Row],[final_land]]</f>
        <v>210450.57973046528</v>
      </c>
      <c r="CD41" s="2">
        <f>Wapato_Sales[[#This Row],[final_total]]/Wapato_Sales[[#This Row],[sale_price]]</f>
        <v>0.95659354422938769</v>
      </c>
      <c r="CE41" s="3">
        <f>(Wapato_Sales[[#This Row],[final_total]]-Wapato_Sales[[#This Row],[sale_price]])^2</f>
        <v>91191427.484200552</v>
      </c>
      <c r="CF41" s="3">
        <f>(Wapato_Sales[[#This Row],[final_total]]-AVERAGE(Wapato_Sales[sale_price]))^2</f>
        <v>41226096.94103343</v>
      </c>
      <c r="CG41" s="3">
        <f>Wapato_Sales[[#This Row],[SSE]]+Wapato_Sales[[#This Row],[SSR]]</f>
        <v>132417524.42523399</v>
      </c>
      <c r="CH41" s="2">
        <f>ABS(Wapato_Sales[[#This Row],[final_ratio]]-MEDIAN(Wapato_Sales[final_ratio]))</f>
        <v>2.5382981964025331E-2</v>
      </c>
    </row>
    <row r="42" spans="1:86" x14ac:dyDescent="0.25">
      <c r="A42">
        <v>19111514568</v>
      </c>
      <c r="B42">
        <v>0.14000000000000001</v>
      </c>
      <c r="C42">
        <v>6200</v>
      </c>
      <c r="D42">
        <v>0</v>
      </c>
      <c r="E42" t="s">
        <v>54</v>
      </c>
      <c r="F42" t="s">
        <v>54</v>
      </c>
      <c r="G42">
        <v>3</v>
      </c>
      <c r="H42" t="s">
        <v>55</v>
      </c>
      <c r="I42">
        <v>237300</v>
      </c>
      <c r="J42">
        <v>31900</v>
      </c>
      <c r="K42">
        <v>0.14000000000000001</v>
      </c>
      <c r="L42">
        <v>0</v>
      </c>
      <c r="M42">
        <v>0</v>
      </c>
      <c r="N42">
        <v>0</v>
      </c>
      <c r="O42">
        <v>27904.037</v>
      </c>
      <c r="P42">
        <v>74398.407600000006</v>
      </c>
      <c r="Q42">
        <f t="shared" si="0"/>
        <v>19535.921709596798</v>
      </c>
      <c r="R42">
        <f t="shared" si="1"/>
        <v>-1.9661128563728327</v>
      </c>
      <c r="S42" t="s">
        <v>66</v>
      </c>
      <c r="T42">
        <v>1</v>
      </c>
      <c r="U42" t="s">
        <v>75</v>
      </c>
      <c r="V42" t="s">
        <v>70</v>
      </c>
      <c r="W42">
        <v>0</v>
      </c>
      <c r="X42">
        <v>0</v>
      </c>
      <c r="Y42">
        <v>53</v>
      </c>
      <c r="Z42">
        <v>93</v>
      </c>
      <c r="AA42">
        <v>90</v>
      </c>
      <c r="AB42">
        <v>2500</v>
      </c>
      <c r="AC42">
        <v>2172</v>
      </c>
      <c r="AD42">
        <v>1086</v>
      </c>
      <c r="AE42">
        <v>0</v>
      </c>
      <c r="AF42">
        <v>1086</v>
      </c>
      <c r="AG42">
        <v>0</v>
      </c>
      <c r="AH42">
        <v>0</v>
      </c>
      <c r="AI42">
        <v>0</v>
      </c>
      <c r="AJ42">
        <v>30</v>
      </c>
      <c r="AK42">
        <v>0</v>
      </c>
      <c r="AL42">
        <v>5</v>
      </c>
      <c r="AM42">
        <v>0</v>
      </c>
      <c r="AN42">
        <v>0</v>
      </c>
      <c r="AO42" t="s">
        <v>59</v>
      </c>
      <c r="AP42">
        <v>1</v>
      </c>
      <c r="AQ42" t="s">
        <v>64</v>
      </c>
      <c r="AR42" t="s">
        <v>65</v>
      </c>
      <c r="AS42">
        <v>0</v>
      </c>
      <c r="AT42">
        <v>3</v>
      </c>
      <c r="AU42">
        <v>0</v>
      </c>
      <c r="AV42">
        <v>27000</v>
      </c>
      <c r="AW42">
        <v>100</v>
      </c>
      <c r="AX42" s="1">
        <v>44119</v>
      </c>
      <c r="AY42">
        <v>26800</v>
      </c>
      <c r="AZ42">
        <v>200110</v>
      </c>
      <c r="BA42">
        <v>226900</v>
      </c>
      <c r="BB42">
        <v>211000</v>
      </c>
      <c r="BC42">
        <v>808</v>
      </c>
      <c r="BD42" s="3">
        <f>Wapato_Sales[[#This Row],[land_extract]]*Lookups!$B$3</f>
        <v>1984.9746755939761</v>
      </c>
      <c r="BE42" s="3">
        <f>Lookups!$B$2</f>
        <v>107530.54</v>
      </c>
      <c r="BF42">
        <f>VLOOKUP(Wapato_Sales[[#This Row],[quality]],Lookups!$H$2:$J$11,3,FALSE)</f>
        <v>48043</v>
      </c>
      <c r="BG42">
        <f>VLOOKUP(Wapato_Sales[[#This Row],[condition]],Lookups!$H$17:$J$24,3,FALSE)</f>
        <v>84338</v>
      </c>
      <c r="BH42" s="3">
        <f>Wapato_Sales[[#This Row],[Age]]*Lookups!$B$16</f>
        <v>-34472.840100000001</v>
      </c>
      <c r="BI42" s="3">
        <f>Wapato_Sales[[#This Row],[Main Floor]]*Lookups!$B$17</f>
        <v>45395.602553999997</v>
      </c>
      <c r="BJ42" s="3">
        <f>Wapato_Sales[[#This Row],[Upper Floor]]*Lookups!$B$18</f>
        <v>0</v>
      </c>
      <c r="BK42" s="3">
        <f>Wapato_Sales[[#This Row],[Fin BSMT]]*Lookups!$B$19</f>
        <v>26462.279640000001</v>
      </c>
      <c r="BL42" s="3">
        <f>Wapato_Sales[[#This Row],[garage_sqft]]*Lookups!$B$20</f>
        <v>0</v>
      </c>
      <c r="BM42" s="3">
        <f>Wapato_Sales[[#This Row],[Patio]]*Lookups!$B$21</f>
        <v>0</v>
      </c>
      <c r="BN42" s="3">
        <f>Wapato_Sales[[#This Row],[detatched_value]]*Lookups!$B$22</f>
        <v>25387.144199999999</v>
      </c>
      <c r="BO42" s="3">
        <f>Wapato_Sales[[#This Row],[days_prior]]*Lookups!$B$23</f>
        <v>-60472.723839999999</v>
      </c>
      <c r="BP42" s="3">
        <f>SUM(Wapato_Sales[[#This Row],[land_value]:[days_prior_value]])</f>
        <v>244195.97712959396</v>
      </c>
      <c r="BQ42" s="2">
        <f>Wapato_Sales[[#This Row],[predicted_total]]/Wapato_Sales[[#This Row],[sale_price]]</f>
        <v>1.1573269058274596</v>
      </c>
      <c r="BR42" s="3">
        <f>Wapato_Sales[[#This Row],[predicted_total]]-Wapato_Sales[[#This Row],[sale_price]]</f>
        <v>33195.977129593957</v>
      </c>
      <c r="BS42" s="3">
        <f>Wapato_Sales[[#This Row],[pred_var]]*Wapato_Sales[[#This Row],[pred_var]]</f>
        <v>1101972897.5885251</v>
      </c>
      <c r="BT42" s="2">
        <f>VLOOKUP(Wapato_Sales[[#This Row],[quality]],Lookups!$A$28:$C$37,3,FALSE)</f>
        <v>0.98196844879778955</v>
      </c>
      <c r="BU42" s="2">
        <f>VLOOKUP(Wapato_Sales[[#This Row],[condition]],Lookups!$A$41:$C$48,3,FALSE)</f>
        <v>0.99478075210508476</v>
      </c>
      <c r="BV42" s="2">
        <f>VLOOKUP(Wapato_Sales[[#This Row],[decade]],Lookups!$F$28:$H$43,3,FALSE)</f>
        <v>0.94742695999815718</v>
      </c>
      <c r="BW42" s="2">
        <f>VLOOKUP(Wapato_Sales[[#This Row],[living_area_range]],Lookups!$K$28:$M$37,3,FALSE)</f>
        <v>0.90813907160181651</v>
      </c>
      <c r="BX42" s="2">
        <f>AVERAGE(Wapato_Sales[[#This Row],[qual_adj]:[size_adj]])</f>
        <v>0.95807880812571189</v>
      </c>
      <c r="BY42" s="3">
        <f>SUM(Wapato_Sales[[#This Row],[quality_value]:[days_prior_value]])+(Wapato_Sales[[#This Row],[intercept]]*0.5)-Wapato_Sales[[#This Row],[det_value]]</f>
        <v>163058.588254</v>
      </c>
      <c r="BZ42" s="3">
        <f>Wapato_Sales[[#This Row],[land_value]]+(0.5*Wapato_Sales[[#This Row],[intercept]])</f>
        <v>55750.244675593975</v>
      </c>
      <c r="CA42" s="3">
        <f>Wapato_Sales[[#This Row],[det_value]]</f>
        <v>25387.144199999999</v>
      </c>
      <c r="CB42" s="3">
        <f>Wapato_Sales[[#This Row],[summed_res]]*Wapato_Sales[[#This Row],[overall_adj]]</f>
        <v>156222.97788905352</v>
      </c>
      <c r="CC42" s="3">
        <f>Wapato_Sales[[#This Row],[final_res]]+Wapato_Sales[[#This Row],[final_det]]+Wapato_Sales[[#This Row],[final_land]]</f>
        <v>237360.36676464751</v>
      </c>
      <c r="CD42" s="2">
        <f>Wapato_Sales[[#This Row],[final_total]]/Wapato_Sales[[#This Row],[sale_price]]</f>
        <v>1.1249306481736849</v>
      </c>
      <c r="CE42" s="3">
        <f>(Wapato_Sales[[#This Row],[final_total]]-Wapato_Sales[[#This Row],[sale_price]])^2</f>
        <v>694868935.96673286</v>
      </c>
      <c r="CF42" s="3">
        <f>(Wapato_Sales[[#This Row],[final_total]]-AVERAGE(Wapato_Sales[sale_price]))^2</f>
        <v>1110925043.5622292</v>
      </c>
      <c r="CG42" s="3">
        <f>Wapato_Sales[[#This Row],[SSE]]+Wapato_Sales[[#This Row],[SSR]]</f>
        <v>1805793979.5289621</v>
      </c>
      <c r="CH42" s="2">
        <f>ABS(Wapato_Sales[[#This Row],[final_ratio]]-MEDIAN(Wapato_Sales[final_ratio]))</f>
        <v>0.14295412198027191</v>
      </c>
    </row>
    <row r="43" spans="1:86" x14ac:dyDescent="0.25">
      <c r="A43">
        <v>19111133449</v>
      </c>
      <c r="B43">
        <v>0.23</v>
      </c>
      <c r="C43">
        <v>10235</v>
      </c>
      <c r="D43">
        <v>0</v>
      </c>
      <c r="E43" t="s">
        <v>54</v>
      </c>
      <c r="F43" t="s">
        <v>54</v>
      </c>
      <c r="G43">
        <v>3</v>
      </c>
      <c r="H43" t="s">
        <v>55</v>
      </c>
      <c r="I43">
        <v>168000</v>
      </c>
      <c r="J43">
        <v>35500</v>
      </c>
      <c r="K43">
        <v>0.23</v>
      </c>
      <c r="L43">
        <v>0</v>
      </c>
      <c r="M43">
        <v>0</v>
      </c>
      <c r="N43">
        <v>0</v>
      </c>
      <c r="O43">
        <v>27904.037</v>
      </c>
      <c r="P43">
        <v>74398.407600000006</v>
      </c>
      <c r="Q43">
        <f t="shared" si="0"/>
        <v>33388.514953464408</v>
      </c>
      <c r="R43">
        <f t="shared" si="1"/>
        <v>-1.4696759700589417</v>
      </c>
      <c r="S43" t="s">
        <v>56</v>
      </c>
      <c r="T43">
        <v>1</v>
      </c>
      <c r="U43" t="s">
        <v>67</v>
      </c>
      <c r="V43" t="s">
        <v>68</v>
      </c>
      <c r="W43">
        <v>0</v>
      </c>
      <c r="X43">
        <v>0</v>
      </c>
      <c r="Y43">
        <v>55</v>
      </c>
      <c r="Z43">
        <v>98</v>
      </c>
      <c r="AA43">
        <v>100</v>
      </c>
      <c r="AB43">
        <v>2000</v>
      </c>
      <c r="AC43">
        <v>1640</v>
      </c>
      <c r="AD43">
        <v>1640</v>
      </c>
      <c r="AE43">
        <v>0</v>
      </c>
      <c r="AF43">
        <v>0</v>
      </c>
      <c r="AG43">
        <v>0</v>
      </c>
      <c r="AH43">
        <v>0</v>
      </c>
      <c r="AI43">
        <v>486</v>
      </c>
      <c r="AJ43">
        <v>0</v>
      </c>
      <c r="AK43">
        <v>280</v>
      </c>
      <c r="AL43">
        <v>8</v>
      </c>
      <c r="AM43">
        <v>1</v>
      </c>
      <c r="AN43">
        <v>0</v>
      </c>
      <c r="AO43" t="s">
        <v>59</v>
      </c>
      <c r="AP43">
        <v>1</v>
      </c>
      <c r="AQ43" t="s">
        <v>64</v>
      </c>
      <c r="AR43" t="s">
        <v>65</v>
      </c>
      <c r="AS43">
        <v>0</v>
      </c>
      <c r="AT43">
        <v>3</v>
      </c>
      <c r="AU43">
        <v>0</v>
      </c>
      <c r="AV43">
        <v>0</v>
      </c>
      <c r="AW43">
        <v>100</v>
      </c>
      <c r="AX43" s="1">
        <v>44231</v>
      </c>
      <c r="AY43">
        <v>30000</v>
      </c>
      <c r="AZ43">
        <v>157739</v>
      </c>
      <c r="BA43">
        <v>187700</v>
      </c>
      <c r="BB43">
        <v>215000</v>
      </c>
      <c r="BC43">
        <v>696</v>
      </c>
      <c r="BD43" s="3">
        <f>Wapato_Sales[[#This Row],[land_extract]]*Lookups!$B$3</f>
        <v>3392.4868057676858</v>
      </c>
      <c r="BE43" s="3">
        <f>Lookups!$B$2</f>
        <v>107530.54</v>
      </c>
      <c r="BF43">
        <f>VLOOKUP(Wapato_Sales[[#This Row],[quality]],Lookups!$H$2:$J$11,3,FALSE)</f>
        <v>50405</v>
      </c>
      <c r="BG43">
        <f>VLOOKUP(Wapato_Sales[[#This Row],[condition]],Lookups!$H$17:$J$24,3,FALSE)</f>
        <v>52231</v>
      </c>
      <c r="BH43" s="3">
        <f>Wapato_Sales[[#This Row],[Age]]*Lookups!$B$16</f>
        <v>-36326.2186</v>
      </c>
      <c r="BI43" s="3">
        <f>Wapato_Sales[[#This Row],[Main Floor]]*Lookups!$B$17</f>
        <v>68553.211960000001</v>
      </c>
      <c r="BJ43" s="3">
        <f>Wapato_Sales[[#This Row],[Upper Floor]]*Lookups!$B$18</f>
        <v>0</v>
      </c>
      <c r="BK43" s="3">
        <f>Wapato_Sales[[#This Row],[Fin BSMT]]*Lookups!$B$19</f>
        <v>0</v>
      </c>
      <c r="BL43" s="3">
        <f>Wapato_Sales[[#This Row],[garage_sqft]]*Lookups!$B$20</f>
        <v>0</v>
      </c>
      <c r="BM43" s="3">
        <f>Wapato_Sales[[#This Row],[Patio]]*Lookups!$B$21</f>
        <v>12130.714120000001</v>
      </c>
      <c r="BN43" s="3">
        <f>Wapato_Sales[[#This Row],[detatched_value]]*Lookups!$B$22</f>
        <v>0</v>
      </c>
      <c r="BO43" s="3">
        <f>Wapato_Sales[[#This Row],[days_prior]]*Lookups!$B$23</f>
        <v>-52090.36608</v>
      </c>
      <c r="BP43" s="3">
        <f>SUM(Wapato_Sales[[#This Row],[land_value]:[days_prior_value]])</f>
        <v>205826.36820576768</v>
      </c>
      <c r="BQ43" s="2">
        <f>Wapato_Sales[[#This Row],[predicted_total]]/Wapato_Sales[[#This Row],[sale_price]]</f>
        <v>0.95733194514310549</v>
      </c>
      <c r="BR43" s="3">
        <f>Wapato_Sales[[#This Row],[predicted_total]]-Wapato_Sales[[#This Row],[sale_price]]</f>
        <v>-9173.6317942323221</v>
      </c>
      <c r="BS43" s="3">
        <f>Wapato_Sales[[#This Row],[pred_var]]*Wapato_Sales[[#This Row],[pred_var]]</f>
        <v>84155520.296150133</v>
      </c>
      <c r="BT43" s="2">
        <f>VLOOKUP(Wapato_Sales[[#This Row],[quality]],Lookups!$A$28:$C$37,3,FALSE)</f>
        <v>0.97993206410140754</v>
      </c>
      <c r="BU43" s="2">
        <f>VLOOKUP(Wapato_Sales[[#This Row],[condition]],Lookups!$A$41:$C$48,3,FALSE)</f>
        <v>0.9832333997567807</v>
      </c>
      <c r="BV43" s="2">
        <f>VLOOKUP(Wapato_Sales[[#This Row],[decade]],Lookups!$F$28:$H$43,3,FALSE)</f>
        <v>1.0114203040664467</v>
      </c>
      <c r="BW43" s="2">
        <f>VLOOKUP(Wapato_Sales[[#This Row],[living_area_range]],Lookups!$K$28:$M$37,3,FALSE)</f>
        <v>0.99330894324714125</v>
      </c>
      <c r="BX43" s="2">
        <f>AVERAGE(Wapato_Sales[[#This Row],[qual_adj]:[size_adj]])</f>
        <v>0.9919736777929441</v>
      </c>
      <c r="BY43" s="3">
        <f>SUM(Wapato_Sales[[#This Row],[quality_value]:[days_prior_value]])+(Wapato_Sales[[#This Row],[intercept]]*0.5)-Wapato_Sales[[#This Row],[det_value]]</f>
        <v>148668.61139999999</v>
      </c>
      <c r="BZ43" s="3">
        <f>Wapato_Sales[[#This Row],[land_value]]+(0.5*Wapato_Sales[[#This Row],[intercept]])</f>
        <v>57157.756805767684</v>
      </c>
      <c r="CA43" s="3">
        <f>Wapato_Sales[[#This Row],[det_value]]</f>
        <v>0</v>
      </c>
      <c r="CB43" s="3">
        <f>Wapato_Sales[[#This Row],[summed_res]]*Wapato_Sales[[#This Row],[overall_adj]]</f>
        <v>147475.34922282802</v>
      </c>
      <c r="CC43" s="3">
        <f>Wapato_Sales[[#This Row],[final_res]]+Wapato_Sales[[#This Row],[final_det]]+Wapato_Sales[[#This Row],[final_land]]</f>
        <v>204633.10602859571</v>
      </c>
      <c r="CD43" s="2">
        <f>Wapato_Sales[[#This Row],[final_total]]/Wapato_Sales[[#This Row],[sale_price]]</f>
        <v>0.95178188850509626</v>
      </c>
      <c r="CE43" s="3">
        <f>(Wapato_Sales[[#This Row],[final_total]]-Wapato_Sales[[#This Row],[sale_price]])^2</f>
        <v>107472490.61433868</v>
      </c>
      <c r="CF43" s="3">
        <f>(Wapato_Sales[[#This Row],[final_total]]-AVERAGE(Wapato_Sales[sale_price]))^2</f>
        <v>363948.52865756763</v>
      </c>
      <c r="CG43" s="3">
        <f>Wapato_Sales[[#This Row],[SSE]]+Wapato_Sales[[#This Row],[SSR]]</f>
        <v>107836439.14299625</v>
      </c>
      <c r="CH43" s="2">
        <f>ABS(Wapato_Sales[[#This Row],[final_ratio]]-MEDIAN(Wapato_Sales[final_ratio]))</f>
        <v>3.0194637688316761E-2</v>
      </c>
    </row>
    <row r="44" spans="1:86" x14ac:dyDescent="0.25">
      <c r="A44">
        <v>19111041506</v>
      </c>
      <c r="B44">
        <v>0.14000000000000001</v>
      </c>
      <c r="C44">
        <v>6244</v>
      </c>
      <c r="D44">
        <v>0</v>
      </c>
      <c r="E44" t="s">
        <v>54</v>
      </c>
      <c r="F44" t="s">
        <v>54</v>
      </c>
      <c r="G44">
        <v>3</v>
      </c>
      <c r="H44" t="s">
        <v>55</v>
      </c>
      <c r="I44">
        <v>110600</v>
      </c>
      <c r="J44">
        <v>31900</v>
      </c>
      <c r="K44">
        <v>0.14000000000000001</v>
      </c>
      <c r="L44">
        <v>0</v>
      </c>
      <c r="M44">
        <v>0</v>
      </c>
      <c r="N44">
        <v>0</v>
      </c>
      <c r="O44">
        <v>27904.037</v>
      </c>
      <c r="P44">
        <v>74398.407600000006</v>
      </c>
      <c r="Q44">
        <f t="shared" si="0"/>
        <v>19535.921709596798</v>
      </c>
      <c r="R44">
        <f t="shared" si="1"/>
        <v>-1.9661128563728327</v>
      </c>
      <c r="S44" t="s">
        <v>66</v>
      </c>
      <c r="T44">
        <v>1</v>
      </c>
      <c r="U44" t="s">
        <v>71</v>
      </c>
      <c r="V44" t="s">
        <v>68</v>
      </c>
      <c r="W44">
        <v>0</v>
      </c>
      <c r="X44">
        <v>0</v>
      </c>
      <c r="Y44">
        <v>55</v>
      </c>
      <c r="Z44">
        <v>98</v>
      </c>
      <c r="AA44">
        <v>100</v>
      </c>
      <c r="AB44">
        <v>1000</v>
      </c>
      <c r="AC44">
        <v>720</v>
      </c>
      <c r="AD44">
        <v>720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72</v>
      </c>
      <c r="AL44">
        <v>5</v>
      </c>
      <c r="AM44">
        <v>0</v>
      </c>
      <c r="AN44">
        <v>0</v>
      </c>
      <c r="AO44" t="s">
        <v>59</v>
      </c>
      <c r="AP44">
        <v>0</v>
      </c>
      <c r="AQ44" t="s">
        <v>80</v>
      </c>
      <c r="AR44" t="s">
        <v>65</v>
      </c>
      <c r="AS44">
        <v>0</v>
      </c>
      <c r="AT44">
        <v>2</v>
      </c>
      <c r="AU44">
        <v>0</v>
      </c>
      <c r="AV44">
        <v>24100</v>
      </c>
      <c r="AW44">
        <v>100</v>
      </c>
      <c r="AX44" s="1">
        <v>44426</v>
      </c>
      <c r="AY44">
        <v>26900</v>
      </c>
      <c r="AZ44">
        <v>84134</v>
      </c>
      <c r="BA44">
        <v>111000</v>
      </c>
      <c r="BB44">
        <v>190000</v>
      </c>
      <c r="BC44">
        <v>501</v>
      </c>
      <c r="BD44" s="3">
        <f>Wapato_Sales[[#This Row],[land_extract]]*Lookups!$B$3</f>
        <v>1984.9746755939761</v>
      </c>
      <c r="BE44" s="3">
        <f>Lookups!$B$2</f>
        <v>107530.54</v>
      </c>
      <c r="BF44">
        <f>VLOOKUP(Wapato_Sales[[#This Row],[quality]],Lookups!$H$2:$J$11,3,FALSE)</f>
        <v>28034</v>
      </c>
      <c r="BG44">
        <f>VLOOKUP(Wapato_Sales[[#This Row],[condition]],Lookups!$H$17:$J$24,3,FALSE)</f>
        <v>52231</v>
      </c>
      <c r="BH44" s="3">
        <f>Wapato_Sales[[#This Row],[Age]]*Lookups!$B$16</f>
        <v>-36326.2186</v>
      </c>
      <c r="BI44" s="3">
        <f>Wapato_Sales[[#This Row],[Main Floor]]*Lookups!$B$17</f>
        <v>30096.532080000001</v>
      </c>
      <c r="BJ44" s="3">
        <f>Wapato_Sales[[#This Row],[Upper Floor]]*Lookups!$B$18</f>
        <v>0</v>
      </c>
      <c r="BK44" s="3">
        <f>Wapato_Sales[[#This Row],[Fin BSMT]]*Lookups!$B$19</f>
        <v>0</v>
      </c>
      <c r="BL44" s="3">
        <f>Wapato_Sales[[#This Row],[garage_sqft]]*Lookups!$B$20</f>
        <v>0</v>
      </c>
      <c r="BM44" s="3">
        <f>Wapato_Sales[[#This Row],[Patio]]*Lookups!$B$21</f>
        <v>3119.3264880000002</v>
      </c>
      <c r="BN44" s="3">
        <f>Wapato_Sales[[#This Row],[detatched_value]]*Lookups!$B$22</f>
        <v>22660.37686</v>
      </c>
      <c r="BO44" s="3">
        <f>Wapato_Sales[[#This Row],[days_prior]]*Lookups!$B$23</f>
        <v>-37496.082479999997</v>
      </c>
      <c r="BP44" s="3">
        <f>SUM(Wapato_Sales[[#This Row],[land_value]:[days_prior_value]])</f>
        <v>171834.44902359397</v>
      </c>
      <c r="BQ44" s="2">
        <f>Wapato_Sales[[#This Row],[predicted_total]]/Wapato_Sales[[#This Row],[sale_price]]</f>
        <v>0.90439183696628411</v>
      </c>
      <c r="BR44" s="3">
        <f>Wapato_Sales[[#This Row],[predicted_total]]-Wapato_Sales[[#This Row],[sale_price]]</f>
        <v>-18165.550976406026</v>
      </c>
      <c r="BS44" s="3">
        <f>Wapato_Sales[[#This Row],[pred_var]]*Wapato_Sales[[#This Row],[pred_var]]</f>
        <v>329987242.27640593</v>
      </c>
      <c r="BT44" s="2">
        <f>VLOOKUP(Wapato_Sales[[#This Row],[quality]],Lookups!$A$28:$C$37,3,FALSE)</f>
        <v>0.96265813922927435</v>
      </c>
      <c r="BU44" s="2">
        <f>VLOOKUP(Wapato_Sales[[#This Row],[condition]],Lookups!$A$41:$C$48,3,FALSE)</f>
        <v>0.9832333997567807</v>
      </c>
      <c r="BV44" s="2">
        <f>VLOOKUP(Wapato_Sales[[#This Row],[decade]],Lookups!$F$28:$H$43,3,FALSE)</f>
        <v>1.0114203040664467</v>
      </c>
      <c r="BW44" s="2">
        <f>VLOOKUP(Wapato_Sales[[#This Row],[living_area_range]],Lookups!$K$28:$M$37,3,FALSE)</f>
        <v>0.99022994770196116</v>
      </c>
      <c r="BX44" s="2">
        <f>AVERAGE(Wapato_Sales[[#This Row],[qual_adj]:[size_adj]])</f>
        <v>0.98688544768861564</v>
      </c>
      <c r="BY44" s="3">
        <f>SUM(Wapato_Sales[[#This Row],[quality_value]:[days_prior_value]])+(Wapato_Sales[[#This Row],[intercept]]*0.5)-Wapato_Sales[[#This Row],[det_value]]</f>
        <v>93423.827487999995</v>
      </c>
      <c r="BZ44" s="3">
        <f>Wapato_Sales[[#This Row],[land_value]]+(0.5*Wapato_Sales[[#This Row],[intercept]])</f>
        <v>55750.244675593975</v>
      </c>
      <c r="CA44" s="3">
        <f>Wapato_Sales[[#This Row],[det_value]]</f>
        <v>22660.37686</v>
      </c>
      <c r="CB44" s="3">
        <f>Wapato_Sales[[#This Row],[summed_res]]*Wapato_Sales[[#This Row],[overall_adj]]</f>
        <v>92198.61581527887</v>
      </c>
      <c r="CC44" s="3">
        <f>Wapato_Sales[[#This Row],[final_res]]+Wapato_Sales[[#This Row],[final_det]]+Wapato_Sales[[#This Row],[final_land]]</f>
        <v>170609.23735087283</v>
      </c>
      <c r="CD44" s="2">
        <f>Wapato_Sales[[#This Row],[final_total]]/Wapato_Sales[[#This Row],[sale_price]]</f>
        <v>0.89794335447827811</v>
      </c>
      <c r="CE44" s="3">
        <f>(Wapato_Sales[[#This Row],[final_total]]-Wapato_Sales[[#This Row],[sale_price]])^2</f>
        <v>376001676.11478519</v>
      </c>
      <c r="CF44" s="3">
        <f>(Wapato_Sales[[#This Row],[final_total]]-AVERAGE(Wapato_Sales[sale_price]))^2</f>
        <v>1116935649.4966867</v>
      </c>
      <c r="CG44" s="3">
        <f>Wapato_Sales[[#This Row],[SSE]]+Wapato_Sales[[#This Row],[SSR]]</f>
        <v>1492937325.6114719</v>
      </c>
      <c r="CH44" s="2">
        <f>ABS(Wapato_Sales[[#This Row],[final_ratio]]-MEDIAN(Wapato_Sales[final_ratio]))</f>
        <v>8.4033171715134913E-2</v>
      </c>
    </row>
    <row r="45" spans="1:86" x14ac:dyDescent="0.25">
      <c r="A45">
        <v>19111041455</v>
      </c>
      <c r="B45">
        <v>0.2</v>
      </c>
      <c r="C45">
        <v>8741</v>
      </c>
      <c r="D45">
        <v>0</v>
      </c>
      <c r="E45" t="s">
        <v>54</v>
      </c>
      <c r="F45" t="s">
        <v>54</v>
      </c>
      <c r="G45">
        <v>3</v>
      </c>
      <c r="H45" t="s">
        <v>55</v>
      </c>
      <c r="I45">
        <v>98500</v>
      </c>
      <c r="J45">
        <v>34400</v>
      </c>
      <c r="K45">
        <v>0.2</v>
      </c>
      <c r="L45">
        <v>0</v>
      </c>
      <c r="M45">
        <v>0</v>
      </c>
      <c r="N45">
        <v>0</v>
      </c>
      <c r="O45">
        <v>27904.037</v>
      </c>
      <c r="P45">
        <v>74398.407600000006</v>
      </c>
      <c r="Q45">
        <f t="shared" si="0"/>
        <v>29488.592542236111</v>
      </c>
      <c r="R45">
        <f t="shared" si="1"/>
        <v>-1.6094379124341003</v>
      </c>
      <c r="S45" t="s">
        <v>66</v>
      </c>
      <c r="T45">
        <v>1</v>
      </c>
      <c r="U45" t="s">
        <v>71</v>
      </c>
      <c r="V45" t="s">
        <v>68</v>
      </c>
      <c r="W45">
        <v>0</v>
      </c>
      <c r="X45">
        <v>0</v>
      </c>
      <c r="Y45">
        <v>55</v>
      </c>
      <c r="Z45">
        <v>98</v>
      </c>
      <c r="AA45">
        <v>100</v>
      </c>
      <c r="AB45">
        <v>1000</v>
      </c>
      <c r="AC45">
        <v>785</v>
      </c>
      <c r="AD45">
        <v>785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5</v>
      </c>
      <c r="AM45">
        <v>0</v>
      </c>
      <c r="AN45">
        <v>0</v>
      </c>
      <c r="AO45" t="s">
        <v>59</v>
      </c>
      <c r="AP45">
        <v>0</v>
      </c>
      <c r="AQ45" t="s">
        <v>80</v>
      </c>
      <c r="AR45" t="s">
        <v>77</v>
      </c>
      <c r="AS45">
        <v>0</v>
      </c>
      <c r="AT45">
        <v>2</v>
      </c>
      <c r="AU45">
        <v>0</v>
      </c>
      <c r="AV45">
        <v>6500</v>
      </c>
      <c r="AW45">
        <v>100</v>
      </c>
      <c r="AX45" s="1">
        <v>44365</v>
      </c>
      <c r="AY45">
        <v>29000</v>
      </c>
      <c r="AZ45">
        <v>69539</v>
      </c>
      <c r="BA45">
        <v>98500</v>
      </c>
      <c r="BB45">
        <v>165000</v>
      </c>
      <c r="BC45">
        <v>562</v>
      </c>
      <c r="BD45" s="3">
        <f>Wapato_Sales[[#This Row],[land_extract]]*Lookups!$B$3</f>
        <v>2996.2297292834592</v>
      </c>
      <c r="BE45" s="3">
        <f>Lookups!$B$2</f>
        <v>107530.54</v>
      </c>
      <c r="BF45">
        <f>VLOOKUP(Wapato_Sales[[#This Row],[quality]],Lookups!$H$2:$J$11,3,FALSE)</f>
        <v>28034</v>
      </c>
      <c r="BG45">
        <f>VLOOKUP(Wapato_Sales[[#This Row],[condition]],Lookups!$H$17:$J$24,3,FALSE)</f>
        <v>52231</v>
      </c>
      <c r="BH45" s="3">
        <f>Wapato_Sales[[#This Row],[Age]]*Lookups!$B$16</f>
        <v>-36326.2186</v>
      </c>
      <c r="BI45" s="3">
        <f>Wapato_Sales[[#This Row],[Main Floor]]*Lookups!$B$17</f>
        <v>32813.580114999997</v>
      </c>
      <c r="BJ45" s="3">
        <f>Wapato_Sales[[#This Row],[Upper Floor]]*Lookups!$B$18</f>
        <v>0</v>
      </c>
      <c r="BK45" s="3">
        <f>Wapato_Sales[[#This Row],[Fin BSMT]]*Lookups!$B$19</f>
        <v>0</v>
      </c>
      <c r="BL45" s="3">
        <f>Wapato_Sales[[#This Row],[garage_sqft]]*Lookups!$B$20</f>
        <v>0</v>
      </c>
      <c r="BM45" s="3">
        <f>Wapato_Sales[[#This Row],[Patio]]*Lookups!$B$21</f>
        <v>0</v>
      </c>
      <c r="BN45" s="3">
        <f>Wapato_Sales[[#This Row],[detatched_value]]*Lookups!$B$22</f>
        <v>6111.7199000000001</v>
      </c>
      <c r="BO45" s="3">
        <f>Wapato_Sales[[#This Row],[days_prior]]*Lookups!$B$23</f>
        <v>-42061.473759999993</v>
      </c>
      <c r="BP45" s="3">
        <f>SUM(Wapato_Sales[[#This Row],[land_value]:[days_prior_value]])</f>
        <v>151329.37738428346</v>
      </c>
      <c r="BQ45" s="2">
        <f>Wapato_Sales[[#This Row],[predicted_total]]/Wapato_Sales[[#This Row],[sale_price]]</f>
        <v>0.91714774172293012</v>
      </c>
      <c r="BR45" s="3">
        <f>Wapato_Sales[[#This Row],[predicted_total]]-Wapato_Sales[[#This Row],[sale_price]]</f>
        <v>-13670.622615716537</v>
      </c>
      <c r="BS45" s="3">
        <f>Wapato_Sales[[#This Row],[pred_var]]*Wapato_Sales[[#This Row],[pred_var]]</f>
        <v>186885922.70134044</v>
      </c>
      <c r="BT45" s="2">
        <f>VLOOKUP(Wapato_Sales[[#This Row],[quality]],Lookups!$A$28:$C$37,3,FALSE)</f>
        <v>0.96265813922927435</v>
      </c>
      <c r="BU45" s="2">
        <f>VLOOKUP(Wapato_Sales[[#This Row],[condition]],Lookups!$A$41:$C$48,3,FALSE)</f>
        <v>0.9832333997567807</v>
      </c>
      <c r="BV45" s="2">
        <f>VLOOKUP(Wapato_Sales[[#This Row],[decade]],Lookups!$F$28:$H$43,3,FALSE)</f>
        <v>1.0114203040664467</v>
      </c>
      <c r="BW45" s="2">
        <f>VLOOKUP(Wapato_Sales[[#This Row],[living_area_range]],Lookups!$K$28:$M$37,3,FALSE)</f>
        <v>0.99022994770196116</v>
      </c>
      <c r="BX45" s="2">
        <f>AVERAGE(Wapato_Sales[[#This Row],[qual_adj]:[size_adj]])</f>
        <v>0.98688544768861564</v>
      </c>
      <c r="BY45" s="3">
        <f>SUM(Wapato_Sales[[#This Row],[quality_value]:[days_prior_value]])+(Wapato_Sales[[#This Row],[intercept]]*0.5)-Wapato_Sales[[#This Row],[det_value]]</f>
        <v>88456.157754999993</v>
      </c>
      <c r="BZ45" s="3">
        <f>Wapato_Sales[[#This Row],[land_value]]+(0.5*Wapato_Sales[[#This Row],[intercept]])</f>
        <v>56761.49972928346</v>
      </c>
      <c r="CA45" s="3">
        <f>Wapato_Sales[[#This Row],[det_value]]</f>
        <v>6111.7199000000001</v>
      </c>
      <c r="CB45" s="3">
        <f>Wapato_Sales[[#This Row],[summed_res]]*Wapato_Sales[[#This Row],[overall_adj]]</f>
        <v>87296.094846857974</v>
      </c>
      <c r="CC45" s="3">
        <f>Wapato_Sales[[#This Row],[final_res]]+Wapato_Sales[[#This Row],[final_det]]+Wapato_Sales[[#This Row],[final_land]]</f>
        <v>150169.31447614142</v>
      </c>
      <c r="CD45" s="2">
        <f>Wapato_Sales[[#This Row],[final_total]]/Wapato_Sales[[#This Row],[sale_price]]</f>
        <v>0.91011705743116011</v>
      </c>
      <c r="CE45" s="3">
        <f>(Wapato_Sales[[#This Row],[final_total]]-Wapato_Sales[[#This Row],[sale_price]])^2</f>
        <v>219949233.10758859</v>
      </c>
      <c r="CF45" s="3">
        <f>(Wapato_Sales[[#This Row],[final_total]]-AVERAGE(Wapato_Sales[sale_price]))^2</f>
        <v>2900954546.6446199</v>
      </c>
      <c r="CG45" s="3">
        <f>Wapato_Sales[[#This Row],[SSE]]+Wapato_Sales[[#This Row],[SSR]]</f>
        <v>3120903779.7522087</v>
      </c>
      <c r="CH45" s="2">
        <f>ABS(Wapato_Sales[[#This Row],[final_ratio]]-MEDIAN(Wapato_Sales[final_ratio]))</f>
        <v>7.1859468762252909E-2</v>
      </c>
    </row>
    <row r="46" spans="1:86" x14ac:dyDescent="0.25">
      <c r="A46">
        <v>19111041579</v>
      </c>
      <c r="B46">
        <v>0.14000000000000001</v>
      </c>
      <c r="C46">
        <v>6250</v>
      </c>
      <c r="D46">
        <v>0</v>
      </c>
      <c r="E46" t="s">
        <v>54</v>
      </c>
      <c r="F46" t="s">
        <v>54</v>
      </c>
      <c r="G46">
        <v>3</v>
      </c>
      <c r="H46" t="s">
        <v>55</v>
      </c>
      <c r="I46">
        <v>189500</v>
      </c>
      <c r="J46">
        <v>31900</v>
      </c>
      <c r="K46">
        <v>0.14000000000000001</v>
      </c>
      <c r="L46">
        <v>0</v>
      </c>
      <c r="M46">
        <v>0</v>
      </c>
      <c r="N46">
        <v>0</v>
      </c>
      <c r="O46">
        <v>27904.037</v>
      </c>
      <c r="P46">
        <v>74398.407600000006</v>
      </c>
      <c r="Q46">
        <f t="shared" si="0"/>
        <v>19535.921709596798</v>
      </c>
      <c r="R46">
        <f t="shared" si="1"/>
        <v>-1.9661128563728327</v>
      </c>
      <c r="S46" t="s">
        <v>66</v>
      </c>
      <c r="T46">
        <v>1</v>
      </c>
      <c r="U46" t="s">
        <v>71</v>
      </c>
      <c r="V46" t="s">
        <v>69</v>
      </c>
      <c r="W46">
        <v>0</v>
      </c>
      <c r="X46">
        <v>0</v>
      </c>
      <c r="Y46">
        <v>55</v>
      </c>
      <c r="Z46">
        <v>98</v>
      </c>
      <c r="AA46">
        <v>100</v>
      </c>
      <c r="AB46">
        <v>1000</v>
      </c>
      <c r="AC46">
        <v>960</v>
      </c>
      <c r="AD46">
        <v>960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348</v>
      </c>
      <c r="AL46">
        <v>5</v>
      </c>
      <c r="AM46">
        <v>0</v>
      </c>
      <c r="AN46">
        <v>0</v>
      </c>
      <c r="AO46" t="s">
        <v>82</v>
      </c>
      <c r="AP46">
        <v>1</v>
      </c>
      <c r="AQ46" t="s">
        <v>60</v>
      </c>
      <c r="AR46" t="s">
        <v>61</v>
      </c>
      <c r="AS46">
        <v>1</v>
      </c>
      <c r="AT46">
        <v>3</v>
      </c>
      <c r="AU46">
        <v>0</v>
      </c>
      <c r="AV46">
        <v>17800</v>
      </c>
      <c r="AW46">
        <v>100</v>
      </c>
      <c r="AX46" s="1">
        <v>44637</v>
      </c>
      <c r="AY46">
        <v>26900</v>
      </c>
      <c r="AZ46">
        <v>117594</v>
      </c>
      <c r="BA46">
        <v>144500</v>
      </c>
      <c r="BB46">
        <v>235000</v>
      </c>
      <c r="BC46">
        <v>290</v>
      </c>
      <c r="BD46" s="3">
        <f>Wapato_Sales[[#This Row],[land_extract]]*Lookups!$B$3</f>
        <v>1984.9746755939761</v>
      </c>
      <c r="BE46" s="3">
        <f>Lookups!$B$2</f>
        <v>107530.54</v>
      </c>
      <c r="BF46">
        <f>VLOOKUP(Wapato_Sales[[#This Row],[quality]],Lookups!$H$2:$J$11,3,FALSE)</f>
        <v>28034</v>
      </c>
      <c r="BG46">
        <f>VLOOKUP(Wapato_Sales[[#This Row],[condition]],Lookups!$H$17:$J$24,3,FALSE)</f>
        <v>74543</v>
      </c>
      <c r="BH46" s="3">
        <f>Wapato_Sales[[#This Row],[Age]]*Lookups!$B$16</f>
        <v>-36326.2186</v>
      </c>
      <c r="BI46" s="3">
        <f>Wapato_Sales[[#This Row],[Main Floor]]*Lookups!$B$17</f>
        <v>40128.709439999999</v>
      </c>
      <c r="BJ46" s="3">
        <f>Wapato_Sales[[#This Row],[Upper Floor]]*Lookups!$B$18</f>
        <v>0</v>
      </c>
      <c r="BK46" s="3">
        <f>Wapato_Sales[[#This Row],[Fin BSMT]]*Lookups!$B$19</f>
        <v>0</v>
      </c>
      <c r="BL46" s="3">
        <f>Wapato_Sales[[#This Row],[garage_sqft]]*Lookups!$B$20</f>
        <v>0</v>
      </c>
      <c r="BM46" s="3">
        <f>Wapato_Sales[[#This Row],[Patio]]*Lookups!$B$21</f>
        <v>15076.744692</v>
      </c>
      <c r="BN46" s="3">
        <f>Wapato_Sales[[#This Row],[detatched_value]]*Lookups!$B$22</f>
        <v>16736.709879999999</v>
      </c>
      <c r="BO46" s="3">
        <f>Wapato_Sales[[#This Row],[days_prior]]*Lookups!$B$23</f>
        <v>-21704.319199999998</v>
      </c>
      <c r="BP46" s="3">
        <f>SUM(Wapato_Sales[[#This Row],[land_value]:[days_prior_value]])</f>
        <v>226004.140887594</v>
      </c>
      <c r="BQ46" s="2">
        <f>Wapato_Sales[[#This Row],[predicted_total]]/Wapato_Sales[[#This Row],[sale_price]]</f>
        <v>0.9617197484578468</v>
      </c>
      <c r="BR46" s="3">
        <f>Wapato_Sales[[#This Row],[predicted_total]]-Wapato_Sales[[#This Row],[sale_price]]</f>
        <v>-8995.859112406004</v>
      </c>
      <c r="BS46" s="3">
        <f>Wapato_Sales[[#This Row],[pred_var]]*Wapato_Sales[[#This Row],[pred_var]]</f>
        <v>80925481.170258135</v>
      </c>
      <c r="BT46" s="2">
        <f>VLOOKUP(Wapato_Sales[[#This Row],[quality]],Lookups!$A$28:$C$37,3,FALSE)</f>
        <v>0.96265813922927435</v>
      </c>
      <c r="BU46" s="2">
        <f>VLOOKUP(Wapato_Sales[[#This Row],[condition]],Lookups!$A$41:$C$48,3,FALSE)</f>
        <v>0.98442438223270734</v>
      </c>
      <c r="BV46" s="2">
        <f>VLOOKUP(Wapato_Sales[[#This Row],[decade]],Lookups!$F$28:$H$43,3,FALSE)</f>
        <v>1.0114203040664467</v>
      </c>
      <c r="BW46" s="2">
        <f>VLOOKUP(Wapato_Sales[[#This Row],[living_area_range]],Lookups!$K$28:$M$37,3,FALSE)</f>
        <v>0.99022994770196116</v>
      </c>
      <c r="BX46" s="2">
        <f>AVERAGE(Wapato_Sales[[#This Row],[qual_adj]:[size_adj]])</f>
        <v>0.9871831933075973</v>
      </c>
      <c r="BY46" s="3">
        <f>SUM(Wapato_Sales[[#This Row],[quality_value]:[days_prior_value]])+(Wapato_Sales[[#This Row],[intercept]]*0.5)-Wapato_Sales[[#This Row],[det_value]]</f>
        <v>153517.18633200001</v>
      </c>
      <c r="BZ46" s="3">
        <f>Wapato_Sales[[#This Row],[land_value]]+(0.5*Wapato_Sales[[#This Row],[intercept]])</f>
        <v>55750.244675593975</v>
      </c>
      <c r="CA46" s="3">
        <f>Wapato_Sales[[#This Row],[det_value]]</f>
        <v>16736.709879999999</v>
      </c>
      <c r="CB46" s="3">
        <f>Wapato_Sales[[#This Row],[summed_res]]*Wapato_Sales[[#This Row],[overall_adj]]</f>
        <v>151549.58623082121</v>
      </c>
      <c r="CC46" s="3">
        <f>Wapato_Sales[[#This Row],[final_res]]+Wapato_Sales[[#This Row],[final_det]]+Wapato_Sales[[#This Row],[final_land]]</f>
        <v>224036.54078641519</v>
      </c>
      <c r="CD46" s="2">
        <f>Wapato_Sales[[#This Row],[final_total]]/Wapato_Sales[[#This Row],[sale_price]]</f>
        <v>0.95334698206985191</v>
      </c>
      <c r="CE46" s="3">
        <f>(Wapato_Sales[[#This Row],[final_total]]-Wapato_Sales[[#This Row],[sale_price]])^2</f>
        <v>120197437.9279376</v>
      </c>
      <c r="CF46" s="3">
        <f>(Wapato_Sales[[#This Row],[final_total]]-AVERAGE(Wapato_Sales[sale_price]))^2</f>
        <v>400268694.10814565</v>
      </c>
      <c r="CG46" s="3">
        <f>Wapato_Sales[[#This Row],[SSE]]+Wapato_Sales[[#This Row],[SSR]]</f>
        <v>520466132.03608322</v>
      </c>
      <c r="CH46" s="2">
        <f>ABS(Wapato_Sales[[#This Row],[final_ratio]]-MEDIAN(Wapato_Sales[final_ratio]))</f>
        <v>2.8629544123561113E-2</v>
      </c>
    </row>
    <row r="47" spans="1:86" x14ac:dyDescent="0.25">
      <c r="A47">
        <v>19112211409</v>
      </c>
      <c r="B47">
        <v>0.21</v>
      </c>
      <c r="C47">
        <v>8960</v>
      </c>
      <c r="D47">
        <v>0</v>
      </c>
      <c r="E47" t="s">
        <v>54</v>
      </c>
      <c r="F47" t="s">
        <v>54</v>
      </c>
      <c r="G47">
        <v>3</v>
      </c>
      <c r="H47" t="s">
        <v>55</v>
      </c>
      <c r="I47">
        <v>137400</v>
      </c>
      <c r="J47">
        <v>34800</v>
      </c>
      <c r="K47">
        <v>0.21</v>
      </c>
      <c r="L47">
        <v>0</v>
      </c>
      <c r="M47">
        <v>0</v>
      </c>
      <c r="N47">
        <v>0</v>
      </c>
      <c r="O47">
        <v>27904.037</v>
      </c>
      <c r="P47">
        <v>74398.407600000006</v>
      </c>
      <c r="Q47">
        <f t="shared" si="0"/>
        <v>30850.035088456018</v>
      </c>
      <c r="R47">
        <f t="shared" si="1"/>
        <v>-1.5606477482646683</v>
      </c>
      <c r="S47" t="s">
        <v>66</v>
      </c>
      <c r="T47">
        <v>1</v>
      </c>
      <c r="U47" t="s">
        <v>71</v>
      </c>
      <c r="V47" t="s">
        <v>69</v>
      </c>
      <c r="W47">
        <v>0</v>
      </c>
      <c r="X47">
        <v>0</v>
      </c>
      <c r="Y47">
        <v>55</v>
      </c>
      <c r="Z47">
        <v>98</v>
      </c>
      <c r="AA47">
        <v>100</v>
      </c>
      <c r="AB47">
        <v>1000</v>
      </c>
      <c r="AC47">
        <v>944</v>
      </c>
      <c r="AD47">
        <v>944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5</v>
      </c>
      <c r="AM47">
        <v>0</v>
      </c>
      <c r="AN47">
        <v>0</v>
      </c>
      <c r="AO47" t="s">
        <v>59</v>
      </c>
      <c r="AP47">
        <v>0</v>
      </c>
      <c r="AQ47" t="s">
        <v>80</v>
      </c>
      <c r="AR47" t="s">
        <v>77</v>
      </c>
      <c r="AS47">
        <v>0</v>
      </c>
      <c r="AT47">
        <v>2</v>
      </c>
      <c r="AU47">
        <v>0</v>
      </c>
      <c r="AV47">
        <v>0</v>
      </c>
      <c r="AW47">
        <v>100</v>
      </c>
      <c r="AX47" s="1">
        <v>44741</v>
      </c>
      <c r="AY47">
        <v>25300</v>
      </c>
      <c r="AZ47">
        <v>85738</v>
      </c>
      <c r="BA47">
        <v>111000</v>
      </c>
      <c r="BB47">
        <v>168000</v>
      </c>
      <c r="BC47">
        <v>186</v>
      </c>
      <c r="BD47" s="3">
        <f>Wapato_Sales[[#This Row],[land_extract]]*Lookups!$B$3</f>
        <v>3134.5610052116976</v>
      </c>
      <c r="BE47" s="3">
        <f>Lookups!$B$2</f>
        <v>107530.54</v>
      </c>
      <c r="BF47">
        <f>VLOOKUP(Wapato_Sales[[#This Row],[quality]],Lookups!$H$2:$J$11,3,FALSE)</f>
        <v>28034</v>
      </c>
      <c r="BG47">
        <f>VLOOKUP(Wapato_Sales[[#This Row],[condition]],Lookups!$H$17:$J$24,3,FALSE)</f>
        <v>74543</v>
      </c>
      <c r="BH47" s="3">
        <f>Wapato_Sales[[#This Row],[Age]]*Lookups!$B$16</f>
        <v>-36326.2186</v>
      </c>
      <c r="BI47" s="3">
        <f>Wapato_Sales[[#This Row],[Main Floor]]*Lookups!$B$17</f>
        <v>39459.897616000002</v>
      </c>
      <c r="BJ47" s="3">
        <f>Wapato_Sales[[#This Row],[Upper Floor]]*Lookups!$B$18</f>
        <v>0</v>
      </c>
      <c r="BK47" s="3">
        <f>Wapato_Sales[[#This Row],[Fin BSMT]]*Lookups!$B$19</f>
        <v>0</v>
      </c>
      <c r="BL47" s="3">
        <f>Wapato_Sales[[#This Row],[garage_sqft]]*Lookups!$B$20</f>
        <v>0</v>
      </c>
      <c r="BM47" s="3">
        <f>Wapato_Sales[[#This Row],[Patio]]*Lookups!$B$21</f>
        <v>0</v>
      </c>
      <c r="BN47" s="3">
        <f>Wapato_Sales[[#This Row],[detatched_value]]*Lookups!$B$22</f>
        <v>0</v>
      </c>
      <c r="BO47" s="3">
        <f>Wapato_Sales[[#This Row],[days_prior]]*Lookups!$B$23</f>
        <v>-13920.701279999999</v>
      </c>
      <c r="BP47" s="3">
        <f>SUM(Wapato_Sales[[#This Row],[land_value]:[days_prior_value]])</f>
        <v>202455.07874121171</v>
      </c>
      <c r="BQ47" s="2">
        <f>Wapato_Sales[[#This Row],[predicted_total]]/Wapato_Sales[[#This Row],[sale_price]]</f>
        <v>1.2050897544119745</v>
      </c>
      <c r="BR47" s="3">
        <f>Wapato_Sales[[#This Row],[predicted_total]]-Wapato_Sales[[#This Row],[sale_price]]</f>
        <v>34455.078741211706</v>
      </c>
      <c r="BS47" s="3">
        <f>Wapato_Sales[[#This Row],[pred_var]]*Wapato_Sales[[#This Row],[pred_var]]</f>
        <v>1187152451.0630989</v>
      </c>
      <c r="BT47" s="2">
        <f>VLOOKUP(Wapato_Sales[[#This Row],[quality]],Lookups!$A$28:$C$37,3,FALSE)</f>
        <v>0.96265813922927435</v>
      </c>
      <c r="BU47" s="2">
        <f>VLOOKUP(Wapato_Sales[[#This Row],[condition]],Lookups!$A$41:$C$48,3,FALSE)</f>
        <v>0.98442438223270734</v>
      </c>
      <c r="BV47" s="2">
        <f>VLOOKUP(Wapato_Sales[[#This Row],[decade]],Lookups!$F$28:$H$43,3,FALSE)</f>
        <v>1.0114203040664467</v>
      </c>
      <c r="BW47" s="2">
        <f>VLOOKUP(Wapato_Sales[[#This Row],[living_area_range]],Lookups!$K$28:$M$37,3,FALSE)</f>
        <v>0.99022994770196116</v>
      </c>
      <c r="BX47" s="2">
        <f>AVERAGE(Wapato_Sales[[#This Row],[qual_adj]:[size_adj]])</f>
        <v>0.9871831933075973</v>
      </c>
      <c r="BY47" s="3">
        <f>SUM(Wapato_Sales[[#This Row],[quality_value]:[days_prior_value]])+(Wapato_Sales[[#This Row],[intercept]]*0.5)-Wapato_Sales[[#This Row],[det_value]]</f>
        <v>145555.24773600002</v>
      </c>
      <c r="BZ47" s="3">
        <f>Wapato_Sales[[#This Row],[land_value]]+(0.5*Wapato_Sales[[#This Row],[intercept]])</f>
        <v>56899.831005211694</v>
      </c>
      <c r="CA47" s="3">
        <f>Wapato_Sales[[#This Row],[det_value]]</f>
        <v>0</v>
      </c>
      <c r="CB47" s="3">
        <f>Wapato_Sales[[#This Row],[summed_res]]*Wapato_Sales[[#This Row],[overall_adj]]</f>
        <v>143689.69426270292</v>
      </c>
      <c r="CC47" s="3">
        <f>Wapato_Sales[[#This Row],[final_res]]+Wapato_Sales[[#This Row],[final_det]]+Wapato_Sales[[#This Row],[final_land]]</f>
        <v>200589.52526791461</v>
      </c>
      <c r="CD47" s="2">
        <f>Wapato_Sales[[#This Row],[final_total]]/Wapato_Sales[[#This Row],[sale_price]]</f>
        <v>1.1939852694518727</v>
      </c>
      <c r="CE47" s="3">
        <f>(Wapato_Sales[[#This Row],[final_total]]-Wapato_Sales[[#This Row],[sale_price]])^2</f>
        <v>1062077157.1880447</v>
      </c>
      <c r="CF47" s="3">
        <f>(Wapato_Sales[[#This Row],[final_total]]-AVERAGE(Wapato_Sales[sale_price]))^2</f>
        <v>11835659.228780255</v>
      </c>
      <c r="CG47" s="3">
        <f>Wapato_Sales[[#This Row],[SSE]]+Wapato_Sales[[#This Row],[SSR]]</f>
        <v>1073912816.4168248</v>
      </c>
      <c r="CH47" s="2">
        <f>ABS(Wapato_Sales[[#This Row],[final_ratio]]-MEDIAN(Wapato_Sales[final_ratio]))</f>
        <v>0.21200874325845964</v>
      </c>
    </row>
    <row r="48" spans="1:86" x14ac:dyDescent="0.25">
      <c r="A48">
        <v>19111514534</v>
      </c>
      <c r="B48">
        <v>0.14000000000000001</v>
      </c>
      <c r="C48">
        <v>5953</v>
      </c>
      <c r="D48">
        <v>0</v>
      </c>
      <c r="E48" t="s">
        <v>54</v>
      </c>
      <c r="F48" t="s">
        <v>54</v>
      </c>
      <c r="G48">
        <v>3</v>
      </c>
      <c r="H48" t="s">
        <v>55</v>
      </c>
      <c r="I48">
        <v>69300</v>
      </c>
      <c r="J48">
        <v>31900</v>
      </c>
      <c r="K48">
        <v>0.14000000000000001</v>
      </c>
      <c r="L48">
        <v>0</v>
      </c>
      <c r="M48">
        <v>0</v>
      </c>
      <c r="N48">
        <v>0</v>
      </c>
      <c r="O48">
        <v>27904.037</v>
      </c>
      <c r="P48">
        <v>74398.407600000006</v>
      </c>
      <c r="Q48">
        <f t="shared" si="0"/>
        <v>19535.921709596798</v>
      </c>
      <c r="R48">
        <f t="shared" si="1"/>
        <v>-1.9661128563728327</v>
      </c>
      <c r="S48" t="s">
        <v>66</v>
      </c>
      <c r="T48">
        <v>2</v>
      </c>
      <c r="U48" t="s">
        <v>67</v>
      </c>
      <c r="V48" t="s">
        <v>84</v>
      </c>
      <c r="W48">
        <v>0</v>
      </c>
      <c r="X48">
        <v>0</v>
      </c>
      <c r="Y48">
        <v>55</v>
      </c>
      <c r="Z48">
        <v>98</v>
      </c>
      <c r="AA48">
        <v>100</v>
      </c>
      <c r="AB48">
        <v>1500</v>
      </c>
      <c r="AC48">
        <v>1044</v>
      </c>
      <c r="AD48">
        <v>844</v>
      </c>
      <c r="AE48">
        <v>200</v>
      </c>
      <c r="AF48">
        <v>0</v>
      </c>
      <c r="AG48">
        <v>150</v>
      </c>
      <c r="AH48">
        <v>0</v>
      </c>
      <c r="AI48">
        <v>0</v>
      </c>
      <c r="AJ48">
        <v>0</v>
      </c>
      <c r="AK48">
        <v>0</v>
      </c>
      <c r="AL48">
        <v>5</v>
      </c>
      <c r="AM48">
        <v>0</v>
      </c>
      <c r="AN48">
        <v>0</v>
      </c>
      <c r="AO48" t="s">
        <v>85</v>
      </c>
      <c r="AP48">
        <v>0</v>
      </c>
      <c r="AQ48" t="s">
        <v>80</v>
      </c>
      <c r="AR48" t="s">
        <v>77</v>
      </c>
      <c r="AS48">
        <v>0</v>
      </c>
      <c r="AT48">
        <v>3</v>
      </c>
      <c r="AU48">
        <v>0</v>
      </c>
      <c r="AV48">
        <v>0</v>
      </c>
      <c r="AW48">
        <v>100</v>
      </c>
      <c r="AX48" s="1">
        <v>43941</v>
      </c>
      <c r="AY48">
        <v>26600</v>
      </c>
      <c r="AZ48">
        <v>57593</v>
      </c>
      <c r="BA48">
        <v>84200</v>
      </c>
      <c r="BB48">
        <v>95000</v>
      </c>
      <c r="BC48">
        <v>986</v>
      </c>
      <c r="BD48" s="3">
        <f>Wapato_Sales[[#This Row],[land_extract]]*Lookups!$B$3</f>
        <v>1984.9746755939761</v>
      </c>
      <c r="BE48" s="3">
        <f>Lookups!$B$2</f>
        <v>107530.54</v>
      </c>
      <c r="BF48">
        <f>VLOOKUP(Wapato_Sales[[#This Row],[quality]],Lookups!$H$2:$J$11,3,FALSE)</f>
        <v>50405</v>
      </c>
      <c r="BG48">
        <f>VLOOKUP(Wapato_Sales[[#This Row],[condition]],Lookups!$H$17:$J$24,3,FALSE)</f>
        <v>0</v>
      </c>
      <c r="BH48" s="3">
        <f>Wapato_Sales[[#This Row],[Age]]*Lookups!$B$16</f>
        <v>-36326.2186</v>
      </c>
      <c r="BI48" s="3">
        <f>Wapato_Sales[[#This Row],[Main Floor]]*Lookups!$B$17</f>
        <v>35279.823715999999</v>
      </c>
      <c r="BJ48" s="3">
        <f>Wapato_Sales[[#This Row],[Upper Floor]]*Lookups!$B$18</f>
        <v>9920.2278000000006</v>
      </c>
      <c r="BK48" s="3">
        <f>Wapato_Sales[[#This Row],[Fin BSMT]]*Lookups!$B$19</f>
        <v>0</v>
      </c>
      <c r="BL48" s="3">
        <f>Wapato_Sales[[#This Row],[garage_sqft]]*Lookups!$B$20</f>
        <v>0</v>
      </c>
      <c r="BM48" s="3">
        <f>Wapato_Sales[[#This Row],[Patio]]*Lookups!$B$21</f>
        <v>0</v>
      </c>
      <c r="BN48" s="3">
        <f>Wapato_Sales[[#This Row],[detatched_value]]*Lookups!$B$22</f>
        <v>0</v>
      </c>
      <c r="BO48" s="3">
        <f>Wapato_Sales[[#This Row],[days_prior]]*Lookups!$B$23</f>
        <v>-73794.685279999991</v>
      </c>
      <c r="BP48" s="3">
        <f>SUM(Wapato_Sales[[#This Row],[land_value]:[days_prior_value]])</f>
        <v>94999.662311593987</v>
      </c>
      <c r="BQ48" s="2">
        <f>Wapato_Sales[[#This Row],[predicted_total]]/Wapato_Sales[[#This Row],[sale_price]]</f>
        <v>0.99999644538519983</v>
      </c>
      <c r="BR48" s="3">
        <f>Wapato_Sales[[#This Row],[predicted_total]]-Wapato_Sales[[#This Row],[sale_price]]</f>
        <v>-0.33768840601260308</v>
      </c>
      <c r="BS48" s="3">
        <f>Wapato_Sales[[#This Row],[pred_var]]*Wapato_Sales[[#This Row],[pred_var]]</f>
        <v>0.11403345955533266</v>
      </c>
      <c r="BT48" s="2">
        <f>VLOOKUP(Wapato_Sales[[#This Row],[quality]],Lookups!$A$28:$C$37,3,FALSE)</f>
        <v>0.97993206410140754</v>
      </c>
      <c r="BU48" s="2">
        <f>VLOOKUP(Wapato_Sales[[#This Row],[condition]],Lookups!$A$41:$C$48,3,FALSE)</f>
        <v>1.0000035546274355</v>
      </c>
      <c r="BV48" s="2">
        <f>VLOOKUP(Wapato_Sales[[#This Row],[decade]],Lookups!$F$28:$H$43,3,FALSE)</f>
        <v>1.0114203040664467</v>
      </c>
      <c r="BW48" s="2">
        <f>VLOOKUP(Wapato_Sales[[#This Row],[living_area_range]],Lookups!$K$28:$M$37,3,FALSE)</f>
        <v>1.0061411172456287</v>
      </c>
      <c r="BX48" s="2">
        <f>AVERAGE(Wapato_Sales[[#This Row],[qual_adj]:[size_adj]])</f>
        <v>0.99937426001022955</v>
      </c>
      <c r="BY48" s="3">
        <f>SUM(Wapato_Sales[[#This Row],[quality_value]:[days_prior_value]])+(Wapato_Sales[[#This Row],[intercept]]*0.5)-Wapato_Sales[[#This Row],[det_value]]</f>
        <v>39249.417636000006</v>
      </c>
      <c r="BZ48" s="3">
        <f>Wapato_Sales[[#This Row],[land_value]]+(0.5*Wapato_Sales[[#This Row],[intercept]])</f>
        <v>55750.244675593975</v>
      </c>
      <c r="CA48" s="3">
        <f>Wapato_Sales[[#This Row],[det_value]]</f>
        <v>0</v>
      </c>
      <c r="CB48" s="3">
        <f>Wapato_Sales[[#This Row],[summed_res]]*Wapato_Sales[[#This Row],[overall_adj]]</f>
        <v>39224.857705809962</v>
      </c>
      <c r="CC48" s="3">
        <f>Wapato_Sales[[#This Row],[final_res]]+Wapato_Sales[[#This Row],[final_det]]+Wapato_Sales[[#This Row],[final_land]]</f>
        <v>94975.102381403936</v>
      </c>
      <c r="CD48" s="2">
        <f>Wapato_Sales[[#This Row],[final_total]]/Wapato_Sales[[#This Row],[sale_price]]</f>
        <v>0.99973791980425197</v>
      </c>
      <c r="CE48" s="3">
        <f>(Wapato_Sales[[#This Row],[final_total]]-Wapato_Sales[[#This Row],[sale_price]])^2</f>
        <v>619.89141175505665</v>
      </c>
      <c r="CF48" s="3">
        <f>(Wapato_Sales[[#This Row],[final_total]]-AVERAGE(Wapato_Sales[sale_price]))^2</f>
        <v>11892932429.756891</v>
      </c>
      <c r="CG48" s="3">
        <f>Wapato_Sales[[#This Row],[SSE]]+Wapato_Sales[[#This Row],[SSR]]</f>
        <v>11892933049.648302</v>
      </c>
      <c r="CH48" s="2">
        <f>ABS(Wapato_Sales[[#This Row],[final_ratio]]-MEDIAN(Wapato_Sales[final_ratio]))</f>
        <v>1.7761393610838949E-2</v>
      </c>
    </row>
    <row r="49" spans="1:86" x14ac:dyDescent="0.25">
      <c r="A49">
        <v>19111514516</v>
      </c>
      <c r="B49">
        <v>0.16</v>
      </c>
      <c r="C49">
        <v>7164</v>
      </c>
      <c r="D49">
        <v>0</v>
      </c>
      <c r="E49" t="s">
        <v>54</v>
      </c>
      <c r="F49" t="s">
        <v>54</v>
      </c>
      <c r="G49">
        <v>3</v>
      </c>
      <c r="H49" t="s">
        <v>55</v>
      </c>
      <c r="I49">
        <v>197300</v>
      </c>
      <c r="J49">
        <v>32800</v>
      </c>
      <c r="K49">
        <v>0.16</v>
      </c>
      <c r="L49">
        <v>0</v>
      </c>
      <c r="M49">
        <v>0</v>
      </c>
      <c r="N49">
        <v>0</v>
      </c>
      <c r="O49">
        <v>27904.037</v>
      </c>
      <c r="P49">
        <v>74398.407600000006</v>
      </c>
      <c r="Q49">
        <f t="shared" si="0"/>
        <v>23261.986630052997</v>
      </c>
      <c r="R49">
        <f t="shared" si="1"/>
        <v>-1.8325814637483102</v>
      </c>
      <c r="S49" t="s">
        <v>66</v>
      </c>
      <c r="T49">
        <v>1</v>
      </c>
      <c r="U49" t="s">
        <v>63</v>
      </c>
      <c r="V49" t="s">
        <v>68</v>
      </c>
      <c r="W49">
        <v>0</v>
      </c>
      <c r="X49">
        <v>0</v>
      </c>
      <c r="Y49">
        <v>56</v>
      </c>
      <c r="Z49">
        <v>101</v>
      </c>
      <c r="AA49">
        <v>100</v>
      </c>
      <c r="AB49">
        <v>2000</v>
      </c>
      <c r="AC49">
        <v>1871</v>
      </c>
      <c r="AD49">
        <v>1871</v>
      </c>
      <c r="AE49">
        <v>0</v>
      </c>
      <c r="AF49">
        <v>0</v>
      </c>
      <c r="AG49">
        <v>640</v>
      </c>
      <c r="AH49">
        <v>0</v>
      </c>
      <c r="AI49">
        <v>210</v>
      </c>
      <c r="AJ49">
        <v>426</v>
      </c>
      <c r="AK49">
        <v>0</v>
      </c>
      <c r="AL49">
        <v>8</v>
      </c>
      <c r="AM49">
        <v>0</v>
      </c>
      <c r="AN49">
        <v>1</v>
      </c>
      <c r="AO49" t="s">
        <v>59</v>
      </c>
      <c r="AP49">
        <v>1</v>
      </c>
      <c r="AQ49" t="s">
        <v>64</v>
      </c>
      <c r="AR49" t="s">
        <v>65</v>
      </c>
      <c r="AS49">
        <v>1</v>
      </c>
      <c r="AT49">
        <v>3</v>
      </c>
      <c r="AU49">
        <v>0</v>
      </c>
      <c r="AV49">
        <v>6200</v>
      </c>
      <c r="AW49">
        <v>100</v>
      </c>
      <c r="AX49" s="1">
        <v>43851</v>
      </c>
      <c r="AY49">
        <v>27700</v>
      </c>
      <c r="AZ49">
        <v>228782</v>
      </c>
      <c r="BA49">
        <v>256500</v>
      </c>
      <c r="BB49">
        <v>165000</v>
      </c>
      <c r="BC49">
        <v>1076</v>
      </c>
      <c r="BD49" s="3">
        <f>Wapato_Sales[[#This Row],[land_extract]]*Lookups!$B$3</f>
        <v>2363.5667183278169</v>
      </c>
      <c r="BE49" s="3">
        <f>Lookups!$B$2</f>
        <v>107530.54</v>
      </c>
      <c r="BF49">
        <f>VLOOKUP(Wapato_Sales[[#This Row],[quality]],Lookups!$H$2:$J$11,3,FALSE)</f>
        <v>50594</v>
      </c>
      <c r="BG49">
        <f>VLOOKUP(Wapato_Sales[[#This Row],[condition]],Lookups!$H$17:$J$24,3,FALSE)</f>
        <v>52231</v>
      </c>
      <c r="BH49" s="3">
        <f>Wapato_Sales[[#This Row],[Age]]*Lookups!$B$16</f>
        <v>-37438.245699999999</v>
      </c>
      <c r="BI49" s="3">
        <f>Wapato_Sales[[#This Row],[Main Floor]]*Lookups!$B$17</f>
        <v>78209.182669000002</v>
      </c>
      <c r="BJ49" s="3">
        <f>Wapato_Sales[[#This Row],[Upper Floor]]*Lookups!$B$18</f>
        <v>0</v>
      </c>
      <c r="BK49" s="3">
        <f>Wapato_Sales[[#This Row],[Fin BSMT]]*Lookups!$B$19</f>
        <v>0</v>
      </c>
      <c r="BL49" s="3">
        <f>Wapato_Sales[[#This Row],[garage_sqft]]*Lookups!$B$20</f>
        <v>0</v>
      </c>
      <c r="BM49" s="3">
        <f>Wapato_Sales[[#This Row],[Patio]]*Lookups!$B$21</f>
        <v>0</v>
      </c>
      <c r="BN49" s="3">
        <f>Wapato_Sales[[#This Row],[detatched_value]]*Lookups!$B$22</f>
        <v>5829.6405199999999</v>
      </c>
      <c r="BO49" s="3">
        <f>Wapato_Sales[[#This Row],[days_prior]]*Lookups!$B$23</f>
        <v>-80530.50847999999</v>
      </c>
      <c r="BP49" s="3">
        <f>SUM(Wapato_Sales[[#This Row],[land_value]:[days_prior_value]])</f>
        <v>178789.17572732779</v>
      </c>
      <c r="BQ49" s="2">
        <f>Wapato_Sales[[#This Row],[predicted_total]]/Wapato_Sales[[#This Row],[sale_price]]</f>
        <v>1.0835707619838049</v>
      </c>
      <c r="BR49" s="3">
        <f>Wapato_Sales[[#This Row],[predicted_total]]-Wapato_Sales[[#This Row],[sale_price]]</f>
        <v>13789.175727327791</v>
      </c>
      <c r="BS49" s="3">
        <f>Wapato_Sales[[#This Row],[pred_var]]*Wapato_Sales[[#This Row],[pred_var]]</f>
        <v>190141367.23912591</v>
      </c>
      <c r="BT49" s="2">
        <f>VLOOKUP(Wapato_Sales[[#This Row],[quality]],Lookups!$A$28:$C$37,3,FALSE)</f>
        <v>0.99197423394367223</v>
      </c>
      <c r="BU49" s="2">
        <f>VLOOKUP(Wapato_Sales[[#This Row],[condition]],Lookups!$A$41:$C$48,3,FALSE)</f>
        <v>0.9832333997567807</v>
      </c>
      <c r="BV49" s="2">
        <f>VLOOKUP(Wapato_Sales[[#This Row],[decade]],Lookups!$F$28:$H$43,3,FALSE)</f>
        <v>1.0114203040664467</v>
      </c>
      <c r="BW49" s="2">
        <f>VLOOKUP(Wapato_Sales[[#This Row],[living_area_range]],Lookups!$K$28:$M$37,3,FALSE)</f>
        <v>0.99330894324714125</v>
      </c>
      <c r="BX49" s="2">
        <f>AVERAGE(Wapato_Sales[[#This Row],[qual_adj]:[size_adj]])</f>
        <v>0.99498422025351019</v>
      </c>
      <c r="BY49" s="3">
        <f>SUM(Wapato_Sales[[#This Row],[quality_value]:[days_prior_value]])+(Wapato_Sales[[#This Row],[intercept]]*0.5)-Wapato_Sales[[#This Row],[det_value]]</f>
        <v>116830.69848899999</v>
      </c>
      <c r="BZ49" s="3">
        <f>Wapato_Sales[[#This Row],[land_value]]+(0.5*Wapato_Sales[[#This Row],[intercept]])</f>
        <v>56128.836718327817</v>
      </c>
      <c r="CA49" s="3">
        <f>Wapato_Sales[[#This Row],[det_value]]</f>
        <v>5829.6405199999999</v>
      </c>
      <c r="CB49" s="3">
        <f>Wapato_Sales[[#This Row],[summed_res]]*Wapato_Sales[[#This Row],[overall_adj]]</f>
        <v>116244.7014377506</v>
      </c>
      <c r="CC49" s="3">
        <f>Wapato_Sales[[#This Row],[final_res]]+Wapato_Sales[[#This Row],[final_det]]+Wapato_Sales[[#This Row],[final_land]]</f>
        <v>178203.17867607842</v>
      </c>
      <c r="CD49" s="2">
        <f>Wapato_Sales[[#This Row],[final_total]]/Wapato_Sales[[#This Row],[sale_price]]</f>
        <v>1.0800192647035056</v>
      </c>
      <c r="CE49" s="3">
        <f>(Wapato_Sales[[#This Row],[final_total]]-Wapato_Sales[[#This Row],[sale_price]])^2</f>
        <v>174323927.15245181</v>
      </c>
      <c r="CF49" s="3">
        <f>(Wapato_Sales[[#This Row],[final_total]]-AVERAGE(Wapato_Sales[sale_price]))^2</f>
        <v>667015637.68597972</v>
      </c>
      <c r="CG49" s="3">
        <f>Wapato_Sales[[#This Row],[SSE]]+Wapato_Sales[[#This Row],[SSR]]</f>
        <v>841339564.8384316</v>
      </c>
      <c r="CH49" s="2">
        <f>ABS(Wapato_Sales[[#This Row],[final_ratio]]-MEDIAN(Wapato_Sales[final_ratio]))</f>
        <v>9.8042738510092597E-2</v>
      </c>
    </row>
    <row r="50" spans="1:86" x14ac:dyDescent="0.25">
      <c r="A50">
        <v>19111133433</v>
      </c>
      <c r="B50">
        <v>0.19</v>
      </c>
      <c r="C50">
        <v>8472</v>
      </c>
      <c r="D50">
        <v>0</v>
      </c>
      <c r="E50" t="s">
        <v>54</v>
      </c>
      <c r="F50" t="s">
        <v>54</v>
      </c>
      <c r="G50">
        <v>3</v>
      </c>
      <c r="H50" t="s">
        <v>55</v>
      </c>
      <c r="I50">
        <v>158200</v>
      </c>
      <c r="J50">
        <v>34100</v>
      </c>
      <c r="K50">
        <v>0.19</v>
      </c>
      <c r="L50">
        <v>0</v>
      </c>
      <c r="M50">
        <v>0</v>
      </c>
      <c r="N50">
        <v>0</v>
      </c>
      <c r="O50">
        <v>27904.037</v>
      </c>
      <c r="P50">
        <v>74398.407600000006</v>
      </c>
      <c r="Q50">
        <f t="shared" si="0"/>
        <v>28057.302557794006</v>
      </c>
      <c r="R50">
        <f t="shared" si="1"/>
        <v>-1.6607312068216509</v>
      </c>
      <c r="S50" t="s">
        <v>56</v>
      </c>
      <c r="T50">
        <v>2</v>
      </c>
      <c r="U50" t="s">
        <v>75</v>
      </c>
      <c r="V50" t="s">
        <v>68</v>
      </c>
      <c r="W50">
        <v>0</v>
      </c>
      <c r="X50">
        <v>0</v>
      </c>
      <c r="Y50">
        <v>57</v>
      </c>
      <c r="Z50">
        <v>103</v>
      </c>
      <c r="AA50">
        <v>100</v>
      </c>
      <c r="AB50">
        <v>2000</v>
      </c>
      <c r="AC50">
        <v>1568</v>
      </c>
      <c r="AD50">
        <v>1232</v>
      </c>
      <c r="AE50">
        <v>336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5</v>
      </c>
      <c r="AM50">
        <v>0</v>
      </c>
      <c r="AN50">
        <v>0</v>
      </c>
      <c r="AO50" t="s">
        <v>59</v>
      </c>
      <c r="AP50">
        <v>0</v>
      </c>
      <c r="AQ50" t="s">
        <v>80</v>
      </c>
      <c r="AR50" t="s">
        <v>65</v>
      </c>
      <c r="AS50">
        <v>0</v>
      </c>
      <c r="AT50">
        <v>3</v>
      </c>
      <c r="AU50">
        <v>0</v>
      </c>
      <c r="AV50">
        <v>0</v>
      </c>
      <c r="AW50">
        <v>100</v>
      </c>
      <c r="AX50" s="1">
        <v>43888</v>
      </c>
      <c r="AY50">
        <v>28800</v>
      </c>
      <c r="AZ50">
        <v>111909</v>
      </c>
      <c r="BA50">
        <v>140700</v>
      </c>
      <c r="BB50">
        <v>170000</v>
      </c>
      <c r="BC50">
        <v>1039</v>
      </c>
      <c r="BD50" s="3">
        <f>Wapato_Sales[[#This Row],[land_extract]]*Lookups!$B$3</f>
        <v>2850.8015066082407</v>
      </c>
      <c r="BE50" s="3">
        <f>Lookups!$B$2</f>
        <v>107530.54</v>
      </c>
      <c r="BF50">
        <f>VLOOKUP(Wapato_Sales[[#This Row],[quality]],Lookups!$H$2:$J$11,3,FALSE)</f>
        <v>48043</v>
      </c>
      <c r="BG50">
        <f>VLOOKUP(Wapato_Sales[[#This Row],[condition]],Lookups!$H$17:$J$24,3,FALSE)</f>
        <v>52231</v>
      </c>
      <c r="BH50" s="3">
        <f>Wapato_Sales[[#This Row],[Age]]*Lookups!$B$16</f>
        <v>-38179.597099999999</v>
      </c>
      <c r="BI50" s="3">
        <f>Wapato_Sales[[#This Row],[Main Floor]]*Lookups!$B$17</f>
        <v>51498.510448000001</v>
      </c>
      <c r="BJ50" s="3">
        <f>Wapato_Sales[[#This Row],[Upper Floor]]*Lookups!$B$18</f>
        <v>16665.982704000002</v>
      </c>
      <c r="BK50" s="3">
        <f>Wapato_Sales[[#This Row],[Fin BSMT]]*Lookups!$B$19</f>
        <v>0</v>
      </c>
      <c r="BL50" s="3">
        <f>Wapato_Sales[[#This Row],[garage_sqft]]*Lookups!$B$20</f>
        <v>0</v>
      </c>
      <c r="BM50" s="3">
        <f>Wapato_Sales[[#This Row],[Patio]]*Lookups!$B$21</f>
        <v>0</v>
      </c>
      <c r="BN50" s="3">
        <f>Wapato_Sales[[#This Row],[detatched_value]]*Lookups!$B$22</f>
        <v>0</v>
      </c>
      <c r="BO50" s="3">
        <f>Wapato_Sales[[#This Row],[days_prior]]*Lookups!$B$23</f>
        <v>-77761.336719999992</v>
      </c>
      <c r="BP50" s="3">
        <f>SUM(Wapato_Sales[[#This Row],[land_value]:[days_prior_value]])</f>
        <v>162878.90083860821</v>
      </c>
      <c r="BQ50" s="2">
        <f>Wapato_Sales[[#This Row],[predicted_total]]/Wapato_Sales[[#This Row],[sale_price]]</f>
        <v>0.95811118140357776</v>
      </c>
      <c r="BR50" s="3">
        <f>Wapato_Sales[[#This Row],[predicted_total]]-Wapato_Sales[[#This Row],[sale_price]]</f>
        <v>-7121.0991613917868</v>
      </c>
      <c r="BS50" s="3">
        <f>Wapato_Sales[[#This Row],[pred_var]]*Wapato_Sales[[#This Row],[pred_var]]</f>
        <v>50710053.266374812</v>
      </c>
      <c r="BT50" s="2">
        <f>VLOOKUP(Wapato_Sales[[#This Row],[quality]],Lookups!$A$28:$C$37,3,FALSE)</f>
        <v>0.98196844879778955</v>
      </c>
      <c r="BU50" s="2">
        <f>VLOOKUP(Wapato_Sales[[#This Row],[condition]],Lookups!$A$41:$C$48,3,FALSE)</f>
        <v>0.9832333997567807</v>
      </c>
      <c r="BV50" s="2">
        <f>VLOOKUP(Wapato_Sales[[#This Row],[decade]],Lookups!$F$28:$H$43,3,FALSE)</f>
        <v>1.0114203040664467</v>
      </c>
      <c r="BW50" s="2">
        <f>VLOOKUP(Wapato_Sales[[#This Row],[living_area_range]],Lookups!$K$28:$M$37,3,FALSE)</f>
        <v>0.99330894324714125</v>
      </c>
      <c r="BX50" s="2">
        <f>AVERAGE(Wapato_Sales[[#This Row],[qual_adj]:[size_adj]])</f>
        <v>0.99248277396703954</v>
      </c>
      <c r="BY50" s="3">
        <f>SUM(Wapato_Sales[[#This Row],[quality_value]:[days_prior_value]])+(Wapato_Sales[[#This Row],[intercept]]*0.5)-Wapato_Sales[[#This Row],[det_value]]</f>
        <v>106262.82933199999</v>
      </c>
      <c r="BZ50" s="3">
        <f>Wapato_Sales[[#This Row],[land_value]]+(0.5*Wapato_Sales[[#This Row],[intercept]])</f>
        <v>56616.071506608234</v>
      </c>
      <c r="CA50" s="3">
        <f>Wapato_Sales[[#This Row],[det_value]]</f>
        <v>0</v>
      </c>
      <c r="CB50" s="3">
        <f>Wapato_Sales[[#This Row],[summed_res]]*Wapato_Sales[[#This Row],[overall_adj]]</f>
        <v>105464.02762500945</v>
      </c>
      <c r="CC50" s="3">
        <f>Wapato_Sales[[#This Row],[final_res]]+Wapato_Sales[[#This Row],[final_det]]+Wapato_Sales[[#This Row],[final_land]]</f>
        <v>162080.0991316177</v>
      </c>
      <c r="CD50" s="2">
        <f>Wapato_Sales[[#This Row],[final_total]]/Wapato_Sales[[#This Row],[sale_price]]</f>
        <v>0.95341234783304529</v>
      </c>
      <c r="CE50" s="3">
        <f>(Wapato_Sales[[#This Row],[final_total]]-Wapato_Sales[[#This Row],[sale_price]])^2</f>
        <v>62724829.765002787</v>
      </c>
      <c r="CF50" s="3">
        <f>(Wapato_Sales[[#This Row],[final_total]]-AVERAGE(Wapato_Sales[sale_price]))^2</f>
        <v>1759779463.6344187</v>
      </c>
      <c r="CG50" s="3">
        <f>Wapato_Sales[[#This Row],[SSE]]+Wapato_Sales[[#This Row],[SSR]]</f>
        <v>1822504293.3994215</v>
      </c>
      <c r="CH50" s="2">
        <f>ABS(Wapato_Sales[[#This Row],[final_ratio]]-MEDIAN(Wapato_Sales[final_ratio]))</f>
        <v>2.8564178360367731E-2</v>
      </c>
    </row>
    <row r="51" spans="1:86" x14ac:dyDescent="0.25">
      <c r="A51">
        <v>19111041510</v>
      </c>
      <c r="B51">
        <v>0.22</v>
      </c>
      <c r="C51">
        <v>9365</v>
      </c>
      <c r="D51">
        <v>0</v>
      </c>
      <c r="E51" t="s">
        <v>54</v>
      </c>
      <c r="F51" t="s">
        <v>54</v>
      </c>
      <c r="G51">
        <v>3</v>
      </c>
      <c r="H51" t="s">
        <v>55</v>
      </c>
      <c r="I51">
        <v>68300</v>
      </c>
      <c r="J51">
        <v>35100</v>
      </c>
      <c r="K51">
        <v>0.22</v>
      </c>
      <c r="L51">
        <v>0</v>
      </c>
      <c r="M51">
        <v>0</v>
      </c>
      <c r="N51">
        <v>0</v>
      </c>
      <c r="O51">
        <v>27904.037</v>
      </c>
      <c r="P51">
        <v>74398.407600000006</v>
      </c>
      <c r="Q51">
        <f t="shared" si="0"/>
        <v>32148.131325972645</v>
      </c>
      <c r="R51">
        <f t="shared" si="1"/>
        <v>-1.5141277326297755</v>
      </c>
      <c r="S51" t="s">
        <v>66</v>
      </c>
      <c r="T51">
        <v>1</v>
      </c>
      <c r="U51" t="s">
        <v>71</v>
      </c>
      <c r="V51" t="s">
        <v>68</v>
      </c>
      <c r="W51">
        <v>0</v>
      </c>
      <c r="X51">
        <v>0</v>
      </c>
      <c r="Y51">
        <v>57</v>
      </c>
      <c r="Z51">
        <v>103</v>
      </c>
      <c r="AA51">
        <v>100</v>
      </c>
      <c r="AB51">
        <v>1000</v>
      </c>
      <c r="AC51">
        <v>704</v>
      </c>
      <c r="AD51">
        <v>704</v>
      </c>
      <c r="AE51">
        <v>0</v>
      </c>
      <c r="AF51">
        <v>0</v>
      </c>
      <c r="AG51">
        <v>100</v>
      </c>
      <c r="AH51">
        <v>0</v>
      </c>
      <c r="AI51">
        <v>0</v>
      </c>
      <c r="AJ51">
        <v>0</v>
      </c>
      <c r="AK51">
        <v>0</v>
      </c>
      <c r="AL51">
        <v>5</v>
      </c>
      <c r="AM51">
        <v>1</v>
      </c>
      <c r="AN51">
        <v>0</v>
      </c>
      <c r="AO51" t="s">
        <v>82</v>
      </c>
      <c r="AP51">
        <v>0</v>
      </c>
      <c r="AQ51" t="s">
        <v>80</v>
      </c>
      <c r="AR51" t="s">
        <v>65</v>
      </c>
      <c r="AS51">
        <v>0</v>
      </c>
      <c r="AT51">
        <v>2</v>
      </c>
      <c r="AU51">
        <v>0</v>
      </c>
      <c r="AV51">
        <v>7200</v>
      </c>
      <c r="AW51">
        <v>100</v>
      </c>
      <c r="AX51" s="1">
        <v>44399</v>
      </c>
      <c r="AY51">
        <v>29400</v>
      </c>
      <c r="AZ51">
        <v>82880</v>
      </c>
      <c r="BA51">
        <v>112300</v>
      </c>
      <c r="BB51">
        <v>116000</v>
      </c>
      <c r="BC51">
        <v>528</v>
      </c>
      <c r="BD51" s="3">
        <f>Wapato_Sales[[#This Row],[land_extract]]*Lookups!$B$3</f>
        <v>3266.4558907593068</v>
      </c>
      <c r="BE51" s="3">
        <f>Lookups!$B$2</f>
        <v>107530.54</v>
      </c>
      <c r="BF51">
        <f>VLOOKUP(Wapato_Sales[[#This Row],[quality]],Lookups!$H$2:$J$11,3,FALSE)</f>
        <v>28034</v>
      </c>
      <c r="BG51">
        <f>VLOOKUP(Wapato_Sales[[#This Row],[condition]],Lookups!$H$17:$J$24,3,FALSE)</f>
        <v>52231</v>
      </c>
      <c r="BH51" s="3">
        <f>Wapato_Sales[[#This Row],[Age]]*Lookups!$B$16</f>
        <v>-38179.597099999999</v>
      </c>
      <c r="BI51" s="3">
        <f>Wapato_Sales[[#This Row],[Main Floor]]*Lookups!$B$17</f>
        <v>29427.720256000001</v>
      </c>
      <c r="BJ51" s="3">
        <f>Wapato_Sales[[#This Row],[Upper Floor]]*Lookups!$B$18</f>
        <v>0</v>
      </c>
      <c r="BK51" s="3">
        <f>Wapato_Sales[[#This Row],[Fin BSMT]]*Lookups!$B$19</f>
        <v>0</v>
      </c>
      <c r="BL51" s="3">
        <f>Wapato_Sales[[#This Row],[garage_sqft]]*Lookups!$B$20</f>
        <v>0</v>
      </c>
      <c r="BM51" s="3">
        <f>Wapato_Sales[[#This Row],[Patio]]*Lookups!$B$21</f>
        <v>0</v>
      </c>
      <c r="BN51" s="3">
        <f>Wapato_Sales[[#This Row],[detatched_value]]*Lookups!$B$22</f>
        <v>6769.9051200000004</v>
      </c>
      <c r="BO51" s="3">
        <f>Wapato_Sales[[#This Row],[days_prior]]*Lookups!$B$23</f>
        <v>-39516.829439999994</v>
      </c>
      <c r="BP51" s="3">
        <f>SUM(Wapato_Sales[[#This Row],[land_value]:[days_prior_value]])</f>
        <v>149563.19472675928</v>
      </c>
      <c r="BQ51" s="2">
        <f>Wapato_Sales[[#This Row],[predicted_total]]/Wapato_Sales[[#This Row],[sale_price]]</f>
        <v>1.2893378855755111</v>
      </c>
      <c r="BR51" s="3">
        <f>Wapato_Sales[[#This Row],[predicted_total]]-Wapato_Sales[[#This Row],[sale_price]]</f>
        <v>33563.194726759277</v>
      </c>
      <c r="BS51" s="3">
        <f>Wapato_Sales[[#This Row],[pred_var]]*Wapato_Sales[[#This Row],[pred_var]]</f>
        <v>1126488040.2663617</v>
      </c>
      <c r="BT51" s="2">
        <f>VLOOKUP(Wapato_Sales[[#This Row],[quality]],Lookups!$A$28:$C$37,3,FALSE)</f>
        <v>0.96265813922927435</v>
      </c>
      <c r="BU51" s="2">
        <f>VLOOKUP(Wapato_Sales[[#This Row],[condition]],Lookups!$A$41:$C$48,3,FALSE)</f>
        <v>0.9832333997567807</v>
      </c>
      <c r="BV51" s="2">
        <f>VLOOKUP(Wapato_Sales[[#This Row],[decade]],Lookups!$F$28:$H$43,3,FALSE)</f>
        <v>1.0114203040664467</v>
      </c>
      <c r="BW51" s="2">
        <f>VLOOKUP(Wapato_Sales[[#This Row],[living_area_range]],Lookups!$K$28:$M$37,3,FALSE)</f>
        <v>0.99022994770196116</v>
      </c>
      <c r="BX51" s="2">
        <f>AVERAGE(Wapato_Sales[[#This Row],[qual_adj]:[size_adj]])</f>
        <v>0.98688544768861564</v>
      </c>
      <c r="BY51" s="3">
        <f>SUM(Wapato_Sales[[#This Row],[quality_value]:[days_prior_value]])+(Wapato_Sales[[#This Row],[intercept]]*0.5)-Wapato_Sales[[#This Row],[det_value]]</f>
        <v>85761.563716000004</v>
      </c>
      <c r="BZ51" s="3">
        <f>Wapato_Sales[[#This Row],[land_value]]+(0.5*Wapato_Sales[[#This Row],[intercept]])</f>
        <v>57031.725890759306</v>
      </c>
      <c r="CA51" s="3">
        <f>Wapato_Sales[[#This Row],[det_value]]</f>
        <v>6769.9051200000004</v>
      </c>
      <c r="CB51" s="3">
        <f>Wapato_Sales[[#This Row],[summed_res]]*Wapato_Sales[[#This Row],[overall_adj]]</f>
        <v>84636.839202340401</v>
      </c>
      <c r="CC51" s="3">
        <f>Wapato_Sales[[#This Row],[final_res]]+Wapato_Sales[[#This Row],[final_det]]+Wapato_Sales[[#This Row],[final_land]]</f>
        <v>148438.4702130997</v>
      </c>
      <c r="CD51" s="2">
        <f>Wapato_Sales[[#This Row],[final_total]]/Wapato_Sales[[#This Row],[sale_price]]</f>
        <v>1.279641984595687</v>
      </c>
      <c r="CE51" s="3">
        <f>(Wapato_Sales[[#This Row],[final_total]]-Wapato_Sales[[#This Row],[sale_price]])^2</f>
        <v>1052254349.7661567</v>
      </c>
      <c r="CF51" s="3">
        <f>(Wapato_Sales[[#This Row],[final_total]]-AVERAGE(Wapato_Sales[sale_price]))^2</f>
        <v>3090398678.2786765</v>
      </c>
      <c r="CG51" s="3">
        <f>Wapato_Sales[[#This Row],[SSE]]+Wapato_Sales[[#This Row],[SSR]]</f>
        <v>4142653028.0448332</v>
      </c>
      <c r="CH51" s="2">
        <f>ABS(Wapato_Sales[[#This Row],[final_ratio]]-MEDIAN(Wapato_Sales[final_ratio]))</f>
        <v>0.29766545840227399</v>
      </c>
    </row>
    <row r="52" spans="1:86" x14ac:dyDescent="0.25">
      <c r="A52">
        <v>19111041555</v>
      </c>
      <c r="B52">
        <v>0.15</v>
      </c>
      <c r="C52">
        <v>6355</v>
      </c>
      <c r="D52">
        <v>0</v>
      </c>
      <c r="E52" t="s">
        <v>54</v>
      </c>
      <c r="F52" t="s">
        <v>54</v>
      </c>
      <c r="G52">
        <v>3</v>
      </c>
      <c r="H52" t="s">
        <v>55</v>
      </c>
      <c r="I52">
        <v>96600</v>
      </c>
      <c r="J52">
        <v>32300</v>
      </c>
      <c r="K52">
        <v>0.15</v>
      </c>
      <c r="L52">
        <v>0</v>
      </c>
      <c r="M52">
        <v>0</v>
      </c>
      <c r="N52">
        <v>0</v>
      </c>
      <c r="O52">
        <v>27904.037</v>
      </c>
      <c r="P52">
        <v>74398.407600000006</v>
      </c>
      <c r="Q52">
        <f t="shared" si="0"/>
        <v>21461.101348304932</v>
      </c>
      <c r="R52">
        <f t="shared" si="1"/>
        <v>-1.8971199848858813</v>
      </c>
      <c r="S52" t="s">
        <v>66</v>
      </c>
      <c r="T52">
        <v>1</v>
      </c>
      <c r="U52" t="s">
        <v>71</v>
      </c>
      <c r="V52" t="s">
        <v>68</v>
      </c>
      <c r="W52">
        <v>0</v>
      </c>
      <c r="X52">
        <v>0</v>
      </c>
      <c r="Y52">
        <v>57</v>
      </c>
      <c r="Z52">
        <v>103</v>
      </c>
      <c r="AA52">
        <v>100</v>
      </c>
      <c r="AB52">
        <v>1000</v>
      </c>
      <c r="AC52">
        <v>748</v>
      </c>
      <c r="AD52">
        <v>748</v>
      </c>
      <c r="AE52">
        <v>0</v>
      </c>
      <c r="AF52">
        <v>0</v>
      </c>
      <c r="AG52">
        <v>242</v>
      </c>
      <c r="AH52">
        <v>0</v>
      </c>
      <c r="AI52">
        <v>0</v>
      </c>
      <c r="AJ52">
        <v>0</v>
      </c>
      <c r="AK52">
        <v>264</v>
      </c>
      <c r="AL52">
        <v>5</v>
      </c>
      <c r="AM52">
        <v>1</v>
      </c>
      <c r="AN52">
        <v>0</v>
      </c>
      <c r="AO52" t="s">
        <v>59</v>
      </c>
      <c r="AP52">
        <v>1</v>
      </c>
      <c r="AQ52" t="s">
        <v>76</v>
      </c>
      <c r="AR52" t="s">
        <v>61</v>
      </c>
      <c r="AS52">
        <v>0</v>
      </c>
      <c r="AT52">
        <v>2</v>
      </c>
      <c r="AU52">
        <v>0</v>
      </c>
      <c r="AV52">
        <v>4700</v>
      </c>
      <c r="AW52">
        <v>100</v>
      </c>
      <c r="AX52" s="1">
        <v>44267</v>
      </c>
      <c r="AY52">
        <v>27000</v>
      </c>
      <c r="AZ52">
        <v>81260</v>
      </c>
      <c r="BA52">
        <v>108300</v>
      </c>
      <c r="BB52">
        <v>165000</v>
      </c>
      <c r="BC52">
        <v>660</v>
      </c>
      <c r="BD52" s="3">
        <f>Wapato_Sales[[#This Row],[land_extract]]*Lookups!$B$3</f>
        <v>2180.5852480364101</v>
      </c>
      <c r="BE52" s="3">
        <f>Lookups!$B$2</f>
        <v>107530.54</v>
      </c>
      <c r="BF52">
        <f>VLOOKUP(Wapato_Sales[[#This Row],[quality]],Lookups!$H$2:$J$11,3,FALSE)</f>
        <v>28034</v>
      </c>
      <c r="BG52">
        <f>VLOOKUP(Wapato_Sales[[#This Row],[condition]],Lookups!$H$17:$J$24,3,FALSE)</f>
        <v>52231</v>
      </c>
      <c r="BH52" s="3">
        <f>Wapato_Sales[[#This Row],[Age]]*Lookups!$B$16</f>
        <v>-38179.597099999999</v>
      </c>
      <c r="BI52" s="3">
        <f>Wapato_Sales[[#This Row],[Main Floor]]*Lookups!$B$17</f>
        <v>31266.952772000001</v>
      </c>
      <c r="BJ52" s="3">
        <f>Wapato_Sales[[#This Row],[Upper Floor]]*Lookups!$B$18</f>
        <v>0</v>
      </c>
      <c r="BK52" s="3">
        <f>Wapato_Sales[[#This Row],[Fin BSMT]]*Lookups!$B$19</f>
        <v>0</v>
      </c>
      <c r="BL52" s="3">
        <f>Wapato_Sales[[#This Row],[garage_sqft]]*Lookups!$B$20</f>
        <v>0</v>
      </c>
      <c r="BM52" s="3">
        <f>Wapato_Sales[[#This Row],[Patio]]*Lookups!$B$21</f>
        <v>11437.530456</v>
      </c>
      <c r="BN52" s="3">
        <f>Wapato_Sales[[#This Row],[detatched_value]]*Lookups!$B$22</f>
        <v>4419.2436200000002</v>
      </c>
      <c r="BO52" s="3">
        <f>Wapato_Sales[[#This Row],[days_prior]]*Lookups!$B$23</f>
        <v>-49396.036799999994</v>
      </c>
      <c r="BP52" s="3">
        <f>SUM(Wapato_Sales[[#This Row],[land_value]:[days_prior_value]])</f>
        <v>149524.21819603638</v>
      </c>
      <c r="BQ52" s="2">
        <f>Wapato_Sales[[#This Row],[predicted_total]]/Wapato_Sales[[#This Row],[sale_price]]</f>
        <v>0.90620738300628112</v>
      </c>
      <c r="BR52" s="3">
        <f>Wapato_Sales[[#This Row],[predicted_total]]-Wapato_Sales[[#This Row],[sale_price]]</f>
        <v>-15475.781803963619</v>
      </c>
      <c r="BS52" s="3">
        <f>Wapato_Sales[[#This Row],[pred_var]]*Wapato_Sales[[#This Row],[pred_var]]</f>
        <v>239499822.44389144</v>
      </c>
      <c r="BT52" s="2">
        <f>VLOOKUP(Wapato_Sales[[#This Row],[quality]],Lookups!$A$28:$C$37,3,FALSE)</f>
        <v>0.96265813922927435</v>
      </c>
      <c r="BU52" s="2">
        <f>VLOOKUP(Wapato_Sales[[#This Row],[condition]],Lookups!$A$41:$C$48,3,FALSE)</f>
        <v>0.9832333997567807</v>
      </c>
      <c r="BV52" s="2">
        <f>VLOOKUP(Wapato_Sales[[#This Row],[decade]],Lookups!$F$28:$H$43,3,FALSE)</f>
        <v>1.0114203040664467</v>
      </c>
      <c r="BW52" s="2">
        <f>VLOOKUP(Wapato_Sales[[#This Row],[living_area_range]],Lookups!$K$28:$M$37,3,FALSE)</f>
        <v>0.99022994770196116</v>
      </c>
      <c r="BX52" s="2">
        <f>AVERAGE(Wapato_Sales[[#This Row],[qual_adj]:[size_adj]])</f>
        <v>0.98688544768861564</v>
      </c>
      <c r="BY52" s="3">
        <f>SUM(Wapato_Sales[[#This Row],[quality_value]:[days_prior_value]])+(Wapato_Sales[[#This Row],[intercept]]*0.5)-Wapato_Sales[[#This Row],[det_value]]</f>
        <v>89159.119328000015</v>
      </c>
      <c r="BZ52" s="3">
        <f>Wapato_Sales[[#This Row],[land_value]]+(0.5*Wapato_Sales[[#This Row],[intercept]])</f>
        <v>55945.855248036409</v>
      </c>
      <c r="CA52" s="3">
        <f>Wapato_Sales[[#This Row],[det_value]]</f>
        <v>4419.2436200000002</v>
      </c>
      <c r="CB52" s="3">
        <f>Wapato_Sales[[#This Row],[summed_res]]*Wapato_Sales[[#This Row],[overall_adj]]</f>
        <v>87989.837393536</v>
      </c>
      <c r="CC52" s="3">
        <f>Wapato_Sales[[#This Row],[final_res]]+Wapato_Sales[[#This Row],[final_det]]+Wapato_Sales[[#This Row],[final_land]]</f>
        <v>148354.93626157241</v>
      </c>
      <c r="CD52" s="2">
        <f>Wapato_Sales[[#This Row],[final_total]]/Wapato_Sales[[#This Row],[sale_price]]</f>
        <v>0.89912082582771158</v>
      </c>
      <c r="CE52" s="3">
        <f>(Wapato_Sales[[#This Row],[final_total]]-Wapato_Sales[[#This Row],[sale_price]])^2</f>
        <v>277058146.8563171</v>
      </c>
      <c r="CF52" s="3">
        <f>(Wapato_Sales[[#This Row],[final_total]]-AVERAGE(Wapato_Sales[sale_price]))^2</f>
        <v>3099693187.1986699</v>
      </c>
      <c r="CG52" s="3">
        <f>Wapato_Sales[[#This Row],[SSE]]+Wapato_Sales[[#This Row],[SSR]]</f>
        <v>3376751334.054987</v>
      </c>
      <c r="CH52" s="2">
        <f>ABS(Wapato_Sales[[#This Row],[final_ratio]]-MEDIAN(Wapato_Sales[final_ratio]))</f>
        <v>8.2855700365701446E-2</v>
      </c>
    </row>
    <row r="53" spans="1:86" x14ac:dyDescent="0.25">
      <c r="A53">
        <v>19111041569</v>
      </c>
      <c r="B53">
        <v>0.14000000000000001</v>
      </c>
      <c r="C53">
        <v>6226</v>
      </c>
      <c r="D53">
        <v>0</v>
      </c>
      <c r="E53" t="s">
        <v>54</v>
      </c>
      <c r="F53" t="s">
        <v>54</v>
      </c>
      <c r="G53">
        <v>3</v>
      </c>
      <c r="H53" t="s">
        <v>55</v>
      </c>
      <c r="I53">
        <v>142300</v>
      </c>
      <c r="J53">
        <v>31900</v>
      </c>
      <c r="K53">
        <v>0.14000000000000001</v>
      </c>
      <c r="L53">
        <v>0</v>
      </c>
      <c r="M53">
        <v>0</v>
      </c>
      <c r="N53">
        <v>0</v>
      </c>
      <c r="O53">
        <v>27904.037</v>
      </c>
      <c r="P53">
        <v>74398.407600000006</v>
      </c>
      <c r="Q53">
        <f t="shared" si="0"/>
        <v>19535.921709596798</v>
      </c>
      <c r="R53">
        <f t="shared" si="1"/>
        <v>-1.9661128563728327</v>
      </c>
      <c r="S53" t="s">
        <v>66</v>
      </c>
      <c r="T53">
        <v>1</v>
      </c>
      <c r="U53" t="s">
        <v>78</v>
      </c>
      <c r="V53" t="s">
        <v>68</v>
      </c>
      <c r="W53">
        <v>0</v>
      </c>
      <c r="X53">
        <v>0</v>
      </c>
      <c r="Y53">
        <v>57</v>
      </c>
      <c r="Z53">
        <v>103</v>
      </c>
      <c r="AA53">
        <v>100</v>
      </c>
      <c r="AB53">
        <v>1000</v>
      </c>
      <c r="AC53">
        <v>676</v>
      </c>
      <c r="AD53">
        <v>676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5</v>
      </c>
      <c r="AM53">
        <v>0</v>
      </c>
      <c r="AN53">
        <v>0</v>
      </c>
      <c r="AO53" t="s">
        <v>59</v>
      </c>
      <c r="AP53">
        <v>0</v>
      </c>
      <c r="AQ53" t="s">
        <v>80</v>
      </c>
      <c r="AR53" t="s">
        <v>61</v>
      </c>
      <c r="AS53">
        <v>0</v>
      </c>
      <c r="AT53">
        <v>2</v>
      </c>
      <c r="AU53">
        <v>0</v>
      </c>
      <c r="AV53">
        <v>0</v>
      </c>
      <c r="AW53">
        <v>100</v>
      </c>
      <c r="AX53" s="1">
        <v>44238</v>
      </c>
      <c r="AY53">
        <v>26900</v>
      </c>
      <c r="AZ53">
        <v>51860</v>
      </c>
      <c r="BA53">
        <v>78800</v>
      </c>
      <c r="BB53">
        <v>125000</v>
      </c>
      <c r="BC53">
        <v>689</v>
      </c>
      <c r="BD53" s="3">
        <f>Wapato_Sales[[#This Row],[land_extract]]*Lookups!$B$3</f>
        <v>1984.9746755939761</v>
      </c>
      <c r="BE53" s="3">
        <f>Lookups!$B$2</f>
        <v>107530.54</v>
      </c>
      <c r="BF53">
        <f>VLOOKUP(Wapato_Sales[[#This Row],[quality]],Lookups!$H$2:$J$11,3,FALSE)</f>
        <v>23424</v>
      </c>
      <c r="BG53">
        <f>VLOOKUP(Wapato_Sales[[#This Row],[condition]],Lookups!$H$17:$J$24,3,FALSE)</f>
        <v>52231</v>
      </c>
      <c r="BH53" s="3">
        <f>Wapato_Sales[[#This Row],[Age]]*Lookups!$B$16</f>
        <v>-38179.597099999999</v>
      </c>
      <c r="BI53" s="3">
        <f>Wapato_Sales[[#This Row],[Main Floor]]*Lookups!$B$17</f>
        <v>28257.299564000001</v>
      </c>
      <c r="BJ53" s="3">
        <f>Wapato_Sales[[#This Row],[Upper Floor]]*Lookups!$B$18</f>
        <v>0</v>
      </c>
      <c r="BK53" s="3">
        <f>Wapato_Sales[[#This Row],[Fin BSMT]]*Lookups!$B$19</f>
        <v>0</v>
      </c>
      <c r="BL53" s="3">
        <f>Wapato_Sales[[#This Row],[garage_sqft]]*Lookups!$B$20</f>
        <v>0</v>
      </c>
      <c r="BM53" s="3">
        <f>Wapato_Sales[[#This Row],[Patio]]*Lookups!$B$21</f>
        <v>0</v>
      </c>
      <c r="BN53" s="3">
        <f>Wapato_Sales[[#This Row],[detatched_value]]*Lookups!$B$22</f>
        <v>0</v>
      </c>
      <c r="BO53" s="3">
        <f>Wapato_Sales[[#This Row],[days_prior]]*Lookups!$B$23</f>
        <v>-51566.468719999997</v>
      </c>
      <c r="BP53" s="3">
        <f>SUM(Wapato_Sales[[#This Row],[land_value]:[days_prior_value]])</f>
        <v>123681.74841959396</v>
      </c>
      <c r="BQ53" s="2">
        <f>Wapato_Sales[[#This Row],[predicted_total]]/Wapato_Sales[[#This Row],[sale_price]]</f>
        <v>0.98945398735675172</v>
      </c>
      <c r="BR53" s="3">
        <f>Wapato_Sales[[#This Row],[predicted_total]]-Wapato_Sales[[#This Row],[sale_price]]</f>
        <v>-1318.2515804060386</v>
      </c>
      <c r="BS53" s="3">
        <f>Wapato_Sales[[#This Row],[pred_var]]*Wapato_Sales[[#This Row],[pred_var]]</f>
        <v>1737787.2292430184</v>
      </c>
      <c r="BT53" s="2">
        <f>VLOOKUP(Wapato_Sales[[#This Row],[quality]],Lookups!$A$28:$C$37,3,FALSE)</f>
        <v>1.0091195562373767</v>
      </c>
      <c r="BU53" s="2">
        <f>VLOOKUP(Wapato_Sales[[#This Row],[condition]],Lookups!$A$41:$C$48,3,FALSE)</f>
        <v>0.9832333997567807</v>
      </c>
      <c r="BV53" s="2">
        <f>VLOOKUP(Wapato_Sales[[#This Row],[decade]],Lookups!$F$28:$H$43,3,FALSE)</f>
        <v>1.0114203040664467</v>
      </c>
      <c r="BW53" s="2">
        <f>VLOOKUP(Wapato_Sales[[#This Row],[living_area_range]],Lookups!$K$28:$M$37,3,FALSE)</f>
        <v>0.99022994770196116</v>
      </c>
      <c r="BX53" s="2">
        <f>AVERAGE(Wapato_Sales[[#This Row],[qual_adj]:[size_adj]])</f>
        <v>0.99850080194064128</v>
      </c>
      <c r="BY53" s="3">
        <f>SUM(Wapato_Sales[[#This Row],[quality_value]:[days_prior_value]])+(Wapato_Sales[[#This Row],[intercept]]*0.5)-Wapato_Sales[[#This Row],[det_value]]</f>
        <v>67931.503744000001</v>
      </c>
      <c r="BZ53" s="3">
        <f>Wapato_Sales[[#This Row],[land_value]]+(0.5*Wapato_Sales[[#This Row],[intercept]])</f>
        <v>55750.244675593975</v>
      </c>
      <c r="CA53" s="3">
        <f>Wapato_Sales[[#This Row],[det_value]]</f>
        <v>0</v>
      </c>
      <c r="CB53" s="3">
        <f>Wapato_Sales[[#This Row],[summed_res]]*Wapato_Sales[[#This Row],[overall_adj]]</f>
        <v>67829.660965417672</v>
      </c>
      <c r="CC53" s="3">
        <f>Wapato_Sales[[#This Row],[final_res]]+Wapato_Sales[[#This Row],[final_det]]+Wapato_Sales[[#This Row],[final_land]]</f>
        <v>123579.90564101165</v>
      </c>
      <c r="CD53" s="2">
        <f>Wapato_Sales[[#This Row],[final_total]]/Wapato_Sales[[#This Row],[sale_price]]</f>
        <v>0.9886392451280932</v>
      </c>
      <c r="CE53" s="3">
        <f>(Wapato_Sales[[#This Row],[final_total]]-Wapato_Sales[[#This Row],[sale_price]])^2</f>
        <v>2016667.9884305431</v>
      </c>
      <c r="CF53" s="3">
        <f>(Wapato_Sales[[#This Row],[final_total]]-AVERAGE(Wapato_Sales[sale_price]))^2</f>
        <v>6472189454.2976246</v>
      </c>
      <c r="CG53" s="3">
        <f>Wapato_Sales[[#This Row],[SSE]]+Wapato_Sales[[#This Row],[SSR]]</f>
        <v>6474206122.2860556</v>
      </c>
      <c r="CH53" s="2">
        <f>ABS(Wapato_Sales[[#This Row],[final_ratio]]-MEDIAN(Wapato_Sales[final_ratio]))</f>
        <v>6.6627189346801785E-3</v>
      </c>
    </row>
    <row r="54" spans="1:86" x14ac:dyDescent="0.25">
      <c r="A54">
        <v>19111042452</v>
      </c>
      <c r="B54">
        <v>0.16</v>
      </c>
      <c r="C54">
        <v>6771</v>
      </c>
      <c r="D54">
        <v>0</v>
      </c>
      <c r="E54" t="s">
        <v>54</v>
      </c>
      <c r="F54" t="s">
        <v>54</v>
      </c>
      <c r="G54">
        <v>3</v>
      </c>
      <c r="H54" t="s">
        <v>55</v>
      </c>
      <c r="I54">
        <v>109800</v>
      </c>
      <c r="J54">
        <v>32800</v>
      </c>
      <c r="K54">
        <v>0.16</v>
      </c>
      <c r="L54">
        <v>0</v>
      </c>
      <c r="M54">
        <v>0</v>
      </c>
      <c r="N54">
        <v>0</v>
      </c>
      <c r="O54">
        <v>27904.037</v>
      </c>
      <c r="P54">
        <v>74398.407600000006</v>
      </c>
      <c r="Q54">
        <f t="shared" si="0"/>
        <v>23261.986630052997</v>
      </c>
      <c r="R54">
        <f t="shared" si="1"/>
        <v>-1.8325814637483102</v>
      </c>
      <c r="S54" t="s">
        <v>66</v>
      </c>
      <c r="T54">
        <v>1</v>
      </c>
      <c r="U54" t="s">
        <v>71</v>
      </c>
      <c r="V54" t="s">
        <v>68</v>
      </c>
      <c r="W54">
        <v>0</v>
      </c>
      <c r="X54">
        <v>0</v>
      </c>
      <c r="Y54">
        <v>57</v>
      </c>
      <c r="Z54">
        <v>102</v>
      </c>
      <c r="AA54">
        <v>100</v>
      </c>
      <c r="AB54">
        <v>1000</v>
      </c>
      <c r="AC54">
        <v>896</v>
      </c>
      <c r="AD54">
        <v>896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5</v>
      </c>
      <c r="AM54">
        <v>0</v>
      </c>
      <c r="AN54">
        <v>0</v>
      </c>
      <c r="AO54" t="s">
        <v>59</v>
      </c>
      <c r="AP54">
        <v>0</v>
      </c>
      <c r="AQ54" t="s">
        <v>80</v>
      </c>
      <c r="AR54" t="s">
        <v>61</v>
      </c>
      <c r="AS54">
        <v>0</v>
      </c>
      <c r="AT54">
        <v>1</v>
      </c>
      <c r="AU54">
        <v>0</v>
      </c>
      <c r="AV54">
        <v>0</v>
      </c>
      <c r="AW54">
        <v>100</v>
      </c>
      <c r="AX54" s="1">
        <v>44649</v>
      </c>
      <c r="AY54">
        <v>27400</v>
      </c>
      <c r="AZ54">
        <v>68315</v>
      </c>
      <c r="BA54">
        <v>95700</v>
      </c>
      <c r="BB54">
        <v>165000</v>
      </c>
      <c r="BC54">
        <v>278</v>
      </c>
      <c r="BD54" s="3">
        <f>Wapato_Sales[[#This Row],[land_extract]]*Lookups!$B$3</f>
        <v>2363.5667183278169</v>
      </c>
      <c r="BE54" s="3">
        <f>Lookups!$B$2</f>
        <v>107530.54</v>
      </c>
      <c r="BF54">
        <f>VLOOKUP(Wapato_Sales[[#This Row],[quality]],Lookups!$H$2:$J$11,3,FALSE)</f>
        <v>28034</v>
      </c>
      <c r="BG54">
        <f>VLOOKUP(Wapato_Sales[[#This Row],[condition]],Lookups!$H$17:$J$24,3,FALSE)</f>
        <v>52231</v>
      </c>
      <c r="BH54" s="3">
        <f>Wapato_Sales[[#This Row],[Age]]*Lookups!$B$16</f>
        <v>-37808.921399999999</v>
      </c>
      <c r="BI54" s="3">
        <f>Wapato_Sales[[#This Row],[Main Floor]]*Lookups!$B$17</f>
        <v>37453.462143999997</v>
      </c>
      <c r="BJ54" s="3">
        <f>Wapato_Sales[[#This Row],[Upper Floor]]*Lookups!$B$18</f>
        <v>0</v>
      </c>
      <c r="BK54" s="3">
        <f>Wapato_Sales[[#This Row],[Fin BSMT]]*Lookups!$B$19</f>
        <v>0</v>
      </c>
      <c r="BL54" s="3">
        <f>Wapato_Sales[[#This Row],[garage_sqft]]*Lookups!$B$20</f>
        <v>0</v>
      </c>
      <c r="BM54" s="3">
        <f>Wapato_Sales[[#This Row],[Patio]]*Lookups!$B$21</f>
        <v>0</v>
      </c>
      <c r="BN54" s="3">
        <f>Wapato_Sales[[#This Row],[detatched_value]]*Lookups!$B$22</f>
        <v>0</v>
      </c>
      <c r="BO54" s="3">
        <f>Wapato_Sales[[#This Row],[days_prior]]*Lookups!$B$23</f>
        <v>-20806.209439999999</v>
      </c>
      <c r="BP54" s="3">
        <f>SUM(Wapato_Sales[[#This Row],[land_value]:[days_prior_value]])</f>
        <v>168997.43802232778</v>
      </c>
      <c r="BQ54" s="2">
        <f>Wapato_Sales[[#This Row],[predicted_total]]/Wapato_Sales[[#This Row],[sale_price]]</f>
        <v>1.0242268971050168</v>
      </c>
      <c r="BR54" s="3">
        <f>Wapato_Sales[[#This Row],[predicted_total]]-Wapato_Sales[[#This Row],[sale_price]]</f>
        <v>3997.438022327784</v>
      </c>
      <c r="BS54" s="3">
        <f>Wapato_Sales[[#This Row],[pred_var]]*Wapato_Sales[[#This Row],[pred_var]]</f>
        <v>15979510.742351865</v>
      </c>
      <c r="BT54" s="2">
        <f>VLOOKUP(Wapato_Sales[[#This Row],[quality]],Lookups!$A$28:$C$37,3,FALSE)</f>
        <v>0.96265813922927435</v>
      </c>
      <c r="BU54" s="2">
        <f>VLOOKUP(Wapato_Sales[[#This Row],[condition]],Lookups!$A$41:$C$48,3,FALSE)</f>
        <v>0.9832333997567807</v>
      </c>
      <c r="BV54" s="2">
        <f>VLOOKUP(Wapato_Sales[[#This Row],[decade]],Lookups!$F$28:$H$43,3,FALSE)</f>
        <v>1.0114203040664467</v>
      </c>
      <c r="BW54" s="2">
        <f>VLOOKUP(Wapato_Sales[[#This Row],[living_area_range]],Lookups!$K$28:$M$37,3,FALSE)</f>
        <v>0.99022994770196116</v>
      </c>
      <c r="BX54" s="2">
        <f>AVERAGE(Wapato_Sales[[#This Row],[qual_adj]:[size_adj]])</f>
        <v>0.98688544768861564</v>
      </c>
      <c r="BY54" s="3">
        <f>SUM(Wapato_Sales[[#This Row],[quality_value]:[days_prior_value]])+(Wapato_Sales[[#This Row],[intercept]]*0.5)-Wapato_Sales[[#This Row],[det_value]]</f>
        <v>112868.601304</v>
      </c>
      <c r="BZ54" s="3">
        <f>Wapato_Sales[[#This Row],[land_value]]+(0.5*Wapato_Sales[[#This Row],[intercept]])</f>
        <v>56128.836718327817</v>
      </c>
      <c r="CA54" s="3">
        <f>Wapato_Sales[[#This Row],[det_value]]</f>
        <v>0</v>
      </c>
      <c r="CB54" s="3">
        <f>Wapato_Sales[[#This Row],[summed_res]]*Wapato_Sales[[#This Row],[overall_adj]]</f>
        <v>111388.3801278859</v>
      </c>
      <c r="CC54" s="3">
        <f>Wapato_Sales[[#This Row],[final_res]]+Wapato_Sales[[#This Row],[final_det]]+Wapato_Sales[[#This Row],[final_land]]</f>
        <v>167517.21684621373</v>
      </c>
      <c r="CD54" s="2">
        <f>Wapato_Sales[[#This Row],[final_total]]/Wapato_Sales[[#This Row],[sale_price]]</f>
        <v>1.0152558596740227</v>
      </c>
      <c r="CE54" s="3">
        <f>(Wapato_Sales[[#This Row],[final_total]]-Wapato_Sales[[#This Row],[sale_price]])^2</f>
        <v>6336380.6508622188</v>
      </c>
      <c r="CF54" s="3">
        <f>(Wapato_Sales[[#This Row],[final_total]]-AVERAGE(Wapato_Sales[sale_price]))^2</f>
        <v>1333170522.163336</v>
      </c>
      <c r="CG54" s="3">
        <f>Wapato_Sales[[#This Row],[SSE]]+Wapato_Sales[[#This Row],[SSR]]</f>
        <v>1339506902.8141983</v>
      </c>
      <c r="CH54" s="2">
        <f>ABS(Wapato_Sales[[#This Row],[final_ratio]]-MEDIAN(Wapato_Sales[final_ratio]))</f>
        <v>3.327933348060963E-2</v>
      </c>
    </row>
    <row r="55" spans="1:86" x14ac:dyDescent="0.25">
      <c r="A55">
        <v>19111133479</v>
      </c>
      <c r="B55">
        <v>0.17</v>
      </c>
      <c r="C55">
        <v>7584</v>
      </c>
      <c r="D55">
        <v>0</v>
      </c>
      <c r="E55" t="s">
        <v>54</v>
      </c>
      <c r="F55" t="s">
        <v>54</v>
      </c>
      <c r="G55">
        <v>3</v>
      </c>
      <c r="H55" t="s">
        <v>55</v>
      </c>
      <c r="I55">
        <v>60200</v>
      </c>
      <c r="J55">
        <v>33200</v>
      </c>
      <c r="K55">
        <v>0.17</v>
      </c>
      <c r="L55">
        <v>0</v>
      </c>
      <c r="M55">
        <v>0</v>
      </c>
      <c r="N55">
        <v>0</v>
      </c>
      <c r="O55">
        <v>27904.037</v>
      </c>
      <c r="P55">
        <v>74398.407600000006</v>
      </c>
      <c r="Q55">
        <f t="shared" si="0"/>
        <v>24953.658320329807</v>
      </c>
      <c r="R55">
        <f t="shared" si="1"/>
        <v>-1.7719568419318752</v>
      </c>
      <c r="S55" t="s">
        <v>66</v>
      </c>
      <c r="T55">
        <v>1</v>
      </c>
      <c r="U55" t="s">
        <v>86</v>
      </c>
      <c r="V55" t="s">
        <v>68</v>
      </c>
      <c r="W55">
        <v>0</v>
      </c>
      <c r="X55">
        <v>0</v>
      </c>
      <c r="Y55">
        <v>57</v>
      </c>
      <c r="Z55">
        <v>103</v>
      </c>
      <c r="AA55">
        <v>100</v>
      </c>
      <c r="AB55">
        <v>1000</v>
      </c>
      <c r="AC55">
        <v>680</v>
      </c>
      <c r="AD55">
        <v>680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5</v>
      </c>
      <c r="AM55">
        <v>0</v>
      </c>
      <c r="AN55">
        <v>0</v>
      </c>
      <c r="AO55" t="s">
        <v>59</v>
      </c>
      <c r="AP55">
        <v>1</v>
      </c>
      <c r="AQ55" t="s">
        <v>76</v>
      </c>
      <c r="AR55" t="s">
        <v>61</v>
      </c>
      <c r="AS55">
        <v>0</v>
      </c>
      <c r="AT55">
        <v>2</v>
      </c>
      <c r="AU55">
        <v>0</v>
      </c>
      <c r="AV55">
        <v>0</v>
      </c>
      <c r="AW55">
        <v>100</v>
      </c>
      <c r="AX55" s="1">
        <v>44559</v>
      </c>
      <c r="AY55">
        <v>28000</v>
      </c>
      <c r="AZ55">
        <v>49999</v>
      </c>
      <c r="BA55">
        <v>78000</v>
      </c>
      <c r="BB55">
        <v>125000</v>
      </c>
      <c r="BC55">
        <v>368</v>
      </c>
      <c r="BD55" s="3">
        <f>Wapato_Sales[[#This Row],[land_extract]]*Lookups!$B$3</f>
        <v>2535.4513887587586</v>
      </c>
      <c r="BE55" s="3">
        <f>Lookups!$B$2</f>
        <v>107530.54</v>
      </c>
      <c r="BF55">
        <f>VLOOKUP(Wapato_Sales[[#This Row],[quality]],Lookups!$H$2:$J$11,3,FALSE)</f>
        <v>0</v>
      </c>
      <c r="BG55">
        <f>VLOOKUP(Wapato_Sales[[#This Row],[condition]],Lookups!$H$17:$J$24,3,FALSE)</f>
        <v>52231</v>
      </c>
      <c r="BH55" s="3">
        <f>Wapato_Sales[[#This Row],[Age]]*Lookups!$B$16</f>
        <v>-38179.597099999999</v>
      </c>
      <c r="BI55" s="3">
        <f>Wapato_Sales[[#This Row],[Main Floor]]*Lookups!$B$17</f>
        <v>28424.502520000002</v>
      </c>
      <c r="BJ55" s="3">
        <f>Wapato_Sales[[#This Row],[Upper Floor]]*Lookups!$B$18</f>
        <v>0</v>
      </c>
      <c r="BK55" s="3">
        <f>Wapato_Sales[[#This Row],[Fin BSMT]]*Lookups!$B$19</f>
        <v>0</v>
      </c>
      <c r="BL55" s="3">
        <f>Wapato_Sales[[#This Row],[garage_sqft]]*Lookups!$B$20</f>
        <v>0</v>
      </c>
      <c r="BM55" s="3">
        <f>Wapato_Sales[[#This Row],[Patio]]*Lookups!$B$21</f>
        <v>0</v>
      </c>
      <c r="BN55" s="3">
        <f>Wapato_Sales[[#This Row],[detatched_value]]*Lookups!$B$22</f>
        <v>0</v>
      </c>
      <c r="BO55" s="3">
        <f>Wapato_Sales[[#This Row],[days_prior]]*Lookups!$B$23</f>
        <v>-27542.032639999998</v>
      </c>
      <c r="BP55" s="3">
        <f>SUM(Wapato_Sales[[#This Row],[land_value]:[days_prior_value]])</f>
        <v>124999.86416875877</v>
      </c>
      <c r="BQ55" s="2">
        <f>Wapato_Sales[[#This Row],[predicted_total]]/Wapato_Sales[[#This Row],[sale_price]]</f>
        <v>0.99999891335007007</v>
      </c>
      <c r="BR55" s="3">
        <f>Wapato_Sales[[#This Row],[predicted_total]]-Wapato_Sales[[#This Row],[sale_price]]</f>
        <v>-0.13583124123397283</v>
      </c>
      <c r="BS55" s="3">
        <f>Wapato_Sales[[#This Row],[pred_var]]*Wapato_Sales[[#This Row],[pred_var]]</f>
        <v>1.8450126095161723E-2</v>
      </c>
      <c r="BT55" s="2">
        <f>VLOOKUP(Wapato_Sales[[#This Row],[quality]],Lookups!$A$28:$C$37,3,FALSE)</f>
        <v>1.0000010866511106</v>
      </c>
      <c r="BU55" s="2">
        <f>VLOOKUP(Wapato_Sales[[#This Row],[condition]],Lookups!$A$41:$C$48,3,FALSE)</f>
        <v>0.9832333997567807</v>
      </c>
      <c r="BV55" s="2">
        <f>VLOOKUP(Wapato_Sales[[#This Row],[decade]],Lookups!$F$28:$H$43,3,FALSE)</f>
        <v>1.0114203040664467</v>
      </c>
      <c r="BW55" s="2">
        <f>VLOOKUP(Wapato_Sales[[#This Row],[living_area_range]],Lookups!$K$28:$M$37,3,FALSE)</f>
        <v>0.99022994770196116</v>
      </c>
      <c r="BX55" s="2">
        <f>AVERAGE(Wapato_Sales[[#This Row],[qual_adj]:[size_adj]])</f>
        <v>0.99622118454407482</v>
      </c>
      <c r="BY55" s="3">
        <f>SUM(Wapato_Sales[[#This Row],[quality_value]:[days_prior_value]])+(Wapato_Sales[[#This Row],[intercept]]*0.5)-Wapato_Sales[[#This Row],[det_value]]</f>
        <v>68699.142779999995</v>
      </c>
      <c r="BZ55" s="3">
        <f>Wapato_Sales[[#This Row],[land_value]]+(0.5*Wapato_Sales[[#This Row],[intercept]])</f>
        <v>56300.721388758757</v>
      </c>
      <c r="CA55" s="3">
        <f>Wapato_Sales[[#This Row],[det_value]]</f>
        <v>0</v>
      </c>
      <c r="CB55" s="3">
        <f>Wapato_Sales[[#This Row],[summed_res]]*Wapato_Sales[[#This Row],[overall_adj]]</f>
        <v>68439.541397454115</v>
      </c>
      <c r="CC55" s="3">
        <f>Wapato_Sales[[#This Row],[final_res]]+Wapato_Sales[[#This Row],[final_det]]+Wapato_Sales[[#This Row],[final_land]]</f>
        <v>124740.26278621287</v>
      </c>
      <c r="CD55" s="2">
        <f>Wapato_Sales[[#This Row],[final_total]]/Wapato_Sales[[#This Row],[sale_price]]</f>
        <v>0.99792210228970302</v>
      </c>
      <c r="CE55" s="3">
        <f>(Wapato_Sales[[#This Row],[final_total]]-Wapato_Sales[[#This Row],[sale_price]])^2</f>
        <v>67463.420225900234</v>
      </c>
      <c r="CF55" s="3">
        <f>(Wapato_Sales[[#This Row],[final_total]]-AVERAGE(Wapato_Sales[sale_price]))^2</f>
        <v>6286834606.5017729</v>
      </c>
      <c r="CG55" s="3">
        <f>Wapato_Sales[[#This Row],[SSE]]+Wapato_Sales[[#This Row],[SSR]]</f>
        <v>6286902069.921999</v>
      </c>
      <c r="CH55" s="2">
        <f>ABS(Wapato_Sales[[#This Row],[final_ratio]]-MEDIAN(Wapato_Sales[final_ratio]))</f>
        <v>1.5945576096289993E-2</v>
      </c>
    </row>
    <row r="56" spans="1:86" x14ac:dyDescent="0.25">
      <c r="A56">
        <v>19111042462</v>
      </c>
      <c r="B56">
        <v>0.17</v>
      </c>
      <c r="C56">
        <v>7243</v>
      </c>
      <c r="D56">
        <v>0</v>
      </c>
      <c r="E56" t="s">
        <v>54</v>
      </c>
      <c r="F56" t="s">
        <v>54</v>
      </c>
      <c r="G56">
        <v>3</v>
      </c>
      <c r="H56" t="s">
        <v>55</v>
      </c>
      <c r="I56">
        <v>156000</v>
      </c>
      <c r="J56">
        <v>33200</v>
      </c>
      <c r="K56">
        <v>0.17</v>
      </c>
      <c r="L56">
        <v>0</v>
      </c>
      <c r="M56">
        <v>0</v>
      </c>
      <c r="N56">
        <v>0</v>
      </c>
      <c r="O56">
        <v>27904.037</v>
      </c>
      <c r="P56">
        <v>74398.407600000006</v>
      </c>
      <c r="Q56">
        <f t="shared" si="0"/>
        <v>24953.658320329807</v>
      </c>
      <c r="R56">
        <f t="shared" si="1"/>
        <v>-1.7719568419318752</v>
      </c>
      <c r="S56" t="s">
        <v>66</v>
      </c>
      <c r="T56">
        <v>1</v>
      </c>
      <c r="U56" t="s">
        <v>71</v>
      </c>
      <c r="V56" t="s">
        <v>69</v>
      </c>
      <c r="W56">
        <v>0</v>
      </c>
      <c r="X56">
        <v>0</v>
      </c>
      <c r="Y56">
        <v>57</v>
      </c>
      <c r="Z56">
        <v>103</v>
      </c>
      <c r="AA56">
        <v>100</v>
      </c>
      <c r="AB56">
        <v>1500</v>
      </c>
      <c r="AC56">
        <v>1248</v>
      </c>
      <c r="AD56">
        <v>1248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5</v>
      </c>
      <c r="AM56">
        <v>0</v>
      </c>
      <c r="AN56">
        <v>0</v>
      </c>
      <c r="AO56" t="s">
        <v>59</v>
      </c>
      <c r="AP56">
        <v>1</v>
      </c>
      <c r="AQ56" t="s">
        <v>72</v>
      </c>
      <c r="AR56" t="s">
        <v>61</v>
      </c>
      <c r="AS56">
        <v>0</v>
      </c>
      <c r="AT56">
        <v>3</v>
      </c>
      <c r="AU56">
        <v>0</v>
      </c>
      <c r="AV56">
        <v>0</v>
      </c>
      <c r="AW56">
        <v>100</v>
      </c>
      <c r="AX56" s="1">
        <v>44466</v>
      </c>
      <c r="AY56">
        <v>27800</v>
      </c>
      <c r="AZ56">
        <v>105388</v>
      </c>
      <c r="BA56">
        <v>133200</v>
      </c>
      <c r="BB56">
        <v>235000</v>
      </c>
      <c r="BC56">
        <v>461</v>
      </c>
      <c r="BD56" s="3">
        <f>Wapato_Sales[[#This Row],[land_extract]]*Lookups!$B$3</f>
        <v>2535.4513887587586</v>
      </c>
      <c r="BE56" s="3">
        <f>Lookups!$B$2</f>
        <v>107530.54</v>
      </c>
      <c r="BF56">
        <f>VLOOKUP(Wapato_Sales[[#This Row],[quality]],Lookups!$H$2:$J$11,3,FALSE)</f>
        <v>28034</v>
      </c>
      <c r="BG56">
        <f>VLOOKUP(Wapato_Sales[[#This Row],[condition]],Lookups!$H$17:$J$24,3,FALSE)</f>
        <v>74543</v>
      </c>
      <c r="BH56" s="3">
        <f>Wapato_Sales[[#This Row],[Age]]*Lookups!$B$16</f>
        <v>-38179.597099999999</v>
      </c>
      <c r="BI56" s="3">
        <f>Wapato_Sales[[#This Row],[Main Floor]]*Lookups!$B$17</f>
        <v>52167.322271999998</v>
      </c>
      <c r="BJ56" s="3">
        <f>Wapato_Sales[[#This Row],[Upper Floor]]*Lookups!$B$18</f>
        <v>0</v>
      </c>
      <c r="BK56" s="3">
        <f>Wapato_Sales[[#This Row],[Fin BSMT]]*Lookups!$B$19</f>
        <v>0</v>
      </c>
      <c r="BL56" s="3">
        <f>Wapato_Sales[[#This Row],[garage_sqft]]*Lookups!$B$20</f>
        <v>0</v>
      </c>
      <c r="BM56" s="3">
        <f>Wapato_Sales[[#This Row],[Patio]]*Lookups!$B$21</f>
        <v>0</v>
      </c>
      <c r="BN56" s="3">
        <f>Wapato_Sales[[#This Row],[detatched_value]]*Lookups!$B$22</f>
        <v>0</v>
      </c>
      <c r="BO56" s="3">
        <f>Wapato_Sales[[#This Row],[days_prior]]*Lookups!$B$23</f>
        <v>-34502.383279999995</v>
      </c>
      <c r="BP56" s="3">
        <f>SUM(Wapato_Sales[[#This Row],[land_value]:[days_prior_value]])</f>
        <v>192128.33328075876</v>
      </c>
      <c r="BQ56" s="2">
        <f>Wapato_Sales[[#This Row],[predicted_total]]/Wapato_Sales[[#This Row],[sale_price]]</f>
        <v>0.81756737566280324</v>
      </c>
      <c r="BR56" s="3">
        <f>Wapato_Sales[[#This Row],[predicted_total]]-Wapato_Sales[[#This Row],[sale_price]]</f>
        <v>-42871.666719241242</v>
      </c>
      <c r="BS56" s="3">
        <f>Wapato_Sales[[#This Row],[pred_var]]*Wapato_Sales[[#This Row],[pred_var]]</f>
        <v>1837979807.2856972</v>
      </c>
      <c r="BT56" s="2">
        <f>VLOOKUP(Wapato_Sales[[#This Row],[quality]],Lookups!$A$28:$C$37,3,FALSE)</f>
        <v>0.96265813922927435</v>
      </c>
      <c r="BU56" s="2">
        <f>VLOOKUP(Wapato_Sales[[#This Row],[condition]],Lookups!$A$41:$C$48,3,FALSE)</f>
        <v>0.98442438223270734</v>
      </c>
      <c r="BV56" s="2">
        <f>VLOOKUP(Wapato_Sales[[#This Row],[decade]],Lookups!$F$28:$H$43,3,FALSE)</f>
        <v>1.0114203040664467</v>
      </c>
      <c r="BW56" s="2">
        <f>VLOOKUP(Wapato_Sales[[#This Row],[living_area_range]],Lookups!$K$28:$M$37,3,FALSE)</f>
        <v>1.0061411172456287</v>
      </c>
      <c r="BX56" s="2">
        <f>AVERAGE(Wapato_Sales[[#This Row],[qual_adj]:[size_adj]])</f>
        <v>0.99116098569351418</v>
      </c>
      <c r="BY56" s="3">
        <f>SUM(Wapato_Sales[[#This Row],[quality_value]:[days_prior_value]])+(Wapato_Sales[[#This Row],[intercept]]*0.5)-Wapato_Sales[[#This Row],[det_value]]</f>
        <v>135827.61189200002</v>
      </c>
      <c r="BZ56" s="3">
        <f>Wapato_Sales[[#This Row],[land_value]]+(0.5*Wapato_Sales[[#This Row],[intercept]])</f>
        <v>56300.721388758757</v>
      </c>
      <c r="CA56" s="3">
        <f>Wapato_Sales[[#This Row],[det_value]]</f>
        <v>0</v>
      </c>
      <c r="CB56" s="3">
        <f>Wapato_Sales[[#This Row],[summed_res]]*Wapato_Sales[[#This Row],[overall_adj]]</f>
        <v>134627.02968727081</v>
      </c>
      <c r="CC56" s="3">
        <f>Wapato_Sales[[#This Row],[final_res]]+Wapato_Sales[[#This Row],[final_det]]+Wapato_Sales[[#This Row],[final_land]]</f>
        <v>190927.75107602956</v>
      </c>
      <c r="CD56" s="2">
        <f>Wapato_Sales[[#This Row],[final_total]]/Wapato_Sales[[#This Row],[sale_price]]</f>
        <v>0.81245851521714707</v>
      </c>
      <c r="CE56" s="3">
        <f>(Wapato_Sales[[#This Row],[final_total]]-Wapato_Sales[[#This Row],[sale_price]])^2</f>
        <v>1942363125.216414</v>
      </c>
      <c r="CF56" s="3">
        <f>(Wapato_Sales[[#This Row],[final_total]]-AVERAGE(Wapato_Sales[sale_price]))^2</f>
        <v>171664329.61613923</v>
      </c>
      <c r="CG56" s="3">
        <f>Wapato_Sales[[#This Row],[SSE]]+Wapato_Sales[[#This Row],[SSR]]</f>
        <v>2114027454.8325531</v>
      </c>
      <c r="CH56" s="2">
        <f>ABS(Wapato_Sales[[#This Row],[final_ratio]]-MEDIAN(Wapato_Sales[final_ratio]))</f>
        <v>0.16951801097626595</v>
      </c>
    </row>
    <row r="57" spans="1:86" x14ac:dyDescent="0.25">
      <c r="A57">
        <v>19111041569</v>
      </c>
      <c r="B57">
        <v>0.14000000000000001</v>
      </c>
      <c r="C57">
        <v>6226</v>
      </c>
      <c r="D57">
        <v>0</v>
      </c>
      <c r="E57" t="s">
        <v>54</v>
      </c>
      <c r="F57" t="s">
        <v>54</v>
      </c>
      <c r="G57">
        <v>3</v>
      </c>
      <c r="H57" t="s">
        <v>55</v>
      </c>
      <c r="I57">
        <v>142300</v>
      </c>
      <c r="J57">
        <v>31900</v>
      </c>
      <c r="K57">
        <v>0.14000000000000001</v>
      </c>
      <c r="L57">
        <v>0</v>
      </c>
      <c r="M57">
        <v>0</v>
      </c>
      <c r="N57">
        <v>0</v>
      </c>
      <c r="O57">
        <v>27904.037</v>
      </c>
      <c r="P57">
        <v>74398.407600000006</v>
      </c>
      <c r="Q57">
        <f t="shared" si="0"/>
        <v>19535.921709596798</v>
      </c>
      <c r="R57">
        <f t="shared" si="1"/>
        <v>-1.9661128563728327</v>
      </c>
      <c r="S57" t="s">
        <v>66</v>
      </c>
      <c r="T57">
        <v>1</v>
      </c>
      <c r="U57" t="s">
        <v>78</v>
      </c>
      <c r="V57" t="s">
        <v>69</v>
      </c>
      <c r="W57">
        <v>0</v>
      </c>
      <c r="X57">
        <v>0</v>
      </c>
      <c r="Y57">
        <v>57</v>
      </c>
      <c r="Z57">
        <v>103</v>
      </c>
      <c r="AA57">
        <v>100</v>
      </c>
      <c r="AB57">
        <v>1000</v>
      </c>
      <c r="AC57">
        <v>676</v>
      </c>
      <c r="AD57">
        <v>676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5</v>
      </c>
      <c r="AM57">
        <v>0</v>
      </c>
      <c r="AN57">
        <v>0</v>
      </c>
      <c r="AO57" t="s">
        <v>59</v>
      </c>
      <c r="AP57">
        <v>0</v>
      </c>
      <c r="AQ57" t="s">
        <v>80</v>
      </c>
      <c r="AR57" t="s">
        <v>61</v>
      </c>
      <c r="AS57">
        <v>0</v>
      </c>
      <c r="AT57">
        <v>2</v>
      </c>
      <c r="AU57">
        <v>0</v>
      </c>
      <c r="AV57">
        <v>0</v>
      </c>
      <c r="AW57">
        <v>100</v>
      </c>
      <c r="AX57" s="1">
        <v>44754</v>
      </c>
      <c r="AY57">
        <v>26900</v>
      </c>
      <c r="AZ57">
        <v>59269</v>
      </c>
      <c r="BA57">
        <v>86200</v>
      </c>
      <c r="BB57">
        <v>188000</v>
      </c>
      <c r="BC57">
        <v>173</v>
      </c>
      <c r="BD57" s="3">
        <f>Wapato_Sales[[#This Row],[land_extract]]*Lookups!$B$3</f>
        <v>1984.9746755939761</v>
      </c>
      <c r="BE57" s="3">
        <f>Lookups!$B$2</f>
        <v>107530.54</v>
      </c>
      <c r="BF57">
        <f>VLOOKUP(Wapato_Sales[[#This Row],[quality]],Lookups!$H$2:$J$11,3,FALSE)</f>
        <v>23424</v>
      </c>
      <c r="BG57">
        <f>VLOOKUP(Wapato_Sales[[#This Row],[condition]],Lookups!$H$17:$J$24,3,FALSE)</f>
        <v>74543</v>
      </c>
      <c r="BH57" s="3">
        <f>Wapato_Sales[[#This Row],[Age]]*Lookups!$B$16</f>
        <v>-38179.597099999999</v>
      </c>
      <c r="BI57" s="3">
        <f>Wapato_Sales[[#This Row],[Main Floor]]*Lookups!$B$17</f>
        <v>28257.299564000001</v>
      </c>
      <c r="BJ57" s="3">
        <f>Wapato_Sales[[#This Row],[Upper Floor]]*Lookups!$B$18</f>
        <v>0</v>
      </c>
      <c r="BK57" s="3">
        <f>Wapato_Sales[[#This Row],[Fin BSMT]]*Lookups!$B$19</f>
        <v>0</v>
      </c>
      <c r="BL57" s="3">
        <f>Wapato_Sales[[#This Row],[garage_sqft]]*Lookups!$B$20</f>
        <v>0</v>
      </c>
      <c r="BM57" s="3">
        <f>Wapato_Sales[[#This Row],[Patio]]*Lookups!$B$21</f>
        <v>0</v>
      </c>
      <c r="BN57" s="3">
        <f>Wapato_Sales[[#This Row],[detatched_value]]*Lookups!$B$22</f>
        <v>0</v>
      </c>
      <c r="BO57" s="3">
        <f>Wapato_Sales[[#This Row],[days_prior]]*Lookups!$B$23</f>
        <v>-12947.749039999999</v>
      </c>
      <c r="BP57" s="3">
        <f>SUM(Wapato_Sales[[#This Row],[land_value]:[days_prior_value]])</f>
        <v>184612.46809959397</v>
      </c>
      <c r="BQ57" s="2">
        <f>Wapato_Sales[[#This Row],[predicted_total]]/Wapato_Sales[[#This Row],[sale_price]]</f>
        <v>0.98198121329571264</v>
      </c>
      <c r="BR57" s="3">
        <f>Wapato_Sales[[#This Row],[predicted_total]]-Wapato_Sales[[#This Row],[sale_price]]</f>
        <v>-3387.5319004060293</v>
      </c>
      <c r="BS57" s="3">
        <f>Wapato_Sales[[#This Row],[pred_var]]*Wapato_Sales[[#This Row],[pred_var]]</f>
        <v>11475372.376268484</v>
      </c>
      <c r="BT57" s="2">
        <f>VLOOKUP(Wapato_Sales[[#This Row],[quality]],Lookups!$A$28:$C$37,3,FALSE)</f>
        <v>1.0091195562373767</v>
      </c>
      <c r="BU57" s="2">
        <f>VLOOKUP(Wapato_Sales[[#This Row],[condition]],Lookups!$A$41:$C$48,3,FALSE)</f>
        <v>0.98442438223270734</v>
      </c>
      <c r="BV57" s="2">
        <f>VLOOKUP(Wapato_Sales[[#This Row],[decade]],Lookups!$F$28:$H$43,3,FALSE)</f>
        <v>1.0114203040664467</v>
      </c>
      <c r="BW57" s="2">
        <f>VLOOKUP(Wapato_Sales[[#This Row],[living_area_range]],Lookups!$K$28:$M$37,3,FALSE)</f>
        <v>0.99022994770196116</v>
      </c>
      <c r="BX57" s="2">
        <f>AVERAGE(Wapato_Sales[[#This Row],[qual_adj]:[size_adj]])</f>
        <v>0.99879854755962294</v>
      </c>
      <c r="BY57" s="3">
        <f>SUM(Wapato_Sales[[#This Row],[quality_value]:[days_prior_value]])+(Wapato_Sales[[#This Row],[intercept]]*0.5)-Wapato_Sales[[#This Row],[det_value]]</f>
        <v>128862.223424</v>
      </c>
      <c r="BZ57" s="3">
        <f>Wapato_Sales[[#This Row],[land_value]]+(0.5*Wapato_Sales[[#This Row],[intercept]])</f>
        <v>55750.244675593975</v>
      </c>
      <c r="CA57" s="3">
        <f>Wapato_Sales[[#This Row],[det_value]]</f>
        <v>0</v>
      </c>
      <c r="CB57" s="3">
        <f>Wapato_Sales[[#This Row],[summed_res]]*Wapato_Sales[[#This Row],[overall_adj]]</f>
        <v>128707.40159119482</v>
      </c>
      <c r="CC57" s="3">
        <f>Wapato_Sales[[#This Row],[final_res]]+Wapato_Sales[[#This Row],[final_det]]+Wapato_Sales[[#This Row],[final_land]]</f>
        <v>184457.6462667888</v>
      </c>
      <c r="CD57" s="2">
        <f>Wapato_Sales[[#This Row],[final_total]]/Wapato_Sales[[#This Row],[sale_price]]</f>
        <v>0.98115769290845101</v>
      </c>
      <c r="CE57" s="3">
        <f>(Wapato_Sales[[#This Row],[final_total]]-Wapato_Sales[[#This Row],[sale_price]])^2</f>
        <v>12548269.971195346</v>
      </c>
      <c r="CF57" s="3">
        <f>(Wapato_Sales[[#This Row],[final_total]]-AVERAGE(Wapato_Sales[sale_price]))^2</f>
        <v>383070163.19618732</v>
      </c>
      <c r="CG57" s="3">
        <f>Wapato_Sales[[#This Row],[SSE]]+Wapato_Sales[[#This Row],[SSR]]</f>
        <v>395618433.16738266</v>
      </c>
      <c r="CH57" s="2">
        <f>ABS(Wapato_Sales[[#This Row],[final_ratio]]-MEDIAN(Wapato_Sales[final_ratio]))</f>
        <v>8.1883328496201724E-4</v>
      </c>
    </row>
    <row r="58" spans="1:86" x14ac:dyDescent="0.25">
      <c r="A58">
        <v>19111514570</v>
      </c>
      <c r="B58">
        <v>7.0000000000000007E-2</v>
      </c>
      <c r="C58">
        <v>3216</v>
      </c>
      <c r="D58">
        <v>0</v>
      </c>
      <c r="E58" t="s">
        <v>54</v>
      </c>
      <c r="F58" t="s">
        <v>54</v>
      </c>
      <c r="G58">
        <v>3</v>
      </c>
      <c r="H58" t="s">
        <v>55</v>
      </c>
      <c r="I58">
        <v>119200</v>
      </c>
      <c r="J58">
        <v>26900</v>
      </c>
      <c r="K58">
        <v>7.0000000000000007E-2</v>
      </c>
      <c r="L58">
        <v>0</v>
      </c>
      <c r="M58">
        <v>0</v>
      </c>
      <c r="N58">
        <v>0</v>
      </c>
      <c r="O58">
        <v>27904.037</v>
      </c>
      <c r="P58">
        <v>74398.407600000006</v>
      </c>
      <c r="Q58">
        <f t="shared" si="0"/>
        <v>194.31713680640678</v>
      </c>
      <c r="R58">
        <f t="shared" si="1"/>
        <v>-2.6592600369327779</v>
      </c>
      <c r="S58" t="s">
        <v>66</v>
      </c>
      <c r="T58">
        <v>1</v>
      </c>
      <c r="U58" t="s">
        <v>71</v>
      </c>
      <c r="V58" t="s">
        <v>69</v>
      </c>
      <c r="W58">
        <v>0</v>
      </c>
      <c r="X58">
        <v>0</v>
      </c>
      <c r="Y58">
        <v>65</v>
      </c>
      <c r="Z58">
        <v>113</v>
      </c>
      <c r="AA58">
        <v>110</v>
      </c>
      <c r="AB58">
        <v>1000</v>
      </c>
      <c r="AC58">
        <v>744</v>
      </c>
      <c r="AD58">
        <v>744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5</v>
      </c>
      <c r="AM58">
        <v>0</v>
      </c>
      <c r="AN58">
        <v>0</v>
      </c>
      <c r="AO58" t="s">
        <v>59</v>
      </c>
      <c r="AP58">
        <v>1</v>
      </c>
      <c r="AQ58" t="s">
        <v>64</v>
      </c>
      <c r="AR58" t="s">
        <v>65</v>
      </c>
      <c r="AS58">
        <v>0</v>
      </c>
      <c r="AT58">
        <v>2</v>
      </c>
      <c r="AU58">
        <v>0</v>
      </c>
      <c r="AV58">
        <v>0</v>
      </c>
      <c r="AW58">
        <v>100</v>
      </c>
      <c r="AX58" s="1">
        <v>44118</v>
      </c>
      <c r="AY58">
        <v>23300</v>
      </c>
      <c r="AZ58">
        <v>62548</v>
      </c>
      <c r="BA58">
        <v>85800</v>
      </c>
      <c r="BB58">
        <v>130000</v>
      </c>
      <c r="BC58">
        <v>809</v>
      </c>
      <c r="BD58" s="3">
        <f>Wapato_Sales[[#This Row],[land_extract]]*Lookups!$B$3</f>
        <v>19.743864729206489</v>
      </c>
      <c r="BE58" s="3">
        <f>Lookups!$B$2</f>
        <v>107530.54</v>
      </c>
      <c r="BF58">
        <f>VLOOKUP(Wapato_Sales[[#This Row],[quality]],Lookups!$H$2:$J$11,3,FALSE)</f>
        <v>28034</v>
      </c>
      <c r="BG58">
        <f>VLOOKUP(Wapato_Sales[[#This Row],[condition]],Lookups!$H$17:$J$24,3,FALSE)</f>
        <v>74543</v>
      </c>
      <c r="BH58" s="3">
        <f>Wapato_Sales[[#This Row],[Age]]*Lookups!$B$16</f>
        <v>-41886.354100000004</v>
      </c>
      <c r="BI58" s="3">
        <f>Wapato_Sales[[#This Row],[Main Floor]]*Lookups!$B$17</f>
        <v>31099.749816</v>
      </c>
      <c r="BJ58" s="3">
        <f>Wapato_Sales[[#This Row],[Upper Floor]]*Lookups!$B$18</f>
        <v>0</v>
      </c>
      <c r="BK58" s="3">
        <f>Wapato_Sales[[#This Row],[Fin BSMT]]*Lookups!$B$19</f>
        <v>0</v>
      </c>
      <c r="BL58" s="3">
        <f>Wapato_Sales[[#This Row],[garage_sqft]]*Lookups!$B$20</f>
        <v>0</v>
      </c>
      <c r="BM58" s="3">
        <f>Wapato_Sales[[#This Row],[Patio]]*Lookups!$B$21</f>
        <v>0</v>
      </c>
      <c r="BN58" s="3">
        <f>Wapato_Sales[[#This Row],[detatched_value]]*Lookups!$B$22</f>
        <v>0</v>
      </c>
      <c r="BO58" s="3">
        <f>Wapato_Sales[[#This Row],[days_prior]]*Lookups!$B$23</f>
        <v>-60547.566319999998</v>
      </c>
      <c r="BP58" s="3">
        <f>SUM(Wapato_Sales[[#This Row],[land_value]:[days_prior_value]])</f>
        <v>138793.11326072918</v>
      </c>
      <c r="BQ58" s="2">
        <f>Wapato_Sales[[#This Row],[predicted_total]]/Wapato_Sales[[#This Row],[sale_price]]</f>
        <v>1.0676393327748399</v>
      </c>
      <c r="BR58" s="3">
        <f>Wapato_Sales[[#This Row],[predicted_total]]-Wapato_Sales[[#This Row],[sale_price]]</f>
        <v>8793.1132607291802</v>
      </c>
      <c r="BS58" s="3">
        <f>Wapato_Sales[[#This Row],[pred_var]]*Wapato_Sales[[#This Row],[pred_var]]</f>
        <v>77318840.816011354</v>
      </c>
      <c r="BT58" s="2">
        <f>VLOOKUP(Wapato_Sales[[#This Row],[quality]],Lookups!$A$28:$C$37,3,FALSE)</f>
        <v>0.96265813922927435</v>
      </c>
      <c r="BU58" s="2">
        <f>VLOOKUP(Wapato_Sales[[#This Row],[condition]],Lookups!$A$41:$C$48,3,FALSE)</f>
        <v>0.98442438223270734</v>
      </c>
      <c r="BV58" s="2">
        <f>VLOOKUP(Wapato_Sales[[#This Row],[decade]],Lookups!$F$28:$H$43,3,FALSE)</f>
        <v>0.93664589651353292</v>
      </c>
      <c r="BW58" s="2">
        <f>VLOOKUP(Wapato_Sales[[#This Row],[living_area_range]],Lookups!$K$28:$M$37,3,FALSE)</f>
        <v>0.99022994770196116</v>
      </c>
      <c r="BX58" s="2">
        <f>AVERAGE(Wapato_Sales[[#This Row],[qual_adj]:[size_adj]])</f>
        <v>0.96848959141936886</v>
      </c>
      <c r="BY58" s="3">
        <f>SUM(Wapato_Sales[[#This Row],[quality_value]:[days_prior_value]])+(Wapato_Sales[[#This Row],[intercept]]*0.5)-Wapato_Sales[[#This Row],[det_value]]</f>
        <v>85008.099396000005</v>
      </c>
      <c r="BZ58" s="3">
        <f>Wapato_Sales[[#This Row],[land_value]]+(0.5*Wapato_Sales[[#This Row],[intercept]])</f>
        <v>53785.013864729204</v>
      </c>
      <c r="CA58" s="3">
        <f>Wapato_Sales[[#This Row],[det_value]]</f>
        <v>0</v>
      </c>
      <c r="CB58" s="3">
        <f>Wapato_Sales[[#This Row],[summed_res]]*Wapato_Sales[[#This Row],[overall_adj]]</f>
        <v>82329.459451369141</v>
      </c>
      <c r="CC58" s="3">
        <f>Wapato_Sales[[#This Row],[final_res]]+Wapato_Sales[[#This Row],[final_det]]+Wapato_Sales[[#This Row],[final_land]]</f>
        <v>136114.47331609833</v>
      </c>
      <c r="CD58" s="2">
        <f>Wapato_Sales[[#This Row],[final_total]]/Wapato_Sales[[#This Row],[sale_price]]</f>
        <v>1.0470344101238334</v>
      </c>
      <c r="CE58" s="3">
        <f>(Wapato_Sales[[#This Row],[final_total]]-Wapato_Sales[[#This Row],[sale_price]])^2</f>
        <v>37386783.933278516</v>
      </c>
      <c r="CF58" s="3">
        <f>(Wapato_Sales[[#This Row],[final_total]]-AVERAGE(Wapato_Sales[sale_price]))^2</f>
        <v>4612494934.7731762</v>
      </c>
      <c r="CG58" s="3">
        <f>Wapato_Sales[[#This Row],[SSE]]+Wapato_Sales[[#This Row],[SSR]]</f>
        <v>4649881718.7064543</v>
      </c>
      <c r="CH58" s="2">
        <f>ABS(Wapato_Sales[[#This Row],[final_ratio]]-MEDIAN(Wapato_Sales[final_ratio]))</f>
        <v>6.5057883930420335E-2</v>
      </c>
    </row>
    <row r="63" spans="1:86" x14ac:dyDescent="0.25">
      <c r="BS63" s="3"/>
      <c r="CE63" t="s">
        <v>183</v>
      </c>
      <c r="CH63" s="10">
        <f>AVERAGE(Wapato_Sales[sale_price])</f>
        <v>204029.82456140351</v>
      </c>
    </row>
    <row r="64" spans="1:86" x14ac:dyDescent="0.25">
      <c r="CE64" t="s">
        <v>187</v>
      </c>
      <c r="CH64" s="10">
        <f>MEDIAN(Wapato_Sales[sale_price])</f>
        <v>190000</v>
      </c>
    </row>
    <row r="65" spans="71:86" x14ac:dyDescent="0.25">
      <c r="BS65" s="3"/>
      <c r="CE65" t="s">
        <v>188</v>
      </c>
      <c r="CH65">
        <f>COUNT(Wapato_Sales[sale_price])</f>
        <v>57</v>
      </c>
    </row>
    <row r="66" spans="71:86" x14ac:dyDescent="0.25">
      <c r="BS66" s="3"/>
      <c r="CE66" s="11" t="s">
        <v>182</v>
      </c>
      <c r="CF66" s="11"/>
      <c r="CG66" s="11"/>
      <c r="CH66" s="12">
        <f>MEDIAN(Wapato_Sales[final_ratio])</f>
        <v>0.98197652619341302</v>
      </c>
    </row>
    <row r="67" spans="71:86" x14ac:dyDescent="0.25">
      <c r="BS67" s="3"/>
      <c r="CE67" t="s">
        <v>128</v>
      </c>
      <c r="CH67" s="2">
        <f>AVERAGE(Wapato_Sales[final_ratio])</f>
        <v>1.0080393645060364</v>
      </c>
    </row>
    <row r="68" spans="71:86" x14ac:dyDescent="0.25">
      <c r="BS68" s="2"/>
      <c r="CE68" t="s">
        <v>129</v>
      </c>
      <c r="CH68" s="2">
        <f>SUM(Wapato_Sales[final_total])/SUM(Wapato_Sales[sale_price])</f>
        <v>0.98988370886470134</v>
      </c>
    </row>
    <row r="69" spans="71:86" x14ac:dyDescent="0.25">
      <c r="BS69" s="2"/>
      <c r="CE69" s="13" t="s">
        <v>189</v>
      </c>
      <c r="CF69" s="13"/>
      <c r="CG69" s="13"/>
      <c r="CH69" s="14">
        <f>AVERAGE(Wapato_Sales[ABS Deviation from Median])/CH66</f>
        <v>9.6889936638932694E-2</v>
      </c>
    </row>
    <row r="70" spans="71:86" x14ac:dyDescent="0.25">
      <c r="BS70" s="2"/>
      <c r="CE70" s="15" t="s">
        <v>190</v>
      </c>
      <c r="CF70" s="15"/>
      <c r="CG70" s="15"/>
      <c r="CH70" s="16">
        <f>CH67/CH68</f>
        <v>1.0183412005660319</v>
      </c>
    </row>
    <row r="71" spans="71:86" x14ac:dyDescent="0.25">
      <c r="BS71" s="2"/>
      <c r="CE71" t="s">
        <v>191</v>
      </c>
      <c r="CH71" s="17">
        <f>CH72/CH63</f>
        <v>0.10566664507000358</v>
      </c>
    </row>
    <row r="72" spans="71:86" x14ac:dyDescent="0.25">
      <c r="CE72" t="s">
        <v>192</v>
      </c>
      <c r="CH72" s="10">
        <f>SQRT(SUM(Wapato_Sales[SSE])/(CH65-1))</f>
        <v>21559.147055624922</v>
      </c>
    </row>
    <row r="73" spans="71:86" x14ac:dyDescent="0.25">
      <c r="CE73" t="s">
        <v>193</v>
      </c>
      <c r="CH73" s="18">
        <f>SUM(Wapato_Sales[SSR])/SUM(Wapato_Sales[SST])</f>
        <v>0.93601473785327172</v>
      </c>
    </row>
    <row r="74" spans="71:86" x14ac:dyDescent="0.25">
      <c r="CE74" t="s">
        <v>194</v>
      </c>
      <c r="CH74" s="10">
        <f>SQRT(SUM(Wapato_Sales[SSE])/CH65)</f>
        <v>21369.194920717971</v>
      </c>
    </row>
    <row r="75" spans="71:86" x14ac:dyDescent="0.25">
      <c r="CE75" t="s">
        <v>195</v>
      </c>
      <c r="CH75" s="17">
        <f>CH74/CH63</f>
        <v>0.104735643265168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82F0-07F5-4640-994B-BE3899596E93}">
  <dimension ref="A1:M59"/>
  <sheetViews>
    <sheetView workbookViewId="0">
      <selection activeCell="Y36" sqref="Y36"/>
    </sheetView>
  </sheetViews>
  <sheetFormatPr defaultRowHeight="15" x14ac:dyDescent="0.25"/>
  <cols>
    <col min="1" max="1" width="16.85546875" bestFit="1" customWidth="1"/>
    <col min="2" max="2" width="10" bestFit="1" customWidth="1"/>
    <col min="3" max="3" width="9" bestFit="1" customWidth="1"/>
    <col min="4" max="4" width="6.7109375" bestFit="1" customWidth="1"/>
    <col min="5" max="5" width="8.85546875" bestFit="1" customWidth="1"/>
  </cols>
  <sheetData>
    <row r="1" spans="1:10" x14ac:dyDescent="0.25">
      <c r="A1" t="s">
        <v>88</v>
      </c>
      <c r="B1" t="s">
        <v>89</v>
      </c>
      <c r="C1" t="s">
        <v>90</v>
      </c>
      <c r="D1" t="s">
        <v>91</v>
      </c>
      <c r="E1" t="s">
        <v>92</v>
      </c>
      <c r="H1" t="s">
        <v>19</v>
      </c>
    </row>
    <row r="2" spans="1:10" x14ac:dyDescent="0.25">
      <c r="A2" t="s">
        <v>93</v>
      </c>
      <c r="B2">
        <v>107530.54</v>
      </c>
      <c r="C2">
        <v>54278.11</v>
      </c>
      <c r="D2">
        <v>1.98</v>
      </c>
      <c r="E2">
        <v>5.5500000000000001E-2</v>
      </c>
      <c r="G2">
        <v>1</v>
      </c>
      <c r="H2" t="s">
        <v>86</v>
      </c>
      <c r="I2">
        <v>0</v>
      </c>
      <c r="J2">
        <v>0</v>
      </c>
    </row>
    <row r="3" spans="1:10" x14ac:dyDescent="0.25">
      <c r="A3" t="s">
        <v>16</v>
      </c>
      <c r="B3">
        <v>0.1016064</v>
      </c>
      <c r="C3">
        <v>0.25379600000000002</v>
      </c>
      <c r="D3">
        <v>0.4</v>
      </c>
      <c r="E3">
        <v>0.69130000000000003</v>
      </c>
      <c r="G3">
        <v>2</v>
      </c>
      <c r="H3" t="s">
        <v>78</v>
      </c>
      <c r="I3">
        <v>23424</v>
      </c>
      <c r="J3">
        <v>23424</v>
      </c>
    </row>
    <row r="4" spans="1:10" x14ac:dyDescent="0.25">
      <c r="A4" t="s">
        <v>94</v>
      </c>
      <c r="B4">
        <v>23423.624</v>
      </c>
      <c r="C4">
        <v>30980.16</v>
      </c>
      <c r="D4">
        <v>0.76</v>
      </c>
      <c r="E4">
        <v>0.45469999999999999</v>
      </c>
      <c r="G4">
        <v>3</v>
      </c>
      <c r="H4" t="s">
        <v>71</v>
      </c>
      <c r="I4">
        <v>28034</v>
      </c>
      <c r="J4">
        <v>28034</v>
      </c>
    </row>
    <row r="5" spans="1:10" x14ac:dyDescent="0.25">
      <c r="A5" t="s">
        <v>95</v>
      </c>
      <c r="B5">
        <v>4610.0160999999998</v>
      </c>
      <c r="C5">
        <v>14667.41</v>
      </c>
      <c r="D5">
        <v>0.31</v>
      </c>
      <c r="E5">
        <v>0.75519999999999998</v>
      </c>
      <c r="G5">
        <v>4</v>
      </c>
      <c r="H5" t="s">
        <v>75</v>
      </c>
      <c r="I5">
        <v>48043</v>
      </c>
      <c r="J5">
        <v>48043</v>
      </c>
    </row>
    <row r="6" spans="1:10" x14ac:dyDescent="0.25">
      <c r="A6" t="s">
        <v>96</v>
      </c>
      <c r="B6">
        <v>20009.812000000002</v>
      </c>
      <c r="C6">
        <v>13313.08</v>
      </c>
      <c r="D6">
        <v>1.5</v>
      </c>
      <c r="E6">
        <v>0.14180000000000001</v>
      </c>
      <c r="G6">
        <v>5</v>
      </c>
      <c r="H6" t="s">
        <v>67</v>
      </c>
      <c r="I6">
        <v>50405</v>
      </c>
      <c r="J6">
        <v>50405</v>
      </c>
    </row>
    <row r="7" spans="1:10" x14ac:dyDescent="0.25">
      <c r="A7" t="s">
        <v>97</v>
      </c>
      <c r="B7">
        <v>2361.884</v>
      </c>
      <c r="C7">
        <v>14377.45</v>
      </c>
      <c r="D7">
        <v>0.16</v>
      </c>
      <c r="E7">
        <v>0.87050000000000005</v>
      </c>
      <c r="G7">
        <v>6</v>
      </c>
      <c r="H7" t="s">
        <v>63</v>
      </c>
      <c r="I7">
        <v>50594</v>
      </c>
      <c r="J7">
        <v>50594</v>
      </c>
    </row>
    <row r="8" spans="1:10" x14ac:dyDescent="0.25">
      <c r="A8" t="s">
        <v>98</v>
      </c>
      <c r="B8">
        <v>188.43268</v>
      </c>
      <c r="C8">
        <v>23120.52</v>
      </c>
      <c r="D8">
        <v>0.01</v>
      </c>
      <c r="E8">
        <v>0.99350000000000005</v>
      </c>
      <c r="G8">
        <v>7</v>
      </c>
      <c r="H8" t="s">
        <v>65</v>
      </c>
      <c r="I8">
        <v>92307</v>
      </c>
      <c r="J8">
        <v>92307</v>
      </c>
    </row>
    <row r="9" spans="1:10" x14ac:dyDescent="0.25">
      <c r="A9" t="s">
        <v>99</v>
      </c>
      <c r="B9">
        <v>41713.517</v>
      </c>
      <c r="C9">
        <v>24293.47</v>
      </c>
      <c r="D9">
        <v>1.72</v>
      </c>
      <c r="E9">
        <v>9.4799999999999995E-2</v>
      </c>
      <c r="G9">
        <v>8</v>
      </c>
      <c r="H9" t="s">
        <v>57</v>
      </c>
      <c r="I9">
        <v>152073</v>
      </c>
      <c r="J9">
        <v>152073</v>
      </c>
    </row>
    <row r="10" spans="1:10" x14ac:dyDescent="0.25">
      <c r="A10" t="s">
        <v>100</v>
      </c>
      <c r="B10">
        <v>59766.044999999998</v>
      </c>
      <c r="C10">
        <v>41655.81</v>
      </c>
      <c r="D10">
        <v>1.43</v>
      </c>
      <c r="E10">
        <v>0.16020000000000001</v>
      </c>
      <c r="G10">
        <v>9</v>
      </c>
      <c r="H10" t="s">
        <v>108</v>
      </c>
      <c r="J10" s="9">
        <f>(17607*G10)-23620</f>
        <v>134843</v>
      </c>
    </row>
    <row r="11" spans="1:10" x14ac:dyDescent="0.25">
      <c r="A11" t="s">
        <v>101</v>
      </c>
      <c r="B11">
        <v>16275.8</v>
      </c>
      <c r="C11">
        <v>33637.83</v>
      </c>
      <c r="D11">
        <v>0.48</v>
      </c>
      <c r="E11">
        <v>0.63149999999999995</v>
      </c>
      <c r="G11">
        <v>10</v>
      </c>
      <c r="H11" t="s">
        <v>109</v>
      </c>
      <c r="J11" s="9">
        <f>(17607*G11)-23620</f>
        <v>152450</v>
      </c>
    </row>
    <row r="12" spans="1:10" x14ac:dyDescent="0.25">
      <c r="A12" t="s">
        <v>102</v>
      </c>
      <c r="B12">
        <v>35955.334999999999</v>
      </c>
      <c r="C12">
        <v>13382.98</v>
      </c>
      <c r="D12">
        <v>2.69</v>
      </c>
      <c r="E12">
        <v>1.0999999999999999E-2</v>
      </c>
      <c r="G12">
        <v>11</v>
      </c>
      <c r="H12" t="s">
        <v>61</v>
      </c>
      <c r="J12" s="9">
        <f t="shared" ref="J12:J14" si="0">(17607*G12)-23620</f>
        <v>170057</v>
      </c>
    </row>
    <row r="13" spans="1:10" x14ac:dyDescent="0.25">
      <c r="A13" t="s">
        <v>103</v>
      </c>
      <c r="B13">
        <v>22311.749</v>
      </c>
      <c r="C13">
        <v>11181.16</v>
      </c>
      <c r="D13">
        <v>2</v>
      </c>
      <c r="E13">
        <v>5.3800000000000001E-2</v>
      </c>
      <c r="G13">
        <v>12</v>
      </c>
      <c r="H13" t="s">
        <v>180</v>
      </c>
      <c r="J13" s="9">
        <f t="shared" si="0"/>
        <v>187664</v>
      </c>
    </row>
    <row r="14" spans="1:10" x14ac:dyDescent="0.25">
      <c r="A14" t="s">
        <v>104</v>
      </c>
      <c r="B14">
        <v>9795.5537999999997</v>
      </c>
      <c r="C14">
        <v>18668.830000000002</v>
      </c>
      <c r="D14">
        <v>0.52</v>
      </c>
      <c r="E14">
        <v>0.60309999999999997</v>
      </c>
      <c r="G14">
        <v>13</v>
      </c>
      <c r="H14" t="s">
        <v>179</v>
      </c>
      <c r="J14" s="9">
        <f t="shared" si="0"/>
        <v>205271</v>
      </c>
    </row>
    <row r="15" spans="1:10" x14ac:dyDescent="0.25">
      <c r="A15" t="s">
        <v>105</v>
      </c>
      <c r="B15">
        <v>37756.709000000003</v>
      </c>
      <c r="C15">
        <v>34246.480000000003</v>
      </c>
      <c r="D15">
        <v>1.1000000000000001</v>
      </c>
      <c r="E15">
        <v>0.27779999999999999</v>
      </c>
    </row>
    <row r="16" spans="1:10" x14ac:dyDescent="0.25">
      <c r="A16" t="s">
        <v>24</v>
      </c>
      <c r="B16">
        <v>-370.67570000000001</v>
      </c>
      <c r="C16">
        <v>302.68770000000001</v>
      </c>
      <c r="D16">
        <v>-1.22</v>
      </c>
      <c r="E16">
        <v>0.22889999999999999</v>
      </c>
    </row>
    <row r="17" spans="1:13" x14ac:dyDescent="0.25">
      <c r="A17" t="s">
        <v>28</v>
      </c>
      <c r="B17">
        <v>41.800739</v>
      </c>
      <c r="C17">
        <v>20.98732</v>
      </c>
      <c r="D17">
        <v>1.99</v>
      </c>
      <c r="E17">
        <v>5.4300000000000001E-2</v>
      </c>
      <c r="G17">
        <v>1</v>
      </c>
      <c r="H17" t="s">
        <v>110</v>
      </c>
      <c r="J17" s="9">
        <f>(23914*G17)-73277</f>
        <v>-49363</v>
      </c>
    </row>
    <row r="18" spans="1:13" x14ac:dyDescent="0.25">
      <c r="A18" t="s">
        <v>29</v>
      </c>
      <c r="B18">
        <v>49.601139000000003</v>
      </c>
      <c r="C18">
        <v>30.216429999999999</v>
      </c>
      <c r="D18">
        <v>1.64</v>
      </c>
      <c r="E18">
        <v>0.1096</v>
      </c>
      <c r="G18">
        <v>2</v>
      </c>
      <c r="H18" t="s">
        <v>111</v>
      </c>
      <c r="J18" s="9">
        <f t="shared" ref="J18" si="1">(23914*G18)-73277</f>
        <v>-25449</v>
      </c>
    </row>
    <row r="19" spans="1:13" x14ac:dyDescent="0.25">
      <c r="A19" t="s">
        <v>30</v>
      </c>
      <c r="B19">
        <v>24.36674</v>
      </c>
      <c r="C19">
        <v>16.993919999999999</v>
      </c>
      <c r="D19">
        <v>1.43</v>
      </c>
      <c r="E19">
        <v>0.1605</v>
      </c>
      <c r="G19">
        <v>3</v>
      </c>
      <c r="H19" t="s">
        <v>84</v>
      </c>
      <c r="I19">
        <v>0</v>
      </c>
      <c r="J19">
        <v>0</v>
      </c>
    </row>
    <row r="20" spans="1:13" x14ac:dyDescent="0.25">
      <c r="A20" t="s">
        <v>32</v>
      </c>
      <c r="B20">
        <v>37.008752000000001</v>
      </c>
      <c r="C20">
        <v>23.216819999999998</v>
      </c>
      <c r="D20">
        <v>1.59</v>
      </c>
      <c r="E20">
        <v>0.11990000000000001</v>
      </c>
      <c r="G20">
        <v>4</v>
      </c>
      <c r="H20" t="s">
        <v>73</v>
      </c>
      <c r="I20">
        <v>16276</v>
      </c>
      <c r="J20">
        <v>16276</v>
      </c>
    </row>
    <row r="21" spans="1:13" x14ac:dyDescent="0.25">
      <c r="A21" t="s">
        <v>35</v>
      </c>
      <c r="B21">
        <v>43.323979000000001</v>
      </c>
      <c r="C21">
        <v>31.009650000000001</v>
      </c>
      <c r="D21">
        <v>1.4</v>
      </c>
      <c r="E21">
        <v>0.17119999999999999</v>
      </c>
      <c r="G21">
        <v>5</v>
      </c>
      <c r="H21" t="s">
        <v>68</v>
      </c>
      <c r="I21">
        <v>52231</v>
      </c>
      <c r="J21">
        <v>52231</v>
      </c>
    </row>
    <row r="22" spans="1:13" x14ac:dyDescent="0.25">
      <c r="A22" t="s">
        <v>46</v>
      </c>
      <c r="B22">
        <v>0.94026460000000001</v>
      </c>
      <c r="C22">
        <v>0.71050899999999995</v>
      </c>
      <c r="D22">
        <v>1.32</v>
      </c>
      <c r="E22">
        <v>0.1943</v>
      </c>
      <c r="G22">
        <v>6</v>
      </c>
      <c r="H22" t="s">
        <v>69</v>
      </c>
      <c r="I22">
        <v>74543</v>
      </c>
      <c r="J22">
        <v>74543</v>
      </c>
    </row>
    <row r="23" spans="1:13" x14ac:dyDescent="0.25">
      <c r="A23" t="s">
        <v>53</v>
      </c>
      <c r="B23">
        <v>-74.842479999999995</v>
      </c>
      <c r="C23">
        <v>16.166650000000001</v>
      </c>
      <c r="D23">
        <v>-4.63</v>
      </c>
      <c r="E23" t="s">
        <v>106</v>
      </c>
      <c r="G23">
        <v>7</v>
      </c>
      <c r="H23" t="s">
        <v>70</v>
      </c>
      <c r="I23">
        <v>84338</v>
      </c>
      <c r="J23">
        <v>84338</v>
      </c>
    </row>
    <row r="24" spans="1:13" x14ac:dyDescent="0.25">
      <c r="G24">
        <v>8</v>
      </c>
      <c r="H24" t="s">
        <v>58</v>
      </c>
      <c r="I24">
        <v>122095</v>
      </c>
      <c r="J24">
        <v>122095</v>
      </c>
    </row>
    <row r="28" spans="1:13" x14ac:dyDescent="0.25">
      <c r="A28" s="5" t="s">
        <v>67</v>
      </c>
      <c r="B28" s="2">
        <v>1.0204789052565544</v>
      </c>
      <c r="C28" s="2">
        <f>1/B28</f>
        <v>0.97993206410140754</v>
      </c>
      <c r="F28" s="5">
        <v>0</v>
      </c>
      <c r="G28" s="2">
        <v>0.99958457238957399</v>
      </c>
      <c r="H28" s="2">
        <f>1/G28</f>
        <v>1.00041560026225</v>
      </c>
      <c r="K28" s="5">
        <v>500</v>
      </c>
      <c r="L28" s="2">
        <v>1.5876866512598993</v>
      </c>
      <c r="M28" s="2">
        <f>1/L28</f>
        <v>0.62984720518148585</v>
      </c>
    </row>
    <row r="29" spans="1:13" x14ac:dyDescent="0.25">
      <c r="A29" s="5" t="s">
        <v>63</v>
      </c>
      <c r="B29" s="2">
        <v>1.0080907001227448</v>
      </c>
      <c r="C29" s="2">
        <f t="shared" ref="C29:C37" si="2">1/B29</f>
        <v>0.99197423394367223</v>
      </c>
      <c r="F29" s="5">
        <v>10</v>
      </c>
      <c r="G29" s="2">
        <f>AVERAGE(G28,G30)</f>
        <v>0.9688966240082687</v>
      </c>
      <c r="H29" s="2">
        <f t="shared" ref="H29:H45" si="3">1/G29</f>
        <v>1.0321018519633791</v>
      </c>
      <c r="K29" s="5">
        <v>1000</v>
      </c>
      <c r="L29" s="2">
        <v>1.0098664480111033</v>
      </c>
      <c r="M29" s="2">
        <f t="shared" ref="M29:M37" si="4">1/L29</f>
        <v>0.99022994770196116</v>
      </c>
    </row>
    <row r="30" spans="1:13" x14ac:dyDescent="0.25">
      <c r="A30" s="5" t="s">
        <v>71</v>
      </c>
      <c r="B30" s="2">
        <v>1.0387903651867758</v>
      </c>
      <c r="C30" s="2">
        <f t="shared" si="2"/>
        <v>0.96265813922927435</v>
      </c>
      <c r="F30" s="5">
        <v>20</v>
      </c>
      <c r="G30" s="2">
        <v>0.93820867562696342</v>
      </c>
      <c r="H30" s="2">
        <f t="shared" si="3"/>
        <v>1.0658609603367226</v>
      </c>
      <c r="K30" s="5">
        <v>1500</v>
      </c>
      <c r="L30" s="2">
        <v>0.99389636588708308</v>
      </c>
      <c r="M30" s="2">
        <f t="shared" si="4"/>
        <v>1.0061411172456287</v>
      </c>
    </row>
    <row r="31" spans="1:13" x14ac:dyDescent="0.25">
      <c r="A31" s="5" t="s">
        <v>78</v>
      </c>
      <c r="B31" s="2">
        <v>0.99096285848291343</v>
      </c>
      <c r="C31" s="2">
        <f t="shared" si="2"/>
        <v>1.0091195562373767</v>
      </c>
      <c r="F31" s="5">
        <v>30</v>
      </c>
      <c r="G31" s="2">
        <f>AVERAGE(G30,G32)</f>
        <v>0.95324291121699756</v>
      </c>
      <c r="H31" s="2">
        <f t="shared" si="3"/>
        <v>1.0490505496896987</v>
      </c>
      <c r="K31" s="5">
        <v>2000</v>
      </c>
      <c r="L31" s="2">
        <v>1.0067361285714247</v>
      </c>
      <c r="M31" s="2">
        <f t="shared" si="4"/>
        <v>0.99330894324714125</v>
      </c>
    </row>
    <row r="32" spans="1:13" x14ac:dyDescent="0.25">
      <c r="A32" s="5" t="s">
        <v>75</v>
      </c>
      <c r="B32" s="2">
        <v>1.0183626584176775</v>
      </c>
      <c r="C32" s="2">
        <f t="shared" si="2"/>
        <v>0.98196844879778955</v>
      </c>
      <c r="F32" s="5">
        <v>40</v>
      </c>
      <c r="G32" s="2">
        <v>0.96827714680703181</v>
      </c>
      <c r="H32" s="2">
        <f t="shared" si="3"/>
        <v>1.0327621624630683</v>
      </c>
      <c r="K32" s="5">
        <v>2500</v>
      </c>
      <c r="L32" s="2">
        <v>1.1011529305045262</v>
      </c>
      <c r="M32" s="2">
        <f t="shared" si="4"/>
        <v>0.90813907160181651</v>
      </c>
    </row>
    <row r="33" spans="1:13" x14ac:dyDescent="0.25">
      <c r="A33" s="5" t="s">
        <v>65</v>
      </c>
      <c r="B33" s="2">
        <v>0.99862911007008348</v>
      </c>
      <c r="C33" s="2">
        <f t="shared" si="2"/>
        <v>1.0013727718490204</v>
      </c>
      <c r="F33" s="5">
        <v>50</v>
      </c>
      <c r="G33" s="2">
        <v>1.0390653893632507</v>
      </c>
      <c r="H33" s="2">
        <f t="shared" si="3"/>
        <v>0.96240333884358298</v>
      </c>
      <c r="K33" s="5">
        <v>3000</v>
      </c>
      <c r="L33" s="2">
        <v>0.98465225852100124</v>
      </c>
      <c r="M33" s="2">
        <f t="shared" si="4"/>
        <v>1.0155869662067822</v>
      </c>
    </row>
    <row r="34" spans="1:13" x14ac:dyDescent="0.25">
      <c r="A34" s="5" t="s">
        <v>57</v>
      </c>
      <c r="B34" s="2">
        <v>0.99999912845495109</v>
      </c>
      <c r="C34" s="2">
        <f t="shared" si="2"/>
        <v>1.0000008715458084</v>
      </c>
      <c r="F34" s="5">
        <v>60</v>
      </c>
      <c r="G34" s="2">
        <v>0.96586469566473365</v>
      </c>
      <c r="H34" s="2">
        <f t="shared" si="3"/>
        <v>1.035341704162583</v>
      </c>
      <c r="K34" s="5">
        <v>3500</v>
      </c>
      <c r="L34" s="2">
        <f>L33</f>
        <v>0.98465225852100124</v>
      </c>
      <c r="M34" s="2">
        <f t="shared" si="4"/>
        <v>1.0155869662067822</v>
      </c>
    </row>
    <row r="35" spans="1:13" x14ac:dyDescent="0.25">
      <c r="A35" s="5" t="s">
        <v>86</v>
      </c>
      <c r="B35" s="2">
        <v>0.99999891335007007</v>
      </c>
      <c r="C35" s="2">
        <f t="shared" si="2"/>
        <v>1.0000010866511106</v>
      </c>
      <c r="F35" s="5">
        <v>70</v>
      </c>
      <c r="G35" s="2">
        <v>0.99873009256622935</v>
      </c>
      <c r="H35" s="2">
        <f t="shared" si="3"/>
        <v>1.0012715221492001</v>
      </c>
      <c r="K35" s="5">
        <v>4000</v>
      </c>
      <c r="L35" s="2">
        <f>L33</f>
        <v>0.98465225852100124</v>
      </c>
      <c r="M35" s="2">
        <f t="shared" si="4"/>
        <v>1.0155869662067822</v>
      </c>
    </row>
    <row r="36" spans="1:13" x14ac:dyDescent="0.25">
      <c r="A36" s="5" t="s">
        <v>108</v>
      </c>
      <c r="B36" s="2">
        <f>B34</f>
        <v>0.99999912845495109</v>
      </c>
      <c r="C36" s="2">
        <f t="shared" si="2"/>
        <v>1.0000008715458084</v>
      </c>
      <c r="F36" s="5">
        <v>80</v>
      </c>
      <c r="G36" s="2">
        <v>1.1849844632812776</v>
      </c>
      <c r="H36" s="2">
        <f t="shared" si="3"/>
        <v>0.8438929209510081</v>
      </c>
      <c r="K36" s="5">
        <v>4500</v>
      </c>
      <c r="L36" s="2">
        <f>L33</f>
        <v>0.98465225852100124</v>
      </c>
      <c r="M36" s="2">
        <f t="shared" si="4"/>
        <v>1.0155869662067822</v>
      </c>
    </row>
    <row r="37" spans="1:13" x14ac:dyDescent="0.25">
      <c r="A37" s="5" t="s">
        <v>109</v>
      </c>
      <c r="B37" s="2">
        <f>B34</f>
        <v>0.99999912845495109</v>
      </c>
      <c r="C37" s="2">
        <f t="shared" si="2"/>
        <v>1.0000008715458084</v>
      </c>
      <c r="F37" s="5">
        <v>90</v>
      </c>
      <c r="G37" s="2">
        <v>1.0554903356370027</v>
      </c>
      <c r="H37" s="2">
        <f t="shared" si="3"/>
        <v>0.94742695999815718</v>
      </c>
      <c r="K37" s="5">
        <v>5000</v>
      </c>
      <c r="L37" s="2">
        <f>L33</f>
        <v>0.98465225852100124</v>
      </c>
      <c r="M37" s="2">
        <f t="shared" si="4"/>
        <v>1.0155869662067822</v>
      </c>
    </row>
    <row r="38" spans="1:13" x14ac:dyDescent="0.25">
      <c r="B38" s="2"/>
      <c r="C38" s="2"/>
      <c r="F38" s="5">
        <v>100</v>
      </c>
      <c r="G38" s="2">
        <v>0.98870864662244673</v>
      </c>
      <c r="H38" s="2">
        <f t="shared" si="3"/>
        <v>1.0114203040664467</v>
      </c>
    </row>
    <row r="39" spans="1:13" x14ac:dyDescent="0.25">
      <c r="B39" s="2"/>
      <c r="C39" s="2"/>
      <c r="F39" s="5">
        <v>110</v>
      </c>
      <c r="G39" s="2">
        <v>1.0676393327748399</v>
      </c>
      <c r="H39" s="2">
        <f t="shared" si="3"/>
        <v>0.93664589651353292</v>
      </c>
    </row>
    <row r="40" spans="1:13" x14ac:dyDescent="0.25">
      <c r="B40" s="2"/>
      <c r="C40" s="2"/>
      <c r="F40" s="5">
        <v>120</v>
      </c>
      <c r="G40" s="2">
        <f>G39</f>
        <v>1.0676393327748399</v>
      </c>
      <c r="H40" s="2">
        <f t="shared" si="3"/>
        <v>0.93664589651353292</v>
      </c>
    </row>
    <row r="41" spans="1:13" x14ac:dyDescent="0.25">
      <c r="A41" s="5" t="s">
        <v>68</v>
      </c>
      <c r="B41" s="2">
        <v>1.0170525129103292</v>
      </c>
      <c r="C41" s="2">
        <f>1/B41</f>
        <v>0.9832333997567807</v>
      </c>
      <c r="F41" s="5">
        <v>130</v>
      </c>
      <c r="G41" s="2">
        <f>G39</f>
        <v>1.0676393327748399</v>
      </c>
      <c r="H41" s="2">
        <f t="shared" si="3"/>
        <v>0.93664589651353292</v>
      </c>
    </row>
    <row r="42" spans="1:13" x14ac:dyDescent="0.25">
      <c r="A42" s="5" t="s">
        <v>58</v>
      </c>
      <c r="B42" s="2">
        <v>0.99958457238957399</v>
      </c>
      <c r="C42" s="2">
        <f t="shared" ref="C42:C47" si="5">1/B42</f>
        <v>1.00041560026225</v>
      </c>
      <c r="F42" s="5">
        <v>140</v>
      </c>
      <c r="G42" s="2">
        <f>G39</f>
        <v>1.0676393327748399</v>
      </c>
      <c r="H42" s="2">
        <f t="shared" si="3"/>
        <v>0.93664589651353292</v>
      </c>
    </row>
    <row r="43" spans="1:13" x14ac:dyDescent="0.25">
      <c r="A43" s="5" t="s">
        <v>73</v>
      </c>
      <c r="B43" s="2">
        <v>1.0706708558513489</v>
      </c>
      <c r="C43" s="2">
        <f t="shared" si="5"/>
        <v>0.93399385491337139</v>
      </c>
      <c r="F43" s="5">
        <v>150</v>
      </c>
      <c r="G43" s="2">
        <f>G40</f>
        <v>1.0676393327748399</v>
      </c>
      <c r="H43" s="2">
        <f t="shared" si="3"/>
        <v>0.93664589651353292</v>
      </c>
    </row>
    <row r="44" spans="1:13" x14ac:dyDescent="0.25">
      <c r="A44" s="5" t="s">
        <v>69</v>
      </c>
      <c r="B44" s="2">
        <v>1.0158220560648514</v>
      </c>
      <c r="C44" s="2">
        <f t="shared" si="5"/>
        <v>0.98442438223270734</v>
      </c>
      <c r="F44" s="5">
        <v>160</v>
      </c>
      <c r="G44" s="2">
        <f>G40</f>
        <v>1.0676393327748399</v>
      </c>
      <c r="H44" s="2">
        <f t="shared" si="3"/>
        <v>0.93664589651353292</v>
      </c>
    </row>
    <row r="45" spans="1:13" x14ac:dyDescent="0.25">
      <c r="A45" s="5" t="s">
        <v>84</v>
      </c>
      <c r="B45" s="2">
        <v>0.99999644538519983</v>
      </c>
      <c r="C45" s="2">
        <f t="shared" si="5"/>
        <v>1.0000035546274355</v>
      </c>
      <c r="F45" s="5">
        <v>170</v>
      </c>
      <c r="G45" s="2">
        <f>G40</f>
        <v>1.0676393327748399</v>
      </c>
      <c r="H45" s="2">
        <f t="shared" si="3"/>
        <v>0.93664589651353292</v>
      </c>
    </row>
    <row r="46" spans="1:13" x14ac:dyDescent="0.25">
      <c r="A46" s="5" t="s">
        <v>70</v>
      </c>
      <c r="B46" s="2">
        <v>1.0052466313646204</v>
      </c>
      <c r="C46" s="2">
        <f t="shared" si="5"/>
        <v>0.99478075210508476</v>
      </c>
      <c r="F46" s="5"/>
    </row>
    <row r="47" spans="1:13" x14ac:dyDescent="0.25">
      <c r="A47" s="5" t="s">
        <v>111</v>
      </c>
      <c r="B47" s="2">
        <f>B45</f>
        <v>0.99999644538519983</v>
      </c>
      <c r="C47" s="2">
        <f t="shared" si="5"/>
        <v>1.0000035546274355</v>
      </c>
    </row>
    <row r="48" spans="1:13" ht="15.75" x14ac:dyDescent="0.25">
      <c r="A48" s="5" t="s">
        <v>110</v>
      </c>
      <c r="B48" s="2"/>
      <c r="C48" s="2">
        <v>0</v>
      </c>
      <c r="F48" s="6" t="s">
        <v>159</v>
      </c>
      <c r="G48" s="6"/>
      <c r="H48" s="6">
        <v>0.95</v>
      </c>
    </row>
    <row r="50" spans="6:6" x14ac:dyDescent="0.25">
      <c r="F50" s="5"/>
    </row>
    <row r="51" spans="6:6" x14ac:dyDescent="0.25">
      <c r="F51" s="5"/>
    </row>
    <row r="52" spans="6:6" x14ac:dyDescent="0.25">
      <c r="F52" s="5"/>
    </row>
    <row r="53" spans="6:6" x14ac:dyDescent="0.25">
      <c r="F53" s="5"/>
    </row>
    <row r="54" spans="6:6" x14ac:dyDescent="0.25">
      <c r="F54" s="5"/>
    </row>
    <row r="55" spans="6:6" x14ac:dyDescent="0.25">
      <c r="F55" s="5"/>
    </row>
    <row r="56" spans="6:6" x14ac:dyDescent="0.25">
      <c r="F56" s="5"/>
    </row>
    <row r="57" spans="6:6" x14ac:dyDescent="0.25">
      <c r="F57" s="5"/>
    </row>
    <row r="58" spans="6:6" x14ac:dyDescent="0.25">
      <c r="F58" s="5"/>
    </row>
    <row r="59" spans="6:6" x14ac:dyDescent="0.25">
      <c r="F59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3465A-D5A9-4526-9D50-1E5F69B0A766}">
  <dimension ref="A1:F23"/>
  <sheetViews>
    <sheetView workbookViewId="0">
      <selection activeCell="E2" sqref="E2:F11"/>
    </sheetView>
  </sheetViews>
  <sheetFormatPr defaultRowHeight="15" x14ac:dyDescent="0.25"/>
  <cols>
    <col min="1" max="1" width="13.140625" bestFit="1" customWidth="1"/>
    <col min="2" max="2" width="13.42578125" bestFit="1" customWidth="1"/>
    <col min="5" max="5" width="13.140625" bestFit="1" customWidth="1"/>
    <col min="6" max="6" width="13.42578125" bestFit="1" customWidth="1"/>
  </cols>
  <sheetData>
    <row r="1" spans="1:6" x14ac:dyDescent="0.25">
      <c r="A1" s="4" t="s">
        <v>140</v>
      </c>
      <c r="B1" t="s">
        <v>142</v>
      </c>
      <c r="E1" s="4" t="s">
        <v>140</v>
      </c>
      <c r="F1" t="s">
        <v>142</v>
      </c>
    </row>
    <row r="2" spans="1:6" x14ac:dyDescent="0.25">
      <c r="A2" s="5" t="s">
        <v>67</v>
      </c>
      <c r="B2">
        <v>1.0204789052565544</v>
      </c>
      <c r="E2" s="5">
        <v>0</v>
      </c>
      <c r="F2">
        <v>0.99958457238957399</v>
      </c>
    </row>
    <row r="3" spans="1:6" x14ac:dyDescent="0.25">
      <c r="A3" s="5" t="s">
        <v>63</v>
      </c>
      <c r="B3">
        <v>1.0080907001227448</v>
      </c>
      <c r="E3" s="5">
        <v>20</v>
      </c>
      <c r="F3">
        <v>0.93820867562696342</v>
      </c>
    </row>
    <row r="4" spans="1:6" x14ac:dyDescent="0.25">
      <c r="A4" s="5" t="s">
        <v>71</v>
      </c>
      <c r="B4">
        <v>1.0387903651867758</v>
      </c>
      <c r="E4" s="5">
        <v>40</v>
      </c>
      <c r="F4">
        <v>0.96827714680703181</v>
      </c>
    </row>
    <row r="5" spans="1:6" x14ac:dyDescent="0.25">
      <c r="A5" s="5" t="s">
        <v>78</v>
      </c>
      <c r="B5">
        <v>0.99096285848291343</v>
      </c>
      <c r="E5" s="5">
        <v>50</v>
      </c>
      <c r="F5">
        <v>1.0390653893632507</v>
      </c>
    </row>
    <row r="6" spans="1:6" x14ac:dyDescent="0.25">
      <c r="A6" s="5" t="s">
        <v>75</v>
      </c>
      <c r="B6">
        <v>1.0183626584176775</v>
      </c>
      <c r="E6" s="5">
        <v>60</v>
      </c>
      <c r="F6">
        <v>0.96586469566473365</v>
      </c>
    </row>
    <row r="7" spans="1:6" x14ac:dyDescent="0.25">
      <c r="A7" s="5" t="s">
        <v>65</v>
      </c>
      <c r="B7">
        <v>0.99862911007008348</v>
      </c>
      <c r="E7" s="5">
        <v>70</v>
      </c>
      <c r="F7">
        <v>0.99873009256622935</v>
      </c>
    </row>
    <row r="8" spans="1:6" x14ac:dyDescent="0.25">
      <c r="A8" s="5" t="s">
        <v>57</v>
      </c>
      <c r="B8">
        <v>0.99999912845495109</v>
      </c>
      <c r="E8" s="5">
        <v>80</v>
      </c>
      <c r="F8">
        <v>1.1849844632812776</v>
      </c>
    </row>
    <row r="9" spans="1:6" x14ac:dyDescent="0.25">
      <c r="A9" s="5" t="s">
        <v>86</v>
      </c>
      <c r="B9">
        <v>0.99999891335007007</v>
      </c>
      <c r="E9" s="5">
        <v>90</v>
      </c>
      <c r="F9">
        <v>1.0554903356370027</v>
      </c>
    </row>
    <row r="10" spans="1:6" x14ac:dyDescent="0.25">
      <c r="A10" s="5" t="s">
        <v>141</v>
      </c>
      <c r="B10">
        <v>1.0201055598674325</v>
      </c>
      <c r="E10" s="5">
        <v>100</v>
      </c>
      <c r="F10">
        <v>0.98870864662244673</v>
      </c>
    </row>
    <row r="11" spans="1:6" x14ac:dyDescent="0.25">
      <c r="E11" s="5">
        <v>110</v>
      </c>
      <c r="F11">
        <v>1.0676393327748399</v>
      </c>
    </row>
    <row r="12" spans="1:6" x14ac:dyDescent="0.25">
      <c r="E12" s="5" t="s">
        <v>141</v>
      </c>
      <c r="F12">
        <v>1.0201055598674325</v>
      </c>
    </row>
    <row r="14" spans="1:6" x14ac:dyDescent="0.25">
      <c r="A14" s="4" t="s">
        <v>140</v>
      </c>
      <c r="B14" t="s">
        <v>142</v>
      </c>
    </row>
    <row r="15" spans="1:6" x14ac:dyDescent="0.25">
      <c r="A15" s="5" t="s">
        <v>68</v>
      </c>
      <c r="B15">
        <v>1.0170525129103292</v>
      </c>
    </row>
    <row r="16" spans="1:6" x14ac:dyDescent="0.25">
      <c r="A16" s="5" t="s">
        <v>58</v>
      </c>
      <c r="B16">
        <v>0.99958457238957399</v>
      </c>
      <c r="E16" s="4" t="s">
        <v>140</v>
      </c>
      <c r="F16" t="s">
        <v>142</v>
      </c>
    </row>
    <row r="17" spans="1:6" x14ac:dyDescent="0.25">
      <c r="A17" s="5" t="s">
        <v>73</v>
      </c>
      <c r="B17">
        <v>1.0706708558513489</v>
      </c>
      <c r="E17" s="5">
        <v>500</v>
      </c>
      <c r="F17">
        <v>1.5876866512598993</v>
      </c>
    </row>
    <row r="18" spans="1:6" x14ac:dyDescent="0.25">
      <c r="A18" s="5" t="s">
        <v>69</v>
      </c>
      <c r="B18">
        <v>1.0158220560648514</v>
      </c>
      <c r="E18" s="5">
        <v>1000</v>
      </c>
      <c r="F18">
        <v>1.0098664480111033</v>
      </c>
    </row>
    <row r="19" spans="1:6" x14ac:dyDescent="0.25">
      <c r="A19" s="5" t="s">
        <v>84</v>
      </c>
      <c r="B19">
        <v>0.99999644538519983</v>
      </c>
      <c r="E19" s="5">
        <v>1500</v>
      </c>
      <c r="F19">
        <v>0.99389636588708308</v>
      </c>
    </row>
    <row r="20" spans="1:6" x14ac:dyDescent="0.25">
      <c r="A20" s="5" t="s">
        <v>70</v>
      </c>
      <c r="B20">
        <v>1.0052466313646204</v>
      </c>
      <c r="E20" s="5">
        <v>2000</v>
      </c>
      <c r="F20">
        <v>1.0067361285714247</v>
      </c>
    </row>
    <row r="21" spans="1:6" x14ac:dyDescent="0.25">
      <c r="A21" s="5" t="s">
        <v>141</v>
      </c>
      <c r="B21">
        <v>1.020105559867432</v>
      </c>
      <c r="E21" s="5">
        <v>2500</v>
      </c>
      <c r="F21">
        <v>1.1011529305045262</v>
      </c>
    </row>
    <row r="22" spans="1:6" x14ac:dyDescent="0.25">
      <c r="E22" s="5">
        <v>3000</v>
      </c>
      <c r="F22">
        <v>0.98465225852100124</v>
      </c>
    </row>
    <row r="23" spans="1:6" x14ac:dyDescent="0.25">
      <c r="E23" s="5" t="s">
        <v>141</v>
      </c>
      <c r="F23">
        <v>1.0201055598674325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34B3-7C2C-42A5-BAB6-F6C74C0A2AA0}">
  <dimension ref="A1:CI1345"/>
  <sheetViews>
    <sheetView topLeftCell="BH1" workbookViewId="0">
      <selection activeCell="CH1345" sqref="CH2:CH1345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9.5703125" bestFit="1" customWidth="1"/>
    <col min="4" max="4" width="17.7109375" bestFit="1" customWidth="1"/>
    <col min="5" max="5" width="5.5703125" bestFit="1" customWidth="1"/>
    <col min="6" max="6" width="10.42578125" bestFit="1" customWidth="1"/>
    <col min="7" max="7" width="11.7109375" bestFit="1" customWidth="1"/>
    <col min="8" max="8" width="10.140625" bestFit="1" customWidth="1"/>
    <col min="9" max="9" width="9.42578125" bestFit="1" customWidth="1"/>
    <col min="10" max="10" width="9.85546875" bestFit="1" customWidth="1"/>
    <col min="11" max="11" width="12" bestFit="1" customWidth="1"/>
    <col min="12" max="12" width="12" customWidth="1"/>
    <col min="13" max="13" width="17.28515625" bestFit="1" customWidth="1"/>
    <col min="14" max="14" width="11.7109375" bestFit="1" customWidth="1"/>
    <col min="15" max="15" width="11.140625" bestFit="1" customWidth="1"/>
    <col min="16" max="16" width="10" bestFit="1" customWidth="1"/>
    <col min="17" max="17" width="6" bestFit="1" customWidth="1"/>
    <col min="18" max="18" width="12" bestFit="1" customWidth="1"/>
    <col min="19" max="19" width="10.140625" bestFit="1" customWidth="1"/>
    <col min="20" max="20" width="12" bestFit="1" customWidth="1"/>
    <col min="21" max="21" width="7.140625" bestFit="1" customWidth="1"/>
    <col min="22" max="22" width="9.42578125" bestFit="1" customWidth="1"/>
    <col min="23" max="23" width="12" bestFit="1" customWidth="1"/>
    <col min="24" max="24" width="14.42578125" bestFit="1" customWidth="1"/>
    <col min="25" max="25" width="7.85546875" bestFit="1" customWidth="1"/>
    <col min="26" max="26" width="4.42578125" bestFit="1" customWidth="1"/>
    <col min="27" max="27" width="7.42578125" bestFit="1" customWidth="1"/>
    <col min="28" max="28" width="16.85546875" bestFit="1" customWidth="1"/>
    <col min="29" max="29" width="10.7109375" bestFit="1" customWidth="1"/>
    <col min="30" max="30" width="10.5703125" bestFit="1" customWidth="1"/>
    <col min="31" max="31" width="11.5703125" bestFit="1" customWidth="1"/>
    <col min="32" max="32" width="11.5703125" customWidth="1"/>
    <col min="33" max="33" width="9.140625" bestFit="1" customWidth="1"/>
    <col min="34" max="34" width="11.7109375" bestFit="1" customWidth="1"/>
    <col min="35" max="35" width="11.7109375" customWidth="1"/>
    <col min="36" max="36" width="11.28515625" bestFit="1" customWidth="1"/>
    <col min="37" max="37" width="7.5703125" bestFit="1" customWidth="1"/>
    <col min="38" max="38" width="11.140625" bestFit="1" customWidth="1"/>
    <col min="39" max="39" width="5.5703125" bestFit="1" customWidth="1"/>
    <col min="40" max="41" width="5.5703125" customWidth="1"/>
    <col min="42" max="42" width="17.28515625" bestFit="1" customWidth="1"/>
    <col min="43" max="43" width="5.85546875" bestFit="1" customWidth="1"/>
    <col min="44" max="44" width="8.85546875" bestFit="1" customWidth="1"/>
    <col min="45" max="45" width="7.42578125" bestFit="1" customWidth="1"/>
    <col min="46" max="46" width="7.7109375" bestFit="1" customWidth="1"/>
    <col min="47" max="47" width="10" bestFit="1" customWidth="1"/>
    <col min="48" max="48" width="9.5703125" bestFit="1" customWidth="1"/>
    <col min="49" max="49" width="2.85546875" bestFit="1" customWidth="1"/>
    <col min="50" max="50" width="15.140625" bestFit="1" customWidth="1"/>
    <col min="51" max="51" width="10.7109375" bestFit="1" customWidth="1"/>
    <col min="52" max="52" width="16" bestFit="1" customWidth="1"/>
    <col min="53" max="55" width="16" customWidth="1"/>
    <col min="56" max="56" width="13.28515625" bestFit="1" customWidth="1"/>
    <col min="57" max="59" width="13.28515625" customWidth="1"/>
    <col min="60" max="60" width="9.85546875" style="7" bestFit="1" customWidth="1"/>
    <col min="61" max="61" width="10.7109375" style="7" bestFit="1" customWidth="1"/>
    <col min="62" max="62" width="9.140625" style="7"/>
    <col min="63" max="63" width="13.140625" style="7" bestFit="1" customWidth="1"/>
    <col min="64" max="64" width="15.42578125" style="7" bestFit="1" customWidth="1"/>
    <col min="65" max="65" width="10" style="7" bestFit="1" customWidth="1"/>
    <col min="66" max="66" width="11.28515625" style="7" bestFit="1" customWidth="1"/>
    <col min="67" max="67" width="12.140625" style="7" bestFit="1" customWidth="1"/>
    <col min="68" max="68" width="14.85546875" style="7" bestFit="1" customWidth="1"/>
    <col min="69" max="69" width="12.7109375" style="7" bestFit="1" customWidth="1"/>
    <col min="70" max="70" width="11.42578125" style="7" bestFit="1" customWidth="1"/>
    <col min="71" max="71" width="12.42578125" style="7" bestFit="1" customWidth="1"/>
    <col min="72" max="72" width="12.42578125" style="7" customWidth="1"/>
    <col min="73" max="73" width="8.5703125" bestFit="1" customWidth="1"/>
    <col min="74" max="74" width="9" bestFit="1" customWidth="1"/>
    <col min="75" max="75" width="11.140625" bestFit="1" customWidth="1"/>
    <col min="76" max="76" width="9.7109375" bestFit="1" customWidth="1"/>
    <col min="77" max="77" width="10.85546875" bestFit="1" customWidth="1"/>
    <col min="79" max="80" width="10.85546875" style="7" customWidth="1"/>
    <col min="81" max="81" width="9.85546875" bestFit="1" customWidth="1"/>
    <col min="82" max="82" width="8.7109375" bestFit="1" customWidth="1"/>
    <col min="83" max="83" width="9" bestFit="1" customWidth="1"/>
    <col min="85" max="85" width="9.42578125" bestFit="1" customWidth="1"/>
    <col min="86" max="86" width="10.140625" bestFit="1" customWidth="1"/>
    <col min="87" max="88" width="9.7109375" bestFit="1" customWidth="1"/>
  </cols>
  <sheetData>
    <row r="1" spans="1:8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87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165</v>
      </c>
      <c r="AG1" t="s">
        <v>30</v>
      </c>
      <c r="AH1" t="s">
        <v>31</v>
      </c>
      <c r="AI1" t="s">
        <v>166</v>
      </c>
      <c r="AJ1" t="s">
        <v>167</v>
      </c>
      <c r="AK1" t="s">
        <v>33</v>
      </c>
      <c r="AL1" t="s">
        <v>34</v>
      </c>
      <c r="AM1" t="s">
        <v>35</v>
      </c>
      <c r="AN1" t="s">
        <v>168</v>
      </c>
      <c r="AO1" t="s">
        <v>169</v>
      </c>
      <c r="AP1" t="s">
        <v>36</v>
      </c>
      <c r="AQ1" t="s">
        <v>37</v>
      </c>
      <c r="AR1" t="s">
        <v>38</v>
      </c>
      <c r="AS1" t="s">
        <v>39</v>
      </c>
      <c r="AT1" t="s">
        <v>40</v>
      </c>
      <c r="AU1" t="s">
        <v>41</v>
      </c>
      <c r="AV1" t="s">
        <v>42</v>
      </c>
      <c r="AW1" t="s">
        <v>43</v>
      </c>
      <c r="AX1" t="s">
        <v>44</v>
      </c>
      <c r="AY1" t="s">
        <v>45</v>
      </c>
      <c r="AZ1" t="s">
        <v>46</v>
      </c>
      <c r="BA1" t="s">
        <v>162</v>
      </c>
      <c r="BB1" t="s">
        <v>163</v>
      </c>
      <c r="BC1" t="s">
        <v>164</v>
      </c>
      <c r="BD1" t="s">
        <v>47</v>
      </c>
      <c r="BE1" t="s">
        <v>170</v>
      </c>
      <c r="BF1" t="s">
        <v>175</v>
      </c>
      <c r="BG1" t="s">
        <v>176</v>
      </c>
      <c r="BH1" s="7" t="s">
        <v>122</v>
      </c>
      <c r="BI1" s="7" t="s">
        <v>112</v>
      </c>
      <c r="BJ1" s="7" t="s">
        <v>113</v>
      </c>
      <c r="BK1" s="7" t="s">
        <v>114</v>
      </c>
      <c r="BL1" s="7" t="s">
        <v>115</v>
      </c>
      <c r="BM1" s="7" t="s">
        <v>116</v>
      </c>
      <c r="BN1" s="7" t="s">
        <v>117</v>
      </c>
      <c r="BO1" s="7" t="s">
        <v>118</v>
      </c>
      <c r="BP1" s="7" t="s">
        <v>119</v>
      </c>
      <c r="BQ1" s="7" t="s">
        <v>120</v>
      </c>
      <c r="BR1" s="7" t="s">
        <v>121</v>
      </c>
      <c r="BS1" s="7" t="s">
        <v>172</v>
      </c>
      <c r="BT1" s="7" t="s">
        <v>171</v>
      </c>
      <c r="BU1" t="s">
        <v>130</v>
      </c>
      <c r="BV1" t="s">
        <v>131</v>
      </c>
      <c r="BW1" t="s">
        <v>132</v>
      </c>
      <c r="BX1" t="s">
        <v>160</v>
      </c>
      <c r="BY1" t="s">
        <v>134</v>
      </c>
      <c r="BZ1" s="7" t="s">
        <v>174</v>
      </c>
      <c r="CA1" s="7" t="s">
        <v>173</v>
      </c>
      <c r="CB1" t="s">
        <v>136</v>
      </c>
      <c r="CC1" t="s">
        <v>138</v>
      </c>
      <c r="CD1" t="s">
        <v>137</v>
      </c>
      <c r="CE1" t="s">
        <v>161</v>
      </c>
      <c r="CF1" t="s">
        <v>139</v>
      </c>
      <c r="CH1">
        <v>405</v>
      </c>
      <c r="CI1" s="8">
        <v>45179</v>
      </c>
    </row>
    <row r="2" spans="1:87" x14ac:dyDescent="0.25">
      <c r="A2">
        <v>18112544405</v>
      </c>
      <c r="B2">
        <v>2.41</v>
      </c>
      <c r="C2">
        <v>104777</v>
      </c>
      <c r="D2" t="s">
        <v>144</v>
      </c>
      <c r="E2" t="s">
        <v>54</v>
      </c>
      <c r="F2" t="s">
        <v>54</v>
      </c>
      <c r="G2">
        <v>3</v>
      </c>
      <c r="H2" t="s">
        <v>55</v>
      </c>
      <c r="I2">
        <v>597500</v>
      </c>
      <c r="J2">
        <v>52000</v>
      </c>
      <c r="K2">
        <v>2.41</v>
      </c>
      <c r="L2">
        <f>IF(Wapato_Inventory[[#This Row],[parcel_acres]]-Wapato_Inventory[[#This Row],[non_valued_acres]] =0,0,LN(Wapato_Inventory[[#This Row],[parcel_acres]]-Wapato_Inventory[[#This Row],[non_valued_acres]]))</f>
        <v>0.87962674750256364</v>
      </c>
      <c r="M2">
        <v>0</v>
      </c>
      <c r="N2">
        <v>0</v>
      </c>
      <c r="O2">
        <v>0</v>
      </c>
      <c r="P2">
        <v>27904.037</v>
      </c>
      <c r="Q2">
        <v>74398</v>
      </c>
      <c r="R2" s="3">
        <f>(Wapato_Inventory[[#This Row],[ln_acres]]*Wapato_Inventory[[#This Row],[coeff]])+Wapato_Inventory[[#This Row],[const]]</f>
        <v>98943.137308501202</v>
      </c>
      <c r="S2" t="s">
        <v>178</v>
      </c>
      <c r="T2">
        <v>2</v>
      </c>
      <c r="U2" t="s">
        <v>61</v>
      </c>
      <c r="V2" t="s">
        <v>69</v>
      </c>
      <c r="W2">
        <v>271700</v>
      </c>
      <c r="X2">
        <v>0</v>
      </c>
      <c r="Y2">
        <v>22</v>
      </c>
      <c r="Z2">
        <v>22</v>
      </c>
      <c r="AA2">
        <v>30</v>
      </c>
      <c r="AB2">
        <v>4500</v>
      </c>
      <c r="AC2">
        <v>4453</v>
      </c>
      <c r="AD2">
        <v>3278</v>
      </c>
      <c r="AE2">
        <v>1175</v>
      </c>
      <c r="AF2">
        <v>0</v>
      </c>
      <c r="AG2">
        <v>0</v>
      </c>
      <c r="AH2">
        <v>0</v>
      </c>
      <c r="AI2">
        <v>1028</v>
      </c>
      <c r="AJ2">
        <v>0</v>
      </c>
      <c r="AK2">
        <v>0</v>
      </c>
      <c r="AL2">
        <v>0</v>
      </c>
      <c r="AM2">
        <v>853</v>
      </c>
      <c r="AN2">
        <v>897</v>
      </c>
      <c r="AO2">
        <v>0</v>
      </c>
      <c r="AP2">
        <v>21</v>
      </c>
      <c r="AQ2">
        <v>1</v>
      </c>
      <c r="AR2">
        <v>0</v>
      </c>
      <c r="AS2" t="s">
        <v>74</v>
      </c>
      <c r="AT2">
        <v>1</v>
      </c>
      <c r="AU2" t="s">
        <v>60</v>
      </c>
      <c r="AV2" t="s">
        <v>61</v>
      </c>
      <c r="AW2">
        <v>1</v>
      </c>
      <c r="AX2">
        <v>4</v>
      </c>
      <c r="AY2">
        <v>0</v>
      </c>
      <c r="AZ2">
        <v>0</v>
      </c>
      <c r="BA2">
        <v>100</v>
      </c>
      <c r="BB2">
        <v>54</v>
      </c>
      <c r="BC2">
        <v>100</v>
      </c>
      <c r="BD2">
        <v>100</v>
      </c>
      <c r="BE2">
        <v>0.54</v>
      </c>
      <c r="BF2">
        <v>15000</v>
      </c>
      <c r="BG2">
        <v>1000</v>
      </c>
      <c r="BH2" s="7">
        <f>ROUND(Wapato_Inventory[[#This Row],[detatched_value]]*Lookups!$B$22*Lookups!$H$48,-2)</f>
        <v>0</v>
      </c>
      <c r="BI2" s="7">
        <f>ROUND(((Wapato_Inventory[[#This Row],[land_extract]]*Lookups!$B$3) +(Lookups!$B$2*0.5))*Lookups!$H$48,-2)</f>
        <v>60600</v>
      </c>
      <c r="BJ2" s="7">
        <f>IF(Wapato_Inventory[[#This Row],[bldg_style]]="",0,Lookups!$B$2*0.5)</f>
        <v>53765.27</v>
      </c>
      <c r="BK2" s="7">
        <f>_xlfn.IFNA(VLOOKUP(Wapato_Inventory[[#This Row],[quality]],Lookups!$H$2:$J$14,3,FALSE),0)</f>
        <v>170057</v>
      </c>
      <c r="BL2" s="7">
        <f>_xlfn.IFNA(VLOOKUP(Wapato_Inventory[[#This Row],[condition]],Lookups!$H$17:$J$24,3,FALSE),0)</f>
        <v>74543</v>
      </c>
      <c r="BM2" s="7">
        <f>Wapato_Inventory[[#This Row],[Age]]*Lookups!$B$16</f>
        <v>-8154.8654000000006</v>
      </c>
      <c r="BN2" s="7">
        <f>Wapato_Inventory[[#This Row],[Main Floor]]*Lookups!$B$17</f>
        <v>137022.822442</v>
      </c>
      <c r="BO2" s="7">
        <f>Wapato_Inventory[[#This Row],[Upper Floor]]*Lookups!$B$18</f>
        <v>58281.338325000004</v>
      </c>
      <c r="BP2" s="7">
        <f>Wapato_Inventory[[#This Row],[Fin BSMT]]*Lookups!$B$19</f>
        <v>0</v>
      </c>
      <c r="BQ2" s="7">
        <f>(Wapato_Inventory[[#This Row],[att_gar]]+Wapato_Inventory[[#This Row],[blt_gar]])*Lookups!$B$20</f>
        <v>38044.997056</v>
      </c>
      <c r="BR2" s="7">
        <f>Wapato_Inventory[[#This Row],[Patio]]*Lookups!$B$21</f>
        <v>36955.354087</v>
      </c>
      <c r="BS2" s="7">
        <f>SUM(Wapato_Inventory[[#This Row],[intercept]:[patio_value]])*Wapato_Inventory[[#This Row],[res_pct]]</f>
        <v>302678.05491540005</v>
      </c>
      <c r="BT2" s="7">
        <f>Wapato_Inventory[[#This Row],[land_value]]</f>
        <v>60600</v>
      </c>
      <c r="BU2" s="2">
        <f>_xlfn.IFNA(VLOOKUP(Wapato_Inventory[[#This Row],[quality]],Lookups!$A$28:$C$37,3,FALSE),1)</f>
        <v>1</v>
      </c>
      <c r="BV2" s="2">
        <f>_xlfn.IFNA(VLOOKUP(Wapato_Inventory[[#This Row],[condition]],Lookups!$A$41:$C$48,3,FALSE),1)</f>
        <v>0.98442438223270734</v>
      </c>
      <c r="BW2" s="2">
        <f>IF(Wapato_Inventory[[#This Row],[decade]]="",1,_xlfn.IFNA(VLOOKUP(Wapato_Inventory[[#This Row],[decade]],Lookups!$F$28:$H$45,3,FALSE),1))</f>
        <v>1.0490505496896987</v>
      </c>
      <c r="BX2" s="2">
        <f>_xlfn.IFNA(VLOOKUP(Wapato_Inventory[[#This Row],[living_area_range]],Lookups!$K$28:$M$37,3,FALSE),1)</f>
        <v>1.0155869662067822</v>
      </c>
      <c r="BY2" s="2">
        <f>AVERAGE(Wapato_Inventory[[#This Row],[qual_adj]:[range_adj]])</f>
        <v>1.012265474532297</v>
      </c>
      <c r="BZ2" s="7">
        <f>(Wapato_Inventory[[#This Row],[sum_land]]-IF(Wapato_Inventory[[#This Row],[no_utilities]]=1,12000,0))/IF(Wapato_Inventory[[#This Row],[unbuildable]]=1,2,1)</f>
        <v>60600</v>
      </c>
      <c r="CA2" s="7">
        <f>Wapato_Inventory[[#This Row],[pre_res]]*Wapato_Inventory[[#This Row],[overall_adj]]</f>
        <v>306390.54488945007</v>
      </c>
      <c r="CB2" s="3">
        <f>IF(ROUND(Wapato_Inventory[[#This Row],[adj_land]]*Lookups!$H$48,-2)&lt;Wapato_Inventory[[#This Row],[min_land]],Wapato_Inventory[[#This Row],[min_land]],ROUND(Wapato_Inventory[[#This Row],[adj_land]]*Lookups!$H$48,-2))</f>
        <v>57600</v>
      </c>
      <c r="CC2" s="3">
        <f>IF(ROUND(Wapato_Inventory[[#This Row],[adj_res]]*Lookups!$H$48,-2)&lt;Wapato_Inventory[[#This Row],[min_res]],Wapato_Inventory[[#This Row],[min_res]],ROUND(Wapato_Inventory[[#This Row],[adj_res]]*Lookups!$H$48,-2))</f>
        <v>291100</v>
      </c>
      <c r="CD2" s="3">
        <f>ROUND(Wapato_Inventory[[#This Row],[det_value]]*Lookups!$H$48,-2)</f>
        <v>0</v>
      </c>
      <c r="CE2" s="3">
        <f>Wapato_Inventory[[#This Row],[final_res]]+Wapato_Inventory[[#This Row],[final_det]]</f>
        <v>291100</v>
      </c>
      <c r="CF2" s="3">
        <f>Wapato_Inventory[[#This Row],[crop_value]]+Wapato_Inventory[[#This Row],[final_land]]+Wapato_Inventory[[#This Row],[final_imp]]</f>
        <v>348700</v>
      </c>
      <c r="CH2" t="str">
        <f t="shared" ref="CH2:CH65" si="0">"update valuation set market_land ="&amp;CB2&amp;", market_bldg="&amp;CE2&amp;", market_total ="&amp;CF2&amp;", market_mdno ="&amp;$CH$1&amp;", market_date ='"&amp;TEXT($CI$1,"m/d/yyyy")&amp;"' where link_id = (select link_id from parcel where parcel_year = '2024' and parcel_id = '"&amp;A2&amp;"');"</f>
        <v>update valuation set market_land =57600, market_bldg=291100, market_total =348700, market_mdno =405, market_date ='9/10/2023' where link_id = (select link_id from parcel where parcel_year = '2024' and parcel_id = '18112544405');</v>
      </c>
    </row>
    <row r="3" spans="1:87" x14ac:dyDescent="0.25">
      <c r="A3">
        <v>19110941402</v>
      </c>
      <c r="B3">
        <v>1.02</v>
      </c>
      <c r="C3">
        <v>44271</v>
      </c>
      <c r="D3" t="s">
        <v>144</v>
      </c>
      <c r="E3" t="s">
        <v>54</v>
      </c>
      <c r="F3" t="s">
        <v>54</v>
      </c>
      <c r="G3">
        <v>3</v>
      </c>
      <c r="H3" t="s">
        <v>55</v>
      </c>
      <c r="I3">
        <v>206400</v>
      </c>
      <c r="J3">
        <v>45400</v>
      </c>
      <c r="K3">
        <v>1.02</v>
      </c>
      <c r="L3">
        <f>IF(Wapato_Inventory[[#This Row],[parcel_acres]]-Wapato_Inventory[[#This Row],[non_valued_acres]] =0,0,LN(Wapato_Inventory[[#This Row],[parcel_acres]]-Wapato_Inventory[[#This Row],[non_valued_acres]]))</f>
        <v>1.980262729617973E-2</v>
      </c>
      <c r="M3">
        <v>0</v>
      </c>
      <c r="N3">
        <v>0</v>
      </c>
      <c r="O3">
        <v>0</v>
      </c>
      <c r="P3">
        <v>27904.037</v>
      </c>
      <c r="Q3">
        <v>74398</v>
      </c>
      <c r="R3" s="3">
        <f>(Wapato_Inventory[[#This Row],[ln_acres]]*Wapato_Inventory[[#This Row],[coeff]])+Wapato_Inventory[[#This Row],[const]]</f>
        <v>74950.57324476981</v>
      </c>
      <c r="S3" t="s">
        <v>110</v>
      </c>
      <c r="T3">
        <v>1</v>
      </c>
      <c r="U3" t="s">
        <v>67</v>
      </c>
      <c r="V3" t="s">
        <v>68</v>
      </c>
      <c r="W3">
        <v>0</v>
      </c>
      <c r="X3">
        <v>0</v>
      </c>
      <c r="Y3">
        <v>36</v>
      </c>
      <c r="Z3">
        <v>41</v>
      </c>
      <c r="AA3">
        <v>50</v>
      </c>
      <c r="AB3">
        <v>2500</v>
      </c>
      <c r="AC3">
        <v>2038</v>
      </c>
      <c r="AD3">
        <v>1422</v>
      </c>
      <c r="AE3">
        <v>0</v>
      </c>
      <c r="AF3">
        <v>0</v>
      </c>
      <c r="AG3">
        <v>616</v>
      </c>
      <c r="AH3">
        <v>0</v>
      </c>
      <c r="AI3">
        <v>0</v>
      </c>
      <c r="AJ3">
        <v>0</v>
      </c>
      <c r="AK3">
        <v>0</v>
      </c>
      <c r="AL3">
        <v>0</v>
      </c>
      <c r="AM3">
        <v>280</v>
      </c>
      <c r="AN3">
        <v>0</v>
      </c>
      <c r="AO3">
        <v>280</v>
      </c>
      <c r="AP3">
        <v>8</v>
      </c>
      <c r="AQ3">
        <v>0</v>
      </c>
      <c r="AR3">
        <v>0</v>
      </c>
      <c r="AS3" t="s">
        <v>59</v>
      </c>
      <c r="AT3">
        <v>1</v>
      </c>
      <c r="AU3" t="s">
        <v>64</v>
      </c>
      <c r="AV3" t="s">
        <v>61</v>
      </c>
      <c r="AW3">
        <v>1</v>
      </c>
      <c r="AX3">
        <v>3</v>
      </c>
      <c r="AY3">
        <v>0</v>
      </c>
      <c r="AZ3">
        <v>20700</v>
      </c>
      <c r="BA3">
        <v>100</v>
      </c>
      <c r="BB3">
        <v>100</v>
      </c>
      <c r="BC3">
        <v>100</v>
      </c>
      <c r="BD3">
        <v>100</v>
      </c>
      <c r="BE3">
        <v>1</v>
      </c>
      <c r="BF3">
        <v>15000</v>
      </c>
      <c r="BG3">
        <v>1000</v>
      </c>
      <c r="BH3" s="7">
        <f>ROUND(Wapato_Inventory[[#This Row],[detatched_value]]*Lookups!$B$22*Lookups!$H$48,-2)</f>
        <v>18500</v>
      </c>
      <c r="BI3" s="7">
        <f>ROUND(((Wapato_Inventory[[#This Row],[land_extract]]*Lookups!$B$3) +(Lookups!$B$2*0.5))*Lookups!$H$48,-2)</f>
        <v>58300</v>
      </c>
      <c r="BJ3" s="7">
        <f>IF(Wapato_Inventory[[#This Row],[bldg_style]]="",0,Lookups!$B$2*0.5)</f>
        <v>53765.27</v>
      </c>
      <c r="BK3" s="7">
        <f>_xlfn.IFNA(VLOOKUP(Wapato_Inventory[[#This Row],[quality]],Lookups!$H$2:$J$14,3,FALSE),0)</f>
        <v>50405</v>
      </c>
      <c r="BL3" s="7">
        <f>_xlfn.IFNA(VLOOKUP(Wapato_Inventory[[#This Row],[condition]],Lookups!$H$17:$J$24,3,FALSE),0)</f>
        <v>52231</v>
      </c>
      <c r="BM3" s="7">
        <f>Wapato_Inventory[[#This Row],[Age]]*Lookups!$B$16</f>
        <v>-15197.7037</v>
      </c>
      <c r="BN3" s="7">
        <f>Wapato_Inventory[[#This Row],[Main Floor]]*Lookups!$B$17</f>
        <v>59440.650858000001</v>
      </c>
      <c r="BO3" s="7">
        <f>Wapato_Inventory[[#This Row],[Upper Floor]]*Lookups!$B$18</f>
        <v>0</v>
      </c>
      <c r="BP3" s="7">
        <f>Wapato_Inventory[[#This Row],[Fin BSMT]]*Lookups!$B$19</f>
        <v>15009.911840000001</v>
      </c>
      <c r="BQ3" s="7">
        <f>(Wapato_Inventory[[#This Row],[att_gar]]+Wapato_Inventory[[#This Row],[blt_gar]])*Lookups!$B$20</f>
        <v>0</v>
      </c>
      <c r="BR3" s="7">
        <f>Wapato_Inventory[[#This Row],[Patio]]*Lookups!$B$21</f>
        <v>12130.714120000001</v>
      </c>
      <c r="BS3" s="7">
        <f>SUM(Wapato_Inventory[[#This Row],[intercept]:[patio_value]])*Wapato_Inventory[[#This Row],[res_pct]]</f>
        <v>227784.84311799999</v>
      </c>
      <c r="BT3" s="7">
        <f>Wapato_Inventory[[#This Row],[land_value]]</f>
        <v>58300</v>
      </c>
      <c r="BU3" s="2">
        <f>_xlfn.IFNA(VLOOKUP(Wapato_Inventory[[#This Row],[quality]],Lookups!$A$28:$C$37,3,FALSE),1)</f>
        <v>0.97993206410140754</v>
      </c>
      <c r="BV3" s="2">
        <f>_xlfn.IFNA(VLOOKUP(Wapato_Inventory[[#This Row],[condition]],Lookups!$A$41:$C$48,3,FALSE),1)</f>
        <v>0.9832333997567807</v>
      </c>
      <c r="BW3" s="2">
        <f>IF(Wapato_Inventory[[#This Row],[decade]]="",1,_xlfn.IFNA(VLOOKUP(Wapato_Inventory[[#This Row],[decade]],Lookups!$F$28:$H$45,3,FALSE),1))</f>
        <v>0.96240333884358298</v>
      </c>
      <c r="BX3" s="2">
        <f>_xlfn.IFNA(VLOOKUP(Wapato_Inventory[[#This Row],[living_area_range]],Lookups!$K$28:$M$37,3,FALSE),1)</f>
        <v>0.90813907160181651</v>
      </c>
      <c r="BY3" s="2">
        <f>AVERAGE(Wapato_Inventory[[#This Row],[qual_adj]:[range_adj]])</f>
        <v>0.95842696857589704</v>
      </c>
      <c r="BZ3" s="7">
        <f>(Wapato_Inventory[[#This Row],[sum_land]]-IF(Wapato_Inventory[[#This Row],[no_utilities]]=1,12000,0))/IF(Wapato_Inventory[[#This Row],[unbuildable]]=1,2,1)</f>
        <v>58300</v>
      </c>
      <c r="CA3" s="7">
        <f>Wapato_Inventory[[#This Row],[pre_res]]*Wapato_Inventory[[#This Row],[overall_adj]]</f>
        <v>218315.13667712102</v>
      </c>
      <c r="CB3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3" s="3">
        <f>IF(ROUND(Wapato_Inventory[[#This Row],[adj_res]]*Lookups!$H$48,-2)&lt;Wapato_Inventory[[#This Row],[min_res]],Wapato_Inventory[[#This Row],[min_res]],ROUND(Wapato_Inventory[[#This Row],[adj_res]]*Lookups!$H$48,-2))</f>
        <v>207400</v>
      </c>
      <c r="CD3" s="3">
        <f>ROUND(Wapato_Inventory[[#This Row],[det_value]]*Lookups!$H$48,-2)</f>
        <v>17600</v>
      </c>
      <c r="CE3" s="3">
        <f>Wapato_Inventory[[#This Row],[final_res]]+Wapato_Inventory[[#This Row],[final_det]]</f>
        <v>225000</v>
      </c>
      <c r="CF3" s="3">
        <f>Wapato_Inventory[[#This Row],[crop_value]]+Wapato_Inventory[[#This Row],[final_land]]+Wapato_Inventory[[#This Row],[final_imp]]</f>
        <v>280400</v>
      </c>
      <c r="CH3" t="str">
        <f t="shared" si="0"/>
        <v>update valuation set market_land =55400, market_bldg=225000, market_total =280400, market_mdno =405, market_date ='9/10/2023' where link_id = (select link_id from parcel where parcel_year = '2024' and parcel_id = '19110941402');</v>
      </c>
    </row>
    <row r="4" spans="1:87" x14ac:dyDescent="0.25">
      <c r="A4">
        <v>19110941403</v>
      </c>
      <c r="B4">
        <v>0.76</v>
      </c>
      <c r="C4">
        <v>33187</v>
      </c>
      <c r="D4" t="s">
        <v>144</v>
      </c>
      <c r="E4" t="s">
        <v>54</v>
      </c>
      <c r="F4" t="s">
        <v>54</v>
      </c>
      <c r="G4">
        <v>3</v>
      </c>
      <c r="H4" t="s">
        <v>55</v>
      </c>
      <c r="I4">
        <v>269400</v>
      </c>
      <c r="J4">
        <v>43400</v>
      </c>
      <c r="K4">
        <v>0.76</v>
      </c>
      <c r="L4">
        <f>IF(Wapato_Inventory[[#This Row],[parcel_acres]]-Wapato_Inventory[[#This Row],[non_valued_acres]] =0,0,LN(Wapato_Inventory[[#This Row],[parcel_acres]]-Wapato_Inventory[[#This Row],[non_valued_acres]]))</f>
        <v>-0.2744368457017603</v>
      </c>
      <c r="M4">
        <v>0</v>
      </c>
      <c r="N4">
        <v>0</v>
      </c>
      <c r="O4">
        <v>0</v>
      </c>
      <c r="P4">
        <v>27904.037</v>
      </c>
      <c r="Q4">
        <v>74398</v>
      </c>
      <c r="R4" s="3">
        <f>(Wapato_Inventory[[#This Row],[ln_acres]]*Wapato_Inventory[[#This Row],[coeff]])+Wapato_Inventory[[#This Row],[const]]</f>
        <v>66740.10410337479</v>
      </c>
      <c r="S4" t="s">
        <v>62</v>
      </c>
      <c r="T4">
        <v>1</v>
      </c>
      <c r="U4" t="s">
        <v>67</v>
      </c>
      <c r="V4" t="s">
        <v>70</v>
      </c>
      <c r="W4">
        <v>0</v>
      </c>
      <c r="X4">
        <v>0</v>
      </c>
      <c r="Y4">
        <v>15</v>
      </c>
      <c r="Z4">
        <v>15</v>
      </c>
      <c r="AA4">
        <v>20</v>
      </c>
      <c r="AB4">
        <v>2000</v>
      </c>
      <c r="AC4">
        <v>1536</v>
      </c>
      <c r="AD4">
        <v>1536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180</v>
      </c>
      <c r="AN4">
        <v>0</v>
      </c>
      <c r="AO4">
        <v>180</v>
      </c>
      <c r="AP4">
        <v>8</v>
      </c>
      <c r="AQ4">
        <v>0</v>
      </c>
      <c r="AR4">
        <v>0</v>
      </c>
      <c r="AS4" t="s">
        <v>74</v>
      </c>
      <c r="AT4">
        <v>1</v>
      </c>
      <c r="AU4" t="s">
        <v>64</v>
      </c>
      <c r="AV4" t="s">
        <v>61</v>
      </c>
      <c r="AW4">
        <v>1</v>
      </c>
      <c r="AX4">
        <v>4</v>
      </c>
      <c r="AY4">
        <v>0</v>
      </c>
      <c r="AZ4">
        <v>29600</v>
      </c>
      <c r="BA4">
        <v>100</v>
      </c>
      <c r="BB4">
        <v>100</v>
      </c>
      <c r="BC4">
        <v>100</v>
      </c>
      <c r="BD4">
        <v>100</v>
      </c>
      <c r="BE4">
        <v>1</v>
      </c>
      <c r="BF4">
        <v>15000</v>
      </c>
      <c r="BG4">
        <v>1000</v>
      </c>
      <c r="BH4" s="7">
        <f>ROUND(Wapato_Inventory[[#This Row],[detatched_value]]*Lookups!$B$22*Lookups!$H$48,-2)</f>
        <v>26400</v>
      </c>
      <c r="BI4" s="7">
        <f>ROUND(((Wapato_Inventory[[#This Row],[land_extract]]*Lookups!$B$3) +(Lookups!$B$2*0.5))*Lookups!$H$48,-2)</f>
        <v>57500</v>
      </c>
      <c r="BJ4" s="7">
        <f>IF(Wapato_Inventory[[#This Row],[bldg_style]]="",0,Lookups!$B$2*0.5)</f>
        <v>53765.27</v>
      </c>
      <c r="BK4" s="7">
        <f>_xlfn.IFNA(VLOOKUP(Wapato_Inventory[[#This Row],[quality]],Lookups!$H$2:$J$14,3,FALSE),0)</f>
        <v>50405</v>
      </c>
      <c r="BL4" s="7">
        <f>_xlfn.IFNA(VLOOKUP(Wapato_Inventory[[#This Row],[condition]],Lookups!$H$17:$J$24,3,FALSE),0)</f>
        <v>84338</v>
      </c>
      <c r="BM4" s="7">
        <f>Wapato_Inventory[[#This Row],[Age]]*Lookups!$B$16</f>
        <v>-5560.1355000000003</v>
      </c>
      <c r="BN4" s="7">
        <f>Wapato_Inventory[[#This Row],[Main Floor]]*Lookups!$B$17</f>
        <v>64205.935104000004</v>
      </c>
      <c r="BO4" s="7">
        <f>Wapato_Inventory[[#This Row],[Upper Floor]]*Lookups!$B$18</f>
        <v>0</v>
      </c>
      <c r="BP4" s="7">
        <f>Wapato_Inventory[[#This Row],[Fin BSMT]]*Lookups!$B$19</f>
        <v>0</v>
      </c>
      <c r="BQ4" s="7">
        <f>(Wapato_Inventory[[#This Row],[att_gar]]+Wapato_Inventory[[#This Row],[blt_gar]])*Lookups!$B$20</f>
        <v>0</v>
      </c>
      <c r="BR4" s="7">
        <f>Wapato_Inventory[[#This Row],[Patio]]*Lookups!$B$21</f>
        <v>7798.3162200000006</v>
      </c>
      <c r="BS4" s="7">
        <f>SUM(Wapato_Inventory[[#This Row],[intercept]:[patio_value]])*Wapato_Inventory[[#This Row],[res_pct]]</f>
        <v>254952.385824</v>
      </c>
      <c r="BT4" s="7">
        <f>Wapato_Inventory[[#This Row],[land_value]]</f>
        <v>57500</v>
      </c>
      <c r="BU4" s="2">
        <f>_xlfn.IFNA(VLOOKUP(Wapato_Inventory[[#This Row],[quality]],Lookups!$A$28:$C$37,3,FALSE),1)</f>
        <v>0.97993206410140754</v>
      </c>
      <c r="BV4" s="2">
        <f>_xlfn.IFNA(VLOOKUP(Wapato_Inventory[[#This Row],[condition]],Lookups!$A$41:$C$48,3,FALSE),1)</f>
        <v>0.99478075210508476</v>
      </c>
      <c r="BW4" s="2">
        <f>IF(Wapato_Inventory[[#This Row],[decade]]="",1,_xlfn.IFNA(VLOOKUP(Wapato_Inventory[[#This Row],[decade]],Lookups!$F$28:$H$45,3,FALSE),1))</f>
        <v>1.0658609603367226</v>
      </c>
      <c r="BX4" s="2">
        <f>_xlfn.IFNA(VLOOKUP(Wapato_Inventory[[#This Row],[living_area_range]],Lookups!$K$28:$M$37,3,FALSE),1)</f>
        <v>0.99330894324714125</v>
      </c>
      <c r="BY4" s="2">
        <f>AVERAGE(Wapato_Inventory[[#This Row],[qual_adj]:[range_adj]])</f>
        <v>1.0084706799475891</v>
      </c>
      <c r="BZ4" s="7">
        <f>(Wapato_Inventory[[#This Row],[sum_land]]-IF(Wapato_Inventory[[#This Row],[no_utilities]]=1,12000,0))/IF(Wapato_Inventory[[#This Row],[unbuildable]]=1,2,1)</f>
        <v>57500</v>
      </c>
      <c r="CA4" s="7">
        <f>Wapato_Inventory[[#This Row],[pre_res]]*Wapato_Inventory[[#This Row],[overall_adj]]</f>
        <v>257112.00588618935</v>
      </c>
      <c r="CB4" s="3">
        <f>IF(ROUND(Wapato_Inventory[[#This Row],[adj_land]]*Lookups!$H$48,-2)&lt;Wapato_Inventory[[#This Row],[min_land]],Wapato_Inventory[[#This Row],[min_land]],ROUND(Wapato_Inventory[[#This Row],[adj_land]]*Lookups!$H$48,-2))</f>
        <v>54600</v>
      </c>
      <c r="CC4" s="3">
        <f>IF(ROUND(Wapato_Inventory[[#This Row],[adj_res]]*Lookups!$H$48,-2)&lt;Wapato_Inventory[[#This Row],[min_res]],Wapato_Inventory[[#This Row],[min_res]],ROUND(Wapato_Inventory[[#This Row],[adj_res]]*Lookups!$H$48,-2))</f>
        <v>244300</v>
      </c>
      <c r="CD4" s="3">
        <f>ROUND(Wapato_Inventory[[#This Row],[det_value]]*Lookups!$H$48,-2)</f>
        <v>25100</v>
      </c>
      <c r="CE4" s="3">
        <f>Wapato_Inventory[[#This Row],[final_res]]+Wapato_Inventory[[#This Row],[final_det]]</f>
        <v>269400</v>
      </c>
      <c r="CF4" s="3">
        <f>Wapato_Inventory[[#This Row],[crop_value]]+Wapato_Inventory[[#This Row],[final_land]]+Wapato_Inventory[[#This Row],[final_imp]]</f>
        <v>324000</v>
      </c>
      <c r="CH4" t="str">
        <f t="shared" si="0"/>
        <v>update valuation set market_land =54600, market_bldg=269400, market_total =324000, market_mdno =405, market_date ='9/10/2023' where link_id = (select link_id from parcel where parcel_year = '2024' and parcel_id = '19110941403');</v>
      </c>
    </row>
    <row r="5" spans="1:87" x14ac:dyDescent="0.25">
      <c r="A5">
        <v>19110941404</v>
      </c>
      <c r="B5">
        <v>0.5</v>
      </c>
      <c r="C5">
        <v>21897</v>
      </c>
      <c r="D5" t="s">
        <v>144</v>
      </c>
      <c r="E5" t="s">
        <v>54</v>
      </c>
      <c r="F5" t="s">
        <v>54</v>
      </c>
      <c r="G5">
        <v>3</v>
      </c>
      <c r="H5" t="s">
        <v>55</v>
      </c>
      <c r="I5">
        <v>69600</v>
      </c>
      <c r="J5">
        <v>40400</v>
      </c>
      <c r="K5">
        <v>0.5</v>
      </c>
      <c r="L5">
        <f>IF(Wapato_Inventory[[#This Row],[parcel_acres]]-Wapato_Inventory[[#This Row],[non_valued_acres]] =0,0,LN(Wapato_Inventory[[#This Row],[parcel_acres]]-Wapato_Inventory[[#This Row],[non_valued_acres]]))</f>
        <v>-0.69314718055994529</v>
      </c>
      <c r="M5">
        <v>0</v>
      </c>
      <c r="N5">
        <v>0</v>
      </c>
      <c r="O5">
        <v>0</v>
      </c>
      <c r="P5">
        <v>27904.037</v>
      </c>
      <c r="Q5">
        <v>74398</v>
      </c>
      <c r="R5" s="3">
        <f>(Wapato_Inventory[[#This Row],[ln_acres]]*Wapato_Inventory[[#This Row],[coeff]])+Wapato_Inventory[[#This Row],[const]]</f>
        <v>55056.395427209602</v>
      </c>
      <c r="S5" t="s">
        <v>66</v>
      </c>
      <c r="T5">
        <v>1</v>
      </c>
      <c r="U5" t="s">
        <v>71</v>
      </c>
      <c r="V5" t="s">
        <v>73</v>
      </c>
      <c r="W5">
        <v>0</v>
      </c>
      <c r="X5">
        <v>0</v>
      </c>
      <c r="Y5">
        <v>52</v>
      </c>
      <c r="Z5">
        <v>88</v>
      </c>
      <c r="AA5">
        <v>90</v>
      </c>
      <c r="AB5">
        <v>1500</v>
      </c>
      <c r="AC5">
        <v>1200</v>
      </c>
      <c r="AD5">
        <v>1200</v>
      </c>
      <c r="AE5">
        <v>0</v>
      </c>
      <c r="AF5">
        <v>0</v>
      </c>
      <c r="AG5">
        <v>0</v>
      </c>
      <c r="AH5">
        <v>576</v>
      </c>
      <c r="AI5">
        <v>0</v>
      </c>
      <c r="AJ5">
        <v>0</v>
      </c>
      <c r="AK5">
        <v>240</v>
      </c>
      <c r="AL5">
        <v>0</v>
      </c>
      <c r="AM5">
        <v>0</v>
      </c>
      <c r="AN5">
        <v>144</v>
      </c>
      <c r="AO5">
        <v>0</v>
      </c>
      <c r="AP5">
        <v>5</v>
      </c>
      <c r="AQ5">
        <v>0</v>
      </c>
      <c r="AR5">
        <v>0</v>
      </c>
      <c r="AS5" t="s">
        <v>59</v>
      </c>
      <c r="AT5">
        <v>1</v>
      </c>
      <c r="AU5" t="s">
        <v>76</v>
      </c>
      <c r="AV5" t="s">
        <v>61</v>
      </c>
      <c r="AW5">
        <v>0</v>
      </c>
      <c r="AX5">
        <v>4</v>
      </c>
      <c r="AY5">
        <v>0</v>
      </c>
      <c r="AZ5">
        <v>0</v>
      </c>
      <c r="BA5">
        <v>100</v>
      </c>
      <c r="BB5">
        <v>100</v>
      </c>
      <c r="BC5">
        <v>100</v>
      </c>
      <c r="BD5">
        <v>80</v>
      </c>
      <c r="BE5">
        <v>0.8</v>
      </c>
      <c r="BF5">
        <v>15000</v>
      </c>
      <c r="BG5">
        <v>1000</v>
      </c>
      <c r="BH5" s="7">
        <f>ROUND(Wapato_Inventory[[#This Row],[detatched_value]]*Lookups!$B$22*Lookups!$H$48,-2)</f>
        <v>0</v>
      </c>
      <c r="BI5" s="7">
        <f>ROUND(((Wapato_Inventory[[#This Row],[land_extract]]*Lookups!$B$3) +(Lookups!$B$2*0.5))*Lookups!$H$48,-2)</f>
        <v>56400</v>
      </c>
      <c r="BJ5" s="7">
        <f>IF(Wapato_Inventory[[#This Row],[bldg_style]]="",0,Lookups!$B$2*0.5)</f>
        <v>53765.27</v>
      </c>
      <c r="BK5" s="7">
        <f>_xlfn.IFNA(VLOOKUP(Wapato_Inventory[[#This Row],[quality]],Lookups!$H$2:$J$14,3,FALSE),0)</f>
        <v>28034</v>
      </c>
      <c r="BL5" s="7">
        <f>_xlfn.IFNA(VLOOKUP(Wapato_Inventory[[#This Row],[condition]],Lookups!$H$17:$J$24,3,FALSE),0)</f>
        <v>16276</v>
      </c>
      <c r="BM5" s="7">
        <f>Wapato_Inventory[[#This Row],[Age]]*Lookups!$B$16</f>
        <v>-32619.461600000002</v>
      </c>
      <c r="BN5" s="7">
        <f>Wapato_Inventory[[#This Row],[Main Floor]]*Lookups!$B$17</f>
        <v>50160.8868</v>
      </c>
      <c r="BO5" s="7">
        <f>Wapato_Inventory[[#This Row],[Upper Floor]]*Lookups!$B$18</f>
        <v>0</v>
      </c>
      <c r="BP5" s="7">
        <f>Wapato_Inventory[[#This Row],[Fin BSMT]]*Lookups!$B$19</f>
        <v>0</v>
      </c>
      <c r="BQ5" s="7">
        <f>(Wapato_Inventory[[#This Row],[att_gar]]+Wapato_Inventory[[#This Row],[blt_gar]])*Lookups!$B$20</f>
        <v>0</v>
      </c>
      <c r="BR5" s="7">
        <f>Wapato_Inventory[[#This Row],[Patio]]*Lookups!$B$21</f>
        <v>0</v>
      </c>
      <c r="BS5" s="7">
        <f>SUM(Wapato_Inventory[[#This Row],[intercept]:[patio_value]])*Wapato_Inventory[[#This Row],[res_pct]]</f>
        <v>92493.356159999996</v>
      </c>
      <c r="BT5" s="7">
        <f>Wapato_Inventory[[#This Row],[land_value]]</f>
        <v>56400</v>
      </c>
      <c r="BU5" s="2">
        <f>_xlfn.IFNA(VLOOKUP(Wapato_Inventory[[#This Row],[quality]],Lookups!$A$28:$C$37,3,FALSE),1)</f>
        <v>0.96265813922927435</v>
      </c>
      <c r="BV5" s="2">
        <f>_xlfn.IFNA(VLOOKUP(Wapato_Inventory[[#This Row],[condition]],Lookups!$A$41:$C$48,3,FALSE),1)</f>
        <v>0.93399385491337139</v>
      </c>
      <c r="BW5" s="2">
        <f>IF(Wapato_Inventory[[#This Row],[decade]]="",1,_xlfn.IFNA(VLOOKUP(Wapato_Inventory[[#This Row],[decade]],Lookups!$F$28:$H$45,3,FALSE),1))</f>
        <v>0.94742695999815718</v>
      </c>
      <c r="BX5" s="2">
        <f>_xlfn.IFNA(VLOOKUP(Wapato_Inventory[[#This Row],[living_area_range]],Lookups!$K$28:$M$37,3,FALSE),1)</f>
        <v>1.0061411172456287</v>
      </c>
      <c r="BY5" s="2">
        <f>AVERAGE(Wapato_Inventory[[#This Row],[qual_adj]:[range_adj]])</f>
        <v>0.96255501784660791</v>
      </c>
      <c r="BZ5" s="7">
        <f>(Wapato_Inventory[[#This Row],[sum_land]]-IF(Wapato_Inventory[[#This Row],[no_utilities]]=1,12000,0))/IF(Wapato_Inventory[[#This Row],[unbuildable]]=1,2,1)</f>
        <v>56400</v>
      </c>
      <c r="CA5" s="7">
        <f>Wapato_Inventory[[#This Row],[pre_res]]*Wapato_Inventory[[#This Row],[overall_adj]]</f>
        <v>89029.94408928146</v>
      </c>
      <c r="CB5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5" s="3">
        <f>IF(ROUND(Wapato_Inventory[[#This Row],[adj_res]]*Lookups!$H$48,-2)&lt;Wapato_Inventory[[#This Row],[min_res]],Wapato_Inventory[[#This Row],[min_res]],ROUND(Wapato_Inventory[[#This Row],[adj_res]]*Lookups!$H$48,-2))</f>
        <v>84600</v>
      </c>
      <c r="CD5" s="3">
        <f>ROUND(Wapato_Inventory[[#This Row],[det_value]]*Lookups!$H$48,-2)</f>
        <v>0</v>
      </c>
      <c r="CE5" s="3">
        <f>Wapato_Inventory[[#This Row],[final_res]]+Wapato_Inventory[[#This Row],[final_det]]</f>
        <v>84600</v>
      </c>
      <c r="CF5" s="3">
        <f>Wapato_Inventory[[#This Row],[crop_value]]+Wapato_Inventory[[#This Row],[final_land]]+Wapato_Inventory[[#This Row],[final_imp]]</f>
        <v>138200</v>
      </c>
      <c r="CH5" t="str">
        <f t="shared" si="0"/>
        <v>update valuation set market_land =53600, market_bldg=84600, market_total =138200, market_mdno =405, market_date ='9/10/2023' where link_id = (select link_id from parcel where parcel_year = '2024' and parcel_id = '19110941404');</v>
      </c>
    </row>
    <row r="6" spans="1:87" x14ac:dyDescent="0.25">
      <c r="A6">
        <v>19110941405</v>
      </c>
      <c r="B6">
        <v>0.33</v>
      </c>
      <c r="C6">
        <v>14363</v>
      </c>
      <c r="D6" t="s">
        <v>144</v>
      </c>
      <c r="E6" t="s">
        <v>54</v>
      </c>
      <c r="F6" t="s">
        <v>54</v>
      </c>
      <c r="G6">
        <v>3</v>
      </c>
      <c r="H6" t="s">
        <v>55</v>
      </c>
      <c r="I6">
        <v>82800</v>
      </c>
      <c r="J6">
        <v>37400</v>
      </c>
      <c r="K6">
        <v>0.33</v>
      </c>
      <c r="L6">
        <f>IF(Wapato_Inventory[[#This Row],[parcel_acres]]-Wapato_Inventory[[#This Row],[non_valued_acres]] =0,0,LN(Wapato_Inventory[[#This Row],[parcel_acres]]-Wapato_Inventory[[#This Row],[non_valued_acres]]))</f>
        <v>-1.1086626245216111</v>
      </c>
      <c r="M6">
        <v>0</v>
      </c>
      <c r="N6">
        <v>0</v>
      </c>
      <c r="O6">
        <v>0</v>
      </c>
      <c r="P6">
        <v>27904.037</v>
      </c>
      <c r="Q6">
        <v>74398</v>
      </c>
      <c r="R6" s="3">
        <f>(Wapato_Inventory[[#This Row],[ln_acres]]*Wapato_Inventory[[#This Row],[coeff]])+Wapato_Inventory[[#This Row],[const]]</f>
        <v>43461.837104831851</v>
      </c>
      <c r="S6" t="s">
        <v>66</v>
      </c>
      <c r="T6">
        <v>1</v>
      </c>
      <c r="U6" t="s">
        <v>71</v>
      </c>
      <c r="V6" t="s">
        <v>73</v>
      </c>
      <c r="W6">
        <v>0</v>
      </c>
      <c r="X6">
        <v>0</v>
      </c>
      <c r="Y6">
        <v>51</v>
      </c>
      <c r="Z6">
        <v>83</v>
      </c>
      <c r="AA6">
        <v>90</v>
      </c>
      <c r="AB6">
        <v>1500</v>
      </c>
      <c r="AC6">
        <v>1088</v>
      </c>
      <c r="AD6">
        <v>1088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154</v>
      </c>
      <c r="AL6">
        <v>0</v>
      </c>
      <c r="AM6">
        <v>0</v>
      </c>
      <c r="AN6">
        <v>0</v>
      </c>
      <c r="AO6">
        <v>0</v>
      </c>
      <c r="AP6">
        <v>5</v>
      </c>
      <c r="AQ6">
        <v>0</v>
      </c>
      <c r="AR6">
        <v>0</v>
      </c>
      <c r="AS6" t="s">
        <v>59</v>
      </c>
      <c r="AT6">
        <v>0</v>
      </c>
      <c r="AU6" t="s">
        <v>80</v>
      </c>
      <c r="AV6" t="s">
        <v>77</v>
      </c>
      <c r="AW6">
        <v>0</v>
      </c>
      <c r="AX6">
        <v>2</v>
      </c>
      <c r="AY6">
        <v>0</v>
      </c>
      <c r="AZ6">
        <v>0</v>
      </c>
      <c r="BA6">
        <v>100</v>
      </c>
      <c r="BB6">
        <v>100</v>
      </c>
      <c r="BC6">
        <v>100</v>
      </c>
      <c r="BD6">
        <v>100</v>
      </c>
      <c r="BE6">
        <v>1</v>
      </c>
      <c r="BF6">
        <v>15000</v>
      </c>
      <c r="BG6">
        <v>1000</v>
      </c>
      <c r="BH6" s="7">
        <f>ROUND(Wapato_Inventory[[#This Row],[detatched_value]]*Lookups!$B$22*Lookups!$H$48,-2)</f>
        <v>0</v>
      </c>
      <c r="BI6" s="7">
        <f>ROUND(((Wapato_Inventory[[#This Row],[land_extract]]*Lookups!$B$3) +(Lookups!$B$2*0.5))*Lookups!$H$48,-2)</f>
        <v>55300</v>
      </c>
      <c r="BJ6" s="7">
        <f>IF(Wapato_Inventory[[#This Row],[bldg_style]]="",0,Lookups!$B$2*0.5)</f>
        <v>53765.27</v>
      </c>
      <c r="BK6" s="7">
        <f>_xlfn.IFNA(VLOOKUP(Wapato_Inventory[[#This Row],[quality]],Lookups!$H$2:$J$14,3,FALSE),0)</f>
        <v>28034</v>
      </c>
      <c r="BL6" s="7">
        <f>_xlfn.IFNA(VLOOKUP(Wapato_Inventory[[#This Row],[condition]],Lookups!$H$17:$J$24,3,FALSE),0)</f>
        <v>16276</v>
      </c>
      <c r="BM6" s="7">
        <f>Wapato_Inventory[[#This Row],[Age]]*Lookups!$B$16</f>
        <v>-30766.0831</v>
      </c>
      <c r="BN6" s="7">
        <f>Wapato_Inventory[[#This Row],[Main Floor]]*Lookups!$B$17</f>
        <v>45479.204032000001</v>
      </c>
      <c r="BO6" s="7">
        <f>Wapato_Inventory[[#This Row],[Upper Floor]]*Lookups!$B$18</f>
        <v>0</v>
      </c>
      <c r="BP6" s="7">
        <f>Wapato_Inventory[[#This Row],[Fin BSMT]]*Lookups!$B$19</f>
        <v>0</v>
      </c>
      <c r="BQ6" s="7">
        <f>(Wapato_Inventory[[#This Row],[att_gar]]+Wapato_Inventory[[#This Row],[blt_gar]])*Lookups!$B$20</f>
        <v>0</v>
      </c>
      <c r="BR6" s="7">
        <f>Wapato_Inventory[[#This Row],[Patio]]*Lookups!$B$21</f>
        <v>0</v>
      </c>
      <c r="BS6" s="7">
        <f>SUM(Wapato_Inventory[[#This Row],[intercept]:[patio_value]])*Wapato_Inventory[[#This Row],[res_pct]]</f>
        <v>112788.39093199998</v>
      </c>
      <c r="BT6" s="7">
        <f>Wapato_Inventory[[#This Row],[land_value]]</f>
        <v>55300</v>
      </c>
      <c r="BU6" s="2">
        <f>_xlfn.IFNA(VLOOKUP(Wapato_Inventory[[#This Row],[quality]],Lookups!$A$28:$C$37,3,FALSE),1)</f>
        <v>0.96265813922927435</v>
      </c>
      <c r="BV6" s="2">
        <f>_xlfn.IFNA(VLOOKUP(Wapato_Inventory[[#This Row],[condition]],Lookups!$A$41:$C$48,3,FALSE),1)</f>
        <v>0.93399385491337139</v>
      </c>
      <c r="BW6" s="2">
        <f>IF(Wapato_Inventory[[#This Row],[decade]]="",1,_xlfn.IFNA(VLOOKUP(Wapato_Inventory[[#This Row],[decade]],Lookups!$F$28:$H$45,3,FALSE),1))</f>
        <v>0.94742695999815718</v>
      </c>
      <c r="BX6" s="2">
        <f>_xlfn.IFNA(VLOOKUP(Wapato_Inventory[[#This Row],[living_area_range]],Lookups!$K$28:$M$37,3,FALSE),1)</f>
        <v>1.0061411172456287</v>
      </c>
      <c r="BY6" s="2">
        <f>AVERAGE(Wapato_Inventory[[#This Row],[qual_adj]:[range_adj]])</f>
        <v>0.96255501784660791</v>
      </c>
      <c r="BZ6" s="7">
        <f>(Wapato_Inventory[[#This Row],[sum_land]]-IF(Wapato_Inventory[[#This Row],[no_utilities]]=1,12000,0))/IF(Wapato_Inventory[[#This Row],[unbuildable]]=1,2,1)</f>
        <v>55300</v>
      </c>
      <c r="CA6" s="7">
        <f>Wapato_Inventory[[#This Row],[pre_res]]*Wapato_Inventory[[#This Row],[overall_adj]]</f>
        <v>108565.03164644144</v>
      </c>
      <c r="CB6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6" s="3">
        <f>IF(ROUND(Wapato_Inventory[[#This Row],[adj_res]]*Lookups!$H$48,-2)&lt;Wapato_Inventory[[#This Row],[min_res]],Wapato_Inventory[[#This Row],[min_res]],ROUND(Wapato_Inventory[[#This Row],[adj_res]]*Lookups!$H$48,-2))</f>
        <v>103100</v>
      </c>
      <c r="CD6" s="3">
        <f>ROUND(Wapato_Inventory[[#This Row],[det_value]]*Lookups!$H$48,-2)</f>
        <v>0</v>
      </c>
      <c r="CE6" s="3">
        <f>Wapato_Inventory[[#This Row],[final_res]]+Wapato_Inventory[[#This Row],[final_det]]</f>
        <v>103100</v>
      </c>
      <c r="CF6" s="3">
        <f>Wapato_Inventory[[#This Row],[crop_value]]+Wapato_Inventory[[#This Row],[final_land]]+Wapato_Inventory[[#This Row],[final_imp]]</f>
        <v>155600</v>
      </c>
      <c r="CH6" t="str">
        <f t="shared" si="0"/>
        <v>update valuation set market_land =52500, market_bldg=103100, market_total =155600, market_mdno =405, market_date ='9/10/2023' where link_id = (select link_id from parcel where parcel_year = '2024' and parcel_id = '19110941405');</v>
      </c>
    </row>
    <row r="7" spans="1:87" x14ac:dyDescent="0.25">
      <c r="A7">
        <v>19110941407</v>
      </c>
      <c r="B7">
        <v>0.97</v>
      </c>
      <c r="C7">
        <v>42180</v>
      </c>
      <c r="D7" t="s">
        <v>144</v>
      </c>
      <c r="E7" t="s">
        <v>54</v>
      </c>
      <c r="F7" t="s">
        <v>54</v>
      </c>
      <c r="G7">
        <v>3</v>
      </c>
      <c r="H7" t="s">
        <v>55</v>
      </c>
      <c r="I7">
        <v>188500</v>
      </c>
      <c r="J7">
        <v>45000</v>
      </c>
      <c r="K7">
        <v>0.97</v>
      </c>
      <c r="L7">
        <f>IF(Wapato_Inventory[[#This Row],[parcel_acres]]-Wapato_Inventory[[#This Row],[non_valued_acres]] =0,0,LN(Wapato_Inventory[[#This Row],[parcel_acres]]-Wapato_Inventory[[#This Row],[non_valued_acres]]))</f>
        <v>-3.0459207484708574E-2</v>
      </c>
      <c r="M7">
        <v>0</v>
      </c>
      <c r="N7">
        <v>0</v>
      </c>
      <c r="O7">
        <v>0</v>
      </c>
      <c r="P7">
        <v>27904.037</v>
      </c>
      <c r="Q7">
        <v>74398</v>
      </c>
      <c r="R7" s="3">
        <f>(Wapato_Inventory[[#This Row],[ln_acres]]*Wapato_Inventory[[#This Row],[coeff]])+Wapato_Inventory[[#This Row],[const]]</f>
        <v>73548.065147356014</v>
      </c>
      <c r="S7" t="s">
        <v>62</v>
      </c>
      <c r="T7">
        <v>1</v>
      </c>
      <c r="U7" t="s">
        <v>75</v>
      </c>
      <c r="V7" t="s">
        <v>68</v>
      </c>
      <c r="W7">
        <v>0</v>
      </c>
      <c r="X7">
        <v>0</v>
      </c>
      <c r="Y7">
        <v>43</v>
      </c>
      <c r="Z7">
        <v>44</v>
      </c>
      <c r="AA7">
        <v>50</v>
      </c>
      <c r="AB7">
        <v>1500</v>
      </c>
      <c r="AC7">
        <v>1340</v>
      </c>
      <c r="AD7">
        <v>1340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46</v>
      </c>
      <c r="AN7">
        <v>24</v>
      </c>
      <c r="AO7">
        <v>46</v>
      </c>
      <c r="AP7">
        <v>5</v>
      </c>
      <c r="AQ7">
        <v>1</v>
      </c>
      <c r="AR7">
        <v>0</v>
      </c>
      <c r="AS7" t="s">
        <v>59</v>
      </c>
      <c r="AT7">
        <v>1</v>
      </c>
      <c r="AU7" t="s">
        <v>64</v>
      </c>
      <c r="AV7" t="s">
        <v>61</v>
      </c>
      <c r="AW7">
        <v>0</v>
      </c>
      <c r="AX7">
        <v>3</v>
      </c>
      <c r="AY7">
        <v>0</v>
      </c>
      <c r="AZ7">
        <v>0</v>
      </c>
      <c r="BA7">
        <v>100</v>
      </c>
      <c r="BB7">
        <v>100</v>
      </c>
      <c r="BC7">
        <v>100</v>
      </c>
      <c r="BD7">
        <v>100</v>
      </c>
      <c r="BE7">
        <v>1</v>
      </c>
      <c r="BF7">
        <v>15000</v>
      </c>
      <c r="BG7">
        <v>1000</v>
      </c>
      <c r="BH7" s="7">
        <f>ROUND(Wapato_Inventory[[#This Row],[detatched_value]]*Lookups!$B$22*Lookups!$H$48,-2)</f>
        <v>0</v>
      </c>
      <c r="BI7" s="7">
        <f>ROUND(((Wapato_Inventory[[#This Row],[land_extract]]*Lookups!$B$3) +(Lookups!$B$2*0.5))*Lookups!$H$48,-2)</f>
        <v>58200</v>
      </c>
      <c r="BJ7" s="7">
        <f>IF(Wapato_Inventory[[#This Row],[bldg_style]]="",0,Lookups!$B$2*0.5)</f>
        <v>53765.27</v>
      </c>
      <c r="BK7" s="7">
        <f>_xlfn.IFNA(VLOOKUP(Wapato_Inventory[[#This Row],[quality]],Lookups!$H$2:$J$14,3,FALSE),0)</f>
        <v>48043</v>
      </c>
      <c r="BL7" s="7">
        <f>_xlfn.IFNA(VLOOKUP(Wapato_Inventory[[#This Row],[condition]],Lookups!$H$17:$J$24,3,FALSE),0)</f>
        <v>52231</v>
      </c>
      <c r="BM7" s="7">
        <f>Wapato_Inventory[[#This Row],[Age]]*Lookups!$B$16</f>
        <v>-16309.730800000001</v>
      </c>
      <c r="BN7" s="7">
        <f>Wapato_Inventory[[#This Row],[Main Floor]]*Lookups!$B$17</f>
        <v>56012.990259999999</v>
      </c>
      <c r="BO7" s="7">
        <f>Wapato_Inventory[[#This Row],[Upper Floor]]*Lookups!$B$18</f>
        <v>0</v>
      </c>
      <c r="BP7" s="7">
        <f>Wapato_Inventory[[#This Row],[Fin BSMT]]*Lookups!$B$19</f>
        <v>0</v>
      </c>
      <c r="BQ7" s="7">
        <f>(Wapato_Inventory[[#This Row],[att_gar]]+Wapato_Inventory[[#This Row],[blt_gar]])*Lookups!$B$20</f>
        <v>0</v>
      </c>
      <c r="BR7" s="7">
        <f>Wapato_Inventory[[#This Row],[Patio]]*Lookups!$B$21</f>
        <v>1992.9030340000002</v>
      </c>
      <c r="BS7" s="7">
        <f>SUM(Wapato_Inventory[[#This Row],[intercept]:[patio_value]])*Wapato_Inventory[[#This Row],[res_pct]]</f>
        <v>195735.43249399998</v>
      </c>
      <c r="BT7" s="7">
        <f>Wapato_Inventory[[#This Row],[land_value]]</f>
        <v>58200</v>
      </c>
      <c r="BU7" s="2">
        <f>_xlfn.IFNA(VLOOKUP(Wapato_Inventory[[#This Row],[quality]],Lookups!$A$28:$C$37,3,FALSE),1)</f>
        <v>0.98196844879778955</v>
      </c>
      <c r="BV7" s="2">
        <f>_xlfn.IFNA(VLOOKUP(Wapato_Inventory[[#This Row],[condition]],Lookups!$A$41:$C$48,3,FALSE),1)</f>
        <v>0.9832333997567807</v>
      </c>
      <c r="BW7" s="2">
        <f>IF(Wapato_Inventory[[#This Row],[decade]]="",1,_xlfn.IFNA(VLOOKUP(Wapato_Inventory[[#This Row],[decade]],Lookups!$F$28:$H$45,3,FALSE),1))</f>
        <v>0.96240333884358298</v>
      </c>
      <c r="BX7" s="2">
        <f>_xlfn.IFNA(VLOOKUP(Wapato_Inventory[[#This Row],[living_area_range]],Lookups!$K$28:$M$37,3,FALSE),1)</f>
        <v>1.0061411172456287</v>
      </c>
      <c r="BY7" s="2">
        <f>AVERAGE(Wapato_Inventory[[#This Row],[qual_adj]:[range_adj]])</f>
        <v>0.98343657616094549</v>
      </c>
      <c r="BZ7" s="7">
        <f>(Wapato_Inventory[[#This Row],[sum_land]]-IF(Wapato_Inventory[[#This Row],[no_utilities]]=1,12000,0))/IF(Wapato_Inventory[[#This Row],[unbuildable]]=1,2,1)</f>
        <v>58200</v>
      </c>
      <c r="CA7" s="7">
        <f>Wapato_Inventory[[#This Row],[pre_res]]*Wapato_Inventory[[#This Row],[overall_adj]]</f>
        <v>192493.38356528123</v>
      </c>
      <c r="CB7" s="3">
        <f>IF(ROUND(Wapato_Inventory[[#This Row],[adj_land]]*Lookups!$H$48,-2)&lt;Wapato_Inventory[[#This Row],[min_land]],Wapato_Inventory[[#This Row],[min_land]],ROUND(Wapato_Inventory[[#This Row],[adj_land]]*Lookups!$H$48,-2))</f>
        <v>55300</v>
      </c>
      <c r="CC7" s="3">
        <f>IF(ROUND(Wapato_Inventory[[#This Row],[adj_res]]*Lookups!$H$48,-2)&lt;Wapato_Inventory[[#This Row],[min_res]],Wapato_Inventory[[#This Row],[min_res]],ROUND(Wapato_Inventory[[#This Row],[adj_res]]*Lookups!$H$48,-2))</f>
        <v>182900</v>
      </c>
      <c r="CD7" s="3">
        <f>ROUND(Wapato_Inventory[[#This Row],[det_value]]*Lookups!$H$48,-2)</f>
        <v>0</v>
      </c>
      <c r="CE7" s="3">
        <f>Wapato_Inventory[[#This Row],[final_res]]+Wapato_Inventory[[#This Row],[final_det]]</f>
        <v>182900</v>
      </c>
      <c r="CF7" s="3">
        <f>Wapato_Inventory[[#This Row],[crop_value]]+Wapato_Inventory[[#This Row],[final_land]]+Wapato_Inventory[[#This Row],[final_imp]]</f>
        <v>238200</v>
      </c>
      <c r="CH7" t="str">
        <f t="shared" si="0"/>
        <v>update valuation set market_land =55300, market_bldg=182900, market_total =238200, market_mdno =405, market_date ='9/10/2023' where link_id = (select link_id from parcel where parcel_year = '2024' and parcel_id = '19110941407');</v>
      </c>
    </row>
    <row r="8" spans="1:87" x14ac:dyDescent="0.25">
      <c r="A8">
        <v>19110941408</v>
      </c>
      <c r="B8">
        <v>1.5</v>
      </c>
      <c r="C8" t="s">
        <v>144</v>
      </c>
      <c r="D8" t="s">
        <v>144</v>
      </c>
      <c r="E8" t="s">
        <v>54</v>
      </c>
      <c r="F8" t="s">
        <v>54</v>
      </c>
      <c r="G8">
        <v>3</v>
      </c>
      <c r="H8" t="s">
        <v>55</v>
      </c>
      <c r="I8">
        <v>81200</v>
      </c>
      <c r="J8">
        <v>48100</v>
      </c>
      <c r="K8">
        <v>1.5</v>
      </c>
      <c r="L8">
        <f>IF(Wapato_Inventory[[#This Row],[parcel_acres]]-Wapato_Inventory[[#This Row],[non_valued_acres]] =0,0,LN(Wapato_Inventory[[#This Row],[parcel_acres]]-Wapato_Inventory[[#This Row],[non_valued_acres]]))</f>
        <v>0.40546510810816438</v>
      </c>
      <c r="M8">
        <v>0</v>
      </c>
      <c r="N8">
        <v>0</v>
      </c>
      <c r="O8">
        <v>0</v>
      </c>
      <c r="P8">
        <v>27904.037</v>
      </c>
      <c r="Q8">
        <v>74398</v>
      </c>
      <c r="R8" s="3">
        <f>(Wapato_Inventory[[#This Row],[ln_acres]]*Wapato_Inventory[[#This Row],[coeff]])+Wapato_Inventory[[#This Row],[const]]</f>
        <v>85712.113378859212</v>
      </c>
      <c r="S8" t="s">
        <v>66</v>
      </c>
      <c r="T8">
        <v>1</v>
      </c>
      <c r="U8" t="s">
        <v>71</v>
      </c>
      <c r="V8" t="s">
        <v>73</v>
      </c>
      <c r="W8">
        <v>0</v>
      </c>
      <c r="X8">
        <v>0</v>
      </c>
      <c r="Y8">
        <v>57</v>
      </c>
      <c r="Z8">
        <v>103</v>
      </c>
      <c r="AA8">
        <v>110</v>
      </c>
      <c r="AB8">
        <v>1500</v>
      </c>
      <c r="AC8">
        <v>1202</v>
      </c>
      <c r="AD8">
        <v>1202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342</v>
      </c>
      <c r="AN8">
        <v>0</v>
      </c>
      <c r="AO8">
        <v>342</v>
      </c>
      <c r="AP8">
        <v>7</v>
      </c>
      <c r="AQ8">
        <v>0</v>
      </c>
      <c r="AR8">
        <v>0</v>
      </c>
      <c r="AS8" t="s">
        <v>59</v>
      </c>
      <c r="AT8">
        <v>1</v>
      </c>
      <c r="AU8" t="s">
        <v>76</v>
      </c>
      <c r="AV8" t="s">
        <v>61</v>
      </c>
      <c r="AW8">
        <v>0</v>
      </c>
      <c r="AX8">
        <v>3</v>
      </c>
      <c r="AY8">
        <v>0</v>
      </c>
      <c r="AZ8">
        <v>2500</v>
      </c>
      <c r="BA8">
        <v>100</v>
      </c>
      <c r="BB8">
        <v>100</v>
      </c>
      <c r="BC8">
        <v>100</v>
      </c>
      <c r="BD8">
        <v>100</v>
      </c>
      <c r="BE8">
        <v>1</v>
      </c>
      <c r="BF8">
        <v>15000</v>
      </c>
      <c r="BG8">
        <v>1000</v>
      </c>
      <c r="BH8" s="7">
        <f>ROUND(Wapato_Inventory[[#This Row],[detatched_value]]*Lookups!$B$22*Lookups!$H$48,-2)</f>
        <v>2200</v>
      </c>
      <c r="BI8" s="7">
        <f>ROUND(((Wapato_Inventory[[#This Row],[land_extract]]*Lookups!$B$3) +(Lookups!$B$2*0.5))*Lookups!$H$48,-2)</f>
        <v>59400</v>
      </c>
      <c r="BJ8" s="7">
        <f>IF(Wapato_Inventory[[#This Row],[bldg_style]]="",0,Lookups!$B$2*0.5)</f>
        <v>53765.27</v>
      </c>
      <c r="BK8" s="7">
        <f>_xlfn.IFNA(VLOOKUP(Wapato_Inventory[[#This Row],[quality]],Lookups!$H$2:$J$14,3,FALSE),0)</f>
        <v>28034</v>
      </c>
      <c r="BL8" s="7">
        <f>_xlfn.IFNA(VLOOKUP(Wapato_Inventory[[#This Row],[condition]],Lookups!$H$17:$J$24,3,FALSE),0)</f>
        <v>16276</v>
      </c>
      <c r="BM8" s="7">
        <f>Wapato_Inventory[[#This Row],[Age]]*Lookups!$B$16</f>
        <v>-38179.597099999999</v>
      </c>
      <c r="BN8" s="7">
        <f>Wapato_Inventory[[#This Row],[Main Floor]]*Lookups!$B$17</f>
        <v>50244.488277999997</v>
      </c>
      <c r="BO8" s="7">
        <f>Wapato_Inventory[[#This Row],[Upper Floor]]*Lookups!$B$18</f>
        <v>0</v>
      </c>
      <c r="BP8" s="7">
        <f>Wapato_Inventory[[#This Row],[Fin BSMT]]*Lookups!$B$19</f>
        <v>0</v>
      </c>
      <c r="BQ8" s="7">
        <f>(Wapato_Inventory[[#This Row],[att_gar]]+Wapato_Inventory[[#This Row],[blt_gar]])*Lookups!$B$20</f>
        <v>0</v>
      </c>
      <c r="BR8" s="7">
        <f>Wapato_Inventory[[#This Row],[Patio]]*Lookups!$B$21</f>
        <v>14816.800818</v>
      </c>
      <c r="BS8" s="7">
        <f>SUM(Wapato_Inventory[[#This Row],[intercept]:[patio_value]])*Wapato_Inventory[[#This Row],[res_pct]]</f>
        <v>124956.96199599998</v>
      </c>
      <c r="BT8" s="7">
        <f>Wapato_Inventory[[#This Row],[land_value]]</f>
        <v>59400</v>
      </c>
      <c r="BU8" s="2">
        <f>_xlfn.IFNA(VLOOKUP(Wapato_Inventory[[#This Row],[quality]],Lookups!$A$28:$C$37,3,FALSE),1)</f>
        <v>0.96265813922927435</v>
      </c>
      <c r="BV8" s="2">
        <f>_xlfn.IFNA(VLOOKUP(Wapato_Inventory[[#This Row],[condition]],Lookups!$A$41:$C$48,3,FALSE),1)</f>
        <v>0.93399385491337139</v>
      </c>
      <c r="BW8" s="2">
        <f>IF(Wapato_Inventory[[#This Row],[decade]]="",1,_xlfn.IFNA(VLOOKUP(Wapato_Inventory[[#This Row],[decade]],Lookups!$F$28:$H$45,3,FALSE),1))</f>
        <v>0.93664589651353292</v>
      </c>
      <c r="BX8" s="2">
        <f>_xlfn.IFNA(VLOOKUP(Wapato_Inventory[[#This Row],[living_area_range]],Lookups!$K$28:$M$37,3,FALSE),1)</f>
        <v>1.0061411172456287</v>
      </c>
      <c r="BY8" s="2">
        <f>AVERAGE(Wapato_Inventory[[#This Row],[qual_adj]:[range_adj]])</f>
        <v>0.95985975197545192</v>
      </c>
      <c r="BZ8" s="7">
        <f>(Wapato_Inventory[[#This Row],[sum_land]]-IF(Wapato_Inventory[[#This Row],[no_utilities]]=1,12000,0))/IF(Wapato_Inventory[[#This Row],[unbuildable]]=1,2,1)</f>
        <v>59400</v>
      </c>
      <c r="CA8" s="7">
        <f>Wapato_Inventory[[#This Row],[pre_res]]*Wapato_Inventory[[#This Row],[overall_adj]]</f>
        <v>119941.15854908651</v>
      </c>
      <c r="CB8" s="3">
        <f>IF(ROUND(Wapato_Inventory[[#This Row],[adj_land]]*Lookups!$H$48,-2)&lt;Wapato_Inventory[[#This Row],[min_land]],Wapato_Inventory[[#This Row],[min_land]],ROUND(Wapato_Inventory[[#This Row],[adj_land]]*Lookups!$H$48,-2))</f>
        <v>56400</v>
      </c>
      <c r="CC8" s="3">
        <f>IF(ROUND(Wapato_Inventory[[#This Row],[adj_res]]*Lookups!$H$48,-2)&lt;Wapato_Inventory[[#This Row],[min_res]],Wapato_Inventory[[#This Row],[min_res]],ROUND(Wapato_Inventory[[#This Row],[adj_res]]*Lookups!$H$48,-2))</f>
        <v>113900</v>
      </c>
      <c r="CD8" s="3">
        <f>ROUND(Wapato_Inventory[[#This Row],[det_value]]*Lookups!$H$48,-2)</f>
        <v>2100</v>
      </c>
      <c r="CE8" s="3">
        <f>Wapato_Inventory[[#This Row],[final_res]]+Wapato_Inventory[[#This Row],[final_det]]</f>
        <v>116000</v>
      </c>
      <c r="CF8" s="3">
        <f>Wapato_Inventory[[#This Row],[crop_value]]+Wapato_Inventory[[#This Row],[final_land]]+Wapato_Inventory[[#This Row],[final_imp]]</f>
        <v>172400</v>
      </c>
      <c r="CH8" t="str">
        <f t="shared" si="0"/>
        <v>update valuation set market_land =56400, market_bldg=116000, market_total =172400, market_mdno =405, market_date ='9/10/2023' where link_id = (select link_id from parcel where parcel_year = '2024' and parcel_id = '19110941408');</v>
      </c>
    </row>
    <row r="9" spans="1:87" x14ac:dyDescent="0.25">
      <c r="A9">
        <v>19110941409</v>
      </c>
      <c r="B9">
        <v>0.64</v>
      </c>
      <c r="C9">
        <v>27934</v>
      </c>
      <c r="D9" t="s">
        <v>144</v>
      </c>
      <c r="E9" t="s">
        <v>54</v>
      </c>
      <c r="F9" t="s">
        <v>54</v>
      </c>
      <c r="G9">
        <v>3</v>
      </c>
      <c r="H9" t="s">
        <v>55</v>
      </c>
      <c r="I9">
        <v>143300</v>
      </c>
      <c r="J9">
        <v>42100</v>
      </c>
      <c r="K9">
        <v>0.64</v>
      </c>
      <c r="L9">
        <f>IF(Wapato_Inventory[[#This Row],[parcel_acres]]-Wapato_Inventory[[#This Row],[non_valued_acres]] =0,0,LN(Wapato_Inventory[[#This Row],[parcel_acres]]-Wapato_Inventory[[#This Row],[non_valued_acres]]))</f>
        <v>-0.44628710262841947</v>
      </c>
      <c r="M9">
        <v>0</v>
      </c>
      <c r="N9">
        <v>0</v>
      </c>
      <c r="O9">
        <v>0</v>
      </c>
      <c r="P9">
        <v>27904.037</v>
      </c>
      <c r="Q9">
        <v>74398</v>
      </c>
      <c r="R9" s="3">
        <f>(Wapato_Inventory[[#This Row],[ln_acres]]*Wapato_Inventory[[#This Row],[coeff]])+Wapato_Inventory[[#This Row],[const]]</f>
        <v>61944.788175633788</v>
      </c>
      <c r="S9" t="s">
        <v>66</v>
      </c>
      <c r="T9">
        <v>1</v>
      </c>
      <c r="U9" t="s">
        <v>71</v>
      </c>
      <c r="V9" t="s">
        <v>68</v>
      </c>
      <c r="W9">
        <v>0</v>
      </c>
      <c r="X9">
        <v>0</v>
      </c>
      <c r="Y9">
        <v>51</v>
      </c>
      <c r="Z9">
        <v>83</v>
      </c>
      <c r="AA9">
        <v>90</v>
      </c>
      <c r="AB9">
        <v>1500</v>
      </c>
      <c r="AC9">
        <v>1028</v>
      </c>
      <c r="AD9">
        <v>1028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200</v>
      </c>
      <c r="AN9">
        <v>12</v>
      </c>
      <c r="AO9">
        <v>200</v>
      </c>
      <c r="AP9">
        <v>5</v>
      </c>
      <c r="AQ9">
        <v>0</v>
      </c>
      <c r="AR9">
        <v>0</v>
      </c>
      <c r="AS9" t="s">
        <v>82</v>
      </c>
      <c r="AT9">
        <v>1</v>
      </c>
      <c r="AU9" t="s">
        <v>64</v>
      </c>
      <c r="AV9" t="s">
        <v>61</v>
      </c>
      <c r="AW9">
        <v>0</v>
      </c>
      <c r="AX9">
        <v>3</v>
      </c>
      <c r="AY9">
        <v>0</v>
      </c>
      <c r="AZ9">
        <v>19400</v>
      </c>
      <c r="BA9">
        <v>100</v>
      </c>
      <c r="BB9">
        <v>100</v>
      </c>
      <c r="BC9">
        <v>100</v>
      </c>
      <c r="BD9">
        <v>100</v>
      </c>
      <c r="BE9">
        <v>1</v>
      </c>
      <c r="BF9">
        <v>15000</v>
      </c>
      <c r="BG9">
        <v>1000</v>
      </c>
      <c r="BH9" s="7">
        <f>ROUND(Wapato_Inventory[[#This Row],[detatched_value]]*Lookups!$B$22*Lookups!$H$48,-2)</f>
        <v>17300</v>
      </c>
      <c r="BI9" s="7">
        <f>ROUND(((Wapato_Inventory[[#This Row],[land_extract]]*Lookups!$B$3) +(Lookups!$B$2*0.5))*Lookups!$H$48,-2)</f>
        <v>57100</v>
      </c>
      <c r="BJ9" s="7">
        <f>IF(Wapato_Inventory[[#This Row],[bldg_style]]="",0,Lookups!$B$2*0.5)</f>
        <v>53765.27</v>
      </c>
      <c r="BK9" s="7">
        <f>_xlfn.IFNA(VLOOKUP(Wapato_Inventory[[#This Row],[quality]],Lookups!$H$2:$J$14,3,FALSE),0)</f>
        <v>28034</v>
      </c>
      <c r="BL9" s="7">
        <f>_xlfn.IFNA(VLOOKUP(Wapato_Inventory[[#This Row],[condition]],Lookups!$H$17:$J$24,3,FALSE),0)</f>
        <v>52231</v>
      </c>
      <c r="BM9" s="7">
        <f>Wapato_Inventory[[#This Row],[Age]]*Lookups!$B$16</f>
        <v>-30766.0831</v>
      </c>
      <c r="BN9" s="7">
        <f>Wapato_Inventory[[#This Row],[Main Floor]]*Lookups!$B$17</f>
        <v>42971.159692000001</v>
      </c>
      <c r="BO9" s="7">
        <f>Wapato_Inventory[[#This Row],[Upper Floor]]*Lookups!$B$18</f>
        <v>0</v>
      </c>
      <c r="BP9" s="7">
        <f>Wapato_Inventory[[#This Row],[Fin BSMT]]*Lookups!$B$19</f>
        <v>0</v>
      </c>
      <c r="BQ9" s="7">
        <f>(Wapato_Inventory[[#This Row],[att_gar]]+Wapato_Inventory[[#This Row],[blt_gar]])*Lookups!$B$20</f>
        <v>0</v>
      </c>
      <c r="BR9" s="7">
        <f>Wapato_Inventory[[#This Row],[Patio]]*Lookups!$B$21</f>
        <v>8664.7957999999999</v>
      </c>
      <c r="BS9" s="7">
        <f>SUM(Wapato_Inventory[[#This Row],[intercept]:[patio_value]])*Wapato_Inventory[[#This Row],[res_pct]]</f>
        <v>154900.14239199998</v>
      </c>
      <c r="BT9" s="7">
        <f>Wapato_Inventory[[#This Row],[land_value]]</f>
        <v>57100</v>
      </c>
      <c r="BU9" s="2">
        <f>_xlfn.IFNA(VLOOKUP(Wapato_Inventory[[#This Row],[quality]],Lookups!$A$28:$C$37,3,FALSE),1)</f>
        <v>0.96265813922927435</v>
      </c>
      <c r="BV9" s="2">
        <f>_xlfn.IFNA(VLOOKUP(Wapato_Inventory[[#This Row],[condition]],Lookups!$A$41:$C$48,3,FALSE),1)</f>
        <v>0.9832333997567807</v>
      </c>
      <c r="BW9" s="2">
        <f>IF(Wapato_Inventory[[#This Row],[decade]]="",1,_xlfn.IFNA(VLOOKUP(Wapato_Inventory[[#This Row],[decade]],Lookups!$F$28:$H$45,3,FALSE),1))</f>
        <v>0.94742695999815718</v>
      </c>
      <c r="BX9" s="2">
        <f>_xlfn.IFNA(VLOOKUP(Wapato_Inventory[[#This Row],[living_area_range]],Lookups!$K$28:$M$37,3,FALSE),1)</f>
        <v>1.0061411172456287</v>
      </c>
      <c r="BY9" s="2">
        <f>AVERAGE(Wapato_Inventory[[#This Row],[qual_adj]:[range_adj]])</f>
        <v>0.97486490405746018</v>
      </c>
      <c r="BZ9" s="7">
        <f>(Wapato_Inventory[[#This Row],[sum_land]]-IF(Wapato_Inventory[[#This Row],[no_utilities]]=1,12000,0))/IF(Wapato_Inventory[[#This Row],[unbuildable]]=1,2,1)</f>
        <v>57100</v>
      </c>
      <c r="CA9" s="7">
        <f>Wapato_Inventory[[#This Row],[pre_res]]*Wapato_Inventory[[#This Row],[overall_adj]]</f>
        <v>151006.71245146397</v>
      </c>
      <c r="CB9" s="3">
        <f>IF(ROUND(Wapato_Inventory[[#This Row],[adj_land]]*Lookups!$H$48,-2)&lt;Wapato_Inventory[[#This Row],[min_land]],Wapato_Inventory[[#This Row],[min_land]],ROUND(Wapato_Inventory[[#This Row],[adj_land]]*Lookups!$H$48,-2))</f>
        <v>54200</v>
      </c>
      <c r="CC9" s="3">
        <f>IF(ROUND(Wapato_Inventory[[#This Row],[adj_res]]*Lookups!$H$48,-2)&lt;Wapato_Inventory[[#This Row],[min_res]],Wapato_Inventory[[#This Row],[min_res]],ROUND(Wapato_Inventory[[#This Row],[adj_res]]*Lookups!$H$48,-2))</f>
        <v>143500</v>
      </c>
      <c r="CD9" s="3">
        <f>ROUND(Wapato_Inventory[[#This Row],[det_value]]*Lookups!$H$48,-2)</f>
        <v>16400</v>
      </c>
      <c r="CE9" s="3">
        <f>Wapato_Inventory[[#This Row],[final_res]]+Wapato_Inventory[[#This Row],[final_det]]</f>
        <v>159900</v>
      </c>
      <c r="CF9" s="3">
        <f>Wapato_Inventory[[#This Row],[crop_value]]+Wapato_Inventory[[#This Row],[final_land]]+Wapato_Inventory[[#This Row],[final_imp]]</f>
        <v>214100</v>
      </c>
      <c r="CH9" t="str">
        <f t="shared" si="0"/>
        <v>update valuation set market_land =54200, market_bldg=159900, market_total =214100, market_mdno =405, market_date ='9/10/2023' where link_id = (select link_id from parcel where parcel_year = '2024' and parcel_id = '19110941409');</v>
      </c>
    </row>
    <row r="10" spans="1:87" x14ac:dyDescent="0.25">
      <c r="A10">
        <v>19110941410</v>
      </c>
      <c r="B10">
        <v>1.02</v>
      </c>
      <c r="C10">
        <v>44550</v>
      </c>
      <c r="D10" t="s">
        <v>144</v>
      </c>
      <c r="E10" t="s">
        <v>54</v>
      </c>
      <c r="F10" t="s">
        <v>54</v>
      </c>
      <c r="G10">
        <v>3</v>
      </c>
      <c r="H10" t="s">
        <v>55</v>
      </c>
      <c r="I10">
        <v>232600</v>
      </c>
      <c r="J10">
        <v>45400</v>
      </c>
      <c r="K10">
        <v>1.02</v>
      </c>
      <c r="L10">
        <f>IF(Wapato_Inventory[[#This Row],[parcel_acres]]-Wapato_Inventory[[#This Row],[non_valued_acres]] =0,0,LN(Wapato_Inventory[[#This Row],[parcel_acres]]-Wapato_Inventory[[#This Row],[non_valued_acres]]))</f>
        <v>1.980262729617973E-2</v>
      </c>
      <c r="M10">
        <v>0</v>
      </c>
      <c r="N10">
        <v>0</v>
      </c>
      <c r="O10">
        <v>0</v>
      </c>
      <c r="P10">
        <v>27904.037</v>
      </c>
      <c r="Q10">
        <v>74398</v>
      </c>
      <c r="R10" s="3">
        <f>(Wapato_Inventory[[#This Row],[ln_acres]]*Wapato_Inventory[[#This Row],[coeff]])+Wapato_Inventory[[#This Row],[const]]</f>
        <v>74950.57324476981</v>
      </c>
      <c r="S10" t="s">
        <v>56</v>
      </c>
      <c r="T10">
        <v>2</v>
      </c>
      <c r="U10" t="s">
        <v>75</v>
      </c>
      <c r="V10" t="s">
        <v>69</v>
      </c>
      <c r="W10">
        <v>0</v>
      </c>
      <c r="X10">
        <v>0</v>
      </c>
      <c r="Y10">
        <v>51</v>
      </c>
      <c r="Z10">
        <v>83</v>
      </c>
      <c r="AA10">
        <v>90</v>
      </c>
      <c r="AB10">
        <v>2000</v>
      </c>
      <c r="AC10">
        <v>1805</v>
      </c>
      <c r="AD10">
        <v>1505</v>
      </c>
      <c r="AE10">
        <v>300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60</v>
      </c>
      <c r="AO10">
        <v>575</v>
      </c>
      <c r="AP10">
        <v>5</v>
      </c>
      <c r="AQ10">
        <v>0</v>
      </c>
      <c r="AR10">
        <v>0</v>
      </c>
      <c r="AS10" t="s">
        <v>59</v>
      </c>
      <c r="AT10">
        <v>1</v>
      </c>
      <c r="AU10" t="s">
        <v>64</v>
      </c>
      <c r="AV10" t="s">
        <v>61</v>
      </c>
      <c r="AW10">
        <v>0</v>
      </c>
      <c r="AX10">
        <v>3</v>
      </c>
      <c r="AY10">
        <v>0</v>
      </c>
      <c r="AZ10">
        <v>3600</v>
      </c>
      <c r="BA10">
        <v>100</v>
      </c>
      <c r="BB10">
        <v>100</v>
      </c>
      <c r="BC10">
        <v>100</v>
      </c>
      <c r="BD10">
        <v>100</v>
      </c>
      <c r="BE10">
        <v>1</v>
      </c>
      <c r="BF10">
        <v>15000</v>
      </c>
      <c r="BG10">
        <v>1000</v>
      </c>
      <c r="BH10" s="7">
        <f>ROUND(Wapato_Inventory[[#This Row],[detatched_value]]*Lookups!$B$22*Lookups!$H$48,-2)</f>
        <v>3200</v>
      </c>
      <c r="BI10" s="7">
        <f>ROUND(((Wapato_Inventory[[#This Row],[land_extract]]*Lookups!$B$3) +(Lookups!$B$2*0.5))*Lookups!$H$48,-2)</f>
        <v>58300</v>
      </c>
      <c r="BJ10" s="7">
        <f>IF(Wapato_Inventory[[#This Row],[bldg_style]]="",0,Lookups!$B$2*0.5)</f>
        <v>53765.27</v>
      </c>
      <c r="BK10" s="7">
        <f>_xlfn.IFNA(VLOOKUP(Wapato_Inventory[[#This Row],[quality]],Lookups!$H$2:$J$14,3,FALSE),0)</f>
        <v>48043</v>
      </c>
      <c r="BL10" s="7">
        <f>_xlfn.IFNA(VLOOKUP(Wapato_Inventory[[#This Row],[condition]],Lookups!$H$17:$J$24,3,FALSE),0)</f>
        <v>74543</v>
      </c>
      <c r="BM10" s="7">
        <f>Wapato_Inventory[[#This Row],[Age]]*Lookups!$B$16</f>
        <v>-30766.0831</v>
      </c>
      <c r="BN10" s="7">
        <f>Wapato_Inventory[[#This Row],[Main Floor]]*Lookups!$B$17</f>
        <v>62910.112195000002</v>
      </c>
      <c r="BO10" s="7">
        <f>Wapato_Inventory[[#This Row],[Upper Floor]]*Lookups!$B$18</f>
        <v>14880.341700000001</v>
      </c>
      <c r="BP10" s="7">
        <f>Wapato_Inventory[[#This Row],[Fin BSMT]]*Lookups!$B$19</f>
        <v>0</v>
      </c>
      <c r="BQ10" s="7">
        <f>(Wapato_Inventory[[#This Row],[att_gar]]+Wapato_Inventory[[#This Row],[blt_gar]])*Lookups!$B$20</f>
        <v>0</v>
      </c>
      <c r="BR10" s="7">
        <f>Wapato_Inventory[[#This Row],[Patio]]*Lookups!$B$21</f>
        <v>0</v>
      </c>
      <c r="BS10" s="7">
        <f>SUM(Wapato_Inventory[[#This Row],[intercept]:[patio_value]])*Wapato_Inventory[[#This Row],[res_pct]]</f>
        <v>223375.64079499998</v>
      </c>
      <c r="BT10" s="7">
        <f>Wapato_Inventory[[#This Row],[land_value]]</f>
        <v>58300</v>
      </c>
      <c r="BU10" s="2">
        <f>_xlfn.IFNA(VLOOKUP(Wapato_Inventory[[#This Row],[quality]],Lookups!$A$28:$C$37,3,FALSE),1)</f>
        <v>0.98196844879778955</v>
      </c>
      <c r="BV10" s="2">
        <f>_xlfn.IFNA(VLOOKUP(Wapato_Inventory[[#This Row],[condition]],Lookups!$A$41:$C$48,3,FALSE),1)</f>
        <v>0.98442438223270734</v>
      </c>
      <c r="BW10" s="2">
        <f>IF(Wapato_Inventory[[#This Row],[decade]]="",1,_xlfn.IFNA(VLOOKUP(Wapato_Inventory[[#This Row],[decade]],Lookups!$F$28:$H$45,3,FALSE),1))</f>
        <v>0.94742695999815718</v>
      </c>
      <c r="BX10" s="2">
        <f>_xlfn.IFNA(VLOOKUP(Wapato_Inventory[[#This Row],[living_area_range]],Lookups!$K$28:$M$37,3,FALSE),1)</f>
        <v>0.99330894324714125</v>
      </c>
      <c r="BY10" s="2">
        <f>AVERAGE(Wapato_Inventory[[#This Row],[qual_adj]:[range_adj]])</f>
        <v>0.97678218356894875</v>
      </c>
      <c r="BZ10" s="7">
        <f>(Wapato_Inventory[[#This Row],[sum_land]]-IF(Wapato_Inventory[[#This Row],[no_utilities]]=1,12000,0))/IF(Wapato_Inventory[[#This Row],[unbuildable]]=1,2,1)</f>
        <v>58300</v>
      </c>
      <c r="CA10" s="7">
        <f>Wapato_Inventory[[#This Row],[pre_res]]*Wapato_Inventory[[#This Row],[overall_adj]]</f>
        <v>218189.34617185322</v>
      </c>
      <c r="CB10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10" s="3">
        <f>IF(ROUND(Wapato_Inventory[[#This Row],[adj_res]]*Lookups!$H$48,-2)&lt;Wapato_Inventory[[#This Row],[min_res]],Wapato_Inventory[[#This Row],[min_res]],ROUND(Wapato_Inventory[[#This Row],[adj_res]]*Lookups!$H$48,-2))</f>
        <v>207300</v>
      </c>
      <c r="CD10" s="3">
        <f>ROUND(Wapato_Inventory[[#This Row],[det_value]]*Lookups!$H$48,-2)</f>
        <v>3000</v>
      </c>
      <c r="CE10" s="3">
        <f>Wapato_Inventory[[#This Row],[final_res]]+Wapato_Inventory[[#This Row],[final_det]]</f>
        <v>210300</v>
      </c>
      <c r="CF10" s="3">
        <f>Wapato_Inventory[[#This Row],[crop_value]]+Wapato_Inventory[[#This Row],[final_land]]+Wapato_Inventory[[#This Row],[final_imp]]</f>
        <v>265700</v>
      </c>
      <c r="CH10" t="str">
        <f t="shared" si="0"/>
        <v>update valuation set market_land =55400, market_bldg=210300, market_total =265700, market_mdno =405, market_date ='9/10/2023' where link_id = (select link_id from parcel where parcel_year = '2024' and parcel_id = '19110941410');</v>
      </c>
    </row>
    <row r="11" spans="1:87" x14ac:dyDescent="0.25">
      <c r="A11">
        <v>19110941411</v>
      </c>
      <c r="B11">
        <v>1</v>
      </c>
      <c r="C11">
        <v>43561</v>
      </c>
      <c r="D11" t="s">
        <v>144</v>
      </c>
      <c r="E11" t="s">
        <v>54</v>
      </c>
      <c r="F11" t="s">
        <v>54</v>
      </c>
      <c r="G11">
        <v>3</v>
      </c>
      <c r="H11" t="s">
        <v>55</v>
      </c>
      <c r="I11">
        <v>116300</v>
      </c>
      <c r="J11">
        <v>45300</v>
      </c>
      <c r="K11">
        <v>1</v>
      </c>
      <c r="L11">
        <f>IF(Wapato_Inventory[[#This Row],[parcel_acres]]-Wapato_Inventory[[#This Row],[non_valued_acres]] =0,0,LN(Wapato_Inventory[[#This Row],[parcel_acres]]-Wapato_Inventory[[#This Row],[non_valued_acres]]))</f>
        <v>0</v>
      </c>
      <c r="M11">
        <v>0</v>
      </c>
      <c r="N11">
        <v>0</v>
      </c>
      <c r="O11">
        <v>0</v>
      </c>
      <c r="P11">
        <v>27904.037</v>
      </c>
      <c r="Q11">
        <v>74398</v>
      </c>
      <c r="R11" s="3">
        <f>(Wapato_Inventory[[#This Row],[ln_acres]]*Wapato_Inventory[[#This Row],[coeff]])+Wapato_Inventory[[#This Row],[const]]</f>
        <v>74398</v>
      </c>
      <c r="S11" t="s">
        <v>66</v>
      </c>
      <c r="T11">
        <v>1</v>
      </c>
      <c r="U11" t="s">
        <v>71</v>
      </c>
      <c r="V11" t="s">
        <v>73</v>
      </c>
      <c r="W11">
        <v>0</v>
      </c>
      <c r="X11">
        <v>0</v>
      </c>
      <c r="Y11">
        <v>51</v>
      </c>
      <c r="Z11">
        <v>83</v>
      </c>
      <c r="AA11">
        <v>90</v>
      </c>
      <c r="AB11">
        <v>1500</v>
      </c>
      <c r="AC11">
        <v>1500</v>
      </c>
      <c r="AD11">
        <v>1500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384</v>
      </c>
      <c r="AN11">
        <v>0</v>
      </c>
      <c r="AO11">
        <v>0</v>
      </c>
      <c r="AP11">
        <v>7</v>
      </c>
      <c r="AQ11">
        <v>1</v>
      </c>
      <c r="AR11">
        <v>0</v>
      </c>
      <c r="AS11" t="s">
        <v>59</v>
      </c>
      <c r="AT11">
        <v>0</v>
      </c>
      <c r="AU11" t="s">
        <v>80</v>
      </c>
      <c r="AV11" t="s">
        <v>147</v>
      </c>
      <c r="AW11">
        <v>0</v>
      </c>
      <c r="AX11">
        <v>4</v>
      </c>
      <c r="AY11">
        <v>0</v>
      </c>
      <c r="AZ11">
        <v>8200</v>
      </c>
      <c r="BA11">
        <v>100</v>
      </c>
      <c r="BB11">
        <v>100</v>
      </c>
      <c r="BC11">
        <v>100</v>
      </c>
      <c r="BD11">
        <v>100</v>
      </c>
      <c r="BE11">
        <v>1</v>
      </c>
      <c r="BF11">
        <v>15000</v>
      </c>
      <c r="BG11">
        <v>1000</v>
      </c>
      <c r="BH11" s="7">
        <f>ROUND(Wapato_Inventory[[#This Row],[detatched_value]]*Lookups!$B$22*Lookups!$H$48,-2)</f>
        <v>7300</v>
      </c>
      <c r="BI11" s="7">
        <f>ROUND(((Wapato_Inventory[[#This Row],[land_extract]]*Lookups!$B$3) +(Lookups!$B$2*0.5))*Lookups!$H$48,-2)</f>
        <v>58300</v>
      </c>
      <c r="BJ11" s="7">
        <f>IF(Wapato_Inventory[[#This Row],[bldg_style]]="",0,Lookups!$B$2*0.5)</f>
        <v>53765.27</v>
      </c>
      <c r="BK11" s="7">
        <f>_xlfn.IFNA(VLOOKUP(Wapato_Inventory[[#This Row],[quality]],Lookups!$H$2:$J$14,3,FALSE),0)</f>
        <v>28034</v>
      </c>
      <c r="BL11" s="7">
        <f>_xlfn.IFNA(VLOOKUP(Wapato_Inventory[[#This Row],[condition]],Lookups!$H$17:$J$24,3,FALSE),0)</f>
        <v>16276</v>
      </c>
      <c r="BM11" s="7">
        <f>Wapato_Inventory[[#This Row],[Age]]*Lookups!$B$16</f>
        <v>-30766.0831</v>
      </c>
      <c r="BN11" s="7">
        <f>Wapato_Inventory[[#This Row],[Main Floor]]*Lookups!$B$17</f>
        <v>62701.108500000002</v>
      </c>
      <c r="BO11" s="7">
        <f>Wapato_Inventory[[#This Row],[Upper Floor]]*Lookups!$B$18</f>
        <v>0</v>
      </c>
      <c r="BP11" s="7">
        <f>Wapato_Inventory[[#This Row],[Fin BSMT]]*Lookups!$B$19</f>
        <v>0</v>
      </c>
      <c r="BQ11" s="7">
        <f>(Wapato_Inventory[[#This Row],[att_gar]]+Wapato_Inventory[[#This Row],[blt_gar]])*Lookups!$B$20</f>
        <v>0</v>
      </c>
      <c r="BR11" s="7">
        <f>Wapato_Inventory[[#This Row],[Patio]]*Lookups!$B$21</f>
        <v>16636.407936</v>
      </c>
      <c r="BS11" s="7">
        <f>SUM(Wapato_Inventory[[#This Row],[intercept]:[patio_value]])*Wapato_Inventory[[#This Row],[res_pct]]</f>
        <v>146646.70333599998</v>
      </c>
      <c r="BT11" s="7">
        <f>Wapato_Inventory[[#This Row],[land_value]]</f>
        <v>58300</v>
      </c>
      <c r="BU11" s="2">
        <f>_xlfn.IFNA(VLOOKUP(Wapato_Inventory[[#This Row],[quality]],Lookups!$A$28:$C$37,3,FALSE),1)</f>
        <v>0.96265813922927435</v>
      </c>
      <c r="BV11" s="2">
        <f>_xlfn.IFNA(VLOOKUP(Wapato_Inventory[[#This Row],[condition]],Lookups!$A$41:$C$48,3,FALSE),1)</f>
        <v>0.93399385491337139</v>
      </c>
      <c r="BW11" s="2">
        <f>IF(Wapato_Inventory[[#This Row],[decade]]="",1,_xlfn.IFNA(VLOOKUP(Wapato_Inventory[[#This Row],[decade]],Lookups!$F$28:$H$45,3,FALSE),1))</f>
        <v>0.94742695999815718</v>
      </c>
      <c r="BX11" s="2">
        <f>_xlfn.IFNA(VLOOKUP(Wapato_Inventory[[#This Row],[living_area_range]],Lookups!$K$28:$M$37,3,FALSE),1)</f>
        <v>1.0061411172456287</v>
      </c>
      <c r="BY11" s="2">
        <f>AVERAGE(Wapato_Inventory[[#This Row],[qual_adj]:[range_adj]])</f>
        <v>0.96255501784660791</v>
      </c>
      <c r="BZ11" s="7">
        <f>(Wapato_Inventory[[#This Row],[sum_land]]-IF(Wapato_Inventory[[#This Row],[no_utilities]]=1,12000,0))/IF(Wapato_Inventory[[#This Row],[unbuildable]]=1,2,1)</f>
        <v>58300</v>
      </c>
      <c r="CA11" s="7">
        <f>Wapato_Inventory[[#This Row],[pre_res]]*Wapato_Inventory[[#This Row],[overall_adj]]</f>
        <v>141155.52014672969</v>
      </c>
      <c r="CB11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11" s="3">
        <f>IF(ROUND(Wapato_Inventory[[#This Row],[adj_res]]*Lookups!$H$48,-2)&lt;Wapato_Inventory[[#This Row],[min_res]],Wapato_Inventory[[#This Row],[min_res]],ROUND(Wapato_Inventory[[#This Row],[adj_res]]*Lookups!$H$48,-2))</f>
        <v>134100</v>
      </c>
      <c r="CD11" s="3">
        <f>ROUND(Wapato_Inventory[[#This Row],[det_value]]*Lookups!$H$48,-2)</f>
        <v>6900</v>
      </c>
      <c r="CE11" s="3">
        <f>Wapato_Inventory[[#This Row],[final_res]]+Wapato_Inventory[[#This Row],[final_det]]</f>
        <v>141000</v>
      </c>
      <c r="CF11" s="3">
        <f>Wapato_Inventory[[#This Row],[crop_value]]+Wapato_Inventory[[#This Row],[final_land]]+Wapato_Inventory[[#This Row],[final_imp]]</f>
        <v>196400</v>
      </c>
      <c r="CH11" t="str">
        <f t="shared" si="0"/>
        <v>update valuation set market_land =55400, market_bldg=141000, market_total =196400, market_mdno =405, market_date ='9/10/2023' where link_id = (select link_id from parcel where parcel_year = '2024' and parcel_id = '19110941411');</v>
      </c>
    </row>
    <row r="12" spans="1:87" x14ac:dyDescent="0.25">
      <c r="A12">
        <v>19110941413</v>
      </c>
      <c r="B12">
        <v>0.4</v>
      </c>
      <c r="C12">
        <v>17490</v>
      </c>
      <c r="D12" t="s">
        <v>144</v>
      </c>
      <c r="E12" t="s">
        <v>54</v>
      </c>
      <c r="F12" t="s">
        <v>54</v>
      </c>
      <c r="G12">
        <v>3</v>
      </c>
      <c r="H12" t="s">
        <v>55</v>
      </c>
      <c r="I12">
        <v>143200</v>
      </c>
      <c r="J12">
        <v>38800</v>
      </c>
      <c r="K12">
        <v>0.4</v>
      </c>
      <c r="L12">
        <f>IF(Wapato_Inventory[[#This Row],[parcel_acres]]-Wapato_Inventory[[#This Row],[non_valued_acres]] =0,0,LN(Wapato_Inventory[[#This Row],[parcel_acres]]-Wapato_Inventory[[#This Row],[non_valued_acres]]))</f>
        <v>-0.916290731874155</v>
      </c>
      <c r="M12">
        <v>0</v>
      </c>
      <c r="N12">
        <v>0</v>
      </c>
      <c r="O12">
        <v>0</v>
      </c>
      <c r="P12">
        <v>27904.037</v>
      </c>
      <c r="Q12">
        <v>74398</v>
      </c>
      <c r="R12" s="3">
        <f>(Wapato_Inventory[[#This Row],[ln_acres]]*Wapato_Inventory[[#This Row],[coeff]])+Wapato_Inventory[[#This Row],[const]]</f>
        <v>48829.789515026496</v>
      </c>
      <c r="S12" t="s">
        <v>66</v>
      </c>
      <c r="T12">
        <v>1</v>
      </c>
      <c r="U12" t="s">
        <v>71</v>
      </c>
      <c r="V12" t="s">
        <v>68</v>
      </c>
      <c r="W12">
        <v>0</v>
      </c>
      <c r="X12">
        <v>0</v>
      </c>
      <c r="Y12">
        <v>51</v>
      </c>
      <c r="Z12">
        <v>78</v>
      </c>
      <c r="AA12">
        <v>80</v>
      </c>
      <c r="AB12">
        <v>1500</v>
      </c>
      <c r="AC12">
        <v>1296</v>
      </c>
      <c r="AD12">
        <v>1296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504</v>
      </c>
      <c r="AL12">
        <v>0</v>
      </c>
      <c r="AM12">
        <v>300</v>
      </c>
      <c r="AN12">
        <v>60</v>
      </c>
      <c r="AO12">
        <v>300</v>
      </c>
      <c r="AP12">
        <v>5</v>
      </c>
      <c r="AQ12">
        <v>1</v>
      </c>
      <c r="AR12">
        <v>0</v>
      </c>
      <c r="AS12" t="s">
        <v>59</v>
      </c>
      <c r="AT12">
        <v>1</v>
      </c>
      <c r="AU12" t="s">
        <v>72</v>
      </c>
      <c r="AV12" t="s">
        <v>61</v>
      </c>
      <c r="AW12">
        <v>0</v>
      </c>
      <c r="AX12">
        <v>3</v>
      </c>
      <c r="AY12">
        <v>0</v>
      </c>
      <c r="AZ12">
        <v>8300</v>
      </c>
      <c r="BA12">
        <v>100</v>
      </c>
      <c r="BB12">
        <v>100</v>
      </c>
      <c r="BC12">
        <v>100</v>
      </c>
      <c r="BD12">
        <v>100</v>
      </c>
      <c r="BE12">
        <v>1</v>
      </c>
      <c r="BF12">
        <v>15000</v>
      </c>
      <c r="BG12">
        <v>1000</v>
      </c>
      <c r="BH12" s="7">
        <f>ROUND(Wapato_Inventory[[#This Row],[detatched_value]]*Lookups!$B$22*Lookups!$H$48,-2)</f>
        <v>7400</v>
      </c>
      <c r="BI12" s="7">
        <f>ROUND(((Wapato_Inventory[[#This Row],[land_extract]]*Lookups!$B$3) +(Lookups!$B$2*0.5))*Lookups!$H$48,-2)</f>
        <v>55800</v>
      </c>
      <c r="BJ12" s="7">
        <f>IF(Wapato_Inventory[[#This Row],[bldg_style]]="",0,Lookups!$B$2*0.5)</f>
        <v>53765.27</v>
      </c>
      <c r="BK12" s="7">
        <f>_xlfn.IFNA(VLOOKUP(Wapato_Inventory[[#This Row],[quality]],Lookups!$H$2:$J$14,3,FALSE),0)</f>
        <v>28034</v>
      </c>
      <c r="BL12" s="7">
        <f>_xlfn.IFNA(VLOOKUP(Wapato_Inventory[[#This Row],[condition]],Lookups!$H$17:$J$24,3,FALSE),0)</f>
        <v>52231</v>
      </c>
      <c r="BM12" s="7">
        <f>Wapato_Inventory[[#This Row],[Age]]*Lookups!$B$16</f>
        <v>-28912.704600000001</v>
      </c>
      <c r="BN12" s="7">
        <f>Wapato_Inventory[[#This Row],[Main Floor]]*Lookups!$B$17</f>
        <v>54173.757744000002</v>
      </c>
      <c r="BO12" s="7">
        <f>Wapato_Inventory[[#This Row],[Upper Floor]]*Lookups!$B$18</f>
        <v>0</v>
      </c>
      <c r="BP12" s="7">
        <f>Wapato_Inventory[[#This Row],[Fin BSMT]]*Lookups!$B$19</f>
        <v>0</v>
      </c>
      <c r="BQ12" s="7">
        <f>(Wapato_Inventory[[#This Row],[att_gar]]+Wapato_Inventory[[#This Row],[blt_gar]])*Lookups!$B$20</f>
        <v>0</v>
      </c>
      <c r="BR12" s="7">
        <f>Wapato_Inventory[[#This Row],[Patio]]*Lookups!$B$21</f>
        <v>12997.1937</v>
      </c>
      <c r="BS12" s="7">
        <f>SUM(Wapato_Inventory[[#This Row],[intercept]:[patio_value]])*Wapato_Inventory[[#This Row],[res_pct]]</f>
        <v>172288.516844</v>
      </c>
      <c r="BT12" s="7">
        <f>Wapato_Inventory[[#This Row],[land_value]]</f>
        <v>55800</v>
      </c>
      <c r="BU12" s="2">
        <f>_xlfn.IFNA(VLOOKUP(Wapato_Inventory[[#This Row],[quality]],Lookups!$A$28:$C$37,3,FALSE),1)</f>
        <v>0.96265813922927435</v>
      </c>
      <c r="BV12" s="2">
        <f>_xlfn.IFNA(VLOOKUP(Wapato_Inventory[[#This Row],[condition]],Lookups!$A$41:$C$48,3,FALSE),1)</f>
        <v>0.9832333997567807</v>
      </c>
      <c r="BW12" s="2">
        <f>IF(Wapato_Inventory[[#This Row],[decade]]="",1,_xlfn.IFNA(VLOOKUP(Wapato_Inventory[[#This Row],[decade]],Lookups!$F$28:$H$45,3,FALSE),1))</f>
        <v>0.8438929209510081</v>
      </c>
      <c r="BX12" s="2">
        <f>_xlfn.IFNA(VLOOKUP(Wapato_Inventory[[#This Row],[living_area_range]],Lookups!$K$28:$M$37,3,FALSE),1)</f>
        <v>1.0061411172456287</v>
      </c>
      <c r="BY12" s="2">
        <f>AVERAGE(Wapato_Inventory[[#This Row],[qual_adj]:[range_adj]])</f>
        <v>0.94898139429567296</v>
      </c>
      <c r="BZ12" s="7">
        <f>(Wapato_Inventory[[#This Row],[sum_land]]-IF(Wapato_Inventory[[#This Row],[no_utilities]]=1,12000,0))/IF(Wapato_Inventory[[#This Row],[unbuildable]]=1,2,1)</f>
        <v>55800</v>
      </c>
      <c r="CA12" s="7">
        <f>Wapato_Inventory[[#This Row],[pre_res]]*Wapato_Inventory[[#This Row],[overall_adj]]</f>
        <v>163498.59693575266</v>
      </c>
      <c r="CB12" s="3">
        <f>IF(ROUND(Wapato_Inventory[[#This Row],[adj_land]]*Lookups!$H$48,-2)&lt;Wapato_Inventory[[#This Row],[min_land]],Wapato_Inventory[[#This Row],[min_land]],ROUND(Wapato_Inventory[[#This Row],[adj_land]]*Lookups!$H$48,-2))</f>
        <v>53000</v>
      </c>
      <c r="CC12" s="3">
        <f>IF(ROUND(Wapato_Inventory[[#This Row],[adj_res]]*Lookups!$H$48,-2)&lt;Wapato_Inventory[[#This Row],[min_res]],Wapato_Inventory[[#This Row],[min_res]],ROUND(Wapato_Inventory[[#This Row],[adj_res]]*Lookups!$H$48,-2))</f>
        <v>155300</v>
      </c>
      <c r="CD12" s="3">
        <f>ROUND(Wapato_Inventory[[#This Row],[det_value]]*Lookups!$H$48,-2)</f>
        <v>7000</v>
      </c>
      <c r="CE12" s="3">
        <f>Wapato_Inventory[[#This Row],[final_res]]+Wapato_Inventory[[#This Row],[final_det]]</f>
        <v>162300</v>
      </c>
      <c r="CF12" s="3">
        <f>Wapato_Inventory[[#This Row],[crop_value]]+Wapato_Inventory[[#This Row],[final_land]]+Wapato_Inventory[[#This Row],[final_imp]]</f>
        <v>215300</v>
      </c>
      <c r="CH12" t="str">
        <f t="shared" si="0"/>
        <v>update valuation set market_land =53000, market_bldg=162300, market_total =215300, market_mdno =405, market_date ='9/10/2023' where link_id = (select link_id from parcel where parcel_year = '2024' and parcel_id = '19110941413');</v>
      </c>
    </row>
    <row r="13" spans="1:87" x14ac:dyDescent="0.25">
      <c r="A13">
        <v>19110941414</v>
      </c>
      <c r="B13">
        <v>1</v>
      </c>
      <c r="C13">
        <v>43561</v>
      </c>
      <c r="D13" t="s">
        <v>144</v>
      </c>
      <c r="E13" t="s">
        <v>54</v>
      </c>
      <c r="F13" t="s">
        <v>54</v>
      </c>
      <c r="G13">
        <v>3</v>
      </c>
      <c r="H13" t="s">
        <v>55</v>
      </c>
      <c r="I13">
        <v>130600</v>
      </c>
      <c r="J13">
        <v>45300</v>
      </c>
      <c r="K13">
        <v>1</v>
      </c>
      <c r="L13">
        <f>IF(Wapato_Inventory[[#This Row],[parcel_acres]]-Wapato_Inventory[[#This Row],[non_valued_acres]] =0,0,LN(Wapato_Inventory[[#This Row],[parcel_acres]]-Wapato_Inventory[[#This Row],[non_valued_acres]]))</f>
        <v>0</v>
      </c>
      <c r="M13">
        <v>0</v>
      </c>
      <c r="N13">
        <v>0</v>
      </c>
      <c r="O13">
        <v>0</v>
      </c>
      <c r="P13">
        <v>27904.037</v>
      </c>
      <c r="Q13">
        <v>74398</v>
      </c>
      <c r="R13" s="3">
        <f>(Wapato_Inventory[[#This Row],[ln_acres]]*Wapato_Inventory[[#This Row],[coeff]])+Wapato_Inventory[[#This Row],[const]]</f>
        <v>74398</v>
      </c>
      <c r="S13" t="s">
        <v>66</v>
      </c>
      <c r="T13">
        <v>1</v>
      </c>
      <c r="U13" t="s">
        <v>71</v>
      </c>
      <c r="V13" t="s">
        <v>68</v>
      </c>
      <c r="W13">
        <v>0</v>
      </c>
      <c r="X13">
        <v>0</v>
      </c>
      <c r="Y13">
        <v>48</v>
      </c>
      <c r="Z13">
        <v>63</v>
      </c>
      <c r="AA13">
        <v>70</v>
      </c>
      <c r="AB13">
        <v>1500</v>
      </c>
      <c r="AC13">
        <v>1104</v>
      </c>
      <c r="AD13">
        <v>1104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252</v>
      </c>
      <c r="AM13">
        <v>220</v>
      </c>
      <c r="AN13">
        <v>0</v>
      </c>
      <c r="AO13">
        <v>472</v>
      </c>
      <c r="AP13">
        <v>5</v>
      </c>
      <c r="AQ13">
        <v>0</v>
      </c>
      <c r="AR13">
        <v>0</v>
      </c>
      <c r="AS13" t="s">
        <v>59</v>
      </c>
      <c r="AT13">
        <v>1</v>
      </c>
      <c r="AU13" t="s">
        <v>64</v>
      </c>
      <c r="AV13" t="s">
        <v>77</v>
      </c>
      <c r="AW13">
        <v>0</v>
      </c>
      <c r="AX13">
        <v>3</v>
      </c>
      <c r="AY13">
        <v>0</v>
      </c>
      <c r="AZ13">
        <v>1600</v>
      </c>
      <c r="BA13">
        <v>100</v>
      </c>
      <c r="BB13">
        <v>100</v>
      </c>
      <c r="BC13">
        <v>100</v>
      </c>
      <c r="BD13">
        <v>100</v>
      </c>
      <c r="BE13">
        <v>1</v>
      </c>
      <c r="BF13">
        <v>15000</v>
      </c>
      <c r="BG13">
        <v>1000</v>
      </c>
      <c r="BH13" s="7">
        <f>ROUND(Wapato_Inventory[[#This Row],[detatched_value]]*Lookups!$B$22*Lookups!$H$48,-2)</f>
        <v>1400</v>
      </c>
      <c r="BI13" s="7">
        <f>ROUND(((Wapato_Inventory[[#This Row],[land_extract]]*Lookups!$B$3) +(Lookups!$B$2*0.5))*Lookups!$H$48,-2)</f>
        <v>58300</v>
      </c>
      <c r="BJ13" s="7">
        <f>IF(Wapato_Inventory[[#This Row],[bldg_style]]="",0,Lookups!$B$2*0.5)</f>
        <v>53765.27</v>
      </c>
      <c r="BK13" s="7">
        <f>_xlfn.IFNA(VLOOKUP(Wapato_Inventory[[#This Row],[quality]],Lookups!$H$2:$J$14,3,FALSE),0)</f>
        <v>28034</v>
      </c>
      <c r="BL13" s="7">
        <f>_xlfn.IFNA(VLOOKUP(Wapato_Inventory[[#This Row],[condition]],Lookups!$H$17:$J$24,3,FALSE),0)</f>
        <v>52231</v>
      </c>
      <c r="BM13" s="7">
        <f>Wapato_Inventory[[#This Row],[Age]]*Lookups!$B$16</f>
        <v>-23352.569100000001</v>
      </c>
      <c r="BN13" s="7">
        <f>Wapato_Inventory[[#This Row],[Main Floor]]*Lookups!$B$17</f>
        <v>46148.015855999998</v>
      </c>
      <c r="BO13" s="7">
        <f>Wapato_Inventory[[#This Row],[Upper Floor]]*Lookups!$B$18</f>
        <v>0</v>
      </c>
      <c r="BP13" s="7">
        <f>Wapato_Inventory[[#This Row],[Fin BSMT]]*Lookups!$B$19</f>
        <v>0</v>
      </c>
      <c r="BQ13" s="7">
        <f>(Wapato_Inventory[[#This Row],[att_gar]]+Wapato_Inventory[[#This Row],[blt_gar]])*Lookups!$B$20</f>
        <v>0</v>
      </c>
      <c r="BR13" s="7">
        <f>Wapato_Inventory[[#This Row],[Patio]]*Lookups!$B$21</f>
        <v>9531.275380000001</v>
      </c>
      <c r="BS13" s="7">
        <f>SUM(Wapato_Inventory[[#This Row],[intercept]:[patio_value]])*Wapato_Inventory[[#This Row],[res_pct]]</f>
        <v>166356.99213600002</v>
      </c>
      <c r="BT13" s="7">
        <f>Wapato_Inventory[[#This Row],[land_value]]</f>
        <v>58300</v>
      </c>
      <c r="BU13" s="2">
        <f>_xlfn.IFNA(VLOOKUP(Wapato_Inventory[[#This Row],[quality]],Lookups!$A$28:$C$37,3,FALSE),1)</f>
        <v>0.96265813922927435</v>
      </c>
      <c r="BV13" s="2">
        <f>_xlfn.IFNA(VLOOKUP(Wapato_Inventory[[#This Row],[condition]],Lookups!$A$41:$C$48,3,FALSE),1)</f>
        <v>0.9832333997567807</v>
      </c>
      <c r="BW13" s="2">
        <f>IF(Wapato_Inventory[[#This Row],[decade]]="",1,_xlfn.IFNA(VLOOKUP(Wapato_Inventory[[#This Row],[decade]],Lookups!$F$28:$H$45,3,FALSE),1))</f>
        <v>1.0012715221492001</v>
      </c>
      <c r="BX13" s="2">
        <f>_xlfn.IFNA(VLOOKUP(Wapato_Inventory[[#This Row],[living_area_range]],Lookups!$K$28:$M$37,3,FALSE),1)</f>
        <v>1.0061411172456287</v>
      </c>
      <c r="BY13" s="2">
        <f>AVERAGE(Wapato_Inventory[[#This Row],[qual_adj]:[range_adj]])</f>
        <v>0.98832604459522089</v>
      </c>
      <c r="BZ13" s="7">
        <f>(Wapato_Inventory[[#This Row],[sum_land]]-IF(Wapato_Inventory[[#This Row],[no_utilities]]=1,12000,0))/IF(Wapato_Inventory[[#This Row],[unbuildable]]=1,2,1)</f>
        <v>58300</v>
      </c>
      <c r="CA13" s="7">
        <f>Wapato_Inventory[[#This Row],[pre_res]]*Wapato_Inventory[[#This Row],[overall_adj]]</f>
        <v>164414.94802853116</v>
      </c>
      <c r="CB13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13" s="3">
        <f>IF(ROUND(Wapato_Inventory[[#This Row],[adj_res]]*Lookups!$H$48,-2)&lt;Wapato_Inventory[[#This Row],[min_res]],Wapato_Inventory[[#This Row],[min_res]],ROUND(Wapato_Inventory[[#This Row],[adj_res]]*Lookups!$H$48,-2))</f>
        <v>156200</v>
      </c>
      <c r="CD13" s="3">
        <f>ROUND(Wapato_Inventory[[#This Row],[det_value]]*Lookups!$H$48,-2)</f>
        <v>1300</v>
      </c>
      <c r="CE13" s="3">
        <f>Wapato_Inventory[[#This Row],[final_res]]+Wapato_Inventory[[#This Row],[final_det]]</f>
        <v>157500</v>
      </c>
      <c r="CF13" s="3">
        <f>Wapato_Inventory[[#This Row],[crop_value]]+Wapato_Inventory[[#This Row],[final_land]]+Wapato_Inventory[[#This Row],[final_imp]]</f>
        <v>212900</v>
      </c>
      <c r="CH13" t="str">
        <f t="shared" si="0"/>
        <v>update valuation set market_land =55400, market_bldg=157500, market_total =212900, market_mdno =405, market_date ='9/10/2023' where link_id = (select link_id from parcel where parcel_year = '2024' and parcel_id = '19110941414');</v>
      </c>
    </row>
    <row r="14" spans="1:87" x14ac:dyDescent="0.25">
      <c r="A14">
        <v>19110941415</v>
      </c>
      <c r="B14">
        <v>1.35</v>
      </c>
      <c r="C14">
        <v>58708</v>
      </c>
      <c r="D14" t="s">
        <v>144</v>
      </c>
      <c r="E14" t="s">
        <v>54</v>
      </c>
      <c r="F14" t="s">
        <v>54</v>
      </c>
      <c r="G14">
        <v>3</v>
      </c>
      <c r="H14" t="s">
        <v>55</v>
      </c>
      <c r="I14">
        <v>220300</v>
      </c>
      <c r="J14">
        <v>47400</v>
      </c>
      <c r="K14">
        <v>1.35</v>
      </c>
      <c r="L14">
        <f>IF(Wapato_Inventory[[#This Row],[parcel_acres]]-Wapato_Inventory[[#This Row],[non_valued_acres]] =0,0,LN(Wapato_Inventory[[#This Row],[parcel_acres]]-Wapato_Inventory[[#This Row],[non_valued_acres]]))</f>
        <v>0.30010459245033816</v>
      </c>
      <c r="M14">
        <v>0</v>
      </c>
      <c r="N14">
        <v>0</v>
      </c>
      <c r="O14">
        <v>0</v>
      </c>
      <c r="P14">
        <v>27904.037</v>
      </c>
      <c r="Q14">
        <v>74398</v>
      </c>
      <c r="R14" s="3">
        <f>(Wapato_Inventory[[#This Row],[ln_acres]]*Wapato_Inventory[[#This Row],[coeff]])+Wapato_Inventory[[#This Row],[const]]</f>
        <v>82772.129651604162</v>
      </c>
      <c r="S14" t="s">
        <v>66</v>
      </c>
      <c r="T14">
        <v>1</v>
      </c>
      <c r="U14" t="s">
        <v>75</v>
      </c>
      <c r="V14" t="s">
        <v>69</v>
      </c>
      <c r="W14">
        <v>0</v>
      </c>
      <c r="X14">
        <v>0</v>
      </c>
      <c r="Y14">
        <v>51</v>
      </c>
      <c r="Z14">
        <v>83</v>
      </c>
      <c r="AA14">
        <v>90</v>
      </c>
      <c r="AB14">
        <v>2000</v>
      </c>
      <c r="AC14">
        <v>1628</v>
      </c>
      <c r="AD14">
        <v>1628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372</v>
      </c>
      <c r="AL14">
        <v>0</v>
      </c>
      <c r="AM14">
        <v>0</v>
      </c>
      <c r="AN14">
        <v>353</v>
      </c>
      <c r="AO14">
        <v>0</v>
      </c>
      <c r="AP14">
        <v>5</v>
      </c>
      <c r="AQ14">
        <v>1</v>
      </c>
      <c r="AR14">
        <v>0</v>
      </c>
      <c r="AS14" t="s">
        <v>59</v>
      </c>
      <c r="AT14">
        <v>0</v>
      </c>
      <c r="AU14" t="s">
        <v>153</v>
      </c>
      <c r="AV14" t="s">
        <v>147</v>
      </c>
      <c r="AW14">
        <v>0</v>
      </c>
      <c r="AX14">
        <v>4</v>
      </c>
      <c r="AY14">
        <v>0</v>
      </c>
      <c r="AZ14">
        <v>4700</v>
      </c>
      <c r="BA14">
        <v>100</v>
      </c>
      <c r="BB14">
        <v>100</v>
      </c>
      <c r="BC14">
        <v>100</v>
      </c>
      <c r="BD14">
        <v>100</v>
      </c>
      <c r="BE14">
        <v>1</v>
      </c>
      <c r="BF14">
        <v>15000</v>
      </c>
      <c r="BG14">
        <v>1000</v>
      </c>
      <c r="BH14" s="7">
        <f>ROUND(Wapato_Inventory[[#This Row],[detatched_value]]*Lookups!$B$22*Lookups!$H$48,-2)</f>
        <v>4200</v>
      </c>
      <c r="BI14" s="7">
        <f>ROUND(((Wapato_Inventory[[#This Row],[land_extract]]*Lookups!$B$3) +(Lookups!$B$2*0.5))*Lookups!$H$48,-2)</f>
        <v>59100</v>
      </c>
      <c r="BJ14" s="7">
        <f>IF(Wapato_Inventory[[#This Row],[bldg_style]]="",0,Lookups!$B$2*0.5)</f>
        <v>53765.27</v>
      </c>
      <c r="BK14" s="7">
        <f>_xlfn.IFNA(VLOOKUP(Wapato_Inventory[[#This Row],[quality]],Lookups!$H$2:$J$14,3,FALSE),0)</f>
        <v>48043</v>
      </c>
      <c r="BL14" s="7">
        <f>_xlfn.IFNA(VLOOKUP(Wapato_Inventory[[#This Row],[condition]],Lookups!$H$17:$J$24,3,FALSE),0)</f>
        <v>74543</v>
      </c>
      <c r="BM14" s="7">
        <f>Wapato_Inventory[[#This Row],[Age]]*Lookups!$B$16</f>
        <v>-30766.0831</v>
      </c>
      <c r="BN14" s="7">
        <f>Wapato_Inventory[[#This Row],[Main Floor]]*Lookups!$B$17</f>
        <v>68051.603092000005</v>
      </c>
      <c r="BO14" s="7">
        <f>Wapato_Inventory[[#This Row],[Upper Floor]]*Lookups!$B$18</f>
        <v>0</v>
      </c>
      <c r="BP14" s="7">
        <f>Wapato_Inventory[[#This Row],[Fin BSMT]]*Lookups!$B$19</f>
        <v>0</v>
      </c>
      <c r="BQ14" s="7">
        <f>(Wapato_Inventory[[#This Row],[att_gar]]+Wapato_Inventory[[#This Row],[blt_gar]])*Lookups!$B$20</f>
        <v>0</v>
      </c>
      <c r="BR14" s="7">
        <f>Wapato_Inventory[[#This Row],[Patio]]*Lookups!$B$21</f>
        <v>0</v>
      </c>
      <c r="BS14" s="7">
        <f>SUM(Wapato_Inventory[[#This Row],[intercept]:[patio_value]])*Wapato_Inventory[[#This Row],[res_pct]]</f>
        <v>213636.78999200001</v>
      </c>
      <c r="BT14" s="7">
        <f>Wapato_Inventory[[#This Row],[land_value]]</f>
        <v>59100</v>
      </c>
      <c r="BU14" s="2">
        <f>_xlfn.IFNA(VLOOKUP(Wapato_Inventory[[#This Row],[quality]],Lookups!$A$28:$C$37,3,FALSE),1)</f>
        <v>0.98196844879778955</v>
      </c>
      <c r="BV14" s="2">
        <f>_xlfn.IFNA(VLOOKUP(Wapato_Inventory[[#This Row],[condition]],Lookups!$A$41:$C$48,3,FALSE),1)</f>
        <v>0.98442438223270734</v>
      </c>
      <c r="BW14" s="2">
        <f>IF(Wapato_Inventory[[#This Row],[decade]]="",1,_xlfn.IFNA(VLOOKUP(Wapato_Inventory[[#This Row],[decade]],Lookups!$F$28:$H$45,3,FALSE),1))</f>
        <v>0.94742695999815718</v>
      </c>
      <c r="BX14" s="2">
        <f>_xlfn.IFNA(VLOOKUP(Wapato_Inventory[[#This Row],[living_area_range]],Lookups!$K$28:$M$37,3,FALSE),1)</f>
        <v>0.99330894324714125</v>
      </c>
      <c r="BY14" s="2">
        <f>AVERAGE(Wapato_Inventory[[#This Row],[qual_adj]:[range_adj]])</f>
        <v>0.97678218356894875</v>
      </c>
      <c r="BZ14" s="7">
        <f>(Wapato_Inventory[[#This Row],[sum_land]]-IF(Wapato_Inventory[[#This Row],[no_utilities]]=1,12000,0))/IF(Wapato_Inventory[[#This Row],[unbuildable]]=1,2,1)</f>
        <v>59100</v>
      </c>
      <c r="CA14" s="7">
        <f>Wapato_Inventory[[#This Row],[pre_res]]*Wapato_Inventory[[#This Row],[overall_adj]]</f>
        <v>208676.61021904671</v>
      </c>
      <c r="CB14" s="3">
        <f>IF(ROUND(Wapato_Inventory[[#This Row],[adj_land]]*Lookups!$H$48,-2)&lt;Wapato_Inventory[[#This Row],[min_land]],Wapato_Inventory[[#This Row],[min_land]],ROUND(Wapato_Inventory[[#This Row],[adj_land]]*Lookups!$H$48,-2))</f>
        <v>56100</v>
      </c>
      <c r="CC14" s="3">
        <f>IF(ROUND(Wapato_Inventory[[#This Row],[adj_res]]*Lookups!$H$48,-2)&lt;Wapato_Inventory[[#This Row],[min_res]],Wapato_Inventory[[#This Row],[min_res]],ROUND(Wapato_Inventory[[#This Row],[adj_res]]*Lookups!$H$48,-2))</f>
        <v>198200</v>
      </c>
      <c r="CD14" s="3">
        <f>ROUND(Wapato_Inventory[[#This Row],[det_value]]*Lookups!$H$48,-2)</f>
        <v>4000</v>
      </c>
      <c r="CE14" s="3">
        <f>Wapato_Inventory[[#This Row],[final_res]]+Wapato_Inventory[[#This Row],[final_det]]</f>
        <v>202200</v>
      </c>
      <c r="CF14" s="3">
        <f>Wapato_Inventory[[#This Row],[crop_value]]+Wapato_Inventory[[#This Row],[final_land]]+Wapato_Inventory[[#This Row],[final_imp]]</f>
        <v>258300</v>
      </c>
      <c r="CH14" t="str">
        <f t="shared" si="0"/>
        <v>update valuation set market_land =56100, market_bldg=202200, market_total =258300, market_mdno =405, market_date ='9/10/2023' where link_id = (select link_id from parcel where parcel_year = '2024' and parcel_id = '19110941415');</v>
      </c>
    </row>
    <row r="15" spans="1:87" x14ac:dyDescent="0.25">
      <c r="A15">
        <v>19110941416</v>
      </c>
      <c r="B15">
        <v>1.17</v>
      </c>
      <c r="C15">
        <v>50870</v>
      </c>
      <c r="D15" t="s">
        <v>144</v>
      </c>
      <c r="E15" t="s">
        <v>54</v>
      </c>
      <c r="F15" t="s">
        <v>54</v>
      </c>
      <c r="G15">
        <v>3</v>
      </c>
      <c r="H15" t="s">
        <v>55</v>
      </c>
      <c r="I15">
        <v>282200</v>
      </c>
      <c r="J15">
        <v>46300</v>
      </c>
      <c r="K15">
        <v>1.17</v>
      </c>
      <c r="L15">
        <f>IF(Wapato_Inventory[[#This Row],[parcel_acres]]-Wapato_Inventory[[#This Row],[non_valued_acres]] =0,0,LN(Wapato_Inventory[[#This Row],[parcel_acres]]-Wapato_Inventory[[#This Row],[non_valued_acres]]))</f>
        <v>0.15700374880966469</v>
      </c>
      <c r="M15">
        <v>0</v>
      </c>
      <c r="N15">
        <v>0</v>
      </c>
      <c r="O15">
        <v>0</v>
      </c>
      <c r="P15">
        <v>27904.037</v>
      </c>
      <c r="Q15">
        <v>74398</v>
      </c>
      <c r="R15" s="3">
        <f>(Wapato_Inventory[[#This Row],[ln_acres]]*Wapato_Inventory[[#This Row],[coeff]])+Wapato_Inventory[[#This Row],[const]]</f>
        <v>78779.038415923584</v>
      </c>
      <c r="S15" t="s">
        <v>66</v>
      </c>
      <c r="T15">
        <v>1</v>
      </c>
      <c r="U15" t="s">
        <v>65</v>
      </c>
      <c r="V15" t="s">
        <v>69</v>
      </c>
      <c r="W15">
        <v>0</v>
      </c>
      <c r="X15">
        <v>0</v>
      </c>
      <c r="Y15">
        <v>50</v>
      </c>
      <c r="Z15">
        <v>72</v>
      </c>
      <c r="AA15">
        <v>80</v>
      </c>
      <c r="AB15">
        <v>1500</v>
      </c>
      <c r="AC15">
        <v>1496</v>
      </c>
      <c r="AD15">
        <v>1496</v>
      </c>
      <c r="AE15">
        <v>0</v>
      </c>
      <c r="AF15">
        <v>0</v>
      </c>
      <c r="AG15">
        <v>0</v>
      </c>
      <c r="AH15">
        <v>0</v>
      </c>
      <c r="AI15">
        <v>676</v>
      </c>
      <c r="AJ15">
        <v>0</v>
      </c>
      <c r="AK15">
        <v>0</v>
      </c>
      <c r="AL15">
        <v>0</v>
      </c>
      <c r="AM15">
        <v>494</v>
      </c>
      <c r="AN15">
        <v>0</v>
      </c>
      <c r="AO15">
        <v>0</v>
      </c>
      <c r="AP15">
        <v>8</v>
      </c>
      <c r="AQ15">
        <v>0</v>
      </c>
      <c r="AR15">
        <v>0</v>
      </c>
      <c r="AS15" t="s">
        <v>59</v>
      </c>
      <c r="AT15">
        <v>1</v>
      </c>
      <c r="AU15" t="s">
        <v>64</v>
      </c>
      <c r="AV15" t="s">
        <v>61</v>
      </c>
      <c r="AW15">
        <v>0</v>
      </c>
      <c r="AX15">
        <v>3</v>
      </c>
      <c r="AY15">
        <v>0</v>
      </c>
      <c r="AZ15">
        <v>7100</v>
      </c>
      <c r="BA15">
        <v>100</v>
      </c>
      <c r="BB15">
        <v>100</v>
      </c>
      <c r="BC15">
        <v>100</v>
      </c>
      <c r="BD15">
        <v>100</v>
      </c>
      <c r="BE15">
        <v>1</v>
      </c>
      <c r="BF15">
        <v>15000</v>
      </c>
      <c r="BG15">
        <v>1000</v>
      </c>
      <c r="BH15" s="7">
        <f>ROUND(Wapato_Inventory[[#This Row],[detatched_value]]*Lookups!$B$22*Lookups!$H$48,-2)</f>
        <v>6300</v>
      </c>
      <c r="BI15" s="7">
        <f>ROUND(((Wapato_Inventory[[#This Row],[land_extract]]*Lookups!$B$3) +(Lookups!$B$2*0.5))*Lookups!$H$48,-2)</f>
        <v>58700</v>
      </c>
      <c r="BJ15" s="7">
        <f>IF(Wapato_Inventory[[#This Row],[bldg_style]]="",0,Lookups!$B$2*0.5)</f>
        <v>53765.27</v>
      </c>
      <c r="BK15" s="7">
        <f>_xlfn.IFNA(VLOOKUP(Wapato_Inventory[[#This Row],[quality]],Lookups!$H$2:$J$14,3,FALSE),0)</f>
        <v>92307</v>
      </c>
      <c r="BL15" s="7">
        <f>_xlfn.IFNA(VLOOKUP(Wapato_Inventory[[#This Row],[condition]],Lookups!$H$17:$J$24,3,FALSE),0)</f>
        <v>74543</v>
      </c>
      <c r="BM15" s="7">
        <f>Wapato_Inventory[[#This Row],[Age]]*Lookups!$B$16</f>
        <v>-26688.650399999999</v>
      </c>
      <c r="BN15" s="7">
        <f>Wapato_Inventory[[#This Row],[Main Floor]]*Lookups!$B$17</f>
        <v>62533.905544000001</v>
      </c>
      <c r="BO15" s="7">
        <f>Wapato_Inventory[[#This Row],[Upper Floor]]*Lookups!$B$18</f>
        <v>0</v>
      </c>
      <c r="BP15" s="7">
        <f>Wapato_Inventory[[#This Row],[Fin BSMT]]*Lookups!$B$19</f>
        <v>0</v>
      </c>
      <c r="BQ15" s="7">
        <f>(Wapato_Inventory[[#This Row],[att_gar]]+Wapato_Inventory[[#This Row],[blt_gar]])*Lookups!$B$20</f>
        <v>25017.916352</v>
      </c>
      <c r="BR15" s="7">
        <f>Wapato_Inventory[[#This Row],[Patio]]*Lookups!$B$21</f>
        <v>21402.045625999999</v>
      </c>
      <c r="BS15" s="7">
        <f>SUM(Wapato_Inventory[[#This Row],[intercept]:[patio_value]])*Wapato_Inventory[[#This Row],[res_pct]]</f>
        <v>302880.48712199996</v>
      </c>
      <c r="BT15" s="7">
        <f>Wapato_Inventory[[#This Row],[land_value]]</f>
        <v>58700</v>
      </c>
      <c r="BU15" s="2">
        <f>_xlfn.IFNA(VLOOKUP(Wapato_Inventory[[#This Row],[quality]],Lookups!$A$28:$C$37,3,FALSE),1)</f>
        <v>1.0013727718490204</v>
      </c>
      <c r="BV15" s="2">
        <f>_xlfn.IFNA(VLOOKUP(Wapato_Inventory[[#This Row],[condition]],Lookups!$A$41:$C$48,3,FALSE),1)</f>
        <v>0.98442438223270734</v>
      </c>
      <c r="BW15" s="2">
        <f>IF(Wapato_Inventory[[#This Row],[decade]]="",1,_xlfn.IFNA(VLOOKUP(Wapato_Inventory[[#This Row],[decade]],Lookups!$F$28:$H$45,3,FALSE),1))</f>
        <v>0.8438929209510081</v>
      </c>
      <c r="BX15" s="2">
        <f>_xlfn.IFNA(VLOOKUP(Wapato_Inventory[[#This Row],[living_area_range]],Lookups!$K$28:$M$37,3,FALSE),1)</f>
        <v>1.0061411172456287</v>
      </c>
      <c r="BY15" s="2">
        <f>AVERAGE(Wapato_Inventory[[#This Row],[qual_adj]:[range_adj]])</f>
        <v>0.95895779806959114</v>
      </c>
      <c r="BZ15" s="7">
        <f>(Wapato_Inventory[[#This Row],[sum_land]]-IF(Wapato_Inventory[[#This Row],[no_utilities]]=1,12000,0))/IF(Wapato_Inventory[[#This Row],[unbuildable]]=1,2,1)</f>
        <v>58700</v>
      </c>
      <c r="CA15" s="7">
        <f>Wapato_Inventory[[#This Row],[pre_res]]*Wapato_Inventory[[#This Row],[overall_adj]]</f>
        <v>290449.60500875826</v>
      </c>
      <c r="CB15" s="3">
        <f>IF(ROUND(Wapato_Inventory[[#This Row],[adj_land]]*Lookups!$H$48,-2)&lt;Wapato_Inventory[[#This Row],[min_land]],Wapato_Inventory[[#This Row],[min_land]],ROUND(Wapato_Inventory[[#This Row],[adj_land]]*Lookups!$H$48,-2))</f>
        <v>55800</v>
      </c>
      <c r="CC15" s="3">
        <f>IF(ROUND(Wapato_Inventory[[#This Row],[adj_res]]*Lookups!$H$48,-2)&lt;Wapato_Inventory[[#This Row],[min_res]],Wapato_Inventory[[#This Row],[min_res]],ROUND(Wapato_Inventory[[#This Row],[adj_res]]*Lookups!$H$48,-2))</f>
        <v>275900</v>
      </c>
      <c r="CD15" s="3">
        <f>ROUND(Wapato_Inventory[[#This Row],[det_value]]*Lookups!$H$48,-2)</f>
        <v>6000</v>
      </c>
      <c r="CE15" s="3">
        <f>Wapato_Inventory[[#This Row],[final_res]]+Wapato_Inventory[[#This Row],[final_det]]</f>
        <v>281900</v>
      </c>
      <c r="CF15" s="3">
        <f>Wapato_Inventory[[#This Row],[crop_value]]+Wapato_Inventory[[#This Row],[final_land]]+Wapato_Inventory[[#This Row],[final_imp]]</f>
        <v>337700</v>
      </c>
      <c r="CH15" t="str">
        <f t="shared" si="0"/>
        <v>update valuation set market_land =55800, market_bldg=281900, market_total =337700, market_mdno =405, market_date ='9/10/2023' where link_id = (select link_id from parcel where parcel_year = '2024' and parcel_id = '19110941416');</v>
      </c>
    </row>
    <row r="16" spans="1:87" x14ac:dyDescent="0.25">
      <c r="A16">
        <v>19110941417</v>
      </c>
      <c r="B16">
        <v>0.44</v>
      </c>
      <c r="C16">
        <v>19275</v>
      </c>
      <c r="D16" t="s">
        <v>144</v>
      </c>
      <c r="E16" t="s">
        <v>54</v>
      </c>
      <c r="F16" t="s">
        <v>54</v>
      </c>
      <c r="G16">
        <v>3</v>
      </c>
      <c r="H16" t="s">
        <v>55</v>
      </c>
      <c r="I16">
        <v>234000</v>
      </c>
      <c r="J16">
        <v>39400</v>
      </c>
      <c r="K16">
        <v>0.44</v>
      </c>
      <c r="L16">
        <f>IF(Wapato_Inventory[[#This Row],[parcel_acres]]-Wapato_Inventory[[#This Row],[non_valued_acres]] =0,0,LN(Wapato_Inventory[[#This Row],[parcel_acres]]-Wapato_Inventory[[#This Row],[non_valued_acres]]))</f>
        <v>-0.82098055206983023</v>
      </c>
      <c r="M16">
        <v>0</v>
      </c>
      <c r="N16">
        <v>0</v>
      </c>
      <c r="O16">
        <v>0</v>
      </c>
      <c r="P16">
        <v>27904.037</v>
      </c>
      <c r="Q16">
        <v>74398</v>
      </c>
      <c r="R16" s="3">
        <f>(Wapato_Inventory[[#This Row],[ln_acres]]*Wapato_Inventory[[#This Row],[coeff]])+Wapato_Inventory[[#This Row],[const]]</f>
        <v>51489.32829876303</v>
      </c>
      <c r="S16" t="s">
        <v>62</v>
      </c>
      <c r="T16">
        <v>1</v>
      </c>
      <c r="U16" t="s">
        <v>67</v>
      </c>
      <c r="V16" t="s">
        <v>68</v>
      </c>
      <c r="W16">
        <v>0</v>
      </c>
      <c r="X16">
        <v>0</v>
      </c>
      <c r="Y16">
        <v>48</v>
      </c>
      <c r="Z16">
        <v>63</v>
      </c>
      <c r="AA16">
        <v>70</v>
      </c>
      <c r="AB16">
        <v>2000</v>
      </c>
      <c r="AC16">
        <v>1704</v>
      </c>
      <c r="AD16">
        <v>1704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360</v>
      </c>
      <c r="AL16">
        <v>0</v>
      </c>
      <c r="AM16">
        <v>0</v>
      </c>
      <c r="AN16">
        <v>84</v>
      </c>
      <c r="AO16">
        <v>0</v>
      </c>
      <c r="AP16">
        <v>5</v>
      </c>
      <c r="AQ16">
        <v>0</v>
      </c>
      <c r="AR16">
        <v>0</v>
      </c>
      <c r="AS16" t="s">
        <v>79</v>
      </c>
      <c r="AT16">
        <v>1</v>
      </c>
      <c r="AU16" t="s">
        <v>64</v>
      </c>
      <c r="AV16" t="s">
        <v>61</v>
      </c>
      <c r="AW16">
        <v>0</v>
      </c>
      <c r="AX16">
        <v>3</v>
      </c>
      <c r="AY16">
        <v>0</v>
      </c>
      <c r="AZ16">
        <v>10500</v>
      </c>
      <c r="BA16">
        <v>100</v>
      </c>
      <c r="BB16">
        <v>100</v>
      </c>
      <c r="BC16">
        <v>100</v>
      </c>
      <c r="BD16">
        <v>100</v>
      </c>
      <c r="BE16">
        <v>1</v>
      </c>
      <c r="BF16">
        <v>15000</v>
      </c>
      <c r="BG16">
        <v>1000</v>
      </c>
      <c r="BH16" s="7">
        <f>ROUND(Wapato_Inventory[[#This Row],[detatched_value]]*Lookups!$B$22*Lookups!$H$48,-2)</f>
        <v>9400</v>
      </c>
      <c r="BI16" s="7">
        <f>ROUND(((Wapato_Inventory[[#This Row],[land_extract]]*Lookups!$B$3) +(Lookups!$B$2*0.5))*Lookups!$H$48,-2)</f>
        <v>56000</v>
      </c>
      <c r="BJ16" s="7">
        <f>IF(Wapato_Inventory[[#This Row],[bldg_style]]="",0,Lookups!$B$2*0.5)</f>
        <v>53765.27</v>
      </c>
      <c r="BK16" s="7">
        <f>_xlfn.IFNA(VLOOKUP(Wapato_Inventory[[#This Row],[quality]],Lookups!$H$2:$J$14,3,FALSE),0)</f>
        <v>50405</v>
      </c>
      <c r="BL16" s="7">
        <f>_xlfn.IFNA(VLOOKUP(Wapato_Inventory[[#This Row],[condition]],Lookups!$H$17:$J$24,3,FALSE),0)</f>
        <v>52231</v>
      </c>
      <c r="BM16" s="7">
        <f>Wapato_Inventory[[#This Row],[Age]]*Lookups!$B$16</f>
        <v>-23352.569100000001</v>
      </c>
      <c r="BN16" s="7">
        <f>Wapato_Inventory[[#This Row],[Main Floor]]*Lookups!$B$17</f>
        <v>71228.459256000002</v>
      </c>
      <c r="BO16" s="7">
        <f>Wapato_Inventory[[#This Row],[Upper Floor]]*Lookups!$B$18</f>
        <v>0</v>
      </c>
      <c r="BP16" s="7">
        <f>Wapato_Inventory[[#This Row],[Fin BSMT]]*Lookups!$B$19</f>
        <v>0</v>
      </c>
      <c r="BQ16" s="7">
        <f>(Wapato_Inventory[[#This Row],[att_gar]]+Wapato_Inventory[[#This Row],[blt_gar]])*Lookups!$B$20</f>
        <v>0</v>
      </c>
      <c r="BR16" s="7">
        <f>Wapato_Inventory[[#This Row],[Patio]]*Lookups!$B$21</f>
        <v>0</v>
      </c>
      <c r="BS16" s="7">
        <f>SUM(Wapato_Inventory[[#This Row],[intercept]:[patio_value]])*Wapato_Inventory[[#This Row],[res_pct]]</f>
        <v>204277.160156</v>
      </c>
      <c r="BT16" s="7">
        <f>Wapato_Inventory[[#This Row],[land_value]]</f>
        <v>56000</v>
      </c>
      <c r="BU16" s="2">
        <f>_xlfn.IFNA(VLOOKUP(Wapato_Inventory[[#This Row],[quality]],Lookups!$A$28:$C$37,3,FALSE),1)</f>
        <v>0.97993206410140754</v>
      </c>
      <c r="BV16" s="2">
        <f>_xlfn.IFNA(VLOOKUP(Wapato_Inventory[[#This Row],[condition]],Lookups!$A$41:$C$48,3,FALSE),1)</f>
        <v>0.9832333997567807</v>
      </c>
      <c r="BW16" s="2">
        <f>IF(Wapato_Inventory[[#This Row],[decade]]="",1,_xlfn.IFNA(VLOOKUP(Wapato_Inventory[[#This Row],[decade]],Lookups!$F$28:$H$45,3,FALSE),1))</f>
        <v>1.0012715221492001</v>
      </c>
      <c r="BX16" s="2">
        <f>_xlfn.IFNA(VLOOKUP(Wapato_Inventory[[#This Row],[living_area_range]],Lookups!$K$28:$M$37,3,FALSE),1)</f>
        <v>0.99330894324714125</v>
      </c>
      <c r="BY16" s="2">
        <f>AVERAGE(Wapato_Inventory[[#This Row],[qual_adj]:[range_adj]])</f>
        <v>0.98943648231363246</v>
      </c>
      <c r="BZ16" s="7">
        <f>(Wapato_Inventory[[#This Row],[sum_land]]-IF(Wapato_Inventory[[#This Row],[no_utilities]]=1,12000,0))/IF(Wapato_Inventory[[#This Row],[unbuildable]]=1,2,1)</f>
        <v>56000</v>
      </c>
      <c r="CA16" s="7">
        <f>Wapato_Inventory[[#This Row],[pre_res]]*Wapato_Inventory[[#This Row],[overall_adj]]</f>
        <v>202119.27476177114</v>
      </c>
      <c r="CB16" s="3">
        <f>IF(ROUND(Wapato_Inventory[[#This Row],[adj_land]]*Lookups!$H$48,-2)&lt;Wapato_Inventory[[#This Row],[min_land]],Wapato_Inventory[[#This Row],[min_land]],ROUND(Wapato_Inventory[[#This Row],[adj_land]]*Lookups!$H$48,-2))</f>
        <v>53200</v>
      </c>
      <c r="CC16" s="3">
        <f>IF(ROUND(Wapato_Inventory[[#This Row],[adj_res]]*Lookups!$H$48,-2)&lt;Wapato_Inventory[[#This Row],[min_res]],Wapato_Inventory[[#This Row],[min_res]],ROUND(Wapato_Inventory[[#This Row],[adj_res]]*Lookups!$H$48,-2))</f>
        <v>192000</v>
      </c>
      <c r="CD16" s="3">
        <f>ROUND(Wapato_Inventory[[#This Row],[det_value]]*Lookups!$H$48,-2)</f>
        <v>8900</v>
      </c>
      <c r="CE16" s="3">
        <f>Wapato_Inventory[[#This Row],[final_res]]+Wapato_Inventory[[#This Row],[final_det]]</f>
        <v>200900</v>
      </c>
      <c r="CF16" s="3">
        <f>Wapato_Inventory[[#This Row],[crop_value]]+Wapato_Inventory[[#This Row],[final_land]]+Wapato_Inventory[[#This Row],[final_imp]]</f>
        <v>254100</v>
      </c>
      <c r="CH16" t="str">
        <f t="shared" si="0"/>
        <v>update valuation set market_land =53200, market_bldg=200900, market_total =254100, market_mdno =405, market_date ='9/10/2023' where link_id = (select link_id from parcel where parcel_year = '2024' and parcel_id = '19110941417');</v>
      </c>
    </row>
    <row r="17" spans="1:86" x14ac:dyDescent="0.25">
      <c r="A17">
        <v>19110941419</v>
      </c>
      <c r="B17">
        <v>0.24</v>
      </c>
      <c r="C17">
        <v>10400</v>
      </c>
      <c r="D17" t="s">
        <v>144</v>
      </c>
      <c r="E17" t="s">
        <v>54</v>
      </c>
      <c r="F17" t="s">
        <v>54</v>
      </c>
      <c r="G17">
        <v>3</v>
      </c>
      <c r="H17" t="s">
        <v>55</v>
      </c>
      <c r="I17">
        <v>164100</v>
      </c>
      <c r="J17">
        <v>35200</v>
      </c>
      <c r="K17">
        <v>0.24</v>
      </c>
      <c r="L17">
        <f>IF(Wapato_Inventory[[#This Row],[parcel_acres]]-Wapato_Inventory[[#This Row],[non_valued_acres]] =0,0,LN(Wapato_Inventory[[#This Row],[parcel_acres]]-Wapato_Inventory[[#This Row],[non_valued_acres]]))</f>
        <v>-1.4271163556401458</v>
      </c>
      <c r="M17">
        <v>0</v>
      </c>
      <c r="N17">
        <v>0</v>
      </c>
      <c r="O17">
        <v>0</v>
      </c>
      <c r="P17">
        <v>27904.037</v>
      </c>
      <c r="Q17">
        <v>74398</v>
      </c>
      <c r="R17" s="3">
        <f>(Wapato_Inventory[[#This Row],[ln_acres]]*Wapato_Inventory[[#This Row],[coeff]])+Wapato_Inventory[[#This Row],[const]]</f>
        <v>34575.692408912211</v>
      </c>
      <c r="S17" t="s">
        <v>66</v>
      </c>
      <c r="T17">
        <v>1</v>
      </c>
      <c r="U17" t="s">
        <v>75</v>
      </c>
      <c r="V17" t="s">
        <v>68</v>
      </c>
      <c r="W17">
        <v>0</v>
      </c>
      <c r="X17">
        <v>0</v>
      </c>
      <c r="Y17">
        <v>53</v>
      </c>
      <c r="Z17">
        <v>93</v>
      </c>
      <c r="AA17">
        <v>100</v>
      </c>
      <c r="AB17">
        <v>1500</v>
      </c>
      <c r="AC17">
        <v>1356</v>
      </c>
      <c r="AD17">
        <v>1356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126</v>
      </c>
      <c r="AM17">
        <v>160</v>
      </c>
      <c r="AN17">
        <v>0</v>
      </c>
      <c r="AO17">
        <v>160</v>
      </c>
      <c r="AP17">
        <v>5</v>
      </c>
      <c r="AQ17">
        <v>0</v>
      </c>
      <c r="AR17">
        <v>0</v>
      </c>
      <c r="AS17" t="s">
        <v>59</v>
      </c>
      <c r="AT17">
        <v>1</v>
      </c>
      <c r="AU17" t="s">
        <v>64</v>
      </c>
      <c r="AV17" t="s">
        <v>65</v>
      </c>
      <c r="AW17">
        <v>0</v>
      </c>
      <c r="AX17">
        <v>2</v>
      </c>
      <c r="AY17">
        <v>0</v>
      </c>
      <c r="AZ17">
        <v>9500</v>
      </c>
      <c r="BA17">
        <v>100</v>
      </c>
      <c r="BB17">
        <v>100</v>
      </c>
      <c r="BC17">
        <v>100</v>
      </c>
      <c r="BD17">
        <v>100</v>
      </c>
      <c r="BE17">
        <v>1</v>
      </c>
      <c r="BF17">
        <v>15000</v>
      </c>
      <c r="BG17">
        <v>1000</v>
      </c>
      <c r="BH17" s="7">
        <f>ROUND(Wapato_Inventory[[#This Row],[detatched_value]]*Lookups!$B$22*Lookups!$H$48,-2)</f>
        <v>8500</v>
      </c>
      <c r="BI17" s="7">
        <f>ROUND(((Wapato_Inventory[[#This Row],[land_extract]]*Lookups!$B$3) +(Lookups!$B$2*0.5))*Lookups!$H$48,-2)</f>
        <v>54400</v>
      </c>
      <c r="BJ17" s="7">
        <f>IF(Wapato_Inventory[[#This Row],[bldg_style]]="",0,Lookups!$B$2*0.5)</f>
        <v>53765.27</v>
      </c>
      <c r="BK17" s="7">
        <f>_xlfn.IFNA(VLOOKUP(Wapato_Inventory[[#This Row],[quality]],Lookups!$H$2:$J$14,3,FALSE),0)</f>
        <v>48043</v>
      </c>
      <c r="BL17" s="7">
        <f>_xlfn.IFNA(VLOOKUP(Wapato_Inventory[[#This Row],[condition]],Lookups!$H$17:$J$24,3,FALSE),0)</f>
        <v>52231</v>
      </c>
      <c r="BM17" s="7">
        <f>Wapato_Inventory[[#This Row],[Age]]*Lookups!$B$16</f>
        <v>-34472.840100000001</v>
      </c>
      <c r="BN17" s="7">
        <f>Wapato_Inventory[[#This Row],[Main Floor]]*Lookups!$B$17</f>
        <v>56681.802084000003</v>
      </c>
      <c r="BO17" s="7">
        <f>Wapato_Inventory[[#This Row],[Upper Floor]]*Lookups!$B$18</f>
        <v>0</v>
      </c>
      <c r="BP17" s="7">
        <f>Wapato_Inventory[[#This Row],[Fin BSMT]]*Lookups!$B$19</f>
        <v>0</v>
      </c>
      <c r="BQ17" s="7">
        <f>(Wapato_Inventory[[#This Row],[att_gar]]+Wapato_Inventory[[#This Row],[blt_gar]])*Lookups!$B$20</f>
        <v>0</v>
      </c>
      <c r="BR17" s="7">
        <f>Wapato_Inventory[[#This Row],[Patio]]*Lookups!$B$21</f>
        <v>6931.8366400000004</v>
      </c>
      <c r="BS17" s="7">
        <f>SUM(Wapato_Inventory[[#This Row],[intercept]:[patio_value]])*Wapato_Inventory[[#This Row],[res_pct]]</f>
        <v>183180.06862399998</v>
      </c>
      <c r="BT17" s="7">
        <f>Wapato_Inventory[[#This Row],[land_value]]</f>
        <v>54400</v>
      </c>
      <c r="BU17" s="2">
        <f>_xlfn.IFNA(VLOOKUP(Wapato_Inventory[[#This Row],[quality]],Lookups!$A$28:$C$37,3,FALSE),1)</f>
        <v>0.98196844879778955</v>
      </c>
      <c r="BV17" s="2">
        <f>_xlfn.IFNA(VLOOKUP(Wapato_Inventory[[#This Row],[condition]],Lookups!$A$41:$C$48,3,FALSE),1)</f>
        <v>0.9832333997567807</v>
      </c>
      <c r="BW17" s="2">
        <f>IF(Wapato_Inventory[[#This Row],[decade]]="",1,_xlfn.IFNA(VLOOKUP(Wapato_Inventory[[#This Row],[decade]],Lookups!$F$28:$H$45,3,FALSE),1))</f>
        <v>1.0114203040664467</v>
      </c>
      <c r="BX17" s="2">
        <f>_xlfn.IFNA(VLOOKUP(Wapato_Inventory[[#This Row],[living_area_range]],Lookups!$K$28:$M$37,3,FALSE),1)</f>
        <v>1.0061411172456287</v>
      </c>
      <c r="BY17" s="2">
        <f>AVERAGE(Wapato_Inventory[[#This Row],[qual_adj]:[range_adj]])</f>
        <v>0.99569081746666144</v>
      </c>
      <c r="BZ17" s="7">
        <f>(Wapato_Inventory[[#This Row],[sum_land]]-IF(Wapato_Inventory[[#This Row],[no_utilities]]=1,12000,0))/IF(Wapato_Inventory[[#This Row],[unbuildable]]=1,2,1)</f>
        <v>54400</v>
      </c>
      <c r="CA17" s="7">
        <f>Wapato_Inventory[[#This Row],[pre_res]]*Wapato_Inventory[[#This Row],[overall_adj]]</f>
        <v>182390.71227182969</v>
      </c>
      <c r="CB17" s="3">
        <f>IF(ROUND(Wapato_Inventory[[#This Row],[adj_land]]*Lookups!$H$48,-2)&lt;Wapato_Inventory[[#This Row],[min_land]],Wapato_Inventory[[#This Row],[min_land]],ROUND(Wapato_Inventory[[#This Row],[adj_land]]*Lookups!$H$48,-2))</f>
        <v>51700</v>
      </c>
      <c r="CC17" s="3">
        <f>IF(ROUND(Wapato_Inventory[[#This Row],[adj_res]]*Lookups!$H$48,-2)&lt;Wapato_Inventory[[#This Row],[min_res]],Wapato_Inventory[[#This Row],[min_res]],ROUND(Wapato_Inventory[[#This Row],[adj_res]]*Lookups!$H$48,-2))</f>
        <v>173300</v>
      </c>
      <c r="CD17" s="3">
        <f>ROUND(Wapato_Inventory[[#This Row],[det_value]]*Lookups!$H$48,-2)</f>
        <v>8100</v>
      </c>
      <c r="CE17" s="3">
        <f>Wapato_Inventory[[#This Row],[final_res]]+Wapato_Inventory[[#This Row],[final_det]]</f>
        <v>181400</v>
      </c>
      <c r="CF17" s="3">
        <f>Wapato_Inventory[[#This Row],[crop_value]]+Wapato_Inventory[[#This Row],[final_land]]+Wapato_Inventory[[#This Row],[final_imp]]</f>
        <v>233100</v>
      </c>
      <c r="CH17" t="str">
        <f t="shared" si="0"/>
        <v>update valuation set market_land =51700, market_bldg=181400, market_total =233100, market_mdno =405, market_date ='9/10/2023' where link_id = (select link_id from parcel where parcel_year = '2024' and parcel_id = '19110941419');</v>
      </c>
    </row>
    <row r="18" spans="1:86" x14ac:dyDescent="0.25">
      <c r="A18">
        <v>19110941421</v>
      </c>
      <c r="B18">
        <v>2.35</v>
      </c>
      <c r="C18">
        <v>102267</v>
      </c>
      <c r="D18" t="s">
        <v>144</v>
      </c>
      <c r="E18" t="s">
        <v>54</v>
      </c>
      <c r="F18" t="s">
        <v>54</v>
      </c>
      <c r="G18">
        <v>3</v>
      </c>
      <c r="H18" t="s">
        <v>55</v>
      </c>
      <c r="I18">
        <v>119000</v>
      </c>
      <c r="J18">
        <v>51200</v>
      </c>
      <c r="K18">
        <v>2.35</v>
      </c>
      <c r="L18">
        <f>IF(Wapato_Inventory[[#This Row],[parcel_acres]]-Wapato_Inventory[[#This Row],[non_valued_acres]] =0,0,LN(Wapato_Inventory[[#This Row],[parcel_acres]]-Wapato_Inventory[[#This Row],[non_valued_acres]]))</f>
        <v>0.85441532815606758</v>
      </c>
      <c r="M18">
        <v>0</v>
      </c>
      <c r="N18">
        <v>0</v>
      </c>
      <c r="O18">
        <v>0</v>
      </c>
      <c r="P18">
        <v>27904.037</v>
      </c>
      <c r="Q18">
        <v>74398</v>
      </c>
      <c r="R18" s="3">
        <f>(Wapato_Inventory[[#This Row],[ln_acres]]*Wapato_Inventory[[#This Row],[coeff]])+Wapato_Inventory[[#This Row],[const]]</f>
        <v>98239.636930234046</v>
      </c>
      <c r="S18" t="s">
        <v>56</v>
      </c>
      <c r="T18">
        <v>1</v>
      </c>
      <c r="U18" t="s">
        <v>78</v>
      </c>
      <c r="V18" t="s">
        <v>68</v>
      </c>
      <c r="W18">
        <v>0</v>
      </c>
      <c r="X18">
        <v>0</v>
      </c>
      <c r="Y18">
        <v>55</v>
      </c>
      <c r="Z18">
        <v>98</v>
      </c>
      <c r="AA18">
        <v>100</v>
      </c>
      <c r="AB18">
        <v>1500</v>
      </c>
      <c r="AC18">
        <v>1140</v>
      </c>
      <c r="AD18">
        <v>780</v>
      </c>
      <c r="AE18">
        <v>360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5</v>
      </c>
      <c r="AQ18">
        <v>0</v>
      </c>
      <c r="AR18">
        <v>0</v>
      </c>
      <c r="AS18" t="s">
        <v>59</v>
      </c>
      <c r="AT18">
        <v>1</v>
      </c>
      <c r="AU18" t="s">
        <v>76</v>
      </c>
      <c r="AV18" t="s">
        <v>61</v>
      </c>
      <c r="AW18">
        <v>0</v>
      </c>
      <c r="AX18">
        <v>3</v>
      </c>
      <c r="AY18">
        <v>0</v>
      </c>
      <c r="AZ18">
        <v>6300</v>
      </c>
      <c r="BA18">
        <v>100</v>
      </c>
      <c r="BB18">
        <v>100</v>
      </c>
      <c r="BC18">
        <v>100</v>
      </c>
      <c r="BD18">
        <v>100</v>
      </c>
      <c r="BE18">
        <v>1</v>
      </c>
      <c r="BF18">
        <v>15000</v>
      </c>
      <c r="BG18">
        <v>1000</v>
      </c>
      <c r="BH18" s="7">
        <f>ROUND(Wapato_Inventory[[#This Row],[detatched_value]]*Lookups!$B$22*Lookups!$H$48,-2)</f>
        <v>5600</v>
      </c>
      <c r="BI18" s="7">
        <f>ROUND(((Wapato_Inventory[[#This Row],[land_extract]]*Lookups!$B$3) +(Lookups!$B$2*0.5))*Lookups!$H$48,-2)</f>
        <v>60600</v>
      </c>
      <c r="BJ18" s="7">
        <f>IF(Wapato_Inventory[[#This Row],[bldg_style]]="",0,Lookups!$B$2*0.5)</f>
        <v>53765.27</v>
      </c>
      <c r="BK18" s="7">
        <f>_xlfn.IFNA(VLOOKUP(Wapato_Inventory[[#This Row],[quality]],Lookups!$H$2:$J$14,3,FALSE),0)</f>
        <v>23424</v>
      </c>
      <c r="BL18" s="7">
        <f>_xlfn.IFNA(VLOOKUP(Wapato_Inventory[[#This Row],[condition]],Lookups!$H$17:$J$24,3,FALSE),0)</f>
        <v>52231</v>
      </c>
      <c r="BM18" s="7">
        <f>Wapato_Inventory[[#This Row],[Age]]*Lookups!$B$16</f>
        <v>-36326.2186</v>
      </c>
      <c r="BN18" s="7">
        <f>Wapato_Inventory[[#This Row],[Main Floor]]*Lookups!$B$17</f>
        <v>32604.576420000001</v>
      </c>
      <c r="BO18" s="7">
        <f>Wapato_Inventory[[#This Row],[Upper Floor]]*Lookups!$B$18</f>
        <v>17856.410040000002</v>
      </c>
      <c r="BP18" s="7">
        <f>Wapato_Inventory[[#This Row],[Fin BSMT]]*Lookups!$B$19</f>
        <v>0</v>
      </c>
      <c r="BQ18" s="7">
        <f>(Wapato_Inventory[[#This Row],[att_gar]]+Wapato_Inventory[[#This Row],[blt_gar]])*Lookups!$B$20</f>
        <v>0</v>
      </c>
      <c r="BR18" s="7">
        <f>Wapato_Inventory[[#This Row],[Patio]]*Lookups!$B$21</f>
        <v>0</v>
      </c>
      <c r="BS18" s="7">
        <f>SUM(Wapato_Inventory[[#This Row],[intercept]:[patio_value]])*Wapato_Inventory[[#This Row],[res_pct]]</f>
        <v>143555.03785999998</v>
      </c>
      <c r="BT18" s="7">
        <f>Wapato_Inventory[[#This Row],[land_value]]</f>
        <v>60600</v>
      </c>
      <c r="BU18" s="2">
        <f>_xlfn.IFNA(VLOOKUP(Wapato_Inventory[[#This Row],[quality]],Lookups!$A$28:$C$37,3,FALSE),1)</f>
        <v>1.0091195562373767</v>
      </c>
      <c r="BV18" s="2">
        <f>_xlfn.IFNA(VLOOKUP(Wapato_Inventory[[#This Row],[condition]],Lookups!$A$41:$C$48,3,FALSE),1)</f>
        <v>0.9832333997567807</v>
      </c>
      <c r="BW18" s="2">
        <f>IF(Wapato_Inventory[[#This Row],[decade]]="",1,_xlfn.IFNA(VLOOKUP(Wapato_Inventory[[#This Row],[decade]],Lookups!$F$28:$H$45,3,FALSE),1))</f>
        <v>1.0114203040664467</v>
      </c>
      <c r="BX18" s="2">
        <f>_xlfn.IFNA(VLOOKUP(Wapato_Inventory[[#This Row],[living_area_range]],Lookups!$K$28:$M$37,3,FALSE),1)</f>
        <v>1.0061411172456287</v>
      </c>
      <c r="BY18" s="2">
        <f>AVERAGE(Wapato_Inventory[[#This Row],[qual_adj]:[range_adj]])</f>
        <v>1.0024785943265582</v>
      </c>
      <c r="BZ18" s="7">
        <f>(Wapato_Inventory[[#This Row],[sum_land]]-IF(Wapato_Inventory[[#This Row],[no_utilities]]=1,12000,0))/IF(Wapato_Inventory[[#This Row],[unbuildable]]=1,2,1)</f>
        <v>60600</v>
      </c>
      <c r="CA18" s="7">
        <f>Wapato_Inventory[[#This Row],[pre_res]]*Wapato_Inventory[[#This Row],[overall_adj]]</f>
        <v>143910.85256238861</v>
      </c>
      <c r="CB18" s="3">
        <f>IF(ROUND(Wapato_Inventory[[#This Row],[adj_land]]*Lookups!$H$48,-2)&lt;Wapato_Inventory[[#This Row],[min_land]],Wapato_Inventory[[#This Row],[min_land]],ROUND(Wapato_Inventory[[#This Row],[adj_land]]*Lookups!$H$48,-2))</f>
        <v>57600</v>
      </c>
      <c r="CC18" s="3">
        <f>IF(ROUND(Wapato_Inventory[[#This Row],[adj_res]]*Lookups!$H$48,-2)&lt;Wapato_Inventory[[#This Row],[min_res]],Wapato_Inventory[[#This Row],[min_res]],ROUND(Wapato_Inventory[[#This Row],[adj_res]]*Lookups!$H$48,-2))</f>
        <v>136700</v>
      </c>
      <c r="CD18" s="3">
        <f>ROUND(Wapato_Inventory[[#This Row],[det_value]]*Lookups!$H$48,-2)</f>
        <v>5300</v>
      </c>
      <c r="CE18" s="3">
        <f>Wapato_Inventory[[#This Row],[final_res]]+Wapato_Inventory[[#This Row],[final_det]]</f>
        <v>142000</v>
      </c>
      <c r="CF18" s="3">
        <f>Wapato_Inventory[[#This Row],[crop_value]]+Wapato_Inventory[[#This Row],[final_land]]+Wapato_Inventory[[#This Row],[final_imp]]</f>
        <v>199600</v>
      </c>
      <c r="CH18" t="str">
        <f t="shared" si="0"/>
        <v>update valuation set market_land =57600, market_bldg=142000, market_total =199600, market_mdno =405, market_date ='9/10/2023' where link_id = (select link_id from parcel where parcel_year = '2024' and parcel_id = '19110941421');</v>
      </c>
    </row>
    <row r="19" spans="1:86" x14ac:dyDescent="0.25">
      <c r="A19">
        <v>19110941422</v>
      </c>
      <c r="B19">
        <v>2.35</v>
      </c>
      <c r="C19">
        <v>102273</v>
      </c>
      <c r="D19" t="s">
        <v>144</v>
      </c>
      <c r="E19" t="s">
        <v>54</v>
      </c>
      <c r="F19" t="s">
        <v>54</v>
      </c>
      <c r="G19">
        <v>3</v>
      </c>
      <c r="H19" t="s">
        <v>55</v>
      </c>
      <c r="I19">
        <v>135100</v>
      </c>
      <c r="J19">
        <v>51200</v>
      </c>
      <c r="K19">
        <v>2.35</v>
      </c>
      <c r="L19">
        <f>IF(Wapato_Inventory[[#This Row],[parcel_acres]]-Wapato_Inventory[[#This Row],[non_valued_acres]] =0,0,LN(Wapato_Inventory[[#This Row],[parcel_acres]]-Wapato_Inventory[[#This Row],[non_valued_acres]]))</f>
        <v>0.85441532815606758</v>
      </c>
      <c r="M19">
        <v>0</v>
      </c>
      <c r="N19">
        <v>0</v>
      </c>
      <c r="O19">
        <v>0</v>
      </c>
      <c r="P19">
        <v>27904.037</v>
      </c>
      <c r="Q19">
        <v>74398</v>
      </c>
      <c r="R19" s="3">
        <f>(Wapato_Inventory[[#This Row],[ln_acres]]*Wapato_Inventory[[#This Row],[coeff]])+Wapato_Inventory[[#This Row],[const]]</f>
        <v>98239.636930234046</v>
      </c>
      <c r="S19" t="s">
        <v>56</v>
      </c>
      <c r="T19">
        <v>1</v>
      </c>
      <c r="U19" t="s">
        <v>71</v>
      </c>
      <c r="V19" t="s">
        <v>68</v>
      </c>
      <c r="W19">
        <v>0</v>
      </c>
      <c r="X19">
        <v>0</v>
      </c>
      <c r="Y19">
        <v>53</v>
      </c>
      <c r="Z19">
        <v>93</v>
      </c>
      <c r="AA19">
        <v>100</v>
      </c>
      <c r="AB19">
        <v>1500</v>
      </c>
      <c r="AC19">
        <v>1160</v>
      </c>
      <c r="AD19">
        <v>840</v>
      </c>
      <c r="AE19">
        <v>320</v>
      </c>
      <c r="AF19">
        <v>0</v>
      </c>
      <c r="AG19">
        <v>0</v>
      </c>
      <c r="AH19">
        <v>210</v>
      </c>
      <c r="AI19">
        <v>0</v>
      </c>
      <c r="AJ19">
        <v>0</v>
      </c>
      <c r="AK19">
        <v>0</v>
      </c>
      <c r="AL19">
        <v>0</v>
      </c>
      <c r="AM19">
        <v>250</v>
      </c>
      <c r="AN19">
        <v>32</v>
      </c>
      <c r="AO19">
        <v>50</v>
      </c>
      <c r="AP19">
        <v>5</v>
      </c>
      <c r="AQ19">
        <v>0</v>
      </c>
      <c r="AR19">
        <v>0</v>
      </c>
      <c r="AS19" t="s">
        <v>59</v>
      </c>
      <c r="AT19">
        <v>0</v>
      </c>
      <c r="AU19" t="s">
        <v>80</v>
      </c>
      <c r="AV19" t="s">
        <v>77</v>
      </c>
      <c r="AW19">
        <v>0</v>
      </c>
      <c r="AX19">
        <v>3</v>
      </c>
      <c r="AY19">
        <v>0</v>
      </c>
      <c r="AZ19">
        <v>27400</v>
      </c>
      <c r="BA19">
        <v>100</v>
      </c>
      <c r="BB19">
        <v>100</v>
      </c>
      <c r="BC19">
        <v>100</v>
      </c>
      <c r="BD19">
        <v>100</v>
      </c>
      <c r="BE19">
        <v>1</v>
      </c>
      <c r="BF19">
        <v>15000</v>
      </c>
      <c r="BG19">
        <v>1000</v>
      </c>
      <c r="BH19" s="7">
        <f>ROUND(Wapato_Inventory[[#This Row],[detatched_value]]*Lookups!$B$22*Lookups!$H$48,-2)</f>
        <v>24500</v>
      </c>
      <c r="BI19" s="7">
        <f>ROUND(((Wapato_Inventory[[#This Row],[land_extract]]*Lookups!$B$3) +(Lookups!$B$2*0.5))*Lookups!$H$48,-2)</f>
        <v>60600</v>
      </c>
      <c r="BJ19" s="7">
        <f>IF(Wapato_Inventory[[#This Row],[bldg_style]]="",0,Lookups!$B$2*0.5)</f>
        <v>53765.27</v>
      </c>
      <c r="BK19" s="7">
        <f>_xlfn.IFNA(VLOOKUP(Wapato_Inventory[[#This Row],[quality]],Lookups!$H$2:$J$14,3,FALSE),0)</f>
        <v>28034</v>
      </c>
      <c r="BL19" s="7">
        <f>_xlfn.IFNA(VLOOKUP(Wapato_Inventory[[#This Row],[condition]],Lookups!$H$17:$J$24,3,FALSE),0)</f>
        <v>52231</v>
      </c>
      <c r="BM19" s="7">
        <f>Wapato_Inventory[[#This Row],[Age]]*Lookups!$B$16</f>
        <v>-34472.840100000001</v>
      </c>
      <c r="BN19" s="7">
        <f>Wapato_Inventory[[#This Row],[Main Floor]]*Lookups!$B$17</f>
        <v>35112.620759999998</v>
      </c>
      <c r="BO19" s="7">
        <f>Wapato_Inventory[[#This Row],[Upper Floor]]*Lookups!$B$18</f>
        <v>15872.36448</v>
      </c>
      <c r="BP19" s="7">
        <f>Wapato_Inventory[[#This Row],[Fin BSMT]]*Lookups!$B$19</f>
        <v>0</v>
      </c>
      <c r="BQ19" s="7">
        <f>(Wapato_Inventory[[#This Row],[att_gar]]+Wapato_Inventory[[#This Row],[blt_gar]])*Lookups!$B$20</f>
        <v>0</v>
      </c>
      <c r="BR19" s="7">
        <f>Wapato_Inventory[[#This Row],[Patio]]*Lookups!$B$21</f>
        <v>10830.99475</v>
      </c>
      <c r="BS19" s="7">
        <f>SUM(Wapato_Inventory[[#This Row],[intercept]:[patio_value]])*Wapato_Inventory[[#This Row],[res_pct]]</f>
        <v>161373.40988999998</v>
      </c>
      <c r="BT19" s="7">
        <f>Wapato_Inventory[[#This Row],[land_value]]</f>
        <v>60600</v>
      </c>
      <c r="BU19" s="2">
        <f>_xlfn.IFNA(VLOOKUP(Wapato_Inventory[[#This Row],[quality]],Lookups!$A$28:$C$37,3,FALSE),1)</f>
        <v>0.96265813922927435</v>
      </c>
      <c r="BV19" s="2">
        <f>_xlfn.IFNA(VLOOKUP(Wapato_Inventory[[#This Row],[condition]],Lookups!$A$41:$C$48,3,FALSE),1)</f>
        <v>0.9832333997567807</v>
      </c>
      <c r="BW19" s="2">
        <f>IF(Wapato_Inventory[[#This Row],[decade]]="",1,_xlfn.IFNA(VLOOKUP(Wapato_Inventory[[#This Row],[decade]],Lookups!$F$28:$H$45,3,FALSE),1))</f>
        <v>1.0114203040664467</v>
      </c>
      <c r="BX19" s="2">
        <f>_xlfn.IFNA(VLOOKUP(Wapato_Inventory[[#This Row],[living_area_range]],Lookups!$K$28:$M$37,3,FALSE),1)</f>
        <v>1.0061411172456287</v>
      </c>
      <c r="BY19" s="2">
        <f>AVERAGE(Wapato_Inventory[[#This Row],[qual_adj]:[range_adj]])</f>
        <v>0.99086324007453253</v>
      </c>
      <c r="BZ19" s="7">
        <f>(Wapato_Inventory[[#This Row],[sum_land]]-IF(Wapato_Inventory[[#This Row],[no_utilities]]=1,12000,0))/IF(Wapato_Inventory[[#This Row],[unbuildable]]=1,2,1)</f>
        <v>60600</v>
      </c>
      <c r="CA19" s="7">
        <f>Wapato_Inventory[[#This Row],[pre_res]]*Wapato_Inventory[[#This Row],[overall_adj]]</f>
        <v>159898.979785481</v>
      </c>
      <c r="CB19" s="3">
        <f>IF(ROUND(Wapato_Inventory[[#This Row],[adj_land]]*Lookups!$H$48,-2)&lt;Wapato_Inventory[[#This Row],[min_land]],Wapato_Inventory[[#This Row],[min_land]],ROUND(Wapato_Inventory[[#This Row],[adj_land]]*Lookups!$H$48,-2))</f>
        <v>57600</v>
      </c>
      <c r="CC19" s="3">
        <f>IF(ROUND(Wapato_Inventory[[#This Row],[adj_res]]*Lookups!$H$48,-2)&lt;Wapato_Inventory[[#This Row],[min_res]],Wapato_Inventory[[#This Row],[min_res]],ROUND(Wapato_Inventory[[#This Row],[adj_res]]*Lookups!$H$48,-2))</f>
        <v>151900</v>
      </c>
      <c r="CD19" s="3">
        <f>ROUND(Wapato_Inventory[[#This Row],[det_value]]*Lookups!$H$48,-2)</f>
        <v>23300</v>
      </c>
      <c r="CE19" s="3">
        <f>Wapato_Inventory[[#This Row],[final_res]]+Wapato_Inventory[[#This Row],[final_det]]</f>
        <v>175200</v>
      </c>
      <c r="CF19" s="3">
        <f>Wapato_Inventory[[#This Row],[crop_value]]+Wapato_Inventory[[#This Row],[final_land]]+Wapato_Inventory[[#This Row],[final_imp]]</f>
        <v>232800</v>
      </c>
      <c r="CH19" t="str">
        <f t="shared" si="0"/>
        <v>update valuation set market_land =57600, market_bldg=175200, market_total =232800, market_mdno =405, market_date ='9/10/2023' where link_id = (select link_id from parcel where parcel_year = '2024' and parcel_id = '19110941422');</v>
      </c>
    </row>
    <row r="20" spans="1:86" x14ac:dyDescent="0.25">
      <c r="A20">
        <v>19110941423</v>
      </c>
      <c r="B20">
        <v>2.35</v>
      </c>
      <c r="C20">
        <v>102273</v>
      </c>
      <c r="D20" t="s">
        <v>144</v>
      </c>
      <c r="E20" t="s">
        <v>54</v>
      </c>
      <c r="F20" t="s">
        <v>54</v>
      </c>
      <c r="G20">
        <v>3</v>
      </c>
      <c r="H20" t="s">
        <v>55</v>
      </c>
      <c r="I20">
        <v>195600</v>
      </c>
      <c r="J20">
        <v>51200</v>
      </c>
      <c r="K20">
        <v>2.35</v>
      </c>
      <c r="L20">
        <f>IF(Wapato_Inventory[[#This Row],[parcel_acres]]-Wapato_Inventory[[#This Row],[non_valued_acres]] =0,0,LN(Wapato_Inventory[[#This Row],[parcel_acres]]-Wapato_Inventory[[#This Row],[non_valued_acres]]))</f>
        <v>0.85441532815606758</v>
      </c>
      <c r="M20">
        <v>0</v>
      </c>
      <c r="N20">
        <v>0</v>
      </c>
      <c r="O20">
        <v>0</v>
      </c>
      <c r="P20">
        <v>27904.037</v>
      </c>
      <c r="Q20">
        <v>74398</v>
      </c>
      <c r="R20" s="3">
        <f>(Wapato_Inventory[[#This Row],[ln_acres]]*Wapato_Inventory[[#This Row],[coeff]])+Wapato_Inventory[[#This Row],[const]]</f>
        <v>98239.636930234046</v>
      </c>
      <c r="S20" t="s">
        <v>62</v>
      </c>
      <c r="T20">
        <v>1</v>
      </c>
      <c r="U20" t="s">
        <v>67</v>
      </c>
      <c r="V20" t="s">
        <v>68</v>
      </c>
      <c r="W20">
        <v>0</v>
      </c>
      <c r="X20">
        <v>0</v>
      </c>
      <c r="Y20">
        <v>48</v>
      </c>
      <c r="Z20">
        <v>61</v>
      </c>
      <c r="AA20">
        <v>70</v>
      </c>
      <c r="AB20">
        <v>1500</v>
      </c>
      <c r="AC20">
        <v>1420</v>
      </c>
      <c r="AD20">
        <v>1420</v>
      </c>
      <c r="AE20">
        <v>0</v>
      </c>
      <c r="AF20">
        <v>0</v>
      </c>
      <c r="AG20">
        <v>0</v>
      </c>
      <c r="AH20">
        <v>0</v>
      </c>
      <c r="AI20">
        <v>320</v>
      </c>
      <c r="AJ20">
        <v>0</v>
      </c>
      <c r="AK20">
        <v>0</v>
      </c>
      <c r="AL20">
        <v>0</v>
      </c>
      <c r="AM20">
        <v>396</v>
      </c>
      <c r="AN20">
        <v>0</v>
      </c>
      <c r="AO20">
        <v>396</v>
      </c>
      <c r="AP20">
        <v>5</v>
      </c>
      <c r="AQ20">
        <v>0</v>
      </c>
      <c r="AR20">
        <v>1</v>
      </c>
      <c r="AS20" t="s">
        <v>59</v>
      </c>
      <c r="AT20">
        <v>1</v>
      </c>
      <c r="AU20" t="s">
        <v>76</v>
      </c>
      <c r="AV20" t="s">
        <v>61</v>
      </c>
      <c r="AW20">
        <v>0</v>
      </c>
      <c r="AX20">
        <v>3</v>
      </c>
      <c r="AY20">
        <v>0</v>
      </c>
      <c r="AZ20">
        <v>14600</v>
      </c>
      <c r="BA20">
        <v>100</v>
      </c>
      <c r="BB20">
        <v>100</v>
      </c>
      <c r="BC20">
        <v>100</v>
      </c>
      <c r="BD20">
        <v>100</v>
      </c>
      <c r="BE20">
        <v>1</v>
      </c>
      <c r="BF20">
        <v>15000</v>
      </c>
      <c r="BG20">
        <v>1000</v>
      </c>
      <c r="BH20" s="7">
        <f>ROUND(Wapato_Inventory[[#This Row],[detatched_value]]*Lookups!$B$22*Lookups!$H$48,-2)</f>
        <v>13000</v>
      </c>
      <c r="BI20" s="7">
        <f>ROUND(((Wapato_Inventory[[#This Row],[land_extract]]*Lookups!$B$3) +(Lookups!$B$2*0.5))*Lookups!$H$48,-2)</f>
        <v>60600</v>
      </c>
      <c r="BJ20" s="7">
        <f>IF(Wapato_Inventory[[#This Row],[bldg_style]]="",0,Lookups!$B$2*0.5)</f>
        <v>53765.27</v>
      </c>
      <c r="BK20" s="7">
        <f>_xlfn.IFNA(VLOOKUP(Wapato_Inventory[[#This Row],[quality]],Lookups!$H$2:$J$14,3,FALSE),0)</f>
        <v>50405</v>
      </c>
      <c r="BL20" s="7">
        <f>_xlfn.IFNA(VLOOKUP(Wapato_Inventory[[#This Row],[condition]],Lookups!$H$17:$J$24,3,FALSE),0)</f>
        <v>52231</v>
      </c>
      <c r="BM20" s="7">
        <f>Wapato_Inventory[[#This Row],[Age]]*Lookups!$B$16</f>
        <v>-22611.217700000001</v>
      </c>
      <c r="BN20" s="7">
        <f>Wapato_Inventory[[#This Row],[Main Floor]]*Lookups!$B$17</f>
        <v>59357.049379999997</v>
      </c>
      <c r="BO20" s="7">
        <f>Wapato_Inventory[[#This Row],[Upper Floor]]*Lookups!$B$18</f>
        <v>0</v>
      </c>
      <c r="BP20" s="7">
        <f>Wapato_Inventory[[#This Row],[Fin BSMT]]*Lookups!$B$19</f>
        <v>0</v>
      </c>
      <c r="BQ20" s="7">
        <f>(Wapato_Inventory[[#This Row],[att_gar]]+Wapato_Inventory[[#This Row],[blt_gar]])*Lookups!$B$20</f>
        <v>11842.800640000001</v>
      </c>
      <c r="BR20" s="7">
        <f>Wapato_Inventory[[#This Row],[Patio]]*Lookups!$B$21</f>
        <v>17156.295684000001</v>
      </c>
      <c r="BS20" s="7">
        <f>SUM(Wapato_Inventory[[#This Row],[intercept]:[patio_value]])*Wapato_Inventory[[#This Row],[res_pct]]</f>
        <v>222146.19800399998</v>
      </c>
      <c r="BT20" s="7">
        <f>Wapato_Inventory[[#This Row],[land_value]]</f>
        <v>60600</v>
      </c>
      <c r="BU20" s="2">
        <f>_xlfn.IFNA(VLOOKUP(Wapato_Inventory[[#This Row],[quality]],Lookups!$A$28:$C$37,3,FALSE),1)</f>
        <v>0.97993206410140754</v>
      </c>
      <c r="BV20" s="2">
        <f>_xlfn.IFNA(VLOOKUP(Wapato_Inventory[[#This Row],[condition]],Lookups!$A$41:$C$48,3,FALSE),1)</f>
        <v>0.9832333997567807</v>
      </c>
      <c r="BW20" s="2">
        <f>IF(Wapato_Inventory[[#This Row],[decade]]="",1,_xlfn.IFNA(VLOOKUP(Wapato_Inventory[[#This Row],[decade]],Lookups!$F$28:$H$45,3,FALSE),1))</f>
        <v>1.0012715221492001</v>
      </c>
      <c r="BX20" s="2">
        <f>_xlfn.IFNA(VLOOKUP(Wapato_Inventory[[#This Row],[living_area_range]],Lookups!$K$28:$M$37,3,FALSE),1)</f>
        <v>1.0061411172456287</v>
      </c>
      <c r="BY20" s="2">
        <f>AVERAGE(Wapato_Inventory[[#This Row],[qual_adj]:[range_adj]])</f>
        <v>0.99264452581325435</v>
      </c>
      <c r="BZ20" s="7">
        <f>(Wapato_Inventory[[#This Row],[sum_land]]-IF(Wapato_Inventory[[#This Row],[no_utilities]]=1,12000,0))/IF(Wapato_Inventory[[#This Row],[unbuildable]]=1,2,1)</f>
        <v>60600</v>
      </c>
      <c r="CA20" s="7">
        <f>Wapato_Inventory[[#This Row],[pre_res]]*Wapato_Inventory[[#This Row],[overall_adj]]</f>
        <v>220512.20737889787</v>
      </c>
      <c r="CB20" s="3">
        <f>IF(ROUND(Wapato_Inventory[[#This Row],[adj_land]]*Lookups!$H$48,-2)&lt;Wapato_Inventory[[#This Row],[min_land]],Wapato_Inventory[[#This Row],[min_land]],ROUND(Wapato_Inventory[[#This Row],[adj_land]]*Lookups!$H$48,-2))</f>
        <v>57600</v>
      </c>
      <c r="CC20" s="3">
        <f>IF(ROUND(Wapato_Inventory[[#This Row],[adj_res]]*Lookups!$H$48,-2)&lt;Wapato_Inventory[[#This Row],[min_res]],Wapato_Inventory[[#This Row],[min_res]],ROUND(Wapato_Inventory[[#This Row],[adj_res]]*Lookups!$H$48,-2))</f>
        <v>209500</v>
      </c>
      <c r="CD20" s="3">
        <f>ROUND(Wapato_Inventory[[#This Row],[det_value]]*Lookups!$H$48,-2)</f>
        <v>12400</v>
      </c>
      <c r="CE20" s="3">
        <f>Wapato_Inventory[[#This Row],[final_res]]+Wapato_Inventory[[#This Row],[final_det]]</f>
        <v>221900</v>
      </c>
      <c r="CF20" s="3">
        <f>Wapato_Inventory[[#This Row],[crop_value]]+Wapato_Inventory[[#This Row],[final_land]]+Wapato_Inventory[[#This Row],[final_imp]]</f>
        <v>279500</v>
      </c>
      <c r="CH20" t="str">
        <f t="shared" si="0"/>
        <v>update valuation set market_land =57600, market_bldg=221900, market_total =279500, market_mdno =405, market_date ='9/10/2023' where link_id = (select link_id from parcel where parcel_year = '2024' and parcel_id = '19110941423');</v>
      </c>
    </row>
    <row r="21" spans="1:86" x14ac:dyDescent="0.25">
      <c r="A21">
        <v>19110941425</v>
      </c>
      <c r="B21">
        <v>0.88</v>
      </c>
      <c r="C21">
        <v>38361</v>
      </c>
      <c r="D21" t="s">
        <v>144</v>
      </c>
      <c r="E21" t="s">
        <v>54</v>
      </c>
      <c r="F21" t="s">
        <v>54</v>
      </c>
      <c r="G21">
        <v>3</v>
      </c>
      <c r="H21" t="s">
        <v>55</v>
      </c>
      <c r="I21">
        <v>95000</v>
      </c>
      <c r="J21">
        <v>44300</v>
      </c>
      <c r="K21">
        <v>0.88</v>
      </c>
      <c r="L21">
        <f>IF(Wapato_Inventory[[#This Row],[parcel_acres]]-Wapato_Inventory[[#This Row],[non_valued_acres]] =0,0,LN(Wapato_Inventory[[#This Row],[parcel_acres]]-Wapato_Inventory[[#This Row],[non_valued_acres]]))</f>
        <v>-0.12783337150988489</v>
      </c>
      <c r="M21">
        <v>0</v>
      </c>
      <c r="N21">
        <v>0</v>
      </c>
      <c r="O21">
        <v>0</v>
      </c>
      <c r="P21">
        <v>27904.037</v>
      </c>
      <c r="Q21">
        <v>74398</v>
      </c>
      <c r="R21" s="3">
        <f>(Wapato_Inventory[[#This Row],[ln_acres]]*Wapato_Inventory[[#This Row],[coeff]])+Wapato_Inventory[[#This Row],[const]]</f>
        <v>70830.932871553421</v>
      </c>
      <c r="S21" t="s">
        <v>56</v>
      </c>
      <c r="T21">
        <v>2</v>
      </c>
      <c r="U21" t="s">
        <v>71</v>
      </c>
      <c r="V21" t="s">
        <v>73</v>
      </c>
      <c r="W21">
        <v>0</v>
      </c>
      <c r="X21">
        <v>0</v>
      </c>
      <c r="Y21">
        <v>57</v>
      </c>
      <c r="Z21">
        <v>103</v>
      </c>
      <c r="AA21">
        <v>110</v>
      </c>
      <c r="AB21">
        <v>1500</v>
      </c>
      <c r="AC21">
        <v>1320</v>
      </c>
      <c r="AD21">
        <v>984</v>
      </c>
      <c r="AE21">
        <v>336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5</v>
      </c>
      <c r="AQ21">
        <v>0</v>
      </c>
      <c r="AR21">
        <v>0</v>
      </c>
      <c r="AS21" t="s">
        <v>59</v>
      </c>
      <c r="AT21">
        <v>1</v>
      </c>
      <c r="AU21" t="s">
        <v>64</v>
      </c>
      <c r="AV21" t="s">
        <v>61</v>
      </c>
      <c r="AW21">
        <v>0</v>
      </c>
      <c r="AX21">
        <v>3</v>
      </c>
      <c r="AY21">
        <v>0</v>
      </c>
      <c r="AZ21">
        <v>0</v>
      </c>
      <c r="BA21">
        <v>100</v>
      </c>
      <c r="BB21">
        <v>100</v>
      </c>
      <c r="BC21">
        <v>100</v>
      </c>
      <c r="BD21">
        <v>100</v>
      </c>
      <c r="BE21">
        <v>1</v>
      </c>
      <c r="BF21">
        <v>15000</v>
      </c>
      <c r="BG21">
        <v>1000</v>
      </c>
      <c r="BH21" s="7">
        <f>ROUND(Wapato_Inventory[[#This Row],[detatched_value]]*Lookups!$B$22*Lookups!$H$48,-2)</f>
        <v>0</v>
      </c>
      <c r="BI21" s="7">
        <f>ROUND(((Wapato_Inventory[[#This Row],[land_extract]]*Lookups!$B$3) +(Lookups!$B$2*0.5))*Lookups!$H$48,-2)</f>
        <v>57900</v>
      </c>
      <c r="BJ21" s="7">
        <f>IF(Wapato_Inventory[[#This Row],[bldg_style]]="",0,Lookups!$B$2*0.5)</f>
        <v>53765.27</v>
      </c>
      <c r="BK21" s="7">
        <f>_xlfn.IFNA(VLOOKUP(Wapato_Inventory[[#This Row],[quality]],Lookups!$H$2:$J$14,3,FALSE),0)</f>
        <v>28034</v>
      </c>
      <c r="BL21" s="7">
        <f>_xlfn.IFNA(VLOOKUP(Wapato_Inventory[[#This Row],[condition]],Lookups!$H$17:$J$24,3,FALSE),0)</f>
        <v>16276</v>
      </c>
      <c r="BM21" s="7">
        <f>Wapato_Inventory[[#This Row],[Age]]*Lookups!$B$16</f>
        <v>-38179.597099999999</v>
      </c>
      <c r="BN21" s="7">
        <f>Wapato_Inventory[[#This Row],[Main Floor]]*Lookups!$B$17</f>
        <v>41131.927175999997</v>
      </c>
      <c r="BO21" s="7">
        <f>Wapato_Inventory[[#This Row],[Upper Floor]]*Lookups!$B$18</f>
        <v>16665.982704000002</v>
      </c>
      <c r="BP21" s="7">
        <f>Wapato_Inventory[[#This Row],[Fin BSMT]]*Lookups!$B$19</f>
        <v>0</v>
      </c>
      <c r="BQ21" s="7">
        <f>(Wapato_Inventory[[#This Row],[att_gar]]+Wapato_Inventory[[#This Row],[blt_gar]])*Lookups!$B$20</f>
        <v>0</v>
      </c>
      <c r="BR21" s="7">
        <f>Wapato_Inventory[[#This Row],[Patio]]*Lookups!$B$21</f>
        <v>0</v>
      </c>
      <c r="BS21" s="7">
        <f>SUM(Wapato_Inventory[[#This Row],[intercept]:[patio_value]])*Wapato_Inventory[[#This Row],[res_pct]]</f>
        <v>117693.58278</v>
      </c>
      <c r="BT21" s="7">
        <f>Wapato_Inventory[[#This Row],[land_value]]</f>
        <v>57900</v>
      </c>
      <c r="BU21" s="2">
        <f>_xlfn.IFNA(VLOOKUP(Wapato_Inventory[[#This Row],[quality]],Lookups!$A$28:$C$37,3,FALSE),1)</f>
        <v>0.96265813922927435</v>
      </c>
      <c r="BV21" s="2">
        <f>_xlfn.IFNA(VLOOKUP(Wapato_Inventory[[#This Row],[condition]],Lookups!$A$41:$C$48,3,FALSE),1)</f>
        <v>0.93399385491337139</v>
      </c>
      <c r="BW21" s="2">
        <f>IF(Wapato_Inventory[[#This Row],[decade]]="",1,_xlfn.IFNA(VLOOKUP(Wapato_Inventory[[#This Row],[decade]],Lookups!$F$28:$H$45,3,FALSE),1))</f>
        <v>0.93664589651353292</v>
      </c>
      <c r="BX21" s="2">
        <f>_xlfn.IFNA(VLOOKUP(Wapato_Inventory[[#This Row],[living_area_range]],Lookups!$K$28:$M$37,3,FALSE),1)</f>
        <v>1.0061411172456287</v>
      </c>
      <c r="BY21" s="2">
        <f>AVERAGE(Wapato_Inventory[[#This Row],[qual_adj]:[range_adj]])</f>
        <v>0.95985975197545192</v>
      </c>
      <c r="BZ21" s="7">
        <f>(Wapato_Inventory[[#This Row],[sum_land]]-IF(Wapato_Inventory[[#This Row],[no_utilities]]=1,12000,0))/IF(Wapato_Inventory[[#This Row],[unbuildable]]=1,2,1)</f>
        <v>57900</v>
      </c>
      <c r="CA21" s="7">
        <f>Wapato_Inventory[[#This Row],[pre_res]]*Wapato_Inventory[[#This Row],[overall_adj]]</f>
        <v>112969.33317631311</v>
      </c>
      <c r="CB21" s="3">
        <f>IF(ROUND(Wapato_Inventory[[#This Row],[adj_land]]*Lookups!$H$48,-2)&lt;Wapato_Inventory[[#This Row],[min_land]],Wapato_Inventory[[#This Row],[min_land]],ROUND(Wapato_Inventory[[#This Row],[adj_land]]*Lookups!$H$48,-2))</f>
        <v>55000</v>
      </c>
      <c r="CC21" s="3">
        <f>IF(ROUND(Wapato_Inventory[[#This Row],[adj_res]]*Lookups!$H$48,-2)&lt;Wapato_Inventory[[#This Row],[min_res]],Wapato_Inventory[[#This Row],[min_res]],ROUND(Wapato_Inventory[[#This Row],[adj_res]]*Lookups!$H$48,-2))</f>
        <v>107300</v>
      </c>
      <c r="CD21" s="3">
        <f>ROUND(Wapato_Inventory[[#This Row],[det_value]]*Lookups!$H$48,-2)</f>
        <v>0</v>
      </c>
      <c r="CE21" s="3">
        <f>Wapato_Inventory[[#This Row],[final_res]]+Wapato_Inventory[[#This Row],[final_det]]</f>
        <v>107300</v>
      </c>
      <c r="CF21" s="3">
        <f>Wapato_Inventory[[#This Row],[crop_value]]+Wapato_Inventory[[#This Row],[final_land]]+Wapato_Inventory[[#This Row],[final_imp]]</f>
        <v>162300</v>
      </c>
      <c r="CH21" t="str">
        <f t="shared" si="0"/>
        <v>update valuation set market_land =55000, market_bldg=107300, market_total =162300, market_mdno =405, market_date ='9/10/2023' where link_id = (select link_id from parcel where parcel_year = '2024' and parcel_id = '19110941425');</v>
      </c>
    </row>
    <row r="22" spans="1:86" x14ac:dyDescent="0.25">
      <c r="A22">
        <v>19110941427</v>
      </c>
      <c r="B22">
        <v>2.93</v>
      </c>
      <c r="C22" t="s">
        <v>144</v>
      </c>
      <c r="D22" t="s">
        <v>144</v>
      </c>
      <c r="E22" t="s">
        <v>54</v>
      </c>
      <c r="F22" t="s">
        <v>54</v>
      </c>
      <c r="G22">
        <v>3</v>
      </c>
      <c r="H22" t="s">
        <v>55</v>
      </c>
      <c r="I22">
        <v>158800</v>
      </c>
      <c r="J22">
        <v>52800</v>
      </c>
      <c r="K22">
        <v>2.93</v>
      </c>
      <c r="L22">
        <f>IF(Wapato_Inventory[[#This Row],[parcel_acres]]-Wapato_Inventory[[#This Row],[non_valued_acres]] =0,0,LN(Wapato_Inventory[[#This Row],[parcel_acres]]-Wapato_Inventory[[#This Row],[non_valued_acres]]))</f>
        <v>1.0750024230289761</v>
      </c>
      <c r="M22">
        <v>0</v>
      </c>
      <c r="N22">
        <v>0</v>
      </c>
      <c r="O22">
        <v>0</v>
      </c>
      <c r="P22">
        <v>27904.037</v>
      </c>
      <c r="Q22">
        <v>74398</v>
      </c>
      <c r="R22" s="3">
        <f>(Wapato_Inventory[[#This Row],[ln_acres]]*Wapato_Inventory[[#This Row],[coeff]])+Wapato_Inventory[[#This Row],[const]]</f>
        <v>104394.90738729021</v>
      </c>
      <c r="S22" t="s">
        <v>62</v>
      </c>
      <c r="T22">
        <v>1</v>
      </c>
      <c r="U22" t="s">
        <v>75</v>
      </c>
      <c r="V22" t="s">
        <v>68</v>
      </c>
      <c r="W22">
        <v>0</v>
      </c>
      <c r="X22">
        <v>0</v>
      </c>
      <c r="Y22">
        <v>46</v>
      </c>
      <c r="Z22">
        <v>55</v>
      </c>
      <c r="AA22">
        <v>60</v>
      </c>
      <c r="AB22">
        <v>1500</v>
      </c>
      <c r="AC22">
        <v>1120</v>
      </c>
      <c r="AD22">
        <v>1120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5</v>
      </c>
      <c r="AQ22">
        <v>0</v>
      </c>
      <c r="AR22">
        <v>0</v>
      </c>
      <c r="AS22" t="s">
        <v>59</v>
      </c>
      <c r="AT22">
        <v>1</v>
      </c>
      <c r="AU22" t="s">
        <v>64</v>
      </c>
      <c r="AV22" t="s">
        <v>77</v>
      </c>
      <c r="AW22">
        <v>0</v>
      </c>
      <c r="AX22">
        <v>3</v>
      </c>
      <c r="AY22">
        <v>0</v>
      </c>
      <c r="AZ22">
        <v>6200</v>
      </c>
      <c r="BA22">
        <v>100</v>
      </c>
      <c r="BB22">
        <v>100</v>
      </c>
      <c r="BC22">
        <v>100</v>
      </c>
      <c r="BD22">
        <v>100</v>
      </c>
      <c r="BE22">
        <v>1</v>
      </c>
      <c r="BF22">
        <v>15000</v>
      </c>
      <c r="BG22">
        <v>1000</v>
      </c>
      <c r="BH22" s="7">
        <f>ROUND(Wapato_Inventory[[#This Row],[detatched_value]]*Lookups!$B$22*Lookups!$H$48,-2)</f>
        <v>5500</v>
      </c>
      <c r="BI22" s="7">
        <f>ROUND(((Wapato_Inventory[[#This Row],[land_extract]]*Lookups!$B$3) +(Lookups!$B$2*0.5))*Lookups!$H$48,-2)</f>
        <v>61200</v>
      </c>
      <c r="BJ22" s="7">
        <f>IF(Wapato_Inventory[[#This Row],[bldg_style]]="",0,Lookups!$B$2*0.5)</f>
        <v>53765.27</v>
      </c>
      <c r="BK22" s="7">
        <f>_xlfn.IFNA(VLOOKUP(Wapato_Inventory[[#This Row],[quality]],Lookups!$H$2:$J$14,3,FALSE),0)</f>
        <v>48043</v>
      </c>
      <c r="BL22" s="7">
        <f>_xlfn.IFNA(VLOOKUP(Wapato_Inventory[[#This Row],[condition]],Lookups!$H$17:$J$24,3,FALSE),0)</f>
        <v>52231</v>
      </c>
      <c r="BM22" s="7">
        <f>Wapato_Inventory[[#This Row],[Age]]*Lookups!$B$16</f>
        <v>-20387.163499999999</v>
      </c>
      <c r="BN22" s="7">
        <f>Wapato_Inventory[[#This Row],[Main Floor]]*Lookups!$B$17</f>
        <v>46816.827680000002</v>
      </c>
      <c r="BO22" s="7">
        <f>Wapato_Inventory[[#This Row],[Upper Floor]]*Lookups!$B$18</f>
        <v>0</v>
      </c>
      <c r="BP22" s="7">
        <f>Wapato_Inventory[[#This Row],[Fin BSMT]]*Lookups!$B$19</f>
        <v>0</v>
      </c>
      <c r="BQ22" s="7">
        <f>(Wapato_Inventory[[#This Row],[att_gar]]+Wapato_Inventory[[#This Row],[blt_gar]])*Lookups!$B$20</f>
        <v>0</v>
      </c>
      <c r="BR22" s="7">
        <f>Wapato_Inventory[[#This Row],[Patio]]*Lookups!$B$21</f>
        <v>0</v>
      </c>
      <c r="BS22" s="7">
        <f>SUM(Wapato_Inventory[[#This Row],[intercept]:[patio_value]])*Wapato_Inventory[[#This Row],[res_pct]]</f>
        <v>180468.93417999998</v>
      </c>
      <c r="BT22" s="7">
        <f>Wapato_Inventory[[#This Row],[land_value]]</f>
        <v>61200</v>
      </c>
      <c r="BU22" s="2">
        <f>_xlfn.IFNA(VLOOKUP(Wapato_Inventory[[#This Row],[quality]],Lookups!$A$28:$C$37,3,FALSE),1)</f>
        <v>0.98196844879778955</v>
      </c>
      <c r="BV22" s="2">
        <f>_xlfn.IFNA(VLOOKUP(Wapato_Inventory[[#This Row],[condition]],Lookups!$A$41:$C$48,3,FALSE),1)</f>
        <v>0.9832333997567807</v>
      </c>
      <c r="BW22" s="2">
        <f>IF(Wapato_Inventory[[#This Row],[decade]]="",1,_xlfn.IFNA(VLOOKUP(Wapato_Inventory[[#This Row],[decade]],Lookups!$F$28:$H$45,3,FALSE),1))</f>
        <v>1.035341704162583</v>
      </c>
      <c r="BX22" s="2">
        <f>_xlfn.IFNA(VLOOKUP(Wapato_Inventory[[#This Row],[living_area_range]],Lookups!$K$28:$M$37,3,FALSE),1)</f>
        <v>1.0061411172456287</v>
      </c>
      <c r="BY22" s="2">
        <f>AVERAGE(Wapato_Inventory[[#This Row],[qual_adj]:[range_adj]])</f>
        <v>1.0016711674906955</v>
      </c>
      <c r="BZ22" s="7">
        <f>(Wapato_Inventory[[#This Row],[sum_land]]-IF(Wapato_Inventory[[#This Row],[no_utilities]]=1,12000,0))/IF(Wapato_Inventory[[#This Row],[unbuildable]]=1,2,1)</f>
        <v>61200</v>
      </c>
      <c r="CA22" s="7">
        <f>Wapato_Inventory[[#This Row],[pre_res]]*Wapato_Inventory[[#This Row],[overall_adj]]</f>
        <v>180770.52799588206</v>
      </c>
      <c r="CB22" s="3">
        <f>IF(ROUND(Wapato_Inventory[[#This Row],[adj_land]]*Lookups!$H$48,-2)&lt;Wapato_Inventory[[#This Row],[min_land]],Wapato_Inventory[[#This Row],[min_land]],ROUND(Wapato_Inventory[[#This Row],[adj_land]]*Lookups!$H$48,-2))</f>
        <v>58100</v>
      </c>
      <c r="CC22" s="3">
        <f>IF(ROUND(Wapato_Inventory[[#This Row],[adj_res]]*Lookups!$H$48,-2)&lt;Wapato_Inventory[[#This Row],[min_res]],Wapato_Inventory[[#This Row],[min_res]],ROUND(Wapato_Inventory[[#This Row],[adj_res]]*Lookups!$H$48,-2))</f>
        <v>171700</v>
      </c>
      <c r="CD22" s="3">
        <f>ROUND(Wapato_Inventory[[#This Row],[det_value]]*Lookups!$H$48,-2)</f>
        <v>5200</v>
      </c>
      <c r="CE22" s="3">
        <f>Wapato_Inventory[[#This Row],[final_res]]+Wapato_Inventory[[#This Row],[final_det]]</f>
        <v>176900</v>
      </c>
      <c r="CF22" s="3">
        <f>Wapato_Inventory[[#This Row],[crop_value]]+Wapato_Inventory[[#This Row],[final_land]]+Wapato_Inventory[[#This Row],[final_imp]]</f>
        <v>235000</v>
      </c>
      <c r="CH22" t="str">
        <f t="shared" si="0"/>
        <v>update valuation set market_land =58100, market_bldg=176900, market_total =235000, market_mdno =405, market_date ='9/10/2023' where link_id = (select link_id from parcel where parcel_year = '2024' and parcel_id = '19110941427');</v>
      </c>
    </row>
    <row r="23" spans="1:86" x14ac:dyDescent="0.25">
      <c r="A23">
        <v>19110941429</v>
      </c>
      <c r="B23">
        <v>0.74</v>
      </c>
      <c r="C23">
        <v>32124</v>
      </c>
      <c r="D23" t="s">
        <v>144</v>
      </c>
      <c r="E23" t="s">
        <v>54</v>
      </c>
      <c r="F23" t="s">
        <v>54</v>
      </c>
      <c r="G23">
        <v>3</v>
      </c>
      <c r="H23" t="s">
        <v>55</v>
      </c>
      <c r="I23">
        <v>360300</v>
      </c>
      <c r="J23">
        <v>43200</v>
      </c>
      <c r="K23">
        <v>0.74</v>
      </c>
      <c r="L23">
        <f>IF(Wapato_Inventory[[#This Row],[parcel_acres]]-Wapato_Inventory[[#This Row],[non_valued_acres]] =0,0,LN(Wapato_Inventory[[#This Row],[parcel_acres]]-Wapato_Inventory[[#This Row],[non_valued_acres]]))</f>
        <v>-0.30110509278392161</v>
      </c>
      <c r="M23">
        <v>0</v>
      </c>
      <c r="N23">
        <v>0</v>
      </c>
      <c r="O23">
        <v>0</v>
      </c>
      <c r="P23">
        <v>27904.037</v>
      </c>
      <c r="Q23">
        <v>74398</v>
      </c>
      <c r="R23" s="3">
        <f>(Wapato_Inventory[[#This Row],[ln_acres]]*Wapato_Inventory[[#This Row],[coeff]])+Wapato_Inventory[[#This Row],[const]]</f>
        <v>65995.952350069012</v>
      </c>
      <c r="S23" t="s">
        <v>59</v>
      </c>
      <c r="T23">
        <v>1</v>
      </c>
      <c r="U23" t="s">
        <v>65</v>
      </c>
      <c r="V23" t="s">
        <v>58</v>
      </c>
      <c r="W23">
        <v>0</v>
      </c>
      <c r="X23">
        <v>0</v>
      </c>
      <c r="Y23">
        <v>7</v>
      </c>
      <c r="Z23">
        <v>7</v>
      </c>
      <c r="AA23">
        <v>10</v>
      </c>
      <c r="AB23">
        <v>2000</v>
      </c>
      <c r="AC23">
        <v>1835</v>
      </c>
      <c r="AD23">
        <v>1835</v>
      </c>
      <c r="AE23">
        <v>0</v>
      </c>
      <c r="AF23">
        <v>0</v>
      </c>
      <c r="AG23">
        <v>0</v>
      </c>
      <c r="AH23">
        <v>0</v>
      </c>
      <c r="AI23">
        <v>609</v>
      </c>
      <c r="AJ23">
        <v>0</v>
      </c>
      <c r="AK23">
        <v>0</v>
      </c>
      <c r="AL23">
        <v>0</v>
      </c>
      <c r="AM23">
        <v>288</v>
      </c>
      <c r="AN23">
        <v>344</v>
      </c>
      <c r="AO23">
        <v>0</v>
      </c>
      <c r="AP23">
        <v>10</v>
      </c>
      <c r="AQ23">
        <v>0</v>
      </c>
      <c r="AR23">
        <v>0</v>
      </c>
      <c r="AS23" t="s">
        <v>59</v>
      </c>
      <c r="AT23">
        <v>1</v>
      </c>
      <c r="AU23" t="s">
        <v>60</v>
      </c>
      <c r="AV23" t="s">
        <v>61</v>
      </c>
      <c r="AW23">
        <v>1</v>
      </c>
      <c r="AX23">
        <v>4</v>
      </c>
      <c r="AY23">
        <v>0</v>
      </c>
      <c r="AZ23">
        <v>1000</v>
      </c>
      <c r="BA23">
        <v>100</v>
      </c>
      <c r="BB23">
        <v>100</v>
      </c>
      <c r="BC23">
        <v>100</v>
      </c>
      <c r="BD23">
        <v>100</v>
      </c>
      <c r="BE23">
        <v>1</v>
      </c>
      <c r="BF23">
        <v>15000</v>
      </c>
      <c r="BG23">
        <v>1000</v>
      </c>
      <c r="BH23" s="7">
        <f>ROUND(Wapato_Inventory[[#This Row],[detatched_value]]*Lookups!$B$22*Lookups!$H$48,-2)</f>
        <v>900</v>
      </c>
      <c r="BI23" s="7">
        <f>ROUND(((Wapato_Inventory[[#This Row],[land_extract]]*Lookups!$B$3) +(Lookups!$B$2*0.5))*Lookups!$H$48,-2)</f>
        <v>57400</v>
      </c>
      <c r="BJ23" s="7">
        <f>IF(Wapato_Inventory[[#This Row],[bldg_style]]="",0,Lookups!$B$2*0.5)</f>
        <v>53765.27</v>
      </c>
      <c r="BK23" s="7">
        <f>_xlfn.IFNA(VLOOKUP(Wapato_Inventory[[#This Row],[quality]],Lookups!$H$2:$J$14,3,FALSE),0)</f>
        <v>92307</v>
      </c>
      <c r="BL23" s="7">
        <f>_xlfn.IFNA(VLOOKUP(Wapato_Inventory[[#This Row],[condition]],Lookups!$H$17:$J$24,3,FALSE),0)</f>
        <v>122095</v>
      </c>
      <c r="BM23" s="7">
        <f>Wapato_Inventory[[#This Row],[Age]]*Lookups!$B$16</f>
        <v>-2594.7299000000003</v>
      </c>
      <c r="BN23" s="7">
        <f>Wapato_Inventory[[#This Row],[Main Floor]]*Lookups!$B$17</f>
        <v>76704.356065</v>
      </c>
      <c r="BO23" s="7">
        <f>Wapato_Inventory[[#This Row],[Upper Floor]]*Lookups!$B$18</f>
        <v>0</v>
      </c>
      <c r="BP23" s="7">
        <f>Wapato_Inventory[[#This Row],[Fin BSMT]]*Lookups!$B$19</f>
        <v>0</v>
      </c>
      <c r="BQ23" s="7">
        <f>(Wapato_Inventory[[#This Row],[att_gar]]+Wapato_Inventory[[#This Row],[blt_gar]])*Lookups!$B$20</f>
        <v>22538.329968000002</v>
      </c>
      <c r="BR23" s="7">
        <f>Wapato_Inventory[[#This Row],[Patio]]*Lookups!$B$21</f>
        <v>12477.305952000001</v>
      </c>
      <c r="BS23" s="7">
        <f>SUM(Wapato_Inventory[[#This Row],[intercept]:[patio_value]])*Wapato_Inventory[[#This Row],[res_pct]]</f>
        <v>377292.53208500007</v>
      </c>
      <c r="BT23" s="7">
        <f>Wapato_Inventory[[#This Row],[land_value]]</f>
        <v>57400</v>
      </c>
      <c r="BU23" s="2">
        <f>_xlfn.IFNA(VLOOKUP(Wapato_Inventory[[#This Row],[quality]],Lookups!$A$28:$C$37,3,FALSE),1)</f>
        <v>1.0013727718490204</v>
      </c>
      <c r="BV23" s="2">
        <f>_xlfn.IFNA(VLOOKUP(Wapato_Inventory[[#This Row],[condition]],Lookups!$A$41:$C$48,3,FALSE),1)</f>
        <v>1.00041560026225</v>
      </c>
      <c r="BW23" s="2">
        <f>IF(Wapato_Inventory[[#This Row],[decade]]="",1,_xlfn.IFNA(VLOOKUP(Wapato_Inventory[[#This Row],[decade]],Lookups!$F$28:$H$45,3,FALSE),1))</f>
        <v>1.0321018519633791</v>
      </c>
      <c r="BX23" s="2">
        <f>_xlfn.IFNA(VLOOKUP(Wapato_Inventory[[#This Row],[living_area_range]],Lookups!$K$28:$M$37,3,FALSE),1)</f>
        <v>0.99330894324714125</v>
      </c>
      <c r="BY23" s="2">
        <f>AVERAGE(Wapato_Inventory[[#This Row],[qual_adj]:[range_adj]])</f>
        <v>1.0067997918304477</v>
      </c>
      <c r="BZ23" s="7">
        <f>(Wapato_Inventory[[#This Row],[sum_land]]-IF(Wapato_Inventory[[#This Row],[no_utilities]]=1,12000,0))/IF(Wapato_Inventory[[#This Row],[unbuildable]]=1,2,1)</f>
        <v>57400</v>
      </c>
      <c r="CA23" s="7">
        <f>Wapato_Inventory[[#This Row],[pre_res]]*Wapato_Inventory[[#This Row],[overall_adj]]</f>
        <v>379858.04276236059</v>
      </c>
      <c r="CB23" s="3">
        <f>IF(ROUND(Wapato_Inventory[[#This Row],[adj_land]]*Lookups!$H$48,-2)&lt;Wapato_Inventory[[#This Row],[min_land]],Wapato_Inventory[[#This Row],[min_land]],ROUND(Wapato_Inventory[[#This Row],[adj_land]]*Lookups!$H$48,-2))</f>
        <v>54500</v>
      </c>
      <c r="CC23" s="3">
        <f>IF(ROUND(Wapato_Inventory[[#This Row],[adj_res]]*Lookups!$H$48,-2)&lt;Wapato_Inventory[[#This Row],[min_res]],Wapato_Inventory[[#This Row],[min_res]],ROUND(Wapato_Inventory[[#This Row],[adj_res]]*Lookups!$H$48,-2))</f>
        <v>360900</v>
      </c>
      <c r="CD23" s="3">
        <f>ROUND(Wapato_Inventory[[#This Row],[det_value]]*Lookups!$H$48,-2)</f>
        <v>900</v>
      </c>
      <c r="CE23" s="3">
        <f>Wapato_Inventory[[#This Row],[final_res]]+Wapato_Inventory[[#This Row],[final_det]]</f>
        <v>361800</v>
      </c>
      <c r="CF23" s="3">
        <f>Wapato_Inventory[[#This Row],[crop_value]]+Wapato_Inventory[[#This Row],[final_land]]+Wapato_Inventory[[#This Row],[final_imp]]</f>
        <v>416300</v>
      </c>
      <c r="CH23" t="str">
        <f t="shared" si="0"/>
        <v>update valuation set market_land =54500, market_bldg=361800, market_total =416300, market_mdno =405, market_date ='9/10/2023' where link_id = (select link_id from parcel where parcel_year = '2024' and parcel_id = '19110941429');</v>
      </c>
    </row>
    <row r="24" spans="1:86" x14ac:dyDescent="0.25">
      <c r="A24">
        <v>19110941430</v>
      </c>
      <c r="B24">
        <v>0.28999999999999998</v>
      </c>
      <c r="C24">
        <v>12801</v>
      </c>
      <c r="D24" t="s">
        <v>144</v>
      </c>
      <c r="E24" t="s">
        <v>54</v>
      </c>
      <c r="F24" t="s">
        <v>54</v>
      </c>
      <c r="G24">
        <v>3</v>
      </c>
      <c r="H24" t="s">
        <v>55</v>
      </c>
      <c r="I24">
        <v>175000</v>
      </c>
      <c r="J24">
        <v>36600</v>
      </c>
      <c r="K24">
        <v>0.28999999999999998</v>
      </c>
      <c r="L24">
        <f>IF(Wapato_Inventory[[#This Row],[parcel_acres]]-Wapato_Inventory[[#This Row],[non_valued_acres]] =0,0,LN(Wapato_Inventory[[#This Row],[parcel_acres]]-Wapato_Inventory[[#This Row],[non_valued_acres]]))</f>
        <v>-1.2378743560016174</v>
      </c>
      <c r="M24">
        <v>0</v>
      </c>
      <c r="N24">
        <v>0</v>
      </c>
      <c r="O24">
        <v>0</v>
      </c>
      <c r="P24">
        <v>27904.037</v>
      </c>
      <c r="Q24">
        <v>74398</v>
      </c>
      <c r="R24" s="3">
        <f>(Wapato_Inventory[[#This Row],[ln_acres]]*Wapato_Inventory[[#This Row],[coeff]])+Wapato_Inventory[[#This Row],[const]]</f>
        <v>39856.308168779695</v>
      </c>
      <c r="S24" t="s">
        <v>62</v>
      </c>
      <c r="T24">
        <v>1</v>
      </c>
      <c r="U24" t="s">
        <v>75</v>
      </c>
      <c r="V24" t="s">
        <v>68</v>
      </c>
      <c r="W24">
        <v>0</v>
      </c>
      <c r="X24">
        <v>0</v>
      </c>
      <c r="Y24">
        <v>47</v>
      </c>
      <c r="Z24">
        <v>56</v>
      </c>
      <c r="AA24">
        <v>60</v>
      </c>
      <c r="AB24">
        <v>1500</v>
      </c>
      <c r="AC24">
        <v>1152</v>
      </c>
      <c r="AD24">
        <v>1152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200</v>
      </c>
      <c r="AN24">
        <v>0</v>
      </c>
      <c r="AO24">
        <v>200</v>
      </c>
      <c r="AP24">
        <v>5</v>
      </c>
      <c r="AQ24">
        <v>0</v>
      </c>
      <c r="AR24">
        <v>1</v>
      </c>
      <c r="AS24" t="s">
        <v>59</v>
      </c>
      <c r="AT24">
        <v>1</v>
      </c>
      <c r="AU24" t="s">
        <v>64</v>
      </c>
      <c r="AV24" t="s">
        <v>61</v>
      </c>
      <c r="AW24">
        <v>0</v>
      </c>
      <c r="AX24">
        <v>2</v>
      </c>
      <c r="AY24">
        <v>0</v>
      </c>
      <c r="AZ24">
        <v>0</v>
      </c>
      <c r="BA24">
        <v>100</v>
      </c>
      <c r="BB24">
        <v>100</v>
      </c>
      <c r="BC24">
        <v>100</v>
      </c>
      <c r="BD24">
        <v>100</v>
      </c>
      <c r="BE24">
        <v>1</v>
      </c>
      <c r="BF24">
        <v>15000</v>
      </c>
      <c r="BG24">
        <v>1000</v>
      </c>
      <c r="BH24" s="7">
        <f>ROUND(Wapato_Inventory[[#This Row],[detatched_value]]*Lookups!$B$22*Lookups!$H$48,-2)</f>
        <v>0</v>
      </c>
      <c r="BI24" s="7">
        <f>ROUND(((Wapato_Inventory[[#This Row],[land_extract]]*Lookups!$B$3) +(Lookups!$B$2*0.5))*Lookups!$H$48,-2)</f>
        <v>54900</v>
      </c>
      <c r="BJ24" s="7">
        <f>IF(Wapato_Inventory[[#This Row],[bldg_style]]="",0,Lookups!$B$2*0.5)</f>
        <v>53765.27</v>
      </c>
      <c r="BK24" s="7">
        <f>_xlfn.IFNA(VLOOKUP(Wapato_Inventory[[#This Row],[quality]],Lookups!$H$2:$J$14,3,FALSE),0)</f>
        <v>48043</v>
      </c>
      <c r="BL24" s="7">
        <f>_xlfn.IFNA(VLOOKUP(Wapato_Inventory[[#This Row],[condition]],Lookups!$H$17:$J$24,3,FALSE),0)</f>
        <v>52231</v>
      </c>
      <c r="BM24" s="7">
        <f>Wapato_Inventory[[#This Row],[Age]]*Lookups!$B$16</f>
        <v>-20757.839200000002</v>
      </c>
      <c r="BN24" s="7">
        <f>Wapato_Inventory[[#This Row],[Main Floor]]*Lookups!$B$17</f>
        <v>48154.451328000003</v>
      </c>
      <c r="BO24" s="7">
        <f>Wapato_Inventory[[#This Row],[Upper Floor]]*Lookups!$B$18</f>
        <v>0</v>
      </c>
      <c r="BP24" s="7">
        <f>Wapato_Inventory[[#This Row],[Fin BSMT]]*Lookups!$B$19</f>
        <v>0</v>
      </c>
      <c r="BQ24" s="7">
        <f>(Wapato_Inventory[[#This Row],[att_gar]]+Wapato_Inventory[[#This Row],[blt_gar]])*Lookups!$B$20</f>
        <v>0</v>
      </c>
      <c r="BR24" s="7">
        <f>Wapato_Inventory[[#This Row],[Patio]]*Lookups!$B$21</f>
        <v>8664.7957999999999</v>
      </c>
      <c r="BS24" s="7">
        <f>SUM(Wapato_Inventory[[#This Row],[intercept]:[patio_value]])*Wapato_Inventory[[#This Row],[res_pct]]</f>
        <v>190100.67792799996</v>
      </c>
      <c r="BT24" s="7">
        <f>Wapato_Inventory[[#This Row],[land_value]]</f>
        <v>54900</v>
      </c>
      <c r="BU24" s="2">
        <f>_xlfn.IFNA(VLOOKUP(Wapato_Inventory[[#This Row],[quality]],Lookups!$A$28:$C$37,3,FALSE),1)</f>
        <v>0.98196844879778955</v>
      </c>
      <c r="BV24" s="2">
        <f>_xlfn.IFNA(VLOOKUP(Wapato_Inventory[[#This Row],[condition]],Lookups!$A$41:$C$48,3,FALSE),1)</f>
        <v>0.9832333997567807</v>
      </c>
      <c r="BW24" s="2">
        <f>IF(Wapato_Inventory[[#This Row],[decade]]="",1,_xlfn.IFNA(VLOOKUP(Wapato_Inventory[[#This Row],[decade]],Lookups!$F$28:$H$45,3,FALSE),1))</f>
        <v>1.035341704162583</v>
      </c>
      <c r="BX24" s="2">
        <f>_xlfn.IFNA(VLOOKUP(Wapato_Inventory[[#This Row],[living_area_range]],Lookups!$K$28:$M$37,3,FALSE),1)</f>
        <v>1.0061411172456287</v>
      </c>
      <c r="BY24" s="2">
        <f>AVERAGE(Wapato_Inventory[[#This Row],[qual_adj]:[range_adj]])</f>
        <v>1.0016711674906955</v>
      </c>
      <c r="BZ24" s="7">
        <f>(Wapato_Inventory[[#This Row],[sum_land]]-IF(Wapato_Inventory[[#This Row],[no_utilities]]=1,12000,0))/IF(Wapato_Inventory[[#This Row],[unbuildable]]=1,2,1)</f>
        <v>54900</v>
      </c>
      <c r="CA24" s="7">
        <f>Wapato_Inventory[[#This Row],[pre_res]]*Wapato_Inventory[[#This Row],[overall_adj]]</f>
        <v>190418.36800091242</v>
      </c>
      <c r="CB24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24" s="3">
        <f>IF(ROUND(Wapato_Inventory[[#This Row],[adj_res]]*Lookups!$H$48,-2)&lt;Wapato_Inventory[[#This Row],[min_res]],Wapato_Inventory[[#This Row],[min_res]],ROUND(Wapato_Inventory[[#This Row],[adj_res]]*Lookups!$H$48,-2))</f>
        <v>180900</v>
      </c>
      <c r="CD24" s="3">
        <f>ROUND(Wapato_Inventory[[#This Row],[det_value]]*Lookups!$H$48,-2)</f>
        <v>0</v>
      </c>
      <c r="CE24" s="3">
        <f>Wapato_Inventory[[#This Row],[final_res]]+Wapato_Inventory[[#This Row],[final_det]]</f>
        <v>180900</v>
      </c>
      <c r="CF24" s="3">
        <f>Wapato_Inventory[[#This Row],[crop_value]]+Wapato_Inventory[[#This Row],[final_land]]+Wapato_Inventory[[#This Row],[final_imp]]</f>
        <v>233100</v>
      </c>
      <c r="CH24" t="str">
        <f t="shared" si="0"/>
        <v>update valuation set market_land =52200, market_bldg=180900, market_total =233100, market_mdno =405, market_date ='9/10/2023' where link_id = (select link_id from parcel where parcel_year = '2024' and parcel_id = '19110941430');</v>
      </c>
    </row>
    <row r="25" spans="1:86" x14ac:dyDescent="0.25">
      <c r="A25">
        <v>19110941434</v>
      </c>
      <c r="B25">
        <v>0.5</v>
      </c>
      <c r="C25">
        <v>21725</v>
      </c>
      <c r="D25" t="s">
        <v>144</v>
      </c>
      <c r="E25" t="s">
        <v>54</v>
      </c>
      <c r="F25" t="s">
        <v>54</v>
      </c>
      <c r="G25">
        <v>3</v>
      </c>
      <c r="H25" t="s">
        <v>55</v>
      </c>
      <c r="I25">
        <v>125700</v>
      </c>
      <c r="J25">
        <v>40400</v>
      </c>
      <c r="K25">
        <v>0.5</v>
      </c>
      <c r="L25">
        <f>IF(Wapato_Inventory[[#This Row],[parcel_acres]]-Wapato_Inventory[[#This Row],[non_valued_acres]] =0,0,LN(Wapato_Inventory[[#This Row],[parcel_acres]]-Wapato_Inventory[[#This Row],[non_valued_acres]]))</f>
        <v>-0.69314718055994529</v>
      </c>
      <c r="M25">
        <v>0</v>
      </c>
      <c r="N25">
        <v>0</v>
      </c>
      <c r="O25">
        <v>0</v>
      </c>
      <c r="P25">
        <v>27904.037</v>
      </c>
      <c r="Q25">
        <v>74398</v>
      </c>
      <c r="R25" s="3">
        <f>(Wapato_Inventory[[#This Row],[ln_acres]]*Wapato_Inventory[[#This Row],[coeff]])+Wapato_Inventory[[#This Row],[const]]</f>
        <v>55056.395427209602</v>
      </c>
      <c r="S25" t="s">
        <v>66</v>
      </c>
      <c r="T25">
        <v>1</v>
      </c>
      <c r="U25" t="s">
        <v>78</v>
      </c>
      <c r="V25" t="s">
        <v>68</v>
      </c>
      <c r="W25">
        <v>0</v>
      </c>
      <c r="X25">
        <v>0</v>
      </c>
      <c r="Y25">
        <v>53</v>
      </c>
      <c r="Z25">
        <v>93</v>
      </c>
      <c r="AA25">
        <v>100</v>
      </c>
      <c r="AB25">
        <v>1000</v>
      </c>
      <c r="AC25">
        <v>836</v>
      </c>
      <c r="AD25">
        <v>836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40</v>
      </c>
      <c r="AO25">
        <v>0</v>
      </c>
      <c r="AP25">
        <v>5</v>
      </c>
      <c r="AQ25">
        <v>0</v>
      </c>
      <c r="AR25">
        <v>0</v>
      </c>
      <c r="AS25" t="s">
        <v>59</v>
      </c>
      <c r="AT25">
        <v>0</v>
      </c>
      <c r="AU25" t="s">
        <v>80</v>
      </c>
      <c r="AV25" t="s">
        <v>61</v>
      </c>
      <c r="AW25">
        <v>0</v>
      </c>
      <c r="AX25">
        <v>2</v>
      </c>
      <c r="AY25">
        <v>0</v>
      </c>
      <c r="AZ25">
        <v>9600</v>
      </c>
      <c r="BA25">
        <v>100</v>
      </c>
      <c r="BB25">
        <v>100</v>
      </c>
      <c r="BC25">
        <v>100</v>
      </c>
      <c r="BD25">
        <v>100</v>
      </c>
      <c r="BE25">
        <v>1</v>
      </c>
      <c r="BF25">
        <v>15000</v>
      </c>
      <c r="BG25">
        <v>1000</v>
      </c>
      <c r="BH25" s="7">
        <f>ROUND(Wapato_Inventory[[#This Row],[detatched_value]]*Lookups!$B$22*Lookups!$H$48,-2)</f>
        <v>8600</v>
      </c>
      <c r="BI25" s="7">
        <f>ROUND(((Wapato_Inventory[[#This Row],[land_extract]]*Lookups!$B$3) +(Lookups!$B$2*0.5))*Lookups!$H$48,-2)</f>
        <v>56400</v>
      </c>
      <c r="BJ25" s="7">
        <f>IF(Wapato_Inventory[[#This Row],[bldg_style]]="",0,Lookups!$B$2*0.5)</f>
        <v>53765.27</v>
      </c>
      <c r="BK25" s="7">
        <f>_xlfn.IFNA(VLOOKUP(Wapato_Inventory[[#This Row],[quality]],Lookups!$H$2:$J$14,3,FALSE),0)</f>
        <v>23424</v>
      </c>
      <c r="BL25" s="7">
        <f>_xlfn.IFNA(VLOOKUP(Wapato_Inventory[[#This Row],[condition]],Lookups!$H$17:$J$24,3,FALSE),0)</f>
        <v>52231</v>
      </c>
      <c r="BM25" s="7">
        <f>Wapato_Inventory[[#This Row],[Age]]*Lookups!$B$16</f>
        <v>-34472.840100000001</v>
      </c>
      <c r="BN25" s="7">
        <f>Wapato_Inventory[[#This Row],[Main Floor]]*Lookups!$B$17</f>
        <v>34945.417803999997</v>
      </c>
      <c r="BO25" s="7">
        <f>Wapato_Inventory[[#This Row],[Upper Floor]]*Lookups!$B$18</f>
        <v>0</v>
      </c>
      <c r="BP25" s="7">
        <f>Wapato_Inventory[[#This Row],[Fin BSMT]]*Lookups!$B$19</f>
        <v>0</v>
      </c>
      <c r="BQ25" s="7">
        <f>(Wapato_Inventory[[#This Row],[att_gar]]+Wapato_Inventory[[#This Row],[blt_gar]])*Lookups!$B$20</f>
        <v>0</v>
      </c>
      <c r="BR25" s="7">
        <f>Wapato_Inventory[[#This Row],[Patio]]*Lookups!$B$21</f>
        <v>0</v>
      </c>
      <c r="BS25" s="7">
        <f>SUM(Wapato_Inventory[[#This Row],[intercept]:[patio_value]])*Wapato_Inventory[[#This Row],[res_pct]]</f>
        <v>129892.84770399999</v>
      </c>
      <c r="BT25" s="7">
        <f>Wapato_Inventory[[#This Row],[land_value]]</f>
        <v>56400</v>
      </c>
      <c r="BU25" s="2">
        <f>_xlfn.IFNA(VLOOKUP(Wapato_Inventory[[#This Row],[quality]],Lookups!$A$28:$C$37,3,FALSE),1)</f>
        <v>1.0091195562373767</v>
      </c>
      <c r="BV25" s="2">
        <f>_xlfn.IFNA(VLOOKUP(Wapato_Inventory[[#This Row],[condition]],Lookups!$A$41:$C$48,3,FALSE),1)</f>
        <v>0.9832333997567807</v>
      </c>
      <c r="BW25" s="2">
        <f>IF(Wapato_Inventory[[#This Row],[decade]]="",1,_xlfn.IFNA(VLOOKUP(Wapato_Inventory[[#This Row],[decade]],Lookups!$F$28:$H$45,3,FALSE),1))</f>
        <v>1.0114203040664467</v>
      </c>
      <c r="BX25" s="2">
        <f>_xlfn.IFNA(VLOOKUP(Wapato_Inventory[[#This Row],[living_area_range]],Lookups!$K$28:$M$37,3,FALSE),1)</f>
        <v>0.99022994770196116</v>
      </c>
      <c r="BY25" s="2">
        <f>AVERAGE(Wapato_Inventory[[#This Row],[qual_adj]:[range_adj]])</f>
        <v>0.99850080194064128</v>
      </c>
      <c r="BZ25" s="7">
        <f>(Wapato_Inventory[[#This Row],[sum_land]]-IF(Wapato_Inventory[[#This Row],[no_utilities]]=1,12000,0))/IF(Wapato_Inventory[[#This Row],[unbuildable]]=1,2,1)</f>
        <v>56400</v>
      </c>
      <c r="CA25" s="7">
        <f>Wapato_Inventory[[#This Row],[pre_res]]*Wapato_Inventory[[#This Row],[overall_adj]]</f>
        <v>129698.11259879757</v>
      </c>
      <c r="CB25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25" s="3">
        <f>IF(ROUND(Wapato_Inventory[[#This Row],[adj_res]]*Lookups!$H$48,-2)&lt;Wapato_Inventory[[#This Row],[min_res]],Wapato_Inventory[[#This Row],[min_res]],ROUND(Wapato_Inventory[[#This Row],[adj_res]]*Lookups!$H$48,-2))</f>
        <v>123200</v>
      </c>
      <c r="CD25" s="3">
        <f>ROUND(Wapato_Inventory[[#This Row],[det_value]]*Lookups!$H$48,-2)</f>
        <v>8200</v>
      </c>
      <c r="CE25" s="3">
        <f>Wapato_Inventory[[#This Row],[final_res]]+Wapato_Inventory[[#This Row],[final_det]]</f>
        <v>131400</v>
      </c>
      <c r="CF25" s="3">
        <f>Wapato_Inventory[[#This Row],[crop_value]]+Wapato_Inventory[[#This Row],[final_land]]+Wapato_Inventory[[#This Row],[final_imp]]</f>
        <v>185000</v>
      </c>
      <c r="CH25" t="str">
        <f t="shared" si="0"/>
        <v>update valuation set market_land =53600, market_bldg=131400, market_total =185000, market_mdno =405, market_date ='9/10/2023' where link_id = (select link_id from parcel where parcel_year = '2024' and parcel_id = '19110941434');</v>
      </c>
    </row>
    <row r="26" spans="1:86" x14ac:dyDescent="0.25">
      <c r="A26">
        <v>19110941435</v>
      </c>
      <c r="B26">
        <v>2.37</v>
      </c>
      <c r="C26">
        <v>103376</v>
      </c>
      <c r="D26" t="s">
        <v>144</v>
      </c>
      <c r="E26" t="s">
        <v>54</v>
      </c>
      <c r="F26" t="s">
        <v>54</v>
      </c>
      <c r="G26">
        <v>3</v>
      </c>
      <c r="H26" t="s">
        <v>55</v>
      </c>
      <c r="I26">
        <v>329600</v>
      </c>
      <c r="J26">
        <v>51300</v>
      </c>
      <c r="K26">
        <v>2.37</v>
      </c>
      <c r="L26">
        <f>IF(Wapato_Inventory[[#This Row],[parcel_acres]]-Wapato_Inventory[[#This Row],[non_valued_acres]] =0,0,LN(Wapato_Inventory[[#This Row],[parcel_acres]]-Wapato_Inventory[[#This Row],[non_valued_acres]]))</f>
        <v>0.86288995514703981</v>
      </c>
      <c r="M26">
        <v>0</v>
      </c>
      <c r="N26">
        <v>0</v>
      </c>
      <c r="O26">
        <v>0</v>
      </c>
      <c r="P26">
        <v>27904.037</v>
      </c>
      <c r="Q26">
        <v>74398</v>
      </c>
      <c r="R26" s="3">
        <f>(Wapato_Inventory[[#This Row],[ln_acres]]*Wapato_Inventory[[#This Row],[coeff]])+Wapato_Inventory[[#This Row],[const]]</f>
        <v>98476.113235351339</v>
      </c>
      <c r="S26" t="s">
        <v>62</v>
      </c>
      <c r="T26">
        <v>1</v>
      </c>
      <c r="U26" t="s">
        <v>67</v>
      </c>
      <c r="V26" t="s">
        <v>69</v>
      </c>
      <c r="W26">
        <v>0</v>
      </c>
      <c r="X26">
        <v>0</v>
      </c>
      <c r="Y26">
        <v>43</v>
      </c>
      <c r="Z26">
        <v>44</v>
      </c>
      <c r="AA26">
        <v>50</v>
      </c>
      <c r="AB26">
        <v>2000</v>
      </c>
      <c r="AC26">
        <v>1800</v>
      </c>
      <c r="AD26">
        <v>1800</v>
      </c>
      <c r="AE26">
        <v>0</v>
      </c>
      <c r="AF26">
        <v>0</v>
      </c>
      <c r="AG26">
        <v>0</v>
      </c>
      <c r="AH26">
        <v>0</v>
      </c>
      <c r="AI26">
        <v>312</v>
      </c>
      <c r="AJ26">
        <v>0</v>
      </c>
      <c r="AK26">
        <v>0</v>
      </c>
      <c r="AL26">
        <v>0</v>
      </c>
      <c r="AM26">
        <v>352</v>
      </c>
      <c r="AN26">
        <v>0</v>
      </c>
      <c r="AO26">
        <v>352</v>
      </c>
      <c r="AP26">
        <v>8</v>
      </c>
      <c r="AQ26">
        <v>1</v>
      </c>
      <c r="AR26">
        <v>0</v>
      </c>
      <c r="AS26" t="s">
        <v>59</v>
      </c>
      <c r="AT26">
        <v>1</v>
      </c>
      <c r="AU26" t="s">
        <v>60</v>
      </c>
      <c r="AV26" t="s">
        <v>61</v>
      </c>
      <c r="AW26">
        <v>1</v>
      </c>
      <c r="AX26">
        <v>3</v>
      </c>
      <c r="AY26">
        <v>0</v>
      </c>
      <c r="AZ26">
        <v>51100</v>
      </c>
      <c r="BA26">
        <v>100</v>
      </c>
      <c r="BB26">
        <v>100</v>
      </c>
      <c r="BC26">
        <v>100</v>
      </c>
      <c r="BD26">
        <v>100</v>
      </c>
      <c r="BE26">
        <v>1</v>
      </c>
      <c r="BF26">
        <v>15000</v>
      </c>
      <c r="BG26">
        <v>1000</v>
      </c>
      <c r="BH26" s="7">
        <f>ROUND(Wapato_Inventory[[#This Row],[detatched_value]]*Lookups!$B$22*Lookups!$H$48,-2)</f>
        <v>45600</v>
      </c>
      <c r="BI26" s="7">
        <f>ROUND(((Wapato_Inventory[[#This Row],[land_extract]]*Lookups!$B$3) +(Lookups!$B$2*0.5))*Lookups!$H$48,-2)</f>
        <v>60600</v>
      </c>
      <c r="BJ26" s="7">
        <f>IF(Wapato_Inventory[[#This Row],[bldg_style]]="",0,Lookups!$B$2*0.5)</f>
        <v>53765.27</v>
      </c>
      <c r="BK26" s="7">
        <f>_xlfn.IFNA(VLOOKUP(Wapato_Inventory[[#This Row],[quality]],Lookups!$H$2:$J$14,3,FALSE),0)</f>
        <v>50405</v>
      </c>
      <c r="BL26" s="7">
        <f>_xlfn.IFNA(VLOOKUP(Wapato_Inventory[[#This Row],[condition]],Lookups!$H$17:$J$24,3,FALSE),0)</f>
        <v>74543</v>
      </c>
      <c r="BM26" s="7">
        <f>Wapato_Inventory[[#This Row],[Age]]*Lookups!$B$16</f>
        <v>-16309.730800000001</v>
      </c>
      <c r="BN26" s="7">
        <f>Wapato_Inventory[[#This Row],[Main Floor]]*Lookups!$B$17</f>
        <v>75241.330199999997</v>
      </c>
      <c r="BO26" s="7">
        <f>Wapato_Inventory[[#This Row],[Upper Floor]]*Lookups!$B$18</f>
        <v>0</v>
      </c>
      <c r="BP26" s="7">
        <f>Wapato_Inventory[[#This Row],[Fin BSMT]]*Lookups!$B$19</f>
        <v>0</v>
      </c>
      <c r="BQ26" s="7">
        <f>(Wapato_Inventory[[#This Row],[att_gar]]+Wapato_Inventory[[#This Row],[blt_gar]])*Lookups!$B$20</f>
        <v>11546.730624</v>
      </c>
      <c r="BR26" s="7">
        <f>Wapato_Inventory[[#This Row],[Patio]]*Lookups!$B$21</f>
        <v>15250.040608000001</v>
      </c>
      <c r="BS26" s="7">
        <f>SUM(Wapato_Inventory[[#This Row],[intercept]:[patio_value]])*Wapato_Inventory[[#This Row],[res_pct]]</f>
        <v>264441.640632</v>
      </c>
      <c r="BT26" s="7">
        <f>Wapato_Inventory[[#This Row],[land_value]]</f>
        <v>60600</v>
      </c>
      <c r="BU26" s="2">
        <f>_xlfn.IFNA(VLOOKUP(Wapato_Inventory[[#This Row],[quality]],Lookups!$A$28:$C$37,3,FALSE),1)</f>
        <v>0.97993206410140754</v>
      </c>
      <c r="BV26" s="2">
        <f>_xlfn.IFNA(VLOOKUP(Wapato_Inventory[[#This Row],[condition]],Lookups!$A$41:$C$48,3,FALSE),1)</f>
        <v>0.98442438223270734</v>
      </c>
      <c r="BW26" s="2">
        <f>IF(Wapato_Inventory[[#This Row],[decade]]="",1,_xlfn.IFNA(VLOOKUP(Wapato_Inventory[[#This Row],[decade]],Lookups!$F$28:$H$45,3,FALSE),1))</f>
        <v>0.96240333884358298</v>
      </c>
      <c r="BX26" s="2">
        <f>_xlfn.IFNA(VLOOKUP(Wapato_Inventory[[#This Row],[living_area_range]],Lookups!$K$28:$M$37,3,FALSE),1)</f>
        <v>0.99330894324714125</v>
      </c>
      <c r="BY26" s="2">
        <f>AVERAGE(Wapato_Inventory[[#This Row],[qual_adj]:[range_adj]])</f>
        <v>0.98001718210620981</v>
      </c>
      <c r="BZ26" s="7">
        <f>(Wapato_Inventory[[#This Row],[sum_land]]-IF(Wapato_Inventory[[#This Row],[no_utilities]]=1,12000,0))/IF(Wapato_Inventory[[#This Row],[unbuildable]]=1,2,1)</f>
        <v>60600</v>
      </c>
      <c r="CA26" s="7">
        <f>Wapato_Inventory[[#This Row],[pre_res]]*Wapato_Inventory[[#This Row],[overall_adj]]</f>
        <v>259157.35148371564</v>
      </c>
      <c r="CB26" s="3">
        <f>IF(ROUND(Wapato_Inventory[[#This Row],[adj_land]]*Lookups!$H$48,-2)&lt;Wapato_Inventory[[#This Row],[min_land]],Wapato_Inventory[[#This Row],[min_land]],ROUND(Wapato_Inventory[[#This Row],[adj_land]]*Lookups!$H$48,-2))</f>
        <v>57600</v>
      </c>
      <c r="CC26" s="3">
        <f>IF(ROUND(Wapato_Inventory[[#This Row],[adj_res]]*Lookups!$H$48,-2)&lt;Wapato_Inventory[[#This Row],[min_res]],Wapato_Inventory[[#This Row],[min_res]],ROUND(Wapato_Inventory[[#This Row],[adj_res]]*Lookups!$H$48,-2))</f>
        <v>246200</v>
      </c>
      <c r="CD26" s="3">
        <f>ROUND(Wapato_Inventory[[#This Row],[det_value]]*Lookups!$H$48,-2)</f>
        <v>43300</v>
      </c>
      <c r="CE26" s="3">
        <f>Wapato_Inventory[[#This Row],[final_res]]+Wapato_Inventory[[#This Row],[final_det]]</f>
        <v>289500</v>
      </c>
      <c r="CF26" s="3">
        <f>Wapato_Inventory[[#This Row],[crop_value]]+Wapato_Inventory[[#This Row],[final_land]]+Wapato_Inventory[[#This Row],[final_imp]]</f>
        <v>347100</v>
      </c>
      <c r="CH26" t="str">
        <f t="shared" si="0"/>
        <v>update valuation set market_land =57600, market_bldg=289500, market_total =347100, market_mdno =405, market_date ='9/10/2023' where link_id = (select link_id from parcel where parcel_year = '2024' and parcel_id = '19110941435');</v>
      </c>
    </row>
    <row r="27" spans="1:86" x14ac:dyDescent="0.25">
      <c r="A27">
        <v>19110941436</v>
      </c>
      <c r="B27">
        <v>0.78</v>
      </c>
      <c r="C27">
        <v>33816</v>
      </c>
      <c r="D27" t="s">
        <v>144</v>
      </c>
      <c r="E27" t="s">
        <v>54</v>
      </c>
      <c r="F27" t="s">
        <v>54</v>
      </c>
      <c r="G27">
        <v>3</v>
      </c>
      <c r="H27" t="s">
        <v>55</v>
      </c>
      <c r="I27">
        <v>202500</v>
      </c>
      <c r="J27">
        <v>43500</v>
      </c>
      <c r="K27">
        <v>0.78</v>
      </c>
      <c r="L27">
        <f>IF(Wapato_Inventory[[#This Row],[parcel_acres]]-Wapato_Inventory[[#This Row],[non_valued_acres]] =0,0,LN(Wapato_Inventory[[#This Row],[parcel_acres]]-Wapato_Inventory[[#This Row],[non_valued_acres]]))</f>
        <v>-0.24846135929849961</v>
      </c>
      <c r="M27">
        <v>0</v>
      </c>
      <c r="N27">
        <v>0</v>
      </c>
      <c r="O27">
        <v>0</v>
      </c>
      <c r="P27">
        <v>27904.037</v>
      </c>
      <c r="Q27">
        <v>74398</v>
      </c>
      <c r="R27" s="3">
        <f>(Wapato_Inventory[[#This Row],[ln_acres]]*Wapato_Inventory[[#This Row],[coeff]])+Wapato_Inventory[[#This Row],[const]]</f>
        <v>67464.925037064371</v>
      </c>
      <c r="S27" t="s">
        <v>66</v>
      </c>
      <c r="T27">
        <v>1</v>
      </c>
      <c r="U27" t="s">
        <v>63</v>
      </c>
      <c r="V27" t="s">
        <v>68</v>
      </c>
      <c r="W27">
        <v>0</v>
      </c>
      <c r="X27">
        <v>0</v>
      </c>
      <c r="Y27">
        <v>49</v>
      </c>
      <c r="Z27">
        <v>68</v>
      </c>
      <c r="AA27">
        <v>70</v>
      </c>
      <c r="AB27">
        <v>1500</v>
      </c>
      <c r="AC27">
        <v>1304</v>
      </c>
      <c r="AD27">
        <v>1304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300</v>
      </c>
      <c r="AN27">
        <v>36</v>
      </c>
      <c r="AO27">
        <v>0</v>
      </c>
      <c r="AP27">
        <v>5</v>
      </c>
      <c r="AQ27">
        <v>0</v>
      </c>
      <c r="AR27">
        <v>1</v>
      </c>
      <c r="AS27" t="s">
        <v>59</v>
      </c>
      <c r="AT27">
        <v>1</v>
      </c>
      <c r="AU27" t="s">
        <v>60</v>
      </c>
      <c r="AV27" t="s">
        <v>61</v>
      </c>
      <c r="AW27">
        <v>1</v>
      </c>
      <c r="AX27">
        <v>3</v>
      </c>
      <c r="AY27">
        <v>0</v>
      </c>
      <c r="AZ27">
        <v>15700</v>
      </c>
      <c r="BA27">
        <v>100</v>
      </c>
      <c r="BB27">
        <v>100</v>
      </c>
      <c r="BC27">
        <v>100</v>
      </c>
      <c r="BD27">
        <v>100</v>
      </c>
      <c r="BE27">
        <v>1</v>
      </c>
      <c r="BF27">
        <v>15000</v>
      </c>
      <c r="BG27">
        <v>1000</v>
      </c>
      <c r="BH27" s="7">
        <f>ROUND(Wapato_Inventory[[#This Row],[detatched_value]]*Lookups!$B$22*Lookups!$H$48,-2)</f>
        <v>14000</v>
      </c>
      <c r="BI27" s="7">
        <f>ROUND(((Wapato_Inventory[[#This Row],[land_extract]]*Lookups!$B$3) +(Lookups!$B$2*0.5))*Lookups!$H$48,-2)</f>
        <v>57600</v>
      </c>
      <c r="BJ27" s="7">
        <f>IF(Wapato_Inventory[[#This Row],[bldg_style]]="",0,Lookups!$B$2*0.5)</f>
        <v>53765.27</v>
      </c>
      <c r="BK27" s="7">
        <f>_xlfn.IFNA(VLOOKUP(Wapato_Inventory[[#This Row],[quality]],Lookups!$H$2:$J$14,3,FALSE),0)</f>
        <v>50594</v>
      </c>
      <c r="BL27" s="7">
        <f>_xlfn.IFNA(VLOOKUP(Wapato_Inventory[[#This Row],[condition]],Lookups!$H$17:$J$24,3,FALSE),0)</f>
        <v>52231</v>
      </c>
      <c r="BM27" s="7">
        <f>Wapato_Inventory[[#This Row],[Age]]*Lookups!$B$16</f>
        <v>-25205.9476</v>
      </c>
      <c r="BN27" s="7">
        <f>Wapato_Inventory[[#This Row],[Main Floor]]*Lookups!$B$17</f>
        <v>54508.163655999997</v>
      </c>
      <c r="BO27" s="7">
        <f>Wapato_Inventory[[#This Row],[Upper Floor]]*Lookups!$B$18</f>
        <v>0</v>
      </c>
      <c r="BP27" s="7">
        <f>Wapato_Inventory[[#This Row],[Fin BSMT]]*Lookups!$B$19</f>
        <v>0</v>
      </c>
      <c r="BQ27" s="7">
        <f>(Wapato_Inventory[[#This Row],[att_gar]]+Wapato_Inventory[[#This Row],[blt_gar]])*Lookups!$B$20</f>
        <v>0</v>
      </c>
      <c r="BR27" s="7">
        <f>Wapato_Inventory[[#This Row],[Patio]]*Lookups!$B$21</f>
        <v>12997.1937</v>
      </c>
      <c r="BS27" s="7">
        <f>SUM(Wapato_Inventory[[#This Row],[intercept]:[patio_value]])*Wapato_Inventory[[#This Row],[res_pct]]</f>
        <v>198889.679756</v>
      </c>
      <c r="BT27" s="7">
        <f>Wapato_Inventory[[#This Row],[land_value]]</f>
        <v>57600</v>
      </c>
      <c r="BU27" s="2">
        <f>_xlfn.IFNA(VLOOKUP(Wapato_Inventory[[#This Row],[quality]],Lookups!$A$28:$C$37,3,FALSE),1)</f>
        <v>0.99197423394367223</v>
      </c>
      <c r="BV27" s="2">
        <f>_xlfn.IFNA(VLOOKUP(Wapato_Inventory[[#This Row],[condition]],Lookups!$A$41:$C$48,3,FALSE),1)</f>
        <v>0.9832333997567807</v>
      </c>
      <c r="BW27" s="2">
        <f>IF(Wapato_Inventory[[#This Row],[decade]]="",1,_xlfn.IFNA(VLOOKUP(Wapato_Inventory[[#This Row],[decade]],Lookups!$F$28:$H$45,3,FALSE),1))</f>
        <v>1.0012715221492001</v>
      </c>
      <c r="BX27" s="2">
        <f>_xlfn.IFNA(VLOOKUP(Wapato_Inventory[[#This Row],[living_area_range]],Lookups!$K$28:$M$37,3,FALSE),1)</f>
        <v>1.0061411172456287</v>
      </c>
      <c r="BY27" s="2">
        <f>AVERAGE(Wapato_Inventory[[#This Row],[qual_adj]:[range_adj]])</f>
        <v>0.99565506827382044</v>
      </c>
      <c r="BZ27" s="7">
        <f>(Wapato_Inventory[[#This Row],[sum_land]]-IF(Wapato_Inventory[[#This Row],[no_utilities]]=1,12000,0))/IF(Wapato_Inventory[[#This Row],[unbuildable]]=1,2,1)</f>
        <v>57600</v>
      </c>
      <c r="CA27" s="7">
        <f>Wapato_Inventory[[#This Row],[pre_res]]*Wapato_Inventory[[#This Row],[overall_adj]]</f>
        <v>198025.51767641847</v>
      </c>
      <c r="CB27" s="3">
        <f>IF(ROUND(Wapato_Inventory[[#This Row],[adj_land]]*Lookups!$H$48,-2)&lt;Wapato_Inventory[[#This Row],[min_land]],Wapato_Inventory[[#This Row],[min_land]],ROUND(Wapato_Inventory[[#This Row],[adj_land]]*Lookups!$H$48,-2))</f>
        <v>54700</v>
      </c>
      <c r="CC27" s="3">
        <f>IF(ROUND(Wapato_Inventory[[#This Row],[adj_res]]*Lookups!$H$48,-2)&lt;Wapato_Inventory[[#This Row],[min_res]],Wapato_Inventory[[#This Row],[min_res]],ROUND(Wapato_Inventory[[#This Row],[adj_res]]*Lookups!$H$48,-2))</f>
        <v>188100</v>
      </c>
      <c r="CD27" s="3">
        <f>ROUND(Wapato_Inventory[[#This Row],[det_value]]*Lookups!$H$48,-2)</f>
        <v>13300</v>
      </c>
      <c r="CE27" s="3">
        <f>Wapato_Inventory[[#This Row],[final_res]]+Wapato_Inventory[[#This Row],[final_det]]</f>
        <v>201400</v>
      </c>
      <c r="CF27" s="3">
        <f>Wapato_Inventory[[#This Row],[crop_value]]+Wapato_Inventory[[#This Row],[final_land]]+Wapato_Inventory[[#This Row],[final_imp]]</f>
        <v>256100</v>
      </c>
      <c r="CH27" t="str">
        <f t="shared" si="0"/>
        <v>update valuation set market_land =54700, market_bldg=201400, market_total =256100, market_mdno =405, market_date ='9/10/2023' where link_id = (select link_id from parcel where parcel_year = '2024' and parcel_id = '19110941436');</v>
      </c>
    </row>
    <row r="28" spans="1:86" x14ac:dyDescent="0.25">
      <c r="A28">
        <v>19110944403</v>
      </c>
      <c r="B28">
        <v>0.92</v>
      </c>
      <c r="C28">
        <v>40041</v>
      </c>
      <c r="D28" t="s">
        <v>144</v>
      </c>
      <c r="E28" t="s">
        <v>54</v>
      </c>
      <c r="F28" t="s">
        <v>54</v>
      </c>
      <c r="G28">
        <v>3</v>
      </c>
      <c r="H28" t="s">
        <v>55</v>
      </c>
      <c r="I28">
        <v>120200</v>
      </c>
      <c r="J28">
        <v>44700</v>
      </c>
      <c r="K28">
        <v>0.92</v>
      </c>
      <c r="L28">
        <f>IF(Wapato_Inventory[[#This Row],[parcel_acres]]-Wapato_Inventory[[#This Row],[non_valued_acres]] =0,0,LN(Wapato_Inventory[[#This Row],[parcel_acres]]-Wapato_Inventory[[#This Row],[non_valued_acres]]))</f>
        <v>-8.3381608939051013E-2</v>
      </c>
      <c r="M28">
        <v>0</v>
      </c>
      <c r="N28">
        <v>0</v>
      </c>
      <c r="O28">
        <v>0</v>
      </c>
      <c r="P28">
        <v>27904.037</v>
      </c>
      <c r="Q28">
        <v>74398</v>
      </c>
      <c r="R28" s="3">
        <f>(Wapato_Inventory[[#This Row],[ln_acres]]*Wapato_Inventory[[#This Row],[coeff]])+Wapato_Inventory[[#This Row],[const]]</f>
        <v>72071.316499045191</v>
      </c>
      <c r="S28" t="s">
        <v>66</v>
      </c>
      <c r="T28">
        <v>1</v>
      </c>
      <c r="U28" t="s">
        <v>71</v>
      </c>
      <c r="V28" t="s">
        <v>68</v>
      </c>
      <c r="W28">
        <v>0</v>
      </c>
      <c r="X28">
        <v>0</v>
      </c>
      <c r="Y28">
        <v>52</v>
      </c>
      <c r="Z28">
        <v>88</v>
      </c>
      <c r="AA28">
        <v>90</v>
      </c>
      <c r="AB28">
        <v>1500</v>
      </c>
      <c r="AC28">
        <v>1216</v>
      </c>
      <c r="AD28">
        <v>1216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120</v>
      </c>
      <c r="AO28">
        <v>0</v>
      </c>
      <c r="AP28">
        <v>5</v>
      </c>
      <c r="AQ28">
        <v>0</v>
      </c>
      <c r="AR28">
        <v>0</v>
      </c>
      <c r="AS28" t="s">
        <v>59</v>
      </c>
      <c r="AT28">
        <v>0</v>
      </c>
      <c r="AU28" t="s">
        <v>80</v>
      </c>
      <c r="AV28" t="s">
        <v>77</v>
      </c>
      <c r="AW28">
        <v>0</v>
      </c>
      <c r="AX28">
        <v>2</v>
      </c>
      <c r="AY28">
        <v>0</v>
      </c>
      <c r="AZ28">
        <v>0</v>
      </c>
      <c r="BA28">
        <v>100</v>
      </c>
      <c r="BB28">
        <v>100</v>
      </c>
      <c r="BC28">
        <v>100</v>
      </c>
      <c r="BD28">
        <v>100</v>
      </c>
      <c r="BE28">
        <v>1</v>
      </c>
      <c r="BF28">
        <v>15000</v>
      </c>
      <c r="BG28">
        <v>1000</v>
      </c>
      <c r="BH28" s="7">
        <f>ROUND(Wapato_Inventory[[#This Row],[detatched_value]]*Lookups!$B$22*Lookups!$H$48,-2)</f>
        <v>0</v>
      </c>
      <c r="BI28" s="7">
        <f>ROUND(((Wapato_Inventory[[#This Row],[land_extract]]*Lookups!$B$3) +(Lookups!$B$2*0.5))*Lookups!$H$48,-2)</f>
        <v>58000</v>
      </c>
      <c r="BJ28" s="7">
        <f>IF(Wapato_Inventory[[#This Row],[bldg_style]]="",0,Lookups!$B$2*0.5)</f>
        <v>53765.27</v>
      </c>
      <c r="BK28" s="7">
        <f>_xlfn.IFNA(VLOOKUP(Wapato_Inventory[[#This Row],[quality]],Lookups!$H$2:$J$14,3,FALSE),0)</f>
        <v>28034</v>
      </c>
      <c r="BL28" s="7">
        <f>_xlfn.IFNA(VLOOKUP(Wapato_Inventory[[#This Row],[condition]],Lookups!$H$17:$J$24,3,FALSE),0)</f>
        <v>52231</v>
      </c>
      <c r="BM28" s="7">
        <f>Wapato_Inventory[[#This Row],[Age]]*Lookups!$B$16</f>
        <v>-32619.461600000002</v>
      </c>
      <c r="BN28" s="7">
        <f>Wapato_Inventory[[#This Row],[Main Floor]]*Lookups!$B$17</f>
        <v>50829.698623999997</v>
      </c>
      <c r="BO28" s="7">
        <f>Wapato_Inventory[[#This Row],[Upper Floor]]*Lookups!$B$18</f>
        <v>0</v>
      </c>
      <c r="BP28" s="7">
        <f>Wapato_Inventory[[#This Row],[Fin BSMT]]*Lookups!$B$19</f>
        <v>0</v>
      </c>
      <c r="BQ28" s="7">
        <f>(Wapato_Inventory[[#This Row],[att_gar]]+Wapato_Inventory[[#This Row],[blt_gar]])*Lookups!$B$20</f>
        <v>0</v>
      </c>
      <c r="BR28" s="7">
        <f>Wapato_Inventory[[#This Row],[Patio]]*Lookups!$B$21</f>
        <v>0</v>
      </c>
      <c r="BS28" s="7">
        <f>SUM(Wapato_Inventory[[#This Row],[intercept]:[patio_value]])*Wapato_Inventory[[#This Row],[res_pct]]</f>
        <v>152240.50702399999</v>
      </c>
      <c r="BT28" s="7">
        <f>Wapato_Inventory[[#This Row],[land_value]]</f>
        <v>58000</v>
      </c>
      <c r="BU28" s="2">
        <f>_xlfn.IFNA(VLOOKUP(Wapato_Inventory[[#This Row],[quality]],Lookups!$A$28:$C$37,3,FALSE),1)</f>
        <v>0.96265813922927435</v>
      </c>
      <c r="BV28" s="2">
        <f>_xlfn.IFNA(VLOOKUP(Wapato_Inventory[[#This Row],[condition]],Lookups!$A$41:$C$48,3,FALSE),1)</f>
        <v>0.9832333997567807</v>
      </c>
      <c r="BW28" s="2">
        <f>IF(Wapato_Inventory[[#This Row],[decade]]="",1,_xlfn.IFNA(VLOOKUP(Wapato_Inventory[[#This Row],[decade]],Lookups!$F$28:$H$45,3,FALSE),1))</f>
        <v>0.94742695999815718</v>
      </c>
      <c r="BX28" s="2">
        <f>_xlfn.IFNA(VLOOKUP(Wapato_Inventory[[#This Row],[living_area_range]],Lookups!$K$28:$M$37,3,FALSE),1)</f>
        <v>1.0061411172456287</v>
      </c>
      <c r="BY28" s="2">
        <f>AVERAGE(Wapato_Inventory[[#This Row],[qual_adj]:[range_adj]])</f>
        <v>0.97486490405746018</v>
      </c>
      <c r="BZ28" s="7">
        <f>(Wapato_Inventory[[#This Row],[sum_land]]-IF(Wapato_Inventory[[#This Row],[no_utilities]]=1,12000,0))/IF(Wapato_Inventory[[#This Row],[unbuildable]]=1,2,1)</f>
        <v>58000</v>
      </c>
      <c r="CA28" s="7">
        <f>Wapato_Inventory[[#This Row],[pre_res]]*Wapato_Inventory[[#This Row],[overall_adj]]</f>
        <v>148413.92727361084</v>
      </c>
      <c r="CB28" s="3">
        <f>IF(ROUND(Wapato_Inventory[[#This Row],[adj_land]]*Lookups!$H$48,-2)&lt;Wapato_Inventory[[#This Row],[min_land]],Wapato_Inventory[[#This Row],[min_land]],ROUND(Wapato_Inventory[[#This Row],[adj_land]]*Lookups!$H$48,-2))</f>
        <v>55100</v>
      </c>
      <c r="CC28" s="3">
        <f>IF(ROUND(Wapato_Inventory[[#This Row],[adj_res]]*Lookups!$H$48,-2)&lt;Wapato_Inventory[[#This Row],[min_res]],Wapato_Inventory[[#This Row],[min_res]],ROUND(Wapato_Inventory[[#This Row],[adj_res]]*Lookups!$H$48,-2))</f>
        <v>141000</v>
      </c>
      <c r="CD28" s="3">
        <f>ROUND(Wapato_Inventory[[#This Row],[det_value]]*Lookups!$H$48,-2)</f>
        <v>0</v>
      </c>
      <c r="CE28" s="3">
        <f>Wapato_Inventory[[#This Row],[final_res]]+Wapato_Inventory[[#This Row],[final_det]]</f>
        <v>141000</v>
      </c>
      <c r="CF28" s="3">
        <f>Wapato_Inventory[[#This Row],[crop_value]]+Wapato_Inventory[[#This Row],[final_land]]+Wapato_Inventory[[#This Row],[final_imp]]</f>
        <v>196100</v>
      </c>
      <c r="CH28" t="str">
        <f t="shared" si="0"/>
        <v>update valuation set market_land =55100, market_bldg=141000, market_total =196100, market_mdno =405, market_date ='9/10/2023' where link_id = (select link_id from parcel where parcel_year = '2024' and parcel_id = '19110944403');</v>
      </c>
    </row>
    <row r="29" spans="1:86" x14ac:dyDescent="0.25">
      <c r="A29">
        <v>19110944408</v>
      </c>
      <c r="B29">
        <v>0.23</v>
      </c>
      <c r="C29">
        <v>10040</v>
      </c>
      <c r="D29" t="s">
        <v>144</v>
      </c>
      <c r="E29" t="s">
        <v>54</v>
      </c>
      <c r="F29" t="s">
        <v>54</v>
      </c>
      <c r="G29">
        <v>3</v>
      </c>
      <c r="H29" t="s">
        <v>55</v>
      </c>
      <c r="I29">
        <v>105900</v>
      </c>
      <c r="J29">
        <v>34900</v>
      </c>
      <c r="K29">
        <v>0.23</v>
      </c>
      <c r="L29">
        <f>IF(Wapato_Inventory[[#This Row],[parcel_acres]]-Wapato_Inventory[[#This Row],[non_valued_acres]] =0,0,LN(Wapato_Inventory[[#This Row],[parcel_acres]]-Wapato_Inventory[[#This Row],[non_valued_acres]]))</f>
        <v>-1.4696759700589417</v>
      </c>
      <c r="M29">
        <v>0</v>
      </c>
      <c r="N29">
        <v>0</v>
      </c>
      <c r="O29">
        <v>0</v>
      </c>
      <c r="P29">
        <v>27904.037</v>
      </c>
      <c r="Q29">
        <v>74398</v>
      </c>
      <c r="R29" s="3">
        <f>(Wapato_Inventory[[#This Row],[ln_acres]]*Wapato_Inventory[[#This Row],[coeff]])+Wapato_Inventory[[#This Row],[const]]</f>
        <v>33388.107353464402</v>
      </c>
      <c r="S29" t="s">
        <v>66</v>
      </c>
      <c r="T29">
        <v>1</v>
      </c>
      <c r="U29" t="s">
        <v>71</v>
      </c>
      <c r="V29" t="s">
        <v>68</v>
      </c>
      <c r="W29">
        <v>0</v>
      </c>
      <c r="X29">
        <v>0</v>
      </c>
      <c r="Y29">
        <v>53</v>
      </c>
      <c r="Z29">
        <v>93</v>
      </c>
      <c r="AA29">
        <v>100</v>
      </c>
      <c r="AB29">
        <v>1000</v>
      </c>
      <c r="AC29">
        <v>960</v>
      </c>
      <c r="AD29">
        <v>960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5</v>
      </c>
      <c r="AQ29">
        <v>0</v>
      </c>
      <c r="AR29">
        <v>0</v>
      </c>
      <c r="AS29" t="s">
        <v>59</v>
      </c>
      <c r="AT29">
        <v>1</v>
      </c>
      <c r="AU29" t="s">
        <v>72</v>
      </c>
      <c r="AV29" t="s">
        <v>61</v>
      </c>
      <c r="AW29">
        <v>0</v>
      </c>
      <c r="AX29">
        <v>3</v>
      </c>
      <c r="AY29">
        <v>0</v>
      </c>
      <c r="AZ29">
        <v>0</v>
      </c>
      <c r="BA29">
        <v>100</v>
      </c>
      <c r="BB29">
        <v>100</v>
      </c>
      <c r="BC29">
        <v>100</v>
      </c>
      <c r="BD29">
        <v>100</v>
      </c>
      <c r="BE29">
        <v>1</v>
      </c>
      <c r="BF29">
        <v>15000</v>
      </c>
      <c r="BG29">
        <v>1000</v>
      </c>
      <c r="BH29" s="7">
        <f>ROUND(Wapato_Inventory[[#This Row],[detatched_value]]*Lookups!$B$22*Lookups!$H$48,-2)</f>
        <v>0</v>
      </c>
      <c r="BI29" s="7">
        <f>ROUND(((Wapato_Inventory[[#This Row],[land_extract]]*Lookups!$B$3) +(Lookups!$B$2*0.5))*Lookups!$H$48,-2)</f>
        <v>54300</v>
      </c>
      <c r="BJ29" s="7">
        <f>IF(Wapato_Inventory[[#This Row],[bldg_style]]="",0,Lookups!$B$2*0.5)</f>
        <v>53765.27</v>
      </c>
      <c r="BK29" s="7">
        <f>_xlfn.IFNA(VLOOKUP(Wapato_Inventory[[#This Row],[quality]],Lookups!$H$2:$J$14,3,FALSE),0)</f>
        <v>28034</v>
      </c>
      <c r="BL29" s="7">
        <f>_xlfn.IFNA(VLOOKUP(Wapato_Inventory[[#This Row],[condition]],Lookups!$H$17:$J$24,3,FALSE),0)</f>
        <v>52231</v>
      </c>
      <c r="BM29" s="7">
        <f>Wapato_Inventory[[#This Row],[Age]]*Lookups!$B$16</f>
        <v>-34472.840100000001</v>
      </c>
      <c r="BN29" s="7">
        <f>Wapato_Inventory[[#This Row],[Main Floor]]*Lookups!$B$17</f>
        <v>40128.709439999999</v>
      </c>
      <c r="BO29" s="7">
        <f>Wapato_Inventory[[#This Row],[Upper Floor]]*Lookups!$B$18</f>
        <v>0</v>
      </c>
      <c r="BP29" s="7">
        <f>Wapato_Inventory[[#This Row],[Fin BSMT]]*Lookups!$B$19</f>
        <v>0</v>
      </c>
      <c r="BQ29" s="7">
        <f>(Wapato_Inventory[[#This Row],[att_gar]]+Wapato_Inventory[[#This Row],[blt_gar]])*Lookups!$B$20</f>
        <v>0</v>
      </c>
      <c r="BR29" s="7">
        <f>Wapato_Inventory[[#This Row],[Patio]]*Lookups!$B$21</f>
        <v>0</v>
      </c>
      <c r="BS29" s="7">
        <f>SUM(Wapato_Inventory[[#This Row],[intercept]:[patio_value]])*Wapato_Inventory[[#This Row],[res_pct]]</f>
        <v>139686.13933999999</v>
      </c>
      <c r="BT29" s="7">
        <f>Wapato_Inventory[[#This Row],[land_value]]</f>
        <v>54300</v>
      </c>
      <c r="BU29" s="2">
        <f>_xlfn.IFNA(VLOOKUP(Wapato_Inventory[[#This Row],[quality]],Lookups!$A$28:$C$37,3,FALSE),1)</f>
        <v>0.96265813922927435</v>
      </c>
      <c r="BV29" s="2">
        <f>_xlfn.IFNA(VLOOKUP(Wapato_Inventory[[#This Row],[condition]],Lookups!$A$41:$C$48,3,FALSE),1)</f>
        <v>0.9832333997567807</v>
      </c>
      <c r="BW29" s="2">
        <f>IF(Wapato_Inventory[[#This Row],[decade]]="",1,_xlfn.IFNA(VLOOKUP(Wapato_Inventory[[#This Row],[decade]],Lookups!$F$28:$H$45,3,FALSE),1))</f>
        <v>1.0114203040664467</v>
      </c>
      <c r="BX29" s="2">
        <f>_xlfn.IFNA(VLOOKUP(Wapato_Inventory[[#This Row],[living_area_range]],Lookups!$K$28:$M$37,3,FALSE),1)</f>
        <v>0.99022994770196116</v>
      </c>
      <c r="BY29" s="2">
        <f>AVERAGE(Wapato_Inventory[[#This Row],[qual_adj]:[range_adj]])</f>
        <v>0.98688544768861564</v>
      </c>
      <c r="BZ29" s="7">
        <f>(Wapato_Inventory[[#This Row],[sum_land]]-IF(Wapato_Inventory[[#This Row],[no_utilities]]=1,12000,0))/IF(Wapato_Inventory[[#This Row],[unbuildable]]=1,2,1)</f>
        <v>54300</v>
      </c>
      <c r="CA29" s="7">
        <f>Wapato_Inventory[[#This Row],[pre_res]]*Wapato_Inventory[[#This Row],[overall_adj]]</f>
        <v>137854.21815845024</v>
      </c>
      <c r="CB29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29" s="3">
        <f>IF(ROUND(Wapato_Inventory[[#This Row],[adj_res]]*Lookups!$H$48,-2)&lt;Wapato_Inventory[[#This Row],[min_res]],Wapato_Inventory[[#This Row],[min_res]],ROUND(Wapato_Inventory[[#This Row],[adj_res]]*Lookups!$H$48,-2))</f>
        <v>131000</v>
      </c>
      <c r="CD29" s="3">
        <f>ROUND(Wapato_Inventory[[#This Row],[det_value]]*Lookups!$H$48,-2)</f>
        <v>0</v>
      </c>
      <c r="CE29" s="3">
        <f>Wapato_Inventory[[#This Row],[final_res]]+Wapato_Inventory[[#This Row],[final_det]]</f>
        <v>131000</v>
      </c>
      <c r="CF29" s="3">
        <f>Wapato_Inventory[[#This Row],[crop_value]]+Wapato_Inventory[[#This Row],[final_land]]+Wapato_Inventory[[#This Row],[final_imp]]</f>
        <v>182600</v>
      </c>
      <c r="CH29" t="str">
        <f t="shared" si="0"/>
        <v>update valuation set market_land =51600, market_bldg=131000, market_total =182600, market_mdno =405, market_date ='9/10/2023' where link_id = (select link_id from parcel where parcel_year = '2024' and parcel_id = '19110944408');</v>
      </c>
    </row>
    <row r="30" spans="1:86" x14ac:dyDescent="0.25">
      <c r="A30">
        <v>19110944409</v>
      </c>
      <c r="B30">
        <v>0.22</v>
      </c>
      <c r="C30">
        <v>9412</v>
      </c>
      <c r="D30" t="s">
        <v>144</v>
      </c>
      <c r="E30" t="s">
        <v>54</v>
      </c>
      <c r="F30" t="s">
        <v>54</v>
      </c>
      <c r="G30">
        <v>3</v>
      </c>
      <c r="H30" t="s">
        <v>55</v>
      </c>
      <c r="I30">
        <v>70100</v>
      </c>
      <c r="J30">
        <v>34600</v>
      </c>
      <c r="K30">
        <v>0.22</v>
      </c>
      <c r="L30">
        <f>IF(Wapato_Inventory[[#This Row],[parcel_acres]]-Wapato_Inventory[[#This Row],[non_valued_acres]] =0,0,LN(Wapato_Inventory[[#This Row],[parcel_acres]]-Wapato_Inventory[[#This Row],[non_valued_acres]]))</f>
        <v>-1.5141277326297755</v>
      </c>
      <c r="M30">
        <v>0</v>
      </c>
      <c r="N30">
        <v>0</v>
      </c>
      <c r="O30">
        <v>0</v>
      </c>
      <c r="P30">
        <v>27904.037</v>
      </c>
      <c r="Q30">
        <v>74398</v>
      </c>
      <c r="R30" s="3">
        <f>(Wapato_Inventory[[#This Row],[ln_acres]]*Wapato_Inventory[[#This Row],[coeff]])+Wapato_Inventory[[#This Row],[const]]</f>
        <v>32147.723725972639</v>
      </c>
      <c r="S30" t="s">
        <v>66</v>
      </c>
      <c r="T30">
        <v>1</v>
      </c>
      <c r="U30" t="s">
        <v>71</v>
      </c>
      <c r="V30" t="s">
        <v>73</v>
      </c>
      <c r="W30">
        <v>0</v>
      </c>
      <c r="X30">
        <v>0</v>
      </c>
      <c r="Y30">
        <v>53</v>
      </c>
      <c r="Z30">
        <v>93</v>
      </c>
      <c r="AA30">
        <v>100</v>
      </c>
      <c r="AB30">
        <v>1000</v>
      </c>
      <c r="AC30">
        <v>936</v>
      </c>
      <c r="AD30">
        <v>936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5</v>
      </c>
      <c r="AQ30">
        <v>0</v>
      </c>
      <c r="AR30">
        <v>0</v>
      </c>
      <c r="AS30" t="s">
        <v>59</v>
      </c>
      <c r="AT30">
        <v>0</v>
      </c>
      <c r="AU30" t="s">
        <v>80</v>
      </c>
      <c r="AV30" t="s">
        <v>77</v>
      </c>
      <c r="AW30">
        <v>0</v>
      </c>
      <c r="AX30">
        <v>3</v>
      </c>
      <c r="AY30">
        <v>0</v>
      </c>
      <c r="AZ30">
        <v>0</v>
      </c>
      <c r="BA30">
        <v>100</v>
      </c>
      <c r="BB30">
        <v>100</v>
      </c>
      <c r="BC30">
        <v>100</v>
      </c>
      <c r="BD30">
        <v>100</v>
      </c>
      <c r="BE30">
        <v>1</v>
      </c>
      <c r="BF30">
        <v>15000</v>
      </c>
      <c r="BG30">
        <v>1000</v>
      </c>
      <c r="BH30" s="7">
        <f>ROUND(Wapato_Inventory[[#This Row],[detatched_value]]*Lookups!$B$22*Lookups!$H$48,-2)</f>
        <v>0</v>
      </c>
      <c r="BI30" s="7">
        <f>ROUND(((Wapato_Inventory[[#This Row],[land_extract]]*Lookups!$B$3) +(Lookups!$B$2*0.5))*Lookups!$H$48,-2)</f>
        <v>54200</v>
      </c>
      <c r="BJ30" s="7">
        <f>IF(Wapato_Inventory[[#This Row],[bldg_style]]="",0,Lookups!$B$2*0.5)</f>
        <v>53765.27</v>
      </c>
      <c r="BK30" s="7">
        <f>_xlfn.IFNA(VLOOKUP(Wapato_Inventory[[#This Row],[quality]],Lookups!$H$2:$J$14,3,FALSE),0)</f>
        <v>28034</v>
      </c>
      <c r="BL30" s="7">
        <f>_xlfn.IFNA(VLOOKUP(Wapato_Inventory[[#This Row],[condition]],Lookups!$H$17:$J$24,3,FALSE),0)</f>
        <v>16276</v>
      </c>
      <c r="BM30" s="7">
        <f>Wapato_Inventory[[#This Row],[Age]]*Lookups!$B$16</f>
        <v>-34472.840100000001</v>
      </c>
      <c r="BN30" s="7">
        <f>Wapato_Inventory[[#This Row],[Main Floor]]*Lookups!$B$17</f>
        <v>39125.491704</v>
      </c>
      <c r="BO30" s="7">
        <f>Wapato_Inventory[[#This Row],[Upper Floor]]*Lookups!$B$18</f>
        <v>0</v>
      </c>
      <c r="BP30" s="7">
        <f>Wapato_Inventory[[#This Row],[Fin BSMT]]*Lookups!$B$19</f>
        <v>0</v>
      </c>
      <c r="BQ30" s="7">
        <f>(Wapato_Inventory[[#This Row],[att_gar]]+Wapato_Inventory[[#This Row],[blt_gar]])*Lookups!$B$20</f>
        <v>0</v>
      </c>
      <c r="BR30" s="7">
        <f>Wapato_Inventory[[#This Row],[Patio]]*Lookups!$B$21</f>
        <v>0</v>
      </c>
      <c r="BS30" s="7">
        <f>SUM(Wapato_Inventory[[#This Row],[intercept]:[patio_value]])*Wapato_Inventory[[#This Row],[res_pct]]</f>
        <v>102727.92160399999</v>
      </c>
      <c r="BT30" s="7">
        <f>Wapato_Inventory[[#This Row],[land_value]]</f>
        <v>54200</v>
      </c>
      <c r="BU30" s="2">
        <f>_xlfn.IFNA(VLOOKUP(Wapato_Inventory[[#This Row],[quality]],Lookups!$A$28:$C$37,3,FALSE),1)</f>
        <v>0.96265813922927435</v>
      </c>
      <c r="BV30" s="2">
        <f>_xlfn.IFNA(VLOOKUP(Wapato_Inventory[[#This Row],[condition]],Lookups!$A$41:$C$48,3,FALSE),1)</f>
        <v>0.93399385491337139</v>
      </c>
      <c r="BW30" s="2">
        <f>IF(Wapato_Inventory[[#This Row],[decade]]="",1,_xlfn.IFNA(VLOOKUP(Wapato_Inventory[[#This Row],[decade]],Lookups!$F$28:$H$45,3,FALSE),1))</f>
        <v>1.0114203040664467</v>
      </c>
      <c r="BX30" s="2">
        <f>_xlfn.IFNA(VLOOKUP(Wapato_Inventory[[#This Row],[living_area_range]],Lookups!$K$28:$M$37,3,FALSE),1)</f>
        <v>0.99022994770196116</v>
      </c>
      <c r="BY30" s="2">
        <f>AVERAGE(Wapato_Inventory[[#This Row],[qual_adj]:[range_adj]])</f>
        <v>0.97457556147776347</v>
      </c>
      <c r="BZ30" s="7">
        <f>(Wapato_Inventory[[#This Row],[sum_land]]-IF(Wapato_Inventory[[#This Row],[no_utilities]]=1,12000,0))/IF(Wapato_Inventory[[#This Row],[unbuildable]]=1,2,1)</f>
        <v>54200</v>
      </c>
      <c r="CA30" s="7">
        <f>Wapato_Inventory[[#This Row],[pre_res]]*Wapato_Inventory[[#This Row],[overall_adj]]</f>
        <v>100116.12187666196</v>
      </c>
      <c r="CB30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30" s="3">
        <f>IF(ROUND(Wapato_Inventory[[#This Row],[adj_res]]*Lookups!$H$48,-2)&lt;Wapato_Inventory[[#This Row],[min_res]],Wapato_Inventory[[#This Row],[min_res]],ROUND(Wapato_Inventory[[#This Row],[adj_res]]*Lookups!$H$48,-2))</f>
        <v>95100</v>
      </c>
      <c r="CD30" s="3">
        <f>ROUND(Wapato_Inventory[[#This Row],[det_value]]*Lookups!$H$48,-2)</f>
        <v>0</v>
      </c>
      <c r="CE30" s="3">
        <f>Wapato_Inventory[[#This Row],[final_res]]+Wapato_Inventory[[#This Row],[final_det]]</f>
        <v>95100</v>
      </c>
      <c r="CF30" s="3">
        <f>Wapato_Inventory[[#This Row],[crop_value]]+Wapato_Inventory[[#This Row],[final_land]]+Wapato_Inventory[[#This Row],[final_imp]]</f>
        <v>146600</v>
      </c>
      <c r="CH30" t="str">
        <f t="shared" si="0"/>
        <v>update valuation set market_land =51500, market_bldg=95100, market_total =146600, market_mdno =405, market_date ='9/10/2023' where link_id = (select link_id from parcel where parcel_year = '2024' and parcel_id = '19110944409');</v>
      </c>
    </row>
    <row r="31" spans="1:86" x14ac:dyDescent="0.25">
      <c r="A31">
        <v>19110944410</v>
      </c>
      <c r="B31">
        <v>0.42</v>
      </c>
      <c r="C31">
        <v>18461</v>
      </c>
      <c r="D31" t="s">
        <v>144</v>
      </c>
      <c r="E31" t="s">
        <v>54</v>
      </c>
      <c r="F31" t="s">
        <v>54</v>
      </c>
      <c r="G31">
        <v>3</v>
      </c>
      <c r="H31" t="s">
        <v>55</v>
      </c>
      <c r="I31">
        <v>62300</v>
      </c>
      <c r="J31">
        <v>39100</v>
      </c>
      <c r="K31">
        <v>0.42</v>
      </c>
      <c r="L31">
        <f>IF(Wapato_Inventory[[#This Row],[parcel_acres]]-Wapato_Inventory[[#This Row],[non_valued_acres]] =0,0,LN(Wapato_Inventory[[#This Row],[parcel_acres]]-Wapato_Inventory[[#This Row],[non_valued_acres]]))</f>
        <v>-0.86750056770472306</v>
      </c>
      <c r="M31">
        <v>0</v>
      </c>
      <c r="N31">
        <v>0</v>
      </c>
      <c r="O31">
        <v>0</v>
      </c>
      <c r="P31">
        <v>27904.037</v>
      </c>
      <c r="Q31">
        <v>74398</v>
      </c>
      <c r="R31" s="3">
        <f>(Wapato_Inventory[[#This Row],[ln_acres]]*Wapato_Inventory[[#This Row],[coeff]])+Wapato_Inventory[[#This Row],[const]]</f>
        <v>50191.232061246403</v>
      </c>
      <c r="S31" t="s">
        <v>83</v>
      </c>
      <c r="T31">
        <v>1</v>
      </c>
      <c r="U31" t="s">
        <v>86</v>
      </c>
      <c r="V31" t="s">
        <v>73</v>
      </c>
      <c r="W31">
        <v>0</v>
      </c>
      <c r="X31">
        <v>0</v>
      </c>
      <c r="Y31">
        <v>93</v>
      </c>
      <c r="Z31">
        <v>93</v>
      </c>
      <c r="AA31">
        <v>100</v>
      </c>
      <c r="AB31">
        <v>1500</v>
      </c>
      <c r="AC31">
        <v>1160</v>
      </c>
      <c r="AD31">
        <v>1160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280</v>
      </c>
      <c r="AL31">
        <v>0</v>
      </c>
      <c r="AM31">
        <v>0</v>
      </c>
      <c r="AN31">
        <v>0</v>
      </c>
      <c r="AO31">
        <v>0</v>
      </c>
      <c r="AP31">
        <v>5</v>
      </c>
      <c r="AQ31">
        <v>0</v>
      </c>
      <c r="AR31">
        <v>0</v>
      </c>
      <c r="AS31" t="s">
        <v>82</v>
      </c>
      <c r="AT31">
        <v>0</v>
      </c>
      <c r="AU31" t="s">
        <v>80</v>
      </c>
      <c r="AV31" t="s">
        <v>147</v>
      </c>
      <c r="AW31">
        <v>0</v>
      </c>
      <c r="AX31">
        <v>4</v>
      </c>
      <c r="AY31">
        <v>0</v>
      </c>
      <c r="AZ31">
        <v>0</v>
      </c>
      <c r="BA31">
        <v>100</v>
      </c>
      <c r="BB31">
        <v>100</v>
      </c>
      <c r="BC31">
        <v>100</v>
      </c>
      <c r="BD31">
        <v>100</v>
      </c>
      <c r="BE31">
        <v>1</v>
      </c>
      <c r="BF31">
        <v>15000</v>
      </c>
      <c r="BG31">
        <v>1000</v>
      </c>
      <c r="BH31" s="7">
        <f>ROUND(Wapato_Inventory[[#This Row],[detatched_value]]*Lookups!$B$22*Lookups!$H$48,-2)</f>
        <v>0</v>
      </c>
      <c r="BI31" s="7">
        <f>ROUND(((Wapato_Inventory[[#This Row],[land_extract]]*Lookups!$B$3) +(Lookups!$B$2*0.5))*Lookups!$H$48,-2)</f>
        <v>55900</v>
      </c>
      <c r="BJ31" s="7">
        <f>IF(Wapato_Inventory[[#This Row],[bldg_style]]="",0,Lookups!$B$2*0.5)</f>
        <v>53765.27</v>
      </c>
      <c r="BK31" s="7">
        <f>_xlfn.IFNA(VLOOKUP(Wapato_Inventory[[#This Row],[quality]],Lookups!$H$2:$J$14,3,FALSE),0)</f>
        <v>0</v>
      </c>
      <c r="BL31" s="7">
        <f>_xlfn.IFNA(VLOOKUP(Wapato_Inventory[[#This Row],[condition]],Lookups!$H$17:$J$24,3,FALSE),0)</f>
        <v>16276</v>
      </c>
      <c r="BM31" s="7">
        <f>Wapato_Inventory[[#This Row],[Age]]*Lookups!$B$16</f>
        <v>-34472.840100000001</v>
      </c>
      <c r="BN31" s="7">
        <f>Wapato_Inventory[[#This Row],[Main Floor]]*Lookups!$B$17</f>
        <v>48488.857239999998</v>
      </c>
      <c r="BO31" s="7">
        <f>Wapato_Inventory[[#This Row],[Upper Floor]]*Lookups!$B$18</f>
        <v>0</v>
      </c>
      <c r="BP31" s="7">
        <f>Wapato_Inventory[[#This Row],[Fin BSMT]]*Lookups!$B$19</f>
        <v>0</v>
      </c>
      <c r="BQ31" s="7">
        <f>(Wapato_Inventory[[#This Row],[att_gar]]+Wapato_Inventory[[#This Row],[blt_gar]])*Lookups!$B$20</f>
        <v>0</v>
      </c>
      <c r="BR31" s="7">
        <f>Wapato_Inventory[[#This Row],[Patio]]*Lookups!$B$21</f>
        <v>0</v>
      </c>
      <c r="BS31" s="7">
        <f>SUM(Wapato_Inventory[[#This Row],[intercept]:[patio_value]])*Wapato_Inventory[[#This Row],[res_pct]]</f>
        <v>84057.287139999986</v>
      </c>
      <c r="BT31" s="7">
        <f>Wapato_Inventory[[#This Row],[land_value]]</f>
        <v>55900</v>
      </c>
      <c r="BU31" s="2">
        <f>_xlfn.IFNA(VLOOKUP(Wapato_Inventory[[#This Row],[quality]],Lookups!$A$28:$C$37,3,FALSE),1)</f>
        <v>1.0000010866511106</v>
      </c>
      <c r="BV31" s="2">
        <f>_xlfn.IFNA(VLOOKUP(Wapato_Inventory[[#This Row],[condition]],Lookups!$A$41:$C$48,3,FALSE),1)</f>
        <v>0.93399385491337139</v>
      </c>
      <c r="BW31" s="2">
        <f>IF(Wapato_Inventory[[#This Row],[decade]]="",1,_xlfn.IFNA(VLOOKUP(Wapato_Inventory[[#This Row],[decade]],Lookups!$F$28:$H$45,3,FALSE),1))</f>
        <v>1.0114203040664467</v>
      </c>
      <c r="BX31" s="2">
        <f>_xlfn.IFNA(VLOOKUP(Wapato_Inventory[[#This Row],[living_area_range]],Lookups!$K$28:$M$37,3,FALSE),1)</f>
        <v>1.0061411172456287</v>
      </c>
      <c r="BY31" s="2">
        <f>AVERAGE(Wapato_Inventory[[#This Row],[qual_adj]:[range_adj]])</f>
        <v>0.98788909071913933</v>
      </c>
      <c r="BZ31" s="7">
        <f>(Wapato_Inventory[[#This Row],[sum_land]]-IF(Wapato_Inventory[[#This Row],[no_utilities]]=1,12000,0))/IF(Wapato_Inventory[[#This Row],[unbuildable]]=1,2,1)</f>
        <v>55900</v>
      </c>
      <c r="CA31" s="7">
        <f>Wapato_Inventory[[#This Row],[pre_res]]*Wapato_Inventory[[#This Row],[overall_adj]]</f>
        <v>83039.276961052194</v>
      </c>
      <c r="CB31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31" s="3">
        <f>IF(ROUND(Wapato_Inventory[[#This Row],[adj_res]]*Lookups!$H$48,-2)&lt;Wapato_Inventory[[#This Row],[min_res]],Wapato_Inventory[[#This Row],[min_res]],ROUND(Wapato_Inventory[[#This Row],[adj_res]]*Lookups!$H$48,-2))</f>
        <v>78900</v>
      </c>
      <c r="CD31" s="3">
        <f>ROUND(Wapato_Inventory[[#This Row],[det_value]]*Lookups!$H$48,-2)</f>
        <v>0</v>
      </c>
      <c r="CE31" s="3">
        <f>Wapato_Inventory[[#This Row],[final_res]]+Wapato_Inventory[[#This Row],[final_det]]</f>
        <v>78900</v>
      </c>
      <c r="CF31" s="3">
        <f>Wapato_Inventory[[#This Row],[crop_value]]+Wapato_Inventory[[#This Row],[final_land]]+Wapato_Inventory[[#This Row],[final_imp]]</f>
        <v>132000</v>
      </c>
      <c r="CH31" t="str">
        <f t="shared" si="0"/>
        <v>update valuation set market_land =53100, market_bldg=78900, market_total =132000, market_mdno =405, market_date ='9/10/2023' where link_id = (select link_id from parcel where parcel_year = '2024' and parcel_id = '19110944410');</v>
      </c>
    </row>
    <row r="32" spans="1:86" x14ac:dyDescent="0.25">
      <c r="A32">
        <v>19110944411</v>
      </c>
      <c r="B32">
        <v>0.28999999999999998</v>
      </c>
      <c r="C32">
        <v>12550</v>
      </c>
      <c r="D32" t="s">
        <v>144</v>
      </c>
      <c r="E32" t="s">
        <v>54</v>
      </c>
      <c r="F32" t="s">
        <v>54</v>
      </c>
      <c r="G32">
        <v>3</v>
      </c>
      <c r="H32" t="s">
        <v>55</v>
      </c>
      <c r="I32">
        <v>80800</v>
      </c>
      <c r="J32">
        <v>36600</v>
      </c>
      <c r="K32">
        <v>0.28999999999999998</v>
      </c>
      <c r="L32">
        <f>IF(Wapato_Inventory[[#This Row],[parcel_acres]]-Wapato_Inventory[[#This Row],[non_valued_acres]] =0,0,LN(Wapato_Inventory[[#This Row],[parcel_acres]]-Wapato_Inventory[[#This Row],[non_valued_acres]]))</f>
        <v>-1.2378743560016174</v>
      </c>
      <c r="M32">
        <v>0</v>
      </c>
      <c r="N32">
        <v>0</v>
      </c>
      <c r="O32">
        <v>0</v>
      </c>
      <c r="P32">
        <v>27904.037</v>
      </c>
      <c r="Q32">
        <v>74398</v>
      </c>
      <c r="R32" s="3">
        <f>(Wapato_Inventory[[#This Row],[ln_acres]]*Wapato_Inventory[[#This Row],[coeff]])+Wapato_Inventory[[#This Row],[const]]</f>
        <v>39856.308168779695</v>
      </c>
      <c r="S32" t="s">
        <v>66</v>
      </c>
      <c r="T32">
        <v>1</v>
      </c>
      <c r="U32" t="s">
        <v>78</v>
      </c>
      <c r="V32" t="s">
        <v>73</v>
      </c>
      <c r="W32">
        <v>0</v>
      </c>
      <c r="X32">
        <v>0</v>
      </c>
      <c r="Y32">
        <v>53</v>
      </c>
      <c r="Z32">
        <v>93</v>
      </c>
      <c r="AA32">
        <v>100</v>
      </c>
      <c r="AB32">
        <v>1000</v>
      </c>
      <c r="AC32">
        <v>864</v>
      </c>
      <c r="AD32">
        <v>864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60</v>
      </c>
      <c r="AN32">
        <v>204</v>
      </c>
      <c r="AO32">
        <v>60</v>
      </c>
      <c r="AP32">
        <v>5</v>
      </c>
      <c r="AQ32">
        <v>1</v>
      </c>
      <c r="AR32">
        <v>0</v>
      </c>
      <c r="AS32" t="s">
        <v>59</v>
      </c>
      <c r="AT32">
        <v>1</v>
      </c>
      <c r="AU32" t="s">
        <v>72</v>
      </c>
      <c r="AV32" t="s">
        <v>61</v>
      </c>
      <c r="AW32">
        <v>0</v>
      </c>
      <c r="AX32">
        <v>2</v>
      </c>
      <c r="AY32">
        <v>0</v>
      </c>
      <c r="AZ32">
        <v>0</v>
      </c>
      <c r="BA32">
        <v>100</v>
      </c>
      <c r="BB32">
        <v>100</v>
      </c>
      <c r="BC32">
        <v>100</v>
      </c>
      <c r="BD32">
        <v>100</v>
      </c>
      <c r="BE32">
        <v>1</v>
      </c>
      <c r="BF32">
        <v>15000</v>
      </c>
      <c r="BG32">
        <v>1000</v>
      </c>
      <c r="BH32" s="7">
        <f>ROUND(Wapato_Inventory[[#This Row],[detatched_value]]*Lookups!$B$22*Lookups!$H$48,-2)</f>
        <v>0</v>
      </c>
      <c r="BI32" s="7">
        <f>ROUND(((Wapato_Inventory[[#This Row],[land_extract]]*Lookups!$B$3) +(Lookups!$B$2*0.5))*Lookups!$H$48,-2)</f>
        <v>54900</v>
      </c>
      <c r="BJ32" s="7">
        <f>IF(Wapato_Inventory[[#This Row],[bldg_style]]="",0,Lookups!$B$2*0.5)</f>
        <v>53765.27</v>
      </c>
      <c r="BK32" s="7">
        <f>_xlfn.IFNA(VLOOKUP(Wapato_Inventory[[#This Row],[quality]],Lookups!$H$2:$J$14,3,FALSE),0)</f>
        <v>23424</v>
      </c>
      <c r="BL32" s="7">
        <f>_xlfn.IFNA(VLOOKUP(Wapato_Inventory[[#This Row],[condition]],Lookups!$H$17:$J$24,3,FALSE),0)</f>
        <v>16276</v>
      </c>
      <c r="BM32" s="7">
        <f>Wapato_Inventory[[#This Row],[Age]]*Lookups!$B$16</f>
        <v>-34472.840100000001</v>
      </c>
      <c r="BN32" s="7">
        <f>Wapato_Inventory[[#This Row],[Main Floor]]*Lookups!$B$17</f>
        <v>36115.838495999997</v>
      </c>
      <c r="BO32" s="7">
        <f>Wapato_Inventory[[#This Row],[Upper Floor]]*Lookups!$B$18</f>
        <v>0</v>
      </c>
      <c r="BP32" s="7">
        <f>Wapato_Inventory[[#This Row],[Fin BSMT]]*Lookups!$B$19</f>
        <v>0</v>
      </c>
      <c r="BQ32" s="7">
        <f>(Wapato_Inventory[[#This Row],[att_gar]]+Wapato_Inventory[[#This Row],[blt_gar]])*Lookups!$B$20</f>
        <v>0</v>
      </c>
      <c r="BR32" s="7">
        <f>Wapato_Inventory[[#This Row],[Patio]]*Lookups!$B$21</f>
        <v>2599.4387400000001</v>
      </c>
      <c r="BS32" s="7">
        <f>SUM(Wapato_Inventory[[#This Row],[intercept]:[patio_value]])*Wapato_Inventory[[#This Row],[res_pct]]</f>
        <v>97707.707135999983</v>
      </c>
      <c r="BT32" s="7">
        <f>Wapato_Inventory[[#This Row],[land_value]]</f>
        <v>54900</v>
      </c>
      <c r="BU32" s="2">
        <f>_xlfn.IFNA(VLOOKUP(Wapato_Inventory[[#This Row],[quality]],Lookups!$A$28:$C$37,3,FALSE),1)</f>
        <v>1.0091195562373767</v>
      </c>
      <c r="BV32" s="2">
        <f>_xlfn.IFNA(VLOOKUP(Wapato_Inventory[[#This Row],[condition]],Lookups!$A$41:$C$48,3,FALSE),1)</f>
        <v>0.93399385491337139</v>
      </c>
      <c r="BW32" s="2">
        <f>IF(Wapato_Inventory[[#This Row],[decade]]="",1,_xlfn.IFNA(VLOOKUP(Wapato_Inventory[[#This Row],[decade]],Lookups!$F$28:$H$45,3,FALSE),1))</f>
        <v>1.0114203040664467</v>
      </c>
      <c r="BX32" s="2">
        <f>_xlfn.IFNA(VLOOKUP(Wapato_Inventory[[#This Row],[living_area_range]],Lookups!$K$28:$M$37,3,FALSE),1)</f>
        <v>0.99022994770196116</v>
      </c>
      <c r="BY32" s="2">
        <f>AVERAGE(Wapato_Inventory[[#This Row],[qual_adj]:[range_adj]])</f>
        <v>0.9861909157297889</v>
      </c>
      <c r="BZ32" s="7">
        <f>(Wapato_Inventory[[#This Row],[sum_land]]-IF(Wapato_Inventory[[#This Row],[no_utilities]]=1,12000,0))/IF(Wapato_Inventory[[#This Row],[unbuildable]]=1,2,1)</f>
        <v>54900</v>
      </c>
      <c r="CA32" s="7">
        <f>Wapato_Inventory[[#This Row],[pre_res]]*Wapato_Inventory[[#This Row],[overall_adj]]</f>
        <v>96358.453174309849</v>
      </c>
      <c r="CB32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32" s="3">
        <f>IF(ROUND(Wapato_Inventory[[#This Row],[adj_res]]*Lookups!$H$48,-2)&lt;Wapato_Inventory[[#This Row],[min_res]],Wapato_Inventory[[#This Row],[min_res]],ROUND(Wapato_Inventory[[#This Row],[adj_res]]*Lookups!$H$48,-2))</f>
        <v>91500</v>
      </c>
      <c r="CD32" s="3">
        <f>ROUND(Wapato_Inventory[[#This Row],[det_value]]*Lookups!$H$48,-2)</f>
        <v>0</v>
      </c>
      <c r="CE32" s="3">
        <f>Wapato_Inventory[[#This Row],[final_res]]+Wapato_Inventory[[#This Row],[final_det]]</f>
        <v>91500</v>
      </c>
      <c r="CF32" s="3">
        <f>Wapato_Inventory[[#This Row],[crop_value]]+Wapato_Inventory[[#This Row],[final_land]]+Wapato_Inventory[[#This Row],[final_imp]]</f>
        <v>143700</v>
      </c>
      <c r="CH32" t="str">
        <f t="shared" si="0"/>
        <v>update valuation set market_land =52200, market_bldg=91500, market_total =143700, market_mdno =405, market_date ='9/10/2023' where link_id = (select link_id from parcel where parcel_year = '2024' and parcel_id = '19110944411');</v>
      </c>
    </row>
    <row r="33" spans="1:86" x14ac:dyDescent="0.25">
      <c r="A33">
        <v>19110944414</v>
      </c>
      <c r="B33">
        <v>0.21</v>
      </c>
      <c r="C33" t="s">
        <v>144</v>
      </c>
      <c r="D33" t="s">
        <v>144</v>
      </c>
      <c r="E33" t="s">
        <v>54</v>
      </c>
      <c r="F33" t="s">
        <v>54</v>
      </c>
      <c r="G33">
        <v>3</v>
      </c>
      <c r="H33" t="s">
        <v>55</v>
      </c>
      <c r="I33">
        <v>184900</v>
      </c>
      <c r="J33">
        <v>34300</v>
      </c>
      <c r="K33">
        <v>0.21</v>
      </c>
      <c r="L33">
        <f>IF(Wapato_Inventory[[#This Row],[parcel_acres]]-Wapato_Inventory[[#This Row],[non_valued_acres]] =0,0,LN(Wapato_Inventory[[#This Row],[parcel_acres]]-Wapato_Inventory[[#This Row],[non_valued_acres]]))</f>
        <v>-1.5606477482646683</v>
      </c>
      <c r="M33">
        <v>0</v>
      </c>
      <c r="N33">
        <v>0</v>
      </c>
      <c r="O33">
        <v>0</v>
      </c>
      <c r="P33">
        <v>27904.037</v>
      </c>
      <c r="Q33">
        <v>74398</v>
      </c>
      <c r="R33" s="3">
        <f>(Wapato_Inventory[[#This Row],[ln_acres]]*Wapato_Inventory[[#This Row],[coeff]])+Wapato_Inventory[[#This Row],[const]]</f>
        <v>30849.627488456012</v>
      </c>
      <c r="S33" t="s">
        <v>56</v>
      </c>
      <c r="T33">
        <v>2</v>
      </c>
      <c r="U33" t="s">
        <v>75</v>
      </c>
      <c r="V33" t="s">
        <v>69</v>
      </c>
      <c r="W33">
        <v>0</v>
      </c>
      <c r="X33">
        <v>0</v>
      </c>
      <c r="Y33">
        <v>57</v>
      </c>
      <c r="Z33">
        <v>103</v>
      </c>
      <c r="AA33">
        <v>110</v>
      </c>
      <c r="AB33">
        <v>1500</v>
      </c>
      <c r="AC33">
        <v>1375</v>
      </c>
      <c r="AD33">
        <v>1000</v>
      </c>
      <c r="AE33">
        <v>375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60</v>
      </c>
      <c r="AM33">
        <v>51</v>
      </c>
      <c r="AN33">
        <v>0</v>
      </c>
      <c r="AO33">
        <v>32</v>
      </c>
      <c r="AP33">
        <v>5</v>
      </c>
      <c r="AQ33">
        <v>0</v>
      </c>
      <c r="AR33">
        <v>0</v>
      </c>
      <c r="AS33" t="s">
        <v>59</v>
      </c>
      <c r="AT33">
        <v>1</v>
      </c>
      <c r="AU33" t="s">
        <v>72</v>
      </c>
      <c r="AV33" t="s">
        <v>61</v>
      </c>
      <c r="AW33">
        <v>0</v>
      </c>
      <c r="AX33">
        <v>3</v>
      </c>
      <c r="AY33">
        <v>0</v>
      </c>
      <c r="AZ33">
        <v>0</v>
      </c>
      <c r="BA33">
        <v>100</v>
      </c>
      <c r="BB33">
        <v>100</v>
      </c>
      <c r="BC33">
        <v>100</v>
      </c>
      <c r="BD33">
        <v>100</v>
      </c>
      <c r="BE33">
        <v>1</v>
      </c>
      <c r="BF33">
        <v>15000</v>
      </c>
      <c r="BG33">
        <v>1000</v>
      </c>
      <c r="BH33" s="7">
        <f>ROUND(Wapato_Inventory[[#This Row],[detatched_value]]*Lookups!$B$22*Lookups!$H$48,-2)</f>
        <v>0</v>
      </c>
      <c r="BI33" s="7">
        <f>ROUND(((Wapato_Inventory[[#This Row],[land_extract]]*Lookups!$B$3) +(Lookups!$B$2*0.5))*Lookups!$H$48,-2)</f>
        <v>54100</v>
      </c>
      <c r="BJ33" s="7">
        <f>IF(Wapato_Inventory[[#This Row],[bldg_style]]="",0,Lookups!$B$2*0.5)</f>
        <v>53765.27</v>
      </c>
      <c r="BK33" s="7">
        <f>_xlfn.IFNA(VLOOKUP(Wapato_Inventory[[#This Row],[quality]],Lookups!$H$2:$J$14,3,FALSE),0)</f>
        <v>48043</v>
      </c>
      <c r="BL33" s="7">
        <f>_xlfn.IFNA(VLOOKUP(Wapato_Inventory[[#This Row],[condition]],Lookups!$H$17:$J$24,3,FALSE),0)</f>
        <v>74543</v>
      </c>
      <c r="BM33" s="7">
        <f>Wapato_Inventory[[#This Row],[Age]]*Lookups!$B$16</f>
        <v>-38179.597099999999</v>
      </c>
      <c r="BN33" s="7">
        <f>Wapato_Inventory[[#This Row],[Main Floor]]*Lookups!$B$17</f>
        <v>41800.739000000001</v>
      </c>
      <c r="BO33" s="7">
        <f>Wapato_Inventory[[#This Row],[Upper Floor]]*Lookups!$B$18</f>
        <v>18600.427125000002</v>
      </c>
      <c r="BP33" s="7">
        <f>Wapato_Inventory[[#This Row],[Fin BSMT]]*Lookups!$B$19</f>
        <v>0</v>
      </c>
      <c r="BQ33" s="7">
        <f>(Wapato_Inventory[[#This Row],[att_gar]]+Wapato_Inventory[[#This Row],[blt_gar]])*Lookups!$B$20</f>
        <v>0</v>
      </c>
      <c r="BR33" s="7">
        <f>Wapato_Inventory[[#This Row],[Patio]]*Lookups!$B$21</f>
        <v>2209.5229290000002</v>
      </c>
      <c r="BS33" s="7">
        <f>SUM(Wapato_Inventory[[#This Row],[intercept]:[patio_value]])*Wapato_Inventory[[#This Row],[res_pct]]</f>
        <v>200782.36195399999</v>
      </c>
      <c r="BT33" s="7">
        <f>Wapato_Inventory[[#This Row],[land_value]]</f>
        <v>54100</v>
      </c>
      <c r="BU33" s="2">
        <f>_xlfn.IFNA(VLOOKUP(Wapato_Inventory[[#This Row],[quality]],Lookups!$A$28:$C$37,3,FALSE),1)</f>
        <v>0.98196844879778955</v>
      </c>
      <c r="BV33" s="2">
        <f>_xlfn.IFNA(VLOOKUP(Wapato_Inventory[[#This Row],[condition]],Lookups!$A$41:$C$48,3,FALSE),1)</f>
        <v>0.98442438223270734</v>
      </c>
      <c r="BW33" s="2">
        <f>IF(Wapato_Inventory[[#This Row],[decade]]="",1,_xlfn.IFNA(VLOOKUP(Wapato_Inventory[[#This Row],[decade]],Lookups!$F$28:$H$45,3,FALSE),1))</f>
        <v>0.93664589651353292</v>
      </c>
      <c r="BX33" s="2">
        <f>_xlfn.IFNA(VLOOKUP(Wapato_Inventory[[#This Row],[living_area_range]],Lookups!$K$28:$M$37,3,FALSE),1)</f>
        <v>1.0061411172456287</v>
      </c>
      <c r="BY33" s="2">
        <f>AVERAGE(Wapato_Inventory[[#This Row],[qual_adj]:[range_adj]])</f>
        <v>0.97729496119741466</v>
      </c>
      <c r="BZ33" s="7">
        <f>(Wapato_Inventory[[#This Row],[sum_land]]-IF(Wapato_Inventory[[#This Row],[no_utilities]]=1,12000,0))/IF(Wapato_Inventory[[#This Row],[unbuildable]]=1,2,1)</f>
        <v>54100</v>
      </c>
      <c r="CA33" s="7">
        <f>Wapato_Inventory[[#This Row],[pre_res]]*Wapato_Inventory[[#This Row],[overall_adj]]</f>
        <v>196223.59063495969</v>
      </c>
      <c r="CB33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33" s="3">
        <f>IF(ROUND(Wapato_Inventory[[#This Row],[adj_res]]*Lookups!$H$48,-2)&lt;Wapato_Inventory[[#This Row],[min_res]],Wapato_Inventory[[#This Row],[min_res]],ROUND(Wapato_Inventory[[#This Row],[adj_res]]*Lookups!$H$48,-2))</f>
        <v>186400</v>
      </c>
      <c r="CD33" s="3">
        <f>ROUND(Wapato_Inventory[[#This Row],[det_value]]*Lookups!$H$48,-2)</f>
        <v>0</v>
      </c>
      <c r="CE33" s="3">
        <f>Wapato_Inventory[[#This Row],[final_res]]+Wapato_Inventory[[#This Row],[final_det]]</f>
        <v>186400</v>
      </c>
      <c r="CF33" s="3">
        <f>Wapato_Inventory[[#This Row],[crop_value]]+Wapato_Inventory[[#This Row],[final_land]]+Wapato_Inventory[[#This Row],[final_imp]]</f>
        <v>237800</v>
      </c>
      <c r="CH33" t="str">
        <f t="shared" si="0"/>
        <v>update valuation set market_land =51400, market_bldg=186400, market_total =237800, market_mdno =405, market_date ='9/10/2023' where link_id = (select link_id from parcel where parcel_year = '2024' and parcel_id = '19110944414');</v>
      </c>
    </row>
    <row r="34" spans="1:86" x14ac:dyDescent="0.25">
      <c r="A34">
        <v>19110944415</v>
      </c>
      <c r="B34">
        <v>0.66</v>
      </c>
      <c r="C34">
        <v>28564</v>
      </c>
      <c r="D34" t="s">
        <v>144</v>
      </c>
      <c r="E34" t="s">
        <v>54</v>
      </c>
      <c r="F34" t="s">
        <v>54</v>
      </c>
      <c r="G34">
        <v>3</v>
      </c>
      <c r="H34" t="s">
        <v>55</v>
      </c>
      <c r="I34">
        <v>141300</v>
      </c>
      <c r="J34">
        <v>42300</v>
      </c>
      <c r="K34">
        <v>0.66</v>
      </c>
      <c r="L34">
        <f>IF(Wapato_Inventory[[#This Row],[parcel_acres]]-Wapato_Inventory[[#This Row],[non_valued_acres]] =0,0,LN(Wapato_Inventory[[#This Row],[parcel_acres]]-Wapato_Inventory[[#This Row],[non_valued_acres]]))</f>
        <v>-0.41551544396166579</v>
      </c>
      <c r="M34">
        <v>0</v>
      </c>
      <c r="N34">
        <v>0</v>
      </c>
      <c r="O34">
        <v>0</v>
      </c>
      <c r="P34">
        <v>27904.037</v>
      </c>
      <c r="Q34">
        <v>74398</v>
      </c>
      <c r="R34" s="3">
        <f>(Wapato_Inventory[[#This Row],[ln_acres]]*Wapato_Inventory[[#This Row],[coeff]])+Wapato_Inventory[[#This Row],[const]]</f>
        <v>62803.44167762225</v>
      </c>
      <c r="S34" t="s">
        <v>66</v>
      </c>
      <c r="T34">
        <v>1</v>
      </c>
      <c r="U34" t="s">
        <v>67</v>
      </c>
      <c r="V34" t="s">
        <v>68</v>
      </c>
      <c r="W34">
        <v>0</v>
      </c>
      <c r="X34">
        <v>0</v>
      </c>
      <c r="Y34">
        <v>51</v>
      </c>
      <c r="Z34">
        <v>83</v>
      </c>
      <c r="AA34">
        <v>90</v>
      </c>
      <c r="AB34">
        <v>2000</v>
      </c>
      <c r="AC34">
        <v>1562</v>
      </c>
      <c r="AD34">
        <v>1562</v>
      </c>
      <c r="AE34">
        <v>0</v>
      </c>
      <c r="AF34">
        <v>0</v>
      </c>
      <c r="AG34">
        <v>0</v>
      </c>
      <c r="AH34">
        <v>0</v>
      </c>
      <c r="AI34">
        <v>518</v>
      </c>
      <c r="AJ34">
        <v>0</v>
      </c>
      <c r="AK34">
        <v>176</v>
      </c>
      <c r="AL34">
        <v>0</v>
      </c>
      <c r="AM34">
        <v>0</v>
      </c>
      <c r="AN34">
        <v>0</v>
      </c>
      <c r="AO34">
        <v>0</v>
      </c>
      <c r="AP34">
        <v>6</v>
      </c>
      <c r="AQ34">
        <v>1</v>
      </c>
      <c r="AR34">
        <v>0</v>
      </c>
      <c r="AS34" t="s">
        <v>81</v>
      </c>
      <c r="AT34">
        <v>1</v>
      </c>
      <c r="AU34" t="s">
        <v>76</v>
      </c>
      <c r="AV34" t="s">
        <v>61</v>
      </c>
      <c r="AW34">
        <v>0</v>
      </c>
      <c r="AX34">
        <v>3</v>
      </c>
      <c r="AY34">
        <v>0</v>
      </c>
      <c r="AZ34">
        <v>0</v>
      </c>
      <c r="BA34">
        <v>100</v>
      </c>
      <c r="BB34">
        <v>100</v>
      </c>
      <c r="BC34">
        <v>100</v>
      </c>
      <c r="BD34">
        <v>100</v>
      </c>
      <c r="BE34">
        <v>1</v>
      </c>
      <c r="BF34">
        <v>15000</v>
      </c>
      <c r="BG34">
        <v>1000</v>
      </c>
      <c r="BH34" s="7">
        <f>ROUND(Wapato_Inventory[[#This Row],[detatched_value]]*Lookups!$B$22*Lookups!$H$48,-2)</f>
        <v>0</v>
      </c>
      <c r="BI34" s="7">
        <f>ROUND(((Wapato_Inventory[[#This Row],[land_extract]]*Lookups!$B$3) +(Lookups!$B$2*0.5))*Lookups!$H$48,-2)</f>
        <v>57100</v>
      </c>
      <c r="BJ34" s="7">
        <f>IF(Wapato_Inventory[[#This Row],[bldg_style]]="",0,Lookups!$B$2*0.5)</f>
        <v>53765.27</v>
      </c>
      <c r="BK34" s="7">
        <f>_xlfn.IFNA(VLOOKUP(Wapato_Inventory[[#This Row],[quality]],Lookups!$H$2:$J$14,3,FALSE),0)</f>
        <v>50405</v>
      </c>
      <c r="BL34" s="7">
        <f>_xlfn.IFNA(VLOOKUP(Wapato_Inventory[[#This Row],[condition]],Lookups!$H$17:$J$24,3,FALSE),0)</f>
        <v>52231</v>
      </c>
      <c r="BM34" s="7">
        <f>Wapato_Inventory[[#This Row],[Age]]*Lookups!$B$16</f>
        <v>-30766.0831</v>
      </c>
      <c r="BN34" s="7">
        <f>Wapato_Inventory[[#This Row],[Main Floor]]*Lookups!$B$17</f>
        <v>65292.754317999999</v>
      </c>
      <c r="BO34" s="7">
        <f>Wapato_Inventory[[#This Row],[Upper Floor]]*Lookups!$B$18</f>
        <v>0</v>
      </c>
      <c r="BP34" s="7">
        <f>Wapato_Inventory[[#This Row],[Fin BSMT]]*Lookups!$B$19</f>
        <v>0</v>
      </c>
      <c r="BQ34" s="7">
        <f>(Wapato_Inventory[[#This Row],[att_gar]]+Wapato_Inventory[[#This Row],[blt_gar]])*Lookups!$B$20</f>
        <v>19170.533535999999</v>
      </c>
      <c r="BR34" s="7">
        <f>Wapato_Inventory[[#This Row],[Patio]]*Lookups!$B$21</f>
        <v>0</v>
      </c>
      <c r="BS34" s="7">
        <f>SUM(Wapato_Inventory[[#This Row],[intercept]:[patio_value]])*Wapato_Inventory[[#This Row],[res_pct]]</f>
        <v>210098.474754</v>
      </c>
      <c r="BT34" s="7">
        <f>Wapato_Inventory[[#This Row],[land_value]]</f>
        <v>57100</v>
      </c>
      <c r="BU34" s="2">
        <f>_xlfn.IFNA(VLOOKUP(Wapato_Inventory[[#This Row],[quality]],Lookups!$A$28:$C$37,3,FALSE),1)</f>
        <v>0.97993206410140754</v>
      </c>
      <c r="BV34" s="2">
        <f>_xlfn.IFNA(VLOOKUP(Wapato_Inventory[[#This Row],[condition]],Lookups!$A$41:$C$48,3,FALSE),1)</f>
        <v>0.9832333997567807</v>
      </c>
      <c r="BW34" s="2">
        <f>IF(Wapato_Inventory[[#This Row],[decade]]="",1,_xlfn.IFNA(VLOOKUP(Wapato_Inventory[[#This Row],[decade]],Lookups!$F$28:$H$45,3,FALSE),1))</f>
        <v>0.94742695999815718</v>
      </c>
      <c r="BX34" s="2">
        <f>_xlfn.IFNA(VLOOKUP(Wapato_Inventory[[#This Row],[living_area_range]],Lookups!$K$28:$M$37,3,FALSE),1)</f>
        <v>0.99330894324714125</v>
      </c>
      <c r="BY34" s="2">
        <f>AVERAGE(Wapato_Inventory[[#This Row],[qual_adj]:[range_adj]])</f>
        <v>0.97597534177587164</v>
      </c>
      <c r="BZ34" s="7">
        <f>(Wapato_Inventory[[#This Row],[sum_land]]-IF(Wapato_Inventory[[#This Row],[no_utilities]]=1,12000,0))/IF(Wapato_Inventory[[#This Row],[unbuildable]]=1,2,1)</f>
        <v>57100</v>
      </c>
      <c r="CA34" s="7">
        <f>Wapato_Inventory[[#This Row],[pre_res]]*Wapato_Inventory[[#This Row],[overall_adj]]</f>
        <v>205050.93070462448</v>
      </c>
      <c r="CB34" s="3">
        <f>IF(ROUND(Wapato_Inventory[[#This Row],[adj_land]]*Lookups!$H$48,-2)&lt;Wapato_Inventory[[#This Row],[min_land]],Wapato_Inventory[[#This Row],[min_land]],ROUND(Wapato_Inventory[[#This Row],[adj_land]]*Lookups!$H$48,-2))</f>
        <v>54200</v>
      </c>
      <c r="CC34" s="3">
        <f>IF(ROUND(Wapato_Inventory[[#This Row],[adj_res]]*Lookups!$H$48,-2)&lt;Wapato_Inventory[[#This Row],[min_res]],Wapato_Inventory[[#This Row],[min_res]],ROUND(Wapato_Inventory[[#This Row],[adj_res]]*Lookups!$H$48,-2))</f>
        <v>194800</v>
      </c>
      <c r="CD34" s="3">
        <f>ROUND(Wapato_Inventory[[#This Row],[det_value]]*Lookups!$H$48,-2)</f>
        <v>0</v>
      </c>
      <c r="CE34" s="3">
        <f>Wapato_Inventory[[#This Row],[final_res]]+Wapato_Inventory[[#This Row],[final_det]]</f>
        <v>194800</v>
      </c>
      <c r="CF34" s="3">
        <f>Wapato_Inventory[[#This Row],[crop_value]]+Wapato_Inventory[[#This Row],[final_land]]+Wapato_Inventory[[#This Row],[final_imp]]</f>
        <v>249000</v>
      </c>
      <c r="CH34" t="str">
        <f t="shared" si="0"/>
        <v>update valuation set market_land =54200, market_bldg=194800, market_total =249000, market_mdno =405, market_date ='9/10/2023' where link_id = (select link_id from parcel where parcel_year = '2024' and parcel_id = '19110944415');</v>
      </c>
    </row>
    <row r="35" spans="1:86" x14ac:dyDescent="0.25">
      <c r="A35">
        <v>19110944416</v>
      </c>
      <c r="B35">
        <v>0.81</v>
      </c>
      <c r="C35">
        <v>35343</v>
      </c>
      <c r="D35" t="s">
        <v>144</v>
      </c>
      <c r="E35" t="s">
        <v>54</v>
      </c>
      <c r="F35" t="s">
        <v>54</v>
      </c>
      <c r="G35">
        <v>3</v>
      </c>
      <c r="H35" t="s">
        <v>55</v>
      </c>
      <c r="I35">
        <v>188900</v>
      </c>
      <c r="J35">
        <v>43700</v>
      </c>
      <c r="K35">
        <v>0.81</v>
      </c>
      <c r="L35">
        <f>IF(Wapato_Inventory[[#This Row],[parcel_acres]]-Wapato_Inventory[[#This Row],[non_valued_acres]] =0,0,LN(Wapato_Inventory[[#This Row],[parcel_acres]]-Wapato_Inventory[[#This Row],[non_valued_acres]]))</f>
        <v>-0.21072103131565253</v>
      </c>
      <c r="M35">
        <v>0</v>
      </c>
      <c r="N35">
        <v>0</v>
      </c>
      <c r="O35">
        <v>0</v>
      </c>
      <c r="P35">
        <v>27904.037</v>
      </c>
      <c r="Q35">
        <v>74398</v>
      </c>
      <c r="R35" s="3">
        <f>(Wapato_Inventory[[#This Row],[ln_acres]]*Wapato_Inventory[[#This Row],[coeff]])+Wapato_Inventory[[#This Row],[const]]</f>
        <v>68518.03254548987</v>
      </c>
      <c r="S35" t="s">
        <v>66</v>
      </c>
      <c r="T35">
        <v>1</v>
      </c>
      <c r="U35" t="s">
        <v>75</v>
      </c>
      <c r="V35" t="s">
        <v>68</v>
      </c>
      <c r="W35">
        <v>0</v>
      </c>
      <c r="X35">
        <v>0</v>
      </c>
      <c r="Y35">
        <v>49</v>
      </c>
      <c r="Z35">
        <v>68</v>
      </c>
      <c r="AA35">
        <v>70</v>
      </c>
      <c r="AB35">
        <v>2000</v>
      </c>
      <c r="AC35">
        <v>1764</v>
      </c>
      <c r="AD35">
        <v>1764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544</v>
      </c>
      <c r="AL35">
        <v>0</v>
      </c>
      <c r="AM35">
        <v>0</v>
      </c>
      <c r="AN35">
        <v>96</v>
      </c>
      <c r="AO35">
        <v>0</v>
      </c>
      <c r="AP35">
        <v>8</v>
      </c>
      <c r="AQ35">
        <v>0</v>
      </c>
      <c r="AR35">
        <v>0</v>
      </c>
      <c r="AS35" t="s">
        <v>59</v>
      </c>
      <c r="AT35">
        <v>1</v>
      </c>
      <c r="AU35" t="s">
        <v>72</v>
      </c>
      <c r="AV35" t="s">
        <v>61</v>
      </c>
      <c r="AW35">
        <v>0</v>
      </c>
      <c r="AX35">
        <v>3</v>
      </c>
      <c r="AY35">
        <v>0</v>
      </c>
      <c r="AZ35">
        <v>0</v>
      </c>
      <c r="BA35">
        <v>100</v>
      </c>
      <c r="BB35">
        <v>100</v>
      </c>
      <c r="BC35">
        <v>100</v>
      </c>
      <c r="BD35">
        <v>100</v>
      </c>
      <c r="BE35">
        <v>1</v>
      </c>
      <c r="BF35">
        <v>15000</v>
      </c>
      <c r="BG35">
        <v>1000</v>
      </c>
      <c r="BH35" s="7">
        <f>ROUND(Wapato_Inventory[[#This Row],[detatched_value]]*Lookups!$B$22*Lookups!$H$48,-2)</f>
        <v>0</v>
      </c>
      <c r="BI35" s="7">
        <f>ROUND(((Wapato_Inventory[[#This Row],[land_extract]]*Lookups!$B$3) +(Lookups!$B$2*0.5))*Lookups!$H$48,-2)</f>
        <v>57700</v>
      </c>
      <c r="BJ35" s="7">
        <f>IF(Wapato_Inventory[[#This Row],[bldg_style]]="",0,Lookups!$B$2*0.5)</f>
        <v>53765.27</v>
      </c>
      <c r="BK35" s="7">
        <f>_xlfn.IFNA(VLOOKUP(Wapato_Inventory[[#This Row],[quality]],Lookups!$H$2:$J$14,3,FALSE),0)</f>
        <v>48043</v>
      </c>
      <c r="BL35" s="7">
        <f>_xlfn.IFNA(VLOOKUP(Wapato_Inventory[[#This Row],[condition]],Lookups!$H$17:$J$24,3,FALSE),0)</f>
        <v>52231</v>
      </c>
      <c r="BM35" s="7">
        <f>Wapato_Inventory[[#This Row],[Age]]*Lookups!$B$16</f>
        <v>-25205.9476</v>
      </c>
      <c r="BN35" s="7">
        <f>Wapato_Inventory[[#This Row],[Main Floor]]*Lookups!$B$17</f>
        <v>73736.503595999995</v>
      </c>
      <c r="BO35" s="7">
        <f>Wapato_Inventory[[#This Row],[Upper Floor]]*Lookups!$B$18</f>
        <v>0</v>
      </c>
      <c r="BP35" s="7">
        <f>Wapato_Inventory[[#This Row],[Fin BSMT]]*Lookups!$B$19</f>
        <v>0</v>
      </c>
      <c r="BQ35" s="7">
        <f>(Wapato_Inventory[[#This Row],[att_gar]]+Wapato_Inventory[[#This Row],[blt_gar]])*Lookups!$B$20</f>
        <v>0</v>
      </c>
      <c r="BR35" s="7">
        <f>Wapato_Inventory[[#This Row],[Patio]]*Lookups!$B$21</f>
        <v>0</v>
      </c>
      <c r="BS35" s="7">
        <f>SUM(Wapato_Inventory[[#This Row],[intercept]:[patio_value]])*Wapato_Inventory[[#This Row],[res_pct]]</f>
        <v>202569.82599599997</v>
      </c>
      <c r="BT35" s="7">
        <f>Wapato_Inventory[[#This Row],[land_value]]</f>
        <v>57700</v>
      </c>
      <c r="BU35" s="2">
        <f>_xlfn.IFNA(VLOOKUP(Wapato_Inventory[[#This Row],[quality]],Lookups!$A$28:$C$37,3,FALSE),1)</f>
        <v>0.98196844879778955</v>
      </c>
      <c r="BV35" s="2">
        <f>_xlfn.IFNA(VLOOKUP(Wapato_Inventory[[#This Row],[condition]],Lookups!$A$41:$C$48,3,FALSE),1)</f>
        <v>0.9832333997567807</v>
      </c>
      <c r="BW35" s="2">
        <f>IF(Wapato_Inventory[[#This Row],[decade]]="",1,_xlfn.IFNA(VLOOKUP(Wapato_Inventory[[#This Row],[decade]],Lookups!$F$28:$H$45,3,FALSE),1))</f>
        <v>1.0012715221492001</v>
      </c>
      <c r="BX35" s="2">
        <f>_xlfn.IFNA(VLOOKUP(Wapato_Inventory[[#This Row],[living_area_range]],Lookups!$K$28:$M$37,3,FALSE),1)</f>
        <v>0.99330894324714125</v>
      </c>
      <c r="BY35" s="2">
        <f>AVERAGE(Wapato_Inventory[[#This Row],[qual_adj]:[range_adj]])</f>
        <v>0.98994557848772791</v>
      </c>
      <c r="BZ35" s="7">
        <f>(Wapato_Inventory[[#This Row],[sum_land]]-IF(Wapato_Inventory[[#This Row],[no_utilities]]=1,12000,0))/IF(Wapato_Inventory[[#This Row],[unbuildable]]=1,2,1)</f>
        <v>57700</v>
      </c>
      <c r="CA35" s="7">
        <f>Wapato_Inventory[[#This Row],[pre_res]]*Wapato_Inventory[[#This Row],[overall_adj]]</f>
        <v>200533.10357976856</v>
      </c>
      <c r="CB35" s="3">
        <f>IF(ROUND(Wapato_Inventory[[#This Row],[adj_land]]*Lookups!$H$48,-2)&lt;Wapato_Inventory[[#This Row],[min_land]],Wapato_Inventory[[#This Row],[min_land]],ROUND(Wapato_Inventory[[#This Row],[adj_land]]*Lookups!$H$48,-2))</f>
        <v>54800</v>
      </c>
      <c r="CC35" s="3">
        <f>IF(ROUND(Wapato_Inventory[[#This Row],[adj_res]]*Lookups!$H$48,-2)&lt;Wapato_Inventory[[#This Row],[min_res]],Wapato_Inventory[[#This Row],[min_res]],ROUND(Wapato_Inventory[[#This Row],[adj_res]]*Lookups!$H$48,-2))</f>
        <v>190500</v>
      </c>
      <c r="CD35" s="3">
        <f>ROUND(Wapato_Inventory[[#This Row],[det_value]]*Lookups!$H$48,-2)</f>
        <v>0</v>
      </c>
      <c r="CE35" s="3">
        <f>Wapato_Inventory[[#This Row],[final_res]]+Wapato_Inventory[[#This Row],[final_det]]</f>
        <v>190500</v>
      </c>
      <c r="CF35" s="3">
        <f>Wapato_Inventory[[#This Row],[crop_value]]+Wapato_Inventory[[#This Row],[final_land]]+Wapato_Inventory[[#This Row],[final_imp]]</f>
        <v>245300</v>
      </c>
      <c r="CH35" t="str">
        <f t="shared" si="0"/>
        <v>update valuation set market_land =54800, market_bldg=190500, market_total =245300, market_mdno =405, market_date ='9/10/2023' where link_id = (select link_id from parcel where parcel_year = '2024' and parcel_id = '19110944416');</v>
      </c>
    </row>
    <row r="36" spans="1:86" x14ac:dyDescent="0.25">
      <c r="A36">
        <v>19110944417</v>
      </c>
      <c r="B36">
        <v>0.19</v>
      </c>
      <c r="C36">
        <v>8218</v>
      </c>
      <c r="D36" t="s">
        <v>144</v>
      </c>
      <c r="E36" t="s">
        <v>54</v>
      </c>
      <c r="F36" t="s">
        <v>54</v>
      </c>
      <c r="G36">
        <v>3</v>
      </c>
      <c r="H36" t="s">
        <v>55</v>
      </c>
      <c r="I36">
        <v>158400</v>
      </c>
      <c r="J36">
        <v>33600</v>
      </c>
      <c r="K36">
        <v>0.19</v>
      </c>
      <c r="L36">
        <f>IF(Wapato_Inventory[[#This Row],[parcel_acres]]-Wapato_Inventory[[#This Row],[non_valued_acres]] =0,0,LN(Wapato_Inventory[[#This Row],[parcel_acres]]-Wapato_Inventory[[#This Row],[non_valued_acres]]))</f>
        <v>-1.6607312068216509</v>
      </c>
      <c r="M36">
        <v>0</v>
      </c>
      <c r="N36">
        <v>0</v>
      </c>
      <c r="O36">
        <v>0</v>
      </c>
      <c r="P36">
        <v>27904.037</v>
      </c>
      <c r="Q36">
        <v>74398</v>
      </c>
      <c r="R36" s="3">
        <f>(Wapato_Inventory[[#This Row],[ln_acres]]*Wapato_Inventory[[#This Row],[coeff]])+Wapato_Inventory[[#This Row],[const]]</f>
        <v>28056.894957794</v>
      </c>
      <c r="S36" t="s">
        <v>66</v>
      </c>
      <c r="T36">
        <v>1</v>
      </c>
      <c r="U36" t="s">
        <v>75</v>
      </c>
      <c r="V36" t="s">
        <v>68</v>
      </c>
      <c r="W36">
        <v>0</v>
      </c>
      <c r="X36">
        <v>0</v>
      </c>
      <c r="Y36">
        <v>57</v>
      </c>
      <c r="Z36">
        <v>103</v>
      </c>
      <c r="AA36">
        <v>110</v>
      </c>
      <c r="AB36">
        <v>1500</v>
      </c>
      <c r="AC36">
        <v>1314</v>
      </c>
      <c r="AD36">
        <v>1314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286</v>
      </c>
      <c r="AL36">
        <v>0</v>
      </c>
      <c r="AM36">
        <v>0</v>
      </c>
      <c r="AN36">
        <v>50</v>
      </c>
      <c r="AO36">
        <v>0</v>
      </c>
      <c r="AP36">
        <v>7</v>
      </c>
      <c r="AQ36">
        <v>0</v>
      </c>
      <c r="AR36">
        <v>1</v>
      </c>
      <c r="AS36" t="s">
        <v>82</v>
      </c>
      <c r="AT36">
        <v>1</v>
      </c>
      <c r="AU36" t="s">
        <v>72</v>
      </c>
      <c r="AV36" t="s">
        <v>61</v>
      </c>
      <c r="AW36">
        <v>0</v>
      </c>
      <c r="AX36">
        <v>3</v>
      </c>
      <c r="AY36">
        <v>0</v>
      </c>
      <c r="AZ36">
        <v>0</v>
      </c>
      <c r="BA36">
        <v>100</v>
      </c>
      <c r="BB36">
        <v>100</v>
      </c>
      <c r="BC36">
        <v>100</v>
      </c>
      <c r="BD36">
        <v>100</v>
      </c>
      <c r="BE36">
        <v>1</v>
      </c>
      <c r="BF36">
        <v>15000</v>
      </c>
      <c r="BG36">
        <v>1000</v>
      </c>
      <c r="BH36" s="7">
        <f>ROUND(Wapato_Inventory[[#This Row],[detatched_value]]*Lookups!$B$22*Lookups!$H$48,-2)</f>
        <v>0</v>
      </c>
      <c r="BI36" s="7">
        <f>ROUND(((Wapato_Inventory[[#This Row],[land_extract]]*Lookups!$B$3) +(Lookups!$B$2*0.5))*Lookups!$H$48,-2)</f>
        <v>53800</v>
      </c>
      <c r="BJ36" s="7">
        <f>IF(Wapato_Inventory[[#This Row],[bldg_style]]="",0,Lookups!$B$2*0.5)</f>
        <v>53765.27</v>
      </c>
      <c r="BK36" s="7">
        <f>_xlfn.IFNA(VLOOKUP(Wapato_Inventory[[#This Row],[quality]],Lookups!$H$2:$J$14,3,FALSE),0)</f>
        <v>48043</v>
      </c>
      <c r="BL36" s="7">
        <f>_xlfn.IFNA(VLOOKUP(Wapato_Inventory[[#This Row],[condition]],Lookups!$H$17:$J$24,3,FALSE),0)</f>
        <v>52231</v>
      </c>
      <c r="BM36" s="7">
        <f>Wapato_Inventory[[#This Row],[Age]]*Lookups!$B$16</f>
        <v>-38179.597099999999</v>
      </c>
      <c r="BN36" s="7">
        <f>Wapato_Inventory[[#This Row],[Main Floor]]*Lookups!$B$17</f>
        <v>54926.171046000003</v>
      </c>
      <c r="BO36" s="7">
        <f>Wapato_Inventory[[#This Row],[Upper Floor]]*Lookups!$B$18</f>
        <v>0</v>
      </c>
      <c r="BP36" s="7">
        <f>Wapato_Inventory[[#This Row],[Fin BSMT]]*Lookups!$B$19</f>
        <v>0</v>
      </c>
      <c r="BQ36" s="7">
        <f>(Wapato_Inventory[[#This Row],[att_gar]]+Wapato_Inventory[[#This Row],[blt_gar]])*Lookups!$B$20</f>
        <v>0</v>
      </c>
      <c r="BR36" s="7">
        <f>Wapato_Inventory[[#This Row],[Patio]]*Lookups!$B$21</f>
        <v>0</v>
      </c>
      <c r="BS36" s="7">
        <f>SUM(Wapato_Inventory[[#This Row],[intercept]:[patio_value]])*Wapato_Inventory[[#This Row],[res_pct]]</f>
        <v>170785.84394599998</v>
      </c>
      <c r="BT36" s="7">
        <f>Wapato_Inventory[[#This Row],[land_value]]</f>
        <v>53800</v>
      </c>
      <c r="BU36" s="2">
        <f>_xlfn.IFNA(VLOOKUP(Wapato_Inventory[[#This Row],[quality]],Lookups!$A$28:$C$37,3,FALSE),1)</f>
        <v>0.98196844879778955</v>
      </c>
      <c r="BV36" s="2">
        <f>_xlfn.IFNA(VLOOKUP(Wapato_Inventory[[#This Row],[condition]],Lookups!$A$41:$C$48,3,FALSE),1)</f>
        <v>0.9832333997567807</v>
      </c>
      <c r="BW36" s="2">
        <f>IF(Wapato_Inventory[[#This Row],[decade]]="",1,_xlfn.IFNA(VLOOKUP(Wapato_Inventory[[#This Row],[decade]],Lookups!$F$28:$H$45,3,FALSE),1))</f>
        <v>0.93664589651353292</v>
      </c>
      <c r="BX36" s="2">
        <f>_xlfn.IFNA(VLOOKUP(Wapato_Inventory[[#This Row],[living_area_range]],Lookups!$K$28:$M$37,3,FALSE),1)</f>
        <v>1.0061411172456287</v>
      </c>
      <c r="BY36" s="2">
        <f>AVERAGE(Wapato_Inventory[[#This Row],[qual_adj]:[range_adj]])</f>
        <v>0.976997215578433</v>
      </c>
      <c r="BZ36" s="7">
        <f>(Wapato_Inventory[[#This Row],[sum_land]]-IF(Wapato_Inventory[[#This Row],[no_utilities]]=1,12000,0))/IF(Wapato_Inventory[[#This Row],[unbuildable]]=1,2,1)</f>
        <v>53800</v>
      </c>
      <c r="CA36" s="7">
        <f>Wapato_Inventory[[#This Row],[pre_res]]*Wapato_Inventory[[#This Row],[overall_adj]]</f>
        <v>166857.29399545476</v>
      </c>
      <c r="CB36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36" s="3">
        <f>IF(ROUND(Wapato_Inventory[[#This Row],[adj_res]]*Lookups!$H$48,-2)&lt;Wapato_Inventory[[#This Row],[min_res]],Wapato_Inventory[[#This Row],[min_res]],ROUND(Wapato_Inventory[[#This Row],[adj_res]]*Lookups!$H$48,-2))</f>
        <v>158500</v>
      </c>
      <c r="CD36" s="3">
        <f>ROUND(Wapato_Inventory[[#This Row],[det_value]]*Lookups!$H$48,-2)</f>
        <v>0</v>
      </c>
      <c r="CE36" s="3">
        <f>Wapato_Inventory[[#This Row],[final_res]]+Wapato_Inventory[[#This Row],[final_det]]</f>
        <v>158500</v>
      </c>
      <c r="CF36" s="3">
        <f>Wapato_Inventory[[#This Row],[crop_value]]+Wapato_Inventory[[#This Row],[final_land]]+Wapato_Inventory[[#This Row],[final_imp]]</f>
        <v>209600</v>
      </c>
      <c r="CH36" t="str">
        <f t="shared" si="0"/>
        <v>update valuation set market_land =51100, market_bldg=158500, market_total =209600, market_mdno =405, market_date ='9/10/2023' where link_id = (select link_id from parcel where parcel_year = '2024' and parcel_id = '19110944417');</v>
      </c>
    </row>
    <row r="37" spans="1:86" x14ac:dyDescent="0.25">
      <c r="A37">
        <v>19110944418</v>
      </c>
      <c r="B37">
        <v>0.43</v>
      </c>
      <c r="C37">
        <v>18719</v>
      </c>
      <c r="D37" t="s">
        <v>144</v>
      </c>
      <c r="E37" t="s">
        <v>54</v>
      </c>
      <c r="F37" t="s">
        <v>54</v>
      </c>
      <c r="G37">
        <v>3</v>
      </c>
      <c r="H37" t="s">
        <v>55</v>
      </c>
      <c r="I37">
        <v>135700</v>
      </c>
      <c r="J37">
        <v>39300</v>
      </c>
      <c r="K37">
        <v>0.43</v>
      </c>
      <c r="L37">
        <f>IF(Wapato_Inventory[[#This Row],[parcel_acres]]-Wapato_Inventory[[#This Row],[non_valued_acres]] =0,0,LN(Wapato_Inventory[[#This Row],[parcel_acres]]-Wapato_Inventory[[#This Row],[non_valued_acres]]))</f>
        <v>-0.84397007029452897</v>
      </c>
      <c r="M37">
        <v>0</v>
      </c>
      <c r="N37">
        <v>0</v>
      </c>
      <c r="O37">
        <v>0</v>
      </c>
      <c r="P37">
        <v>27904.037</v>
      </c>
      <c r="Q37">
        <v>74398</v>
      </c>
      <c r="R37" s="3">
        <f>(Wapato_Inventory[[#This Row],[ln_acres]]*Wapato_Inventory[[#This Row],[coeff]])+Wapato_Inventory[[#This Row],[const]]</f>
        <v>50847.827931608859</v>
      </c>
      <c r="S37" t="s">
        <v>66</v>
      </c>
      <c r="T37">
        <v>1</v>
      </c>
      <c r="U37" t="s">
        <v>71</v>
      </c>
      <c r="V37" t="s">
        <v>68</v>
      </c>
      <c r="W37">
        <v>0</v>
      </c>
      <c r="X37">
        <v>0</v>
      </c>
      <c r="Y37">
        <v>53</v>
      </c>
      <c r="Z37">
        <v>93</v>
      </c>
      <c r="AA37">
        <v>100</v>
      </c>
      <c r="AB37">
        <v>1500</v>
      </c>
      <c r="AC37">
        <v>1320</v>
      </c>
      <c r="AD37">
        <v>1320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252</v>
      </c>
      <c r="AN37">
        <v>0</v>
      </c>
      <c r="AO37">
        <v>252</v>
      </c>
      <c r="AP37">
        <v>5</v>
      </c>
      <c r="AQ37">
        <v>1</v>
      </c>
      <c r="AR37">
        <v>0</v>
      </c>
      <c r="AS37" t="s">
        <v>59</v>
      </c>
      <c r="AT37">
        <v>1</v>
      </c>
      <c r="AU37" t="s">
        <v>72</v>
      </c>
      <c r="AV37" t="s">
        <v>61</v>
      </c>
      <c r="AW37">
        <v>0</v>
      </c>
      <c r="AX37">
        <v>3</v>
      </c>
      <c r="AY37">
        <v>0</v>
      </c>
      <c r="AZ37">
        <v>4800</v>
      </c>
      <c r="BA37">
        <v>100</v>
      </c>
      <c r="BB37">
        <v>100</v>
      </c>
      <c r="BC37">
        <v>100</v>
      </c>
      <c r="BD37">
        <v>100</v>
      </c>
      <c r="BE37">
        <v>1</v>
      </c>
      <c r="BF37">
        <v>15000</v>
      </c>
      <c r="BG37">
        <v>1000</v>
      </c>
      <c r="BH37" s="7">
        <f>ROUND(Wapato_Inventory[[#This Row],[detatched_value]]*Lookups!$B$22*Lookups!$H$48,-2)</f>
        <v>4300</v>
      </c>
      <c r="BI37" s="7">
        <f>ROUND(((Wapato_Inventory[[#This Row],[land_extract]]*Lookups!$B$3) +(Lookups!$B$2*0.5))*Lookups!$H$48,-2)</f>
        <v>56000</v>
      </c>
      <c r="BJ37" s="7">
        <f>IF(Wapato_Inventory[[#This Row],[bldg_style]]="",0,Lookups!$B$2*0.5)</f>
        <v>53765.27</v>
      </c>
      <c r="BK37" s="7">
        <f>_xlfn.IFNA(VLOOKUP(Wapato_Inventory[[#This Row],[quality]],Lookups!$H$2:$J$14,3,FALSE),0)</f>
        <v>28034</v>
      </c>
      <c r="BL37" s="7">
        <f>_xlfn.IFNA(VLOOKUP(Wapato_Inventory[[#This Row],[condition]],Lookups!$H$17:$J$24,3,FALSE),0)</f>
        <v>52231</v>
      </c>
      <c r="BM37" s="7">
        <f>Wapato_Inventory[[#This Row],[Age]]*Lookups!$B$16</f>
        <v>-34472.840100000001</v>
      </c>
      <c r="BN37" s="7">
        <f>Wapato_Inventory[[#This Row],[Main Floor]]*Lookups!$B$17</f>
        <v>55176.975480000001</v>
      </c>
      <c r="BO37" s="7">
        <f>Wapato_Inventory[[#This Row],[Upper Floor]]*Lookups!$B$18</f>
        <v>0</v>
      </c>
      <c r="BP37" s="7">
        <f>Wapato_Inventory[[#This Row],[Fin BSMT]]*Lookups!$B$19</f>
        <v>0</v>
      </c>
      <c r="BQ37" s="7">
        <f>(Wapato_Inventory[[#This Row],[att_gar]]+Wapato_Inventory[[#This Row],[blt_gar]])*Lookups!$B$20</f>
        <v>0</v>
      </c>
      <c r="BR37" s="7">
        <f>Wapato_Inventory[[#This Row],[Patio]]*Lookups!$B$21</f>
        <v>10917.642708000001</v>
      </c>
      <c r="BS37" s="7">
        <f>SUM(Wapato_Inventory[[#This Row],[intercept]:[patio_value]])*Wapato_Inventory[[#This Row],[res_pct]]</f>
        <v>165652.04808799998</v>
      </c>
      <c r="BT37" s="7">
        <f>Wapato_Inventory[[#This Row],[land_value]]</f>
        <v>56000</v>
      </c>
      <c r="BU37" s="2">
        <f>_xlfn.IFNA(VLOOKUP(Wapato_Inventory[[#This Row],[quality]],Lookups!$A$28:$C$37,3,FALSE),1)</f>
        <v>0.96265813922927435</v>
      </c>
      <c r="BV37" s="2">
        <f>_xlfn.IFNA(VLOOKUP(Wapato_Inventory[[#This Row],[condition]],Lookups!$A$41:$C$48,3,FALSE),1)</f>
        <v>0.9832333997567807</v>
      </c>
      <c r="BW37" s="2">
        <f>IF(Wapato_Inventory[[#This Row],[decade]]="",1,_xlfn.IFNA(VLOOKUP(Wapato_Inventory[[#This Row],[decade]],Lookups!$F$28:$H$45,3,FALSE),1))</f>
        <v>1.0114203040664467</v>
      </c>
      <c r="BX37" s="2">
        <f>_xlfn.IFNA(VLOOKUP(Wapato_Inventory[[#This Row],[living_area_range]],Lookups!$K$28:$M$37,3,FALSE),1)</f>
        <v>1.0061411172456287</v>
      </c>
      <c r="BY37" s="2">
        <f>AVERAGE(Wapato_Inventory[[#This Row],[qual_adj]:[range_adj]])</f>
        <v>0.99086324007453253</v>
      </c>
      <c r="BZ37" s="7">
        <f>(Wapato_Inventory[[#This Row],[sum_land]]-IF(Wapato_Inventory[[#This Row],[no_utilities]]=1,12000,0))/IF(Wapato_Inventory[[#This Row],[unbuildable]]=1,2,1)</f>
        <v>56000</v>
      </c>
      <c r="CA37" s="7">
        <f>Wapato_Inventory[[#This Row],[pre_res]]*Wapato_Inventory[[#This Row],[overall_adj]]</f>
        <v>164138.52509345792</v>
      </c>
      <c r="CB37" s="3">
        <f>IF(ROUND(Wapato_Inventory[[#This Row],[adj_land]]*Lookups!$H$48,-2)&lt;Wapato_Inventory[[#This Row],[min_land]],Wapato_Inventory[[#This Row],[min_land]],ROUND(Wapato_Inventory[[#This Row],[adj_land]]*Lookups!$H$48,-2))</f>
        <v>53200</v>
      </c>
      <c r="CC37" s="3">
        <f>IF(ROUND(Wapato_Inventory[[#This Row],[adj_res]]*Lookups!$H$48,-2)&lt;Wapato_Inventory[[#This Row],[min_res]],Wapato_Inventory[[#This Row],[min_res]],ROUND(Wapato_Inventory[[#This Row],[adj_res]]*Lookups!$H$48,-2))</f>
        <v>155900</v>
      </c>
      <c r="CD37" s="3">
        <f>ROUND(Wapato_Inventory[[#This Row],[det_value]]*Lookups!$H$48,-2)</f>
        <v>4100</v>
      </c>
      <c r="CE37" s="3">
        <f>Wapato_Inventory[[#This Row],[final_res]]+Wapato_Inventory[[#This Row],[final_det]]</f>
        <v>160000</v>
      </c>
      <c r="CF37" s="3">
        <f>Wapato_Inventory[[#This Row],[crop_value]]+Wapato_Inventory[[#This Row],[final_land]]+Wapato_Inventory[[#This Row],[final_imp]]</f>
        <v>213200</v>
      </c>
      <c r="CH37" t="str">
        <f t="shared" si="0"/>
        <v>update valuation set market_land =53200, market_bldg=160000, market_total =213200, market_mdno =405, market_date ='9/10/2023' where link_id = (select link_id from parcel where parcel_year = '2024' and parcel_id = '19110944418');</v>
      </c>
    </row>
    <row r="38" spans="1:86" x14ac:dyDescent="0.25">
      <c r="A38">
        <v>19110944419</v>
      </c>
      <c r="B38">
        <v>0.42</v>
      </c>
      <c r="C38">
        <v>18455</v>
      </c>
      <c r="D38" t="s">
        <v>144</v>
      </c>
      <c r="E38" t="s">
        <v>54</v>
      </c>
      <c r="F38" t="s">
        <v>54</v>
      </c>
      <c r="G38">
        <v>3</v>
      </c>
      <c r="H38" t="s">
        <v>55</v>
      </c>
      <c r="I38">
        <v>149300</v>
      </c>
      <c r="J38">
        <v>39100</v>
      </c>
      <c r="K38">
        <v>0.42</v>
      </c>
      <c r="L38">
        <f>IF(Wapato_Inventory[[#This Row],[parcel_acres]]-Wapato_Inventory[[#This Row],[non_valued_acres]] =0,0,LN(Wapato_Inventory[[#This Row],[parcel_acres]]-Wapato_Inventory[[#This Row],[non_valued_acres]]))</f>
        <v>-0.86750056770472306</v>
      </c>
      <c r="M38">
        <v>0</v>
      </c>
      <c r="N38">
        <v>0</v>
      </c>
      <c r="O38">
        <v>0</v>
      </c>
      <c r="P38">
        <v>27904.037</v>
      </c>
      <c r="Q38">
        <v>74398</v>
      </c>
      <c r="R38" s="3">
        <f>(Wapato_Inventory[[#This Row],[ln_acres]]*Wapato_Inventory[[#This Row],[coeff]])+Wapato_Inventory[[#This Row],[const]]</f>
        <v>50191.232061246403</v>
      </c>
      <c r="S38" t="s">
        <v>66</v>
      </c>
      <c r="T38">
        <v>1</v>
      </c>
      <c r="U38" t="s">
        <v>78</v>
      </c>
      <c r="V38" t="s">
        <v>68</v>
      </c>
      <c r="W38">
        <v>0</v>
      </c>
      <c r="X38">
        <v>0</v>
      </c>
      <c r="Y38">
        <v>49</v>
      </c>
      <c r="Z38">
        <v>66</v>
      </c>
      <c r="AA38">
        <v>70</v>
      </c>
      <c r="AB38">
        <v>1000</v>
      </c>
      <c r="AC38">
        <v>936</v>
      </c>
      <c r="AD38">
        <v>936</v>
      </c>
      <c r="AE38">
        <v>0</v>
      </c>
      <c r="AF38">
        <v>0</v>
      </c>
      <c r="AG38">
        <v>0</v>
      </c>
      <c r="AH38">
        <v>0</v>
      </c>
      <c r="AI38">
        <v>240</v>
      </c>
      <c r="AJ38">
        <v>0</v>
      </c>
      <c r="AK38">
        <v>0</v>
      </c>
      <c r="AL38">
        <v>0</v>
      </c>
      <c r="AM38">
        <v>0</v>
      </c>
      <c r="AN38">
        <v>150</v>
      </c>
      <c r="AO38">
        <v>0</v>
      </c>
      <c r="AP38">
        <v>5</v>
      </c>
      <c r="AQ38">
        <v>0</v>
      </c>
      <c r="AR38">
        <v>0</v>
      </c>
      <c r="AS38" t="s">
        <v>82</v>
      </c>
      <c r="AT38">
        <v>0</v>
      </c>
      <c r="AU38" t="s">
        <v>80</v>
      </c>
      <c r="AV38" t="s">
        <v>61</v>
      </c>
      <c r="AW38">
        <v>0</v>
      </c>
      <c r="AX38">
        <v>3</v>
      </c>
      <c r="AY38">
        <v>0</v>
      </c>
      <c r="AZ38">
        <v>0</v>
      </c>
      <c r="BA38">
        <v>100</v>
      </c>
      <c r="BB38">
        <v>100</v>
      </c>
      <c r="BC38">
        <v>100</v>
      </c>
      <c r="BD38">
        <v>100</v>
      </c>
      <c r="BE38">
        <v>1</v>
      </c>
      <c r="BF38">
        <v>15000</v>
      </c>
      <c r="BG38">
        <v>1000</v>
      </c>
      <c r="BH38" s="7">
        <f>ROUND(Wapato_Inventory[[#This Row],[detatched_value]]*Lookups!$B$22*Lookups!$H$48,-2)</f>
        <v>0</v>
      </c>
      <c r="BI38" s="7">
        <f>ROUND(((Wapato_Inventory[[#This Row],[land_extract]]*Lookups!$B$3) +(Lookups!$B$2*0.5))*Lookups!$H$48,-2)</f>
        <v>55900</v>
      </c>
      <c r="BJ38" s="7">
        <f>IF(Wapato_Inventory[[#This Row],[bldg_style]]="",0,Lookups!$B$2*0.5)</f>
        <v>53765.27</v>
      </c>
      <c r="BK38" s="7">
        <f>_xlfn.IFNA(VLOOKUP(Wapato_Inventory[[#This Row],[quality]],Lookups!$H$2:$J$14,3,FALSE),0)</f>
        <v>23424</v>
      </c>
      <c r="BL38" s="7">
        <f>_xlfn.IFNA(VLOOKUP(Wapato_Inventory[[#This Row],[condition]],Lookups!$H$17:$J$24,3,FALSE),0)</f>
        <v>52231</v>
      </c>
      <c r="BM38" s="7">
        <f>Wapato_Inventory[[#This Row],[Age]]*Lookups!$B$16</f>
        <v>-24464.5962</v>
      </c>
      <c r="BN38" s="7">
        <f>Wapato_Inventory[[#This Row],[Main Floor]]*Lookups!$B$17</f>
        <v>39125.491704</v>
      </c>
      <c r="BO38" s="7">
        <f>Wapato_Inventory[[#This Row],[Upper Floor]]*Lookups!$B$18</f>
        <v>0</v>
      </c>
      <c r="BP38" s="7">
        <f>Wapato_Inventory[[#This Row],[Fin BSMT]]*Lookups!$B$19</f>
        <v>0</v>
      </c>
      <c r="BQ38" s="7">
        <f>(Wapato_Inventory[[#This Row],[att_gar]]+Wapato_Inventory[[#This Row],[blt_gar]])*Lookups!$B$20</f>
        <v>8882.100480000001</v>
      </c>
      <c r="BR38" s="7">
        <f>Wapato_Inventory[[#This Row],[Patio]]*Lookups!$B$21</f>
        <v>0</v>
      </c>
      <c r="BS38" s="7">
        <f>SUM(Wapato_Inventory[[#This Row],[intercept]:[patio_value]])*Wapato_Inventory[[#This Row],[res_pct]]</f>
        <v>152963.26598399997</v>
      </c>
      <c r="BT38" s="7">
        <f>Wapato_Inventory[[#This Row],[land_value]]</f>
        <v>55900</v>
      </c>
      <c r="BU38" s="2">
        <f>_xlfn.IFNA(VLOOKUP(Wapato_Inventory[[#This Row],[quality]],Lookups!$A$28:$C$37,3,FALSE),1)</f>
        <v>1.0091195562373767</v>
      </c>
      <c r="BV38" s="2">
        <f>_xlfn.IFNA(VLOOKUP(Wapato_Inventory[[#This Row],[condition]],Lookups!$A$41:$C$48,3,FALSE),1)</f>
        <v>0.9832333997567807</v>
      </c>
      <c r="BW38" s="2">
        <f>IF(Wapato_Inventory[[#This Row],[decade]]="",1,_xlfn.IFNA(VLOOKUP(Wapato_Inventory[[#This Row],[decade]],Lookups!$F$28:$H$45,3,FALSE),1))</f>
        <v>1.0012715221492001</v>
      </c>
      <c r="BX38" s="2">
        <f>_xlfn.IFNA(VLOOKUP(Wapato_Inventory[[#This Row],[living_area_range]],Lookups!$K$28:$M$37,3,FALSE),1)</f>
        <v>0.99022994770196116</v>
      </c>
      <c r="BY38" s="2">
        <f>AVERAGE(Wapato_Inventory[[#This Row],[qual_adj]:[range_adj]])</f>
        <v>0.99596360646132964</v>
      </c>
      <c r="BZ38" s="7">
        <f>(Wapato_Inventory[[#This Row],[sum_land]]-IF(Wapato_Inventory[[#This Row],[no_utilities]]=1,12000,0))/IF(Wapato_Inventory[[#This Row],[unbuildable]]=1,2,1)</f>
        <v>55900</v>
      </c>
      <c r="CA38" s="7">
        <f>Wapato_Inventory[[#This Row],[pre_res]]*Wapato_Inventory[[#This Row],[overall_adj]]</f>
        <v>152345.84604552825</v>
      </c>
      <c r="CB38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38" s="3">
        <f>IF(ROUND(Wapato_Inventory[[#This Row],[adj_res]]*Lookups!$H$48,-2)&lt;Wapato_Inventory[[#This Row],[min_res]],Wapato_Inventory[[#This Row],[min_res]],ROUND(Wapato_Inventory[[#This Row],[adj_res]]*Lookups!$H$48,-2))</f>
        <v>144700</v>
      </c>
      <c r="CD38" s="3">
        <f>ROUND(Wapato_Inventory[[#This Row],[det_value]]*Lookups!$H$48,-2)</f>
        <v>0</v>
      </c>
      <c r="CE38" s="3">
        <f>Wapato_Inventory[[#This Row],[final_res]]+Wapato_Inventory[[#This Row],[final_det]]</f>
        <v>144700</v>
      </c>
      <c r="CF38" s="3">
        <f>Wapato_Inventory[[#This Row],[crop_value]]+Wapato_Inventory[[#This Row],[final_land]]+Wapato_Inventory[[#This Row],[final_imp]]</f>
        <v>197800</v>
      </c>
      <c r="CH38" t="str">
        <f t="shared" si="0"/>
        <v>update valuation set market_land =53100, market_bldg=144700, market_total =197800, market_mdno =405, market_date ='9/10/2023' where link_id = (select link_id from parcel where parcel_year = '2024' and parcel_id = '19110944419');</v>
      </c>
    </row>
    <row r="39" spans="1:86" x14ac:dyDescent="0.25">
      <c r="A39">
        <v>19110944421</v>
      </c>
      <c r="B39">
        <v>0.4</v>
      </c>
      <c r="C39">
        <v>17366</v>
      </c>
      <c r="D39" t="s">
        <v>144</v>
      </c>
      <c r="E39" t="s">
        <v>54</v>
      </c>
      <c r="F39" t="s">
        <v>54</v>
      </c>
      <c r="G39">
        <v>3</v>
      </c>
      <c r="H39" t="s">
        <v>55</v>
      </c>
      <c r="I39">
        <v>182200</v>
      </c>
      <c r="J39">
        <v>38800</v>
      </c>
      <c r="K39">
        <v>0.4</v>
      </c>
      <c r="L39">
        <f>IF(Wapato_Inventory[[#This Row],[parcel_acres]]-Wapato_Inventory[[#This Row],[non_valued_acres]] =0,0,LN(Wapato_Inventory[[#This Row],[parcel_acres]]-Wapato_Inventory[[#This Row],[non_valued_acres]]))</f>
        <v>-0.916290731874155</v>
      </c>
      <c r="M39">
        <v>0</v>
      </c>
      <c r="N39">
        <v>0</v>
      </c>
      <c r="O39">
        <v>0</v>
      </c>
      <c r="P39">
        <v>27904.037</v>
      </c>
      <c r="Q39">
        <v>74398</v>
      </c>
      <c r="R39" s="3">
        <f>(Wapato_Inventory[[#This Row],[ln_acres]]*Wapato_Inventory[[#This Row],[coeff]])+Wapato_Inventory[[#This Row],[const]]</f>
        <v>48829.789515026496</v>
      </c>
      <c r="S39" t="s">
        <v>66</v>
      </c>
      <c r="T39">
        <v>1</v>
      </c>
      <c r="U39" t="s">
        <v>75</v>
      </c>
      <c r="V39" t="s">
        <v>68</v>
      </c>
      <c r="W39">
        <v>0</v>
      </c>
      <c r="X39">
        <v>0</v>
      </c>
      <c r="Y39">
        <v>53</v>
      </c>
      <c r="Z39">
        <v>93</v>
      </c>
      <c r="AA39">
        <v>100</v>
      </c>
      <c r="AB39">
        <v>1500</v>
      </c>
      <c r="AC39">
        <v>1434</v>
      </c>
      <c r="AD39">
        <v>1434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180</v>
      </c>
      <c r="AN39">
        <v>0</v>
      </c>
      <c r="AO39">
        <v>180</v>
      </c>
      <c r="AP39">
        <v>5</v>
      </c>
      <c r="AQ39">
        <v>0</v>
      </c>
      <c r="AR39">
        <v>1</v>
      </c>
      <c r="AS39" t="s">
        <v>59</v>
      </c>
      <c r="AT39">
        <v>1</v>
      </c>
      <c r="AU39" t="s">
        <v>76</v>
      </c>
      <c r="AV39" t="s">
        <v>61</v>
      </c>
      <c r="AW39">
        <v>0</v>
      </c>
      <c r="AX39">
        <v>2</v>
      </c>
      <c r="AY39">
        <v>0</v>
      </c>
      <c r="AZ39">
        <v>23400</v>
      </c>
      <c r="BA39">
        <v>100</v>
      </c>
      <c r="BB39">
        <v>100</v>
      </c>
      <c r="BC39">
        <v>100</v>
      </c>
      <c r="BD39">
        <v>100</v>
      </c>
      <c r="BE39">
        <v>1</v>
      </c>
      <c r="BF39">
        <v>15000</v>
      </c>
      <c r="BG39">
        <v>1000</v>
      </c>
      <c r="BH39" s="7">
        <f>ROUND(Wapato_Inventory[[#This Row],[detatched_value]]*Lookups!$B$22*Lookups!$H$48,-2)</f>
        <v>20900</v>
      </c>
      <c r="BI39" s="7">
        <f>ROUND(((Wapato_Inventory[[#This Row],[land_extract]]*Lookups!$B$3) +(Lookups!$B$2*0.5))*Lookups!$H$48,-2)</f>
        <v>55800</v>
      </c>
      <c r="BJ39" s="7">
        <f>IF(Wapato_Inventory[[#This Row],[bldg_style]]="",0,Lookups!$B$2*0.5)</f>
        <v>53765.27</v>
      </c>
      <c r="BK39" s="7">
        <f>_xlfn.IFNA(VLOOKUP(Wapato_Inventory[[#This Row],[quality]],Lookups!$H$2:$J$14,3,FALSE),0)</f>
        <v>48043</v>
      </c>
      <c r="BL39" s="7">
        <f>_xlfn.IFNA(VLOOKUP(Wapato_Inventory[[#This Row],[condition]],Lookups!$H$17:$J$24,3,FALSE),0)</f>
        <v>52231</v>
      </c>
      <c r="BM39" s="7">
        <f>Wapato_Inventory[[#This Row],[Age]]*Lookups!$B$16</f>
        <v>-34472.840100000001</v>
      </c>
      <c r="BN39" s="7">
        <f>Wapato_Inventory[[#This Row],[Main Floor]]*Lookups!$B$17</f>
        <v>59942.259725999997</v>
      </c>
      <c r="BO39" s="7">
        <f>Wapato_Inventory[[#This Row],[Upper Floor]]*Lookups!$B$18</f>
        <v>0</v>
      </c>
      <c r="BP39" s="7">
        <f>Wapato_Inventory[[#This Row],[Fin BSMT]]*Lookups!$B$19</f>
        <v>0</v>
      </c>
      <c r="BQ39" s="7">
        <f>(Wapato_Inventory[[#This Row],[att_gar]]+Wapato_Inventory[[#This Row],[blt_gar]])*Lookups!$B$20</f>
        <v>0</v>
      </c>
      <c r="BR39" s="7">
        <f>Wapato_Inventory[[#This Row],[Patio]]*Lookups!$B$21</f>
        <v>7798.3162200000006</v>
      </c>
      <c r="BS39" s="7">
        <f>SUM(Wapato_Inventory[[#This Row],[intercept]:[patio_value]])*Wapato_Inventory[[#This Row],[res_pct]]</f>
        <v>187307.00584599999</v>
      </c>
      <c r="BT39" s="7">
        <f>Wapato_Inventory[[#This Row],[land_value]]</f>
        <v>55800</v>
      </c>
      <c r="BU39" s="2">
        <f>_xlfn.IFNA(VLOOKUP(Wapato_Inventory[[#This Row],[quality]],Lookups!$A$28:$C$37,3,FALSE),1)</f>
        <v>0.98196844879778955</v>
      </c>
      <c r="BV39" s="2">
        <f>_xlfn.IFNA(VLOOKUP(Wapato_Inventory[[#This Row],[condition]],Lookups!$A$41:$C$48,3,FALSE),1)</f>
        <v>0.9832333997567807</v>
      </c>
      <c r="BW39" s="2">
        <f>IF(Wapato_Inventory[[#This Row],[decade]]="",1,_xlfn.IFNA(VLOOKUP(Wapato_Inventory[[#This Row],[decade]],Lookups!$F$28:$H$45,3,FALSE),1))</f>
        <v>1.0114203040664467</v>
      </c>
      <c r="BX39" s="2">
        <f>_xlfn.IFNA(VLOOKUP(Wapato_Inventory[[#This Row],[living_area_range]],Lookups!$K$28:$M$37,3,FALSE),1)</f>
        <v>1.0061411172456287</v>
      </c>
      <c r="BY39" s="2">
        <f>AVERAGE(Wapato_Inventory[[#This Row],[qual_adj]:[range_adj]])</f>
        <v>0.99569081746666144</v>
      </c>
      <c r="BZ39" s="7">
        <f>(Wapato_Inventory[[#This Row],[sum_land]]-IF(Wapato_Inventory[[#This Row],[no_utilities]]=1,12000,0))/IF(Wapato_Inventory[[#This Row],[unbuildable]]=1,2,1)</f>
        <v>55800</v>
      </c>
      <c r="CA39" s="7">
        <f>Wapato_Inventory[[#This Row],[pre_res]]*Wapato_Inventory[[#This Row],[overall_adj]]</f>
        <v>186499.86576803646</v>
      </c>
      <c r="CB39" s="3">
        <f>IF(ROUND(Wapato_Inventory[[#This Row],[adj_land]]*Lookups!$H$48,-2)&lt;Wapato_Inventory[[#This Row],[min_land]],Wapato_Inventory[[#This Row],[min_land]],ROUND(Wapato_Inventory[[#This Row],[adj_land]]*Lookups!$H$48,-2))</f>
        <v>53000</v>
      </c>
      <c r="CC39" s="3">
        <f>IF(ROUND(Wapato_Inventory[[#This Row],[adj_res]]*Lookups!$H$48,-2)&lt;Wapato_Inventory[[#This Row],[min_res]],Wapato_Inventory[[#This Row],[min_res]],ROUND(Wapato_Inventory[[#This Row],[adj_res]]*Lookups!$H$48,-2))</f>
        <v>177200</v>
      </c>
      <c r="CD39" s="3">
        <f>ROUND(Wapato_Inventory[[#This Row],[det_value]]*Lookups!$H$48,-2)</f>
        <v>19900</v>
      </c>
      <c r="CE39" s="3">
        <f>Wapato_Inventory[[#This Row],[final_res]]+Wapato_Inventory[[#This Row],[final_det]]</f>
        <v>197100</v>
      </c>
      <c r="CF39" s="3">
        <f>Wapato_Inventory[[#This Row],[crop_value]]+Wapato_Inventory[[#This Row],[final_land]]+Wapato_Inventory[[#This Row],[final_imp]]</f>
        <v>250100</v>
      </c>
      <c r="CH39" t="str">
        <f t="shared" si="0"/>
        <v>update valuation set market_land =53000, market_bldg=197100, market_total =250100, market_mdno =405, market_date ='9/10/2023' where link_id = (select link_id from parcel where parcel_year = '2024' and parcel_id = '19110944421');</v>
      </c>
    </row>
    <row r="40" spans="1:86" x14ac:dyDescent="0.25">
      <c r="A40">
        <v>19110944422</v>
      </c>
      <c r="B40">
        <v>0.11</v>
      </c>
      <c r="C40">
        <v>4986</v>
      </c>
      <c r="D40" t="s">
        <v>144</v>
      </c>
      <c r="E40" t="s">
        <v>54</v>
      </c>
      <c r="F40" t="s">
        <v>54</v>
      </c>
      <c r="G40">
        <v>3</v>
      </c>
      <c r="H40" t="s">
        <v>55</v>
      </c>
      <c r="I40">
        <v>80300</v>
      </c>
      <c r="J40">
        <v>29800</v>
      </c>
      <c r="K40">
        <v>0.11</v>
      </c>
      <c r="L40">
        <f>IF(Wapato_Inventory[[#This Row],[parcel_acres]]-Wapato_Inventory[[#This Row],[non_valued_acres]] =0,0,LN(Wapato_Inventory[[#This Row],[parcel_acres]]-Wapato_Inventory[[#This Row],[non_valued_acres]]))</f>
        <v>-2.2072749131897207</v>
      </c>
      <c r="M40">
        <v>0</v>
      </c>
      <c r="N40">
        <v>0</v>
      </c>
      <c r="O40">
        <v>0</v>
      </c>
      <c r="P40">
        <v>27904.037</v>
      </c>
      <c r="Q40">
        <v>74398</v>
      </c>
      <c r="R40" s="3">
        <f>(Wapato_Inventory[[#This Row],[ln_acres]]*Wapato_Inventory[[#This Row],[coeff]])+Wapato_Inventory[[#This Row],[const]]</f>
        <v>12806.119153182248</v>
      </c>
      <c r="S40" t="s">
        <v>83</v>
      </c>
      <c r="T40">
        <v>1</v>
      </c>
      <c r="U40" t="s">
        <v>78</v>
      </c>
      <c r="V40" t="s">
        <v>68</v>
      </c>
      <c r="W40">
        <v>0</v>
      </c>
      <c r="X40">
        <v>0</v>
      </c>
      <c r="Y40">
        <v>78</v>
      </c>
      <c r="Z40">
        <v>98</v>
      </c>
      <c r="AA40">
        <v>100</v>
      </c>
      <c r="AB40">
        <v>500</v>
      </c>
      <c r="AC40">
        <v>418</v>
      </c>
      <c r="AD40">
        <v>418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5</v>
      </c>
      <c r="AQ40">
        <v>0</v>
      </c>
      <c r="AR40">
        <v>0</v>
      </c>
      <c r="AS40" t="s">
        <v>59</v>
      </c>
      <c r="AT40">
        <v>1</v>
      </c>
      <c r="AU40" t="s">
        <v>72</v>
      </c>
      <c r="AV40" t="s">
        <v>61</v>
      </c>
      <c r="AW40">
        <v>0</v>
      </c>
      <c r="AX40">
        <v>1</v>
      </c>
      <c r="AY40">
        <v>0</v>
      </c>
      <c r="AZ40">
        <v>0</v>
      </c>
      <c r="BA40">
        <v>100</v>
      </c>
      <c r="BB40">
        <v>100</v>
      </c>
      <c r="BC40">
        <v>100</v>
      </c>
      <c r="BD40">
        <v>100</v>
      </c>
      <c r="BE40">
        <v>1</v>
      </c>
      <c r="BF40">
        <v>15000</v>
      </c>
      <c r="BG40">
        <v>1000</v>
      </c>
      <c r="BH40" s="7">
        <f>ROUND(Wapato_Inventory[[#This Row],[detatched_value]]*Lookups!$B$22*Lookups!$H$48,-2)</f>
        <v>0</v>
      </c>
      <c r="BI40" s="7">
        <f>ROUND(((Wapato_Inventory[[#This Row],[land_extract]]*Lookups!$B$3) +(Lookups!$B$2*0.5))*Lookups!$H$48,-2)</f>
        <v>52300</v>
      </c>
      <c r="BJ40" s="7">
        <f>IF(Wapato_Inventory[[#This Row],[bldg_style]]="",0,Lookups!$B$2*0.5)</f>
        <v>53765.27</v>
      </c>
      <c r="BK40" s="7">
        <f>_xlfn.IFNA(VLOOKUP(Wapato_Inventory[[#This Row],[quality]],Lookups!$H$2:$J$14,3,FALSE),0)</f>
        <v>23424</v>
      </c>
      <c r="BL40" s="7">
        <f>_xlfn.IFNA(VLOOKUP(Wapato_Inventory[[#This Row],[condition]],Lookups!$H$17:$J$24,3,FALSE),0)</f>
        <v>52231</v>
      </c>
      <c r="BM40" s="7">
        <f>Wapato_Inventory[[#This Row],[Age]]*Lookups!$B$16</f>
        <v>-36326.2186</v>
      </c>
      <c r="BN40" s="7">
        <f>Wapato_Inventory[[#This Row],[Main Floor]]*Lookups!$B$17</f>
        <v>17472.708901999998</v>
      </c>
      <c r="BO40" s="7">
        <f>Wapato_Inventory[[#This Row],[Upper Floor]]*Lookups!$B$18</f>
        <v>0</v>
      </c>
      <c r="BP40" s="7">
        <f>Wapato_Inventory[[#This Row],[Fin BSMT]]*Lookups!$B$19</f>
        <v>0</v>
      </c>
      <c r="BQ40" s="7">
        <f>(Wapato_Inventory[[#This Row],[att_gar]]+Wapato_Inventory[[#This Row],[blt_gar]])*Lookups!$B$20</f>
        <v>0</v>
      </c>
      <c r="BR40" s="7">
        <f>Wapato_Inventory[[#This Row],[Patio]]*Lookups!$B$21</f>
        <v>0</v>
      </c>
      <c r="BS40" s="7">
        <f>SUM(Wapato_Inventory[[#This Row],[intercept]:[patio_value]])*Wapato_Inventory[[#This Row],[res_pct]]</f>
        <v>110566.760302</v>
      </c>
      <c r="BT40" s="7">
        <f>Wapato_Inventory[[#This Row],[land_value]]</f>
        <v>52300</v>
      </c>
      <c r="BU40" s="2">
        <f>_xlfn.IFNA(VLOOKUP(Wapato_Inventory[[#This Row],[quality]],Lookups!$A$28:$C$37,3,FALSE),1)</f>
        <v>1.0091195562373767</v>
      </c>
      <c r="BV40" s="2">
        <f>_xlfn.IFNA(VLOOKUP(Wapato_Inventory[[#This Row],[condition]],Lookups!$A$41:$C$48,3,FALSE),1)</f>
        <v>0.9832333997567807</v>
      </c>
      <c r="BW40" s="2">
        <f>IF(Wapato_Inventory[[#This Row],[decade]]="",1,_xlfn.IFNA(VLOOKUP(Wapato_Inventory[[#This Row],[decade]],Lookups!$F$28:$H$45,3,FALSE),1))</f>
        <v>1.0114203040664467</v>
      </c>
      <c r="BX40" s="2">
        <f>_xlfn.IFNA(VLOOKUP(Wapato_Inventory[[#This Row],[living_area_range]],Lookups!$K$28:$M$37,3,FALSE),1)</f>
        <v>0.62984720518148585</v>
      </c>
      <c r="BY40" s="2">
        <f>AVERAGE(Wapato_Inventory[[#This Row],[qual_adj]:[range_adj]])</f>
        <v>0.90840511631052245</v>
      </c>
      <c r="BZ40" s="7">
        <f>(Wapato_Inventory[[#This Row],[sum_land]]-IF(Wapato_Inventory[[#This Row],[no_utilities]]=1,12000,0))/IF(Wapato_Inventory[[#This Row],[unbuildable]]=1,2,1)</f>
        <v>52300</v>
      </c>
      <c r="CA40" s="7">
        <f>Wapato_Inventory[[#This Row],[pre_res]]*Wapato_Inventory[[#This Row],[overall_adj]]</f>
        <v>100439.41075221596</v>
      </c>
      <c r="CB40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40" s="3">
        <f>IF(ROUND(Wapato_Inventory[[#This Row],[adj_res]]*Lookups!$H$48,-2)&lt;Wapato_Inventory[[#This Row],[min_res]],Wapato_Inventory[[#This Row],[min_res]],ROUND(Wapato_Inventory[[#This Row],[adj_res]]*Lookups!$H$48,-2))</f>
        <v>95400</v>
      </c>
      <c r="CD40" s="3">
        <f>ROUND(Wapato_Inventory[[#This Row],[det_value]]*Lookups!$H$48,-2)</f>
        <v>0</v>
      </c>
      <c r="CE40" s="3">
        <f>Wapato_Inventory[[#This Row],[final_res]]+Wapato_Inventory[[#This Row],[final_det]]</f>
        <v>95400</v>
      </c>
      <c r="CF40" s="3">
        <f>Wapato_Inventory[[#This Row],[crop_value]]+Wapato_Inventory[[#This Row],[final_land]]+Wapato_Inventory[[#This Row],[final_imp]]</f>
        <v>145100</v>
      </c>
      <c r="CH40" t="str">
        <f t="shared" si="0"/>
        <v>update valuation set market_land =49700, market_bldg=95400, market_total =145100, market_mdno =405, market_date ='9/10/2023' where link_id = (select link_id from parcel where parcel_year = '2024' and parcel_id = '19110944422');</v>
      </c>
    </row>
    <row r="41" spans="1:86" x14ac:dyDescent="0.25">
      <c r="A41">
        <v>19110944423</v>
      </c>
      <c r="B41">
        <v>0.13</v>
      </c>
      <c r="C41">
        <v>5773</v>
      </c>
      <c r="D41" t="s">
        <v>144</v>
      </c>
      <c r="E41" t="s">
        <v>54</v>
      </c>
      <c r="F41" t="s">
        <v>54</v>
      </c>
      <c r="G41">
        <v>3</v>
      </c>
      <c r="H41" t="s">
        <v>55</v>
      </c>
      <c r="I41">
        <v>112000</v>
      </c>
      <c r="J41">
        <v>30900</v>
      </c>
      <c r="K41">
        <v>0.13</v>
      </c>
      <c r="L41">
        <f>IF(Wapato_Inventory[[#This Row],[parcel_acres]]-Wapato_Inventory[[#This Row],[non_valued_acres]] =0,0,LN(Wapato_Inventory[[#This Row],[parcel_acres]]-Wapato_Inventory[[#This Row],[non_valued_acres]]))</f>
        <v>-2.0402208285265546</v>
      </c>
      <c r="M41">
        <v>0</v>
      </c>
      <c r="N41">
        <v>0</v>
      </c>
      <c r="O41">
        <v>0</v>
      </c>
      <c r="P41">
        <v>27904.037</v>
      </c>
      <c r="Q41">
        <v>74398</v>
      </c>
      <c r="R41" s="3">
        <f>(Wapato_Inventory[[#This Row],[ln_acres]]*Wapato_Inventory[[#This Row],[coeff]])+Wapato_Inventory[[#This Row],[const]]</f>
        <v>17467.602512624362</v>
      </c>
      <c r="S41" t="s">
        <v>66</v>
      </c>
      <c r="T41">
        <v>1</v>
      </c>
      <c r="U41" t="s">
        <v>71</v>
      </c>
      <c r="V41" t="s">
        <v>68</v>
      </c>
      <c r="W41">
        <v>0</v>
      </c>
      <c r="X41">
        <v>0</v>
      </c>
      <c r="Y41">
        <v>52</v>
      </c>
      <c r="Z41">
        <v>88</v>
      </c>
      <c r="AA41">
        <v>90</v>
      </c>
      <c r="AB41">
        <v>1000</v>
      </c>
      <c r="AC41">
        <v>864</v>
      </c>
      <c r="AD41">
        <v>864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264</v>
      </c>
      <c r="AL41">
        <v>0</v>
      </c>
      <c r="AM41">
        <v>144</v>
      </c>
      <c r="AN41">
        <v>60</v>
      </c>
      <c r="AO41">
        <v>144</v>
      </c>
      <c r="AP41">
        <v>5</v>
      </c>
      <c r="AQ41">
        <v>1</v>
      </c>
      <c r="AR41">
        <v>0</v>
      </c>
      <c r="AS41" t="s">
        <v>59</v>
      </c>
      <c r="AT41">
        <v>0</v>
      </c>
      <c r="AU41" t="s">
        <v>80</v>
      </c>
      <c r="AV41" t="s">
        <v>77</v>
      </c>
      <c r="AW41">
        <v>0</v>
      </c>
      <c r="AX41">
        <v>3</v>
      </c>
      <c r="AY41">
        <v>0</v>
      </c>
      <c r="AZ41">
        <v>7900</v>
      </c>
      <c r="BA41">
        <v>100</v>
      </c>
      <c r="BB41">
        <v>100</v>
      </c>
      <c r="BC41">
        <v>100</v>
      </c>
      <c r="BD41">
        <v>100</v>
      </c>
      <c r="BE41">
        <v>1</v>
      </c>
      <c r="BF41">
        <v>15000</v>
      </c>
      <c r="BG41">
        <v>1000</v>
      </c>
      <c r="BH41" s="7">
        <f>ROUND(Wapato_Inventory[[#This Row],[detatched_value]]*Lookups!$B$22*Lookups!$H$48,-2)</f>
        <v>7100</v>
      </c>
      <c r="BI41" s="7">
        <f>ROUND(((Wapato_Inventory[[#This Row],[land_extract]]*Lookups!$B$3) +(Lookups!$B$2*0.5))*Lookups!$H$48,-2)</f>
        <v>52800</v>
      </c>
      <c r="BJ41" s="7">
        <f>IF(Wapato_Inventory[[#This Row],[bldg_style]]="",0,Lookups!$B$2*0.5)</f>
        <v>53765.27</v>
      </c>
      <c r="BK41" s="7">
        <f>_xlfn.IFNA(VLOOKUP(Wapato_Inventory[[#This Row],[quality]],Lookups!$H$2:$J$14,3,FALSE),0)</f>
        <v>28034</v>
      </c>
      <c r="BL41" s="7">
        <f>_xlfn.IFNA(VLOOKUP(Wapato_Inventory[[#This Row],[condition]],Lookups!$H$17:$J$24,3,FALSE),0)</f>
        <v>52231</v>
      </c>
      <c r="BM41" s="7">
        <f>Wapato_Inventory[[#This Row],[Age]]*Lookups!$B$16</f>
        <v>-32619.461600000002</v>
      </c>
      <c r="BN41" s="7">
        <f>Wapato_Inventory[[#This Row],[Main Floor]]*Lookups!$B$17</f>
        <v>36115.838495999997</v>
      </c>
      <c r="BO41" s="7">
        <f>Wapato_Inventory[[#This Row],[Upper Floor]]*Lookups!$B$18</f>
        <v>0</v>
      </c>
      <c r="BP41" s="7">
        <f>Wapato_Inventory[[#This Row],[Fin BSMT]]*Lookups!$B$19</f>
        <v>0</v>
      </c>
      <c r="BQ41" s="7">
        <f>(Wapato_Inventory[[#This Row],[att_gar]]+Wapato_Inventory[[#This Row],[blt_gar]])*Lookups!$B$20</f>
        <v>0</v>
      </c>
      <c r="BR41" s="7">
        <f>Wapato_Inventory[[#This Row],[Patio]]*Lookups!$B$21</f>
        <v>6238.6529760000003</v>
      </c>
      <c r="BS41" s="7">
        <f>SUM(Wapato_Inventory[[#This Row],[intercept]:[patio_value]])*Wapato_Inventory[[#This Row],[res_pct]]</f>
        <v>143765.29987199997</v>
      </c>
      <c r="BT41" s="7">
        <f>Wapato_Inventory[[#This Row],[land_value]]</f>
        <v>52800</v>
      </c>
      <c r="BU41" s="2">
        <f>_xlfn.IFNA(VLOOKUP(Wapato_Inventory[[#This Row],[quality]],Lookups!$A$28:$C$37,3,FALSE),1)</f>
        <v>0.96265813922927435</v>
      </c>
      <c r="BV41" s="2">
        <f>_xlfn.IFNA(VLOOKUP(Wapato_Inventory[[#This Row],[condition]],Lookups!$A$41:$C$48,3,FALSE),1)</f>
        <v>0.9832333997567807</v>
      </c>
      <c r="BW41" s="2">
        <f>IF(Wapato_Inventory[[#This Row],[decade]]="",1,_xlfn.IFNA(VLOOKUP(Wapato_Inventory[[#This Row],[decade]],Lookups!$F$28:$H$45,3,FALSE),1))</f>
        <v>0.94742695999815718</v>
      </c>
      <c r="BX41" s="2">
        <f>_xlfn.IFNA(VLOOKUP(Wapato_Inventory[[#This Row],[living_area_range]],Lookups!$K$28:$M$37,3,FALSE),1)</f>
        <v>0.99022994770196116</v>
      </c>
      <c r="BY41" s="2">
        <f>AVERAGE(Wapato_Inventory[[#This Row],[qual_adj]:[range_adj]])</f>
        <v>0.97088711167154329</v>
      </c>
      <c r="BZ41" s="7">
        <f>(Wapato_Inventory[[#This Row],[sum_land]]-IF(Wapato_Inventory[[#This Row],[no_utilities]]=1,12000,0))/IF(Wapato_Inventory[[#This Row],[unbuildable]]=1,2,1)</f>
        <v>52800</v>
      </c>
      <c r="CA41" s="7">
        <f>Wapato_Inventory[[#This Row],[pre_res]]*Wapato_Inventory[[#This Row],[overall_adj]]</f>
        <v>139579.87675131936</v>
      </c>
      <c r="CB41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41" s="3">
        <f>IF(ROUND(Wapato_Inventory[[#This Row],[adj_res]]*Lookups!$H$48,-2)&lt;Wapato_Inventory[[#This Row],[min_res]],Wapato_Inventory[[#This Row],[min_res]],ROUND(Wapato_Inventory[[#This Row],[adj_res]]*Lookups!$H$48,-2))</f>
        <v>132600</v>
      </c>
      <c r="CD41" s="3">
        <f>ROUND(Wapato_Inventory[[#This Row],[det_value]]*Lookups!$H$48,-2)</f>
        <v>6700</v>
      </c>
      <c r="CE41" s="3">
        <f>Wapato_Inventory[[#This Row],[final_res]]+Wapato_Inventory[[#This Row],[final_det]]</f>
        <v>139300</v>
      </c>
      <c r="CF41" s="3">
        <f>Wapato_Inventory[[#This Row],[crop_value]]+Wapato_Inventory[[#This Row],[final_land]]+Wapato_Inventory[[#This Row],[final_imp]]</f>
        <v>189500</v>
      </c>
      <c r="CH41" t="str">
        <f t="shared" si="0"/>
        <v>update valuation set market_land =50200, market_bldg=139300, market_total =189500, market_mdno =405, market_date ='9/10/2023' where link_id = (select link_id from parcel where parcel_year = '2024' and parcel_id = '19110944423');</v>
      </c>
    </row>
    <row r="42" spans="1:86" x14ac:dyDescent="0.25">
      <c r="A42">
        <v>19110944426</v>
      </c>
      <c r="B42">
        <v>0.82</v>
      </c>
      <c r="C42">
        <v>35722</v>
      </c>
      <c r="D42" t="s">
        <v>144</v>
      </c>
      <c r="E42" t="s">
        <v>54</v>
      </c>
      <c r="F42" t="s">
        <v>54</v>
      </c>
      <c r="G42">
        <v>3</v>
      </c>
      <c r="H42" t="s">
        <v>55</v>
      </c>
      <c r="I42">
        <v>130100</v>
      </c>
      <c r="J42">
        <v>43800</v>
      </c>
      <c r="K42">
        <v>0.82</v>
      </c>
      <c r="L42">
        <f>IF(Wapato_Inventory[[#This Row],[parcel_acres]]-Wapato_Inventory[[#This Row],[non_valued_acres]] =0,0,LN(Wapato_Inventory[[#This Row],[parcel_acres]]-Wapato_Inventory[[#This Row],[non_valued_acres]]))</f>
        <v>-0.19845093872383832</v>
      </c>
      <c r="M42">
        <v>0</v>
      </c>
      <c r="N42">
        <v>0</v>
      </c>
      <c r="O42">
        <v>0</v>
      </c>
      <c r="P42">
        <v>27904.037</v>
      </c>
      <c r="Q42">
        <v>74398</v>
      </c>
      <c r="R42" s="3">
        <f>(Wapato_Inventory[[#This Row],[ln_acres]]*Wapato_Inventory[[#This Row],[coeff]])+Wapato_Inventory[[#This Row],[const]]</f>
        <v>68860.417663165281</v>
      </c>
      <c r="S42" t="s">
        <v>66</v>
      </c>
      <c r="T42">
        <v>1</v>
      </c>
      <c r="U42" t="s">
        <v>71</v>
      </c>
      <c r="V42" t="s">
        <v>68</v>
      </c>
      <c r="W42">
        <v>0</v>
      </c>
      <c r="X42">
        <v>0</v>
      </c>
      <c r="Y42">
        <v>53</v>
      </c>
      <c r="Z42">
        <v>93</v>
      </c>
      <c r="AA42">
        <v>100</v>
      </c>
      <c r="AB42">
        <v>1500</v>
      </c>
      <c r="AC42">
        <v>1300</v>
      </c>
      <c r="AD42">
        <v>1300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64</v>
      </c>
      <c r="AN42">
        <v>0</v>
      </c>
      <c r="AO42">
        <v>0</v>
      </c>
      <c r="AP42">
        <v>5</v>
      </c>
      <c r="AQ42">
        <v>0</v>
      </c>
      <c r="AR42">
        <v>0</v>
      </c>
      <c r="AS42" t="s">
        <v>59</v>
      </c>
      <c r="AT42">
        <v>1</v>
      </c>
      <c r="AU42" t="s">
        <v>72</v>
      </c>
      <c r="AV42" t="s">
        <v>61</v>
      </c>
      <c r="AW42">
        <v>0</v>
      </c>
      <c r="AX42">
        <v>2</v>
      </c>
      <c r="AY42">
        <v>0</v>
      </c>
      <c r="AZ42">
        <v>5700</v>
      </c>
      <c r="BA42">
        <v>100</v>
      </c>
      <c r="BB42">
        <v>100</v>
      </c>
      <c r="BC42">
        <v>100</v>
      </c>
      <c r="BD42">
        <v>100</v>
      </c>
      <c r="BE42">
        <v>1</v>
      </c>
      <c r="BF42">
        <v>15000</v>
      </c>
      <c r="BG42">
        <v>1000</v>
      </c>
      <c r="BH42" s="7">
        <f>ROUND(Wapato_Inventory[[#This Row],[detatched_value]]*Lookups!$B$22*Lookups!$H$48,-2)</f>
        <v>5100</v>
      </c>
      <c r="BI42" s="7">
        <f>ROUND(((Wapato_Inventory[[#This Row],[land_extract]]*Lookups!$B$3) +(Lookups!$B$2*0.5))*Lookups!$H$48,-2)</f>
        <v>57700</v>
      </c>
      <c r="BJ42" s="7">
        <f>IF(Wapato_Inventory[[#This Row],[bldg_style]]="",0,Lookups!$B$2*0.5)</f>
        <v>53765.27</v>
      </c>
      <c r="BK42" s="7">
        <f>_xlfn.IFNA(VLOOKUP(Wapato_Inventory[[#This Row],[quality]],Lookups!$H$2:$J$14,3,FALSE),0)</f>
        <v>28034</v>
      </c>
      <c r="BL42" s="7">
        <f>_xlfn.IFNA(VLOOKUP(Wapato_Inventory[[#This Row],[condition]],Lookups!$H$17:$J$24,3,FALSE),0)</f>
        <v>52231</v>
      </c>
      <c r="BM42" s="7">
        <f>Wapato_Inventory[[#This Row],[Age]]*Lookups!$B$16</f>
        <v>-34472.840100000001</v>
      </c>
      <c r="BN42" s="7">
        <f>Wapato_Inventory[[#This Row],[Main Floor]]*Lookups!$B$17</f>
        <v>54340.960700000003</v>
      </c>
      <c r="BO42" s="7">
        <f>Wapato_Inventory[[#This Row],[Upper Floor]]*Lookups!$B$18</f>
        <v>0</v>
      </c>
      <c r="BP42" s="7">
        <f>Wapato_Inventory[[#This Row],[Fin BSMT]]*Lookups!$B$19</f>
        <v>0</v>
      </c>
      <c r="BQ42" s="7">
        <f>(Wapato_Inventory[[#This Row],[att_gar]]+Wapato_Inventory[[#This Row],[blt_gar]])*Lookups!$B$20</f>
        <v>0</v>
      </c>
      <c r="BR42" s="7">
        <f>Wapato_Inventory[[#This Row],[Patio]]*Lookups!$B$21</f>
        <v>2772.7346560000001</v>
      </c>
      <c r="BS42" s="7">
        <f>SUM(Wapato_Inventory[[#This Row],[intercept]:[patio_value]])*Wapato_Inventory[[#This Row],[res_pct]]</f>
        <v>156671.12525599997</v>
      </c>
      <c r="BT42" s="7">
        <f>Wapato_Inventory[[#This Row],[land_value]]</f>
        <v>57700</v>
      </c>
      <c r="BU42" s="2">
        <f>_xlfn.IFNA(VLOOKUP(Wapato_Inventory[[#This Row],[quality]],Lookups!$A$28:$C$37,3,FALSE),1)</f>
        <v>0.96265813922927435</v>
      </c>
      <c r="BV42" s="2">
        <f>_xlfn.IFNA(VLOOKUP(Wapato_Inventory[[#This Row],[condition]],Lookups!$A$41:$C$48,3,FALSE),1)</f>
        <v>0.9832333997567807</v>
      </c>
      <c r="BW42" s="2">
        <f>IF(Wapato_Inventory[[#This Row],[decade]]="",1,_xlfn.IFNA(VLOOKUP(Wapato_Inventory[[#This Row],[decade]],Lookups!$F$28:$H$45,3,FALSE),1))</f>
        <v>1.0114203040664467</v>
      </c>
      <c r="BX42" s="2">
        <f>_xlfn.IFNA(VLOOKUP(Wapato_Inventory[[#This Row],[living_area_range]],Lookups!$K$28:$M$37,3,FALSE),1)</f>
        <v>1.0061411172456287</v>
      </c>
      <c r="BY42" s="2">
        <f>AVERAGE(Wapato_Inventory[[#This Row],[qual_adj]:[range_adj]])</f>
        <v>0.99086324007453253</v>
      </c>
      <c r="BZ42" s="7">
        <f>(Wapato_Inventory[[#This Row],[sum_land]]-IF(Wapato_Inventory[[#This Row],[no_utilities]]=1,12000,0))/IF(Wapato_Inventory[[#This Row],[unbuildable]]=1,2,1)</f>
        <v>57700</v>
      </c>
      <c r="CA42" s="7">
        <f>Wapato_Inventory[[#This Row],[pre_res]]*Wapato_Inventory[[#This Row],[overall_adj]]</f>
        <v>155239.65879728305</v>
      </c>
      <c r="CB42" s="3">
        <f>IF(ROUND(Wapato_Inventory[[#This Row],[adj_land]]*Lookups!$H$48,-2)&lt;Wapato_Inventory[[#This Row],[min_land]],Wapato_Inventory[[#This Row],[min_land]],ROUND(Wapato_Inventory[[#This Row],[adj_land]]*Lookups!$H$48,-2))</f>
        <v>54800</v>
      </c>
      <c r="CC42" s="3">
        <f>IF(ROUND(Wapato_Inventory[[#This Row],[adj_res]]*Lookups!$H$48,-2)&lt;Wapato_Inventory[[#This Row],[min_res]],Wapato_Inventory[[#This Row],[min_res]],ROUND(Wapato_Inventory[[#This Row],[adj_res]]*Lookups!$H$48,-2))</f>
        <v>147500</v>
      </c>
      <c r="CD42" s="3">
        <f>ROUND(Wapato_Inventory[[#This Row],[det_value]]*Lookups!$H$48,-2)</f>
        <v>4800</v>
      </c>
      <c r="CE42" s="3">
        <f>Wapato_Inventory[[#This Row],[final_res]]+Wapato_Inventory[[#This Row],[final_det]]</f>
        <v>152300</v>
      </c>
      <c r="CF42" s="3">
        <f>Wapato_Inventory[[#This Row],[crop_value]]+Wapato_Inventory[[#This Row],[final_land]]+Wapato_Inventory[[#This Row],[final_imp]]</f>
        <v>207100</v>
      </c>
      <c r="CH42" t="str">
        <f t="shared" si="0"/>
        <v>update valuation set market_land =54800, market_bldg=152300, market_total =207100, market_mdno =405, market_date ='9/10/2023' where link_id = (select link_id from parcel where parcel_year = '2024' and parcel_id = '19110944426');</v>
      </c>
    </row>
    <row r="43" spans="1:86" x14ac:dyDescent="0.25">
      <c r="A43">
        <v>19110944427</v>
      </c>
      <c r="B43">
        <v>0.1</v>
      </c>
      <c r="C43" t="s">
        <v>144</v>
      </c>
      <c r="D43" t="s">
        <v>144</v>
      </c>
      <c r="E43" t="s">
        <v>54</v>
      </c>
      <c r="F43" t="s">
        <v>54</v>
      </c>
      <c r="G43">
        <v>3</v>
      </c>
      <c r="H43" t="s">
        <v>55</v>
      </c>
      <c r="I43">
        <v>117100</v>
      </c>
      <c r="J43">
        <v>29100</v>
      </c>
      <c r="K43">
        <v>0.1</v>
      </c>
      <c r="L43">
        <f>IF(Wapato_Inventory[[#This Row],[parcel_acres]]-Wapato_Inventory[[#This Row],[non_valued_acres]] =0,0,LN(Wapato_Inventory[[#This Row],[parcel_acres]]-Wapato_Inventory[[#This Row],[non_valued_acres]]))</f>
        <v>-2.3025850929940455</v>
      </c>
      <c r="M43">
        <v>0</v>
      </c>
      <c r="N43">
        <v>0</v>
      </c>
      <c r="O43">
        <v>0</v>
      </c>
      <c r="P43">
        <v>27904.037</v>
      </c>
      <c r="Q43">
        <v>74398</v>
      </c>
      <c r="R43" s="3">
        <f>(Wapato_Inventory[[#This Row],[ln_acres]]*Wapato_Inventory[[#This Row],[coeff]])+Wapato_Inventory[[#This Row],[const]]</f>
        <v>10146.580369445714</v>
      </c>
      <c r="S43" t="s">
        <v>66</v>
      </c>
      <c r="T43">
        <v>1</v>
      </c>
      <c r="U43" t="s">
        <v>71</v>
      </c>
      <c r="V43" t="s">
        <v>68</v>
      </c>
      <c r="W43">
        <v>0</v>
      </c>
      <c r="X43">
        <v>0</v>
      </c>
      <c r="Y43">
        <v>52</v>
      </c>
      <c r="Z43">
        <v>88</v>
      </c>
      <c r="AA43">
        <v>90</v>
      </c>
      <c r="AB43">
        <v>1500</v>
      </c>
      <c r="AC43">
        <v>1056</v>
      </c>
      <c r="AD43">
        <v>1056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88</v>
      </c>
      <c r="AO43">
        <v>0</v>
      </c>
      <c r="AP43">
        <v>5</v>
      </c>
      <c r="AQ43">
        <v>0</v>
      </c>
      <c r="AR43">
        <v>0</v>
      </c>
      <c r="AS43" t="s">
        <v>82</v>
      </c>
      <c r="AT43">
        <v>1</v>
      </c>
      <c r="AU43" t="s">
        <v>72</v>
      </c>
      <c r="AV43" t="s">
        <v>61</v>
      </c>
      <c r="AW43">
        <v>0</v>
      </c>
      <c r="AX43">
        <v>3</v>
      </c>
      <c r="AY43">
        <v>0</v>
      </c>
      <c r="AZ43">
        <v>1400</v>
      </c>
      <c r="BA43">
        <v>100</v>
      </c>
      <c r="BB43">
        <v>100</v>
      </c>
      <c r="BC43">
        <v>100</v>
      </c>
      <c r="BD43">
        <v>100</v>
      </c>
      <c r="BE43">
        <v>1</v>
      </c>
      <c r="BF43">
        <v>15000</v>
      </c>
      <c r="BG43">
        <v>1000</v>
      </c>
      <c r="BH43" s="7">
        <f>ROUND(Wapato_Inventory[[#This Row],[detatched_value]]*Lookups!$B$22*Lookups!$H$48,-2)</f>
        <v>1300</v>
      </c>
      <c r="BI43" s="7">
        <f>ROUND(((Wapato_Inventory[[#This Row],[land_extract]]*Lookups!$B$3) +(Lookups!$B$2*0.5))*Lookups!$H$48,-2)</f>
        <v>52100</v>
      </c>
      <c r="BJ43" s="7">
        <f>IF(Wapato_Inventory[[#This Row],[bldg_style]]="",0,Lookups!$B$2*0.5)</f>
        <v>53765.27</v>
      </c>
      <c r="BK43" s="7">
        <f>_xlfn.IFNA(VLOOKUP(Wapato_Inventory[[#This Row],[quality]],Lookups!$H$2:$J$14,3,FALSE),0)</f>
        <v>28034</v>
      </c>
      <c r="BL43" s="7">
        <f>_xlfn.IFNA(VLOOKUP(Wapato_Inventory[[#This Row],[condition]],Lookups!$H$17:$J$24,3,FALSE),0)</f>
        <v>52231</v>
      </c>
      <c r="BM43" s="7">
        <f>Wapato_Inventory[[#This Row],[Age]]*Lookups!$B$16</f>
        <v>-32619.461600000002</v>
      </c>
      <c r="BN43" s="7">
        <f>Wapato_Inventory[[#This Row],[Main Floor]]*Lookups!$B$17</f>
        <v>44141.580384000001</v>
      </c>
      <c r="BO43" s="7">
        <f>Wapato_Inventory[[#This Row],[Upper Floor]]*Lookups!$B$18</f>
        <v>0</v>
      </c>
      <c r="BP43" s="7">
        <f>Wapato_Inventory[[#This Row],[Fin BSMT]]*Lookups!$B$19</f>
        <v>0</v>
      </c>
      <c r="BQ43" s="7">
        <f>(Wapato_Inventory[[#This Row],[att_gar]]+Wapato_Inventory[[#This Row],[blt_gar]])*Lookups!$B$20</f>
        <v>0</v>
      </c>
      <c r="BR43" s="7">
        <f>Wapato_Inventory[[#This Row],[Patio]]*Lookups!$B$21</f>
        <v>0</v>
      </c>
      <c r="BS43" s="7">
        <f>SUM(Wapato_Inventory[[#This Row],[intercept]:[patio_value]])*Wapato_Inventory[[#This Row],[res_pct]]</f>
        <v>145552.38878399998</v>
      </c>
      <c r="BT43" s="7">
        <f>Wapato_Inventory[[#This Row],[land_value]]</f>
        <v>52100</v>
      </c>
      <c r="BU43" s="2">
        <f>_xlfn.IFNA(VLOOKUP(Wapato_Inventory[[#This Row],[quality]],Lookups!$A$28:$C$37,3,FALSE),1)</f>
        <v>0.96265813922927435</v>
      </c>
      <c r="BV43" s="2">
        <f>_xlfn.IFNA(VLOOKUP(Wapato_Inventory[[#This Row],[condition]],Lookups!$A$41:$C$48,3,FALSE),1)</f>
        <v>0.9832333997567807</v>
      </c>
      <c r="BW43" s="2">
        <f>IF(Wapato_Inventory[[#This Row],[decade]]="",1,_xlfn.IFNA(VLOOKUP(Wapato_Inventory[[#This Row],[decade]],Lookups!$F$28:$H$45,3,FALSE),1))</f>
        <v>0.94742695999815718</v>
      </c>
      <c r="BX43" s="2">
        <f>_xlfn.IFNA(VLOOKUP(Wapato_Inventory[[#This Row],[living_area_range]],Lookups!$K$28:$M$37,3,FALSE),1)</f>
        <v>1.0061411172456287</v>
      </c>
      <c r="BY43" s="2">
        <f>AVERAGE(Wapato_Inventory[[#This Row],[qual_adj]:[range_adj]])</f>
        <v>0.97486490405746018</v>
      </c>
      <c r="BZ43" s="7">
        <f>(Wapato_Inventory[[#This Row],[sum_land]]-IF(Wapato_Inventory[[#This Row],[no_utilities]]=1,12000,0))/IF(Wapato_Inventory[[#This Row],[unbuildable]]=1,2,1)</f>
        <v>52100</v>
      </c>
      <c r="CA43" s="7">
        <f>Wapato_Inventory[[#This Row],[pre_res]]*Wapato_Inventory[[#This Row],[overall_adj]]</f>
        <v>141893.91552724829</v>
      </c>
      <c r="CB43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43" s="3">
        <f>IF(ROUND(Wapato_Inventory[[#This Row],[adj_res]]*Lookups!$H$48,-2)&lt;Wapato_Inventory[[#This Row],[min_res]],Wapato_Inventory[[#This Row],[min_res]],ROUND(Wapato_Inventory[[#This Row],[adj_res]]*Lookups!$H$48,-2))</f>
        <v>134800</v>
      </c>
      <c r="CD43" s="3">
        <f>ROUND(Wapato_Inventory[[#This Row],[det_value]]*Lookups!$H$48,-2)</f>
        <v>1200</v>
      </c>
      <c r="CE43" s="3">
        <f>Wapato_Inventory[[#This Row],[final_res]]+Wapato_Inventory[[#This Row],[final_det]]</f>
        <v>136000</v>
      </c>
      <c r="CF43" s="3">
        <f>Wapato_Inventory[[#This Row],[crop_value]]+Wapato_Inventory[[#This Row],[final_land]]+Wapato_Inventory[[#This Row],[final_imp]]</f>
        <v>185500</v>
      </c>
      <c r="CH43" t="str">
        <f t="shared" si="0"/>
        <v>update valuation set market_land =49500, market_bldg=136000, market_total =185500, market_mdno =405, market_date ='9/10/2023' where link_id = (select link_id from parcel where parcel_year = '2024' and parcel_id = '19110944427');</v>
      </c>
    </row>
    <row r="44" spans="1:86" x14ac:dyDescent="0.25">
      <c r="A44">
        <v>19110944428</v>
      </c>
      <c r="B44">
        <v>1.08</v>
      </c>
      <c r="C44">
        <v>46934</v>
      </c>
      <c r="D44" t="s">
        <v>144</v>
      </c>
      <c r="E44" t="s">
        <v>54</v>
      </c>
      <c r="F44" t="s">
        <v>54</v>
      </c>
      <c r="G44">
        <v>3</v>
      </c>
      <c r="H44" t="s">
        <v>55</v>
      </c>
      <c r="I44">
        <v>170700</v>
      </c>
      <c r="J44">
        <v>45800</v>
      </c>
      <c r="K44">
        <v>1.08</v>
      </c>
      <c r="L44">
        <f>IF(Wapato_Inventory[[#This Row],[parcel_acres]]-Wapato_Inventory[[#This Row],[non_valued_acres]] =0,0,LN(Wapato_Inventory[[#This Row],[parcel_acres]]-Wapato_Inventory[[#This Row],[non_valued_acres]]))</f>
        <v>7.6961041136128394E-2</v>
      </c>
      <c r="M44">
        <v>0</v>
      </c>
      <c r="N44">
        <v>0</v>
      </c>
      <c r="O44">
        <v>0</v>
      </c>
      <c r="P44">
        <v>27904.037</v>
      </c>
      <c r="Q44">
        <v>74398</v>
      </c>
      <c r="R44" s="3">
        <f>(Wapato_Inventory[[#This Row],[ln_acres]]*Wapato_Inventory[[#This Row],[coeff]])+Wapato_Inventory[[#This Row],[const]]</f>
        <v>76545.523739421042</v>
      </c>
      <c r="S44" t="s">
        <v>66</v>
      </c>
      <c r="T44">
        <v>1</v>
      </c>
      <c r="U44" t="s">
        <v>75</v>
      </c>
      <c r="V44" t="s">
        <v>68</v>
      </c>
      <c r="W44">
        <v>0</v>
      </c>
      <c r="X44">
        <v>0</v>
      </c>
      <c r="Y44">
        <v>53</v>
      </c>
      <c r="Z44">
        <v>93</v>
      </c>
      <c r="AA44">
        <v>100</v>
      </c>
      <c r="AB44">
        <v>1500</v>
      </c>
      <c r="AC44">
        <v>1276</v>
      </c>
      <c r="AD44">
        <v>1276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352</v>
      </c>
      <c r="AM44">
        <v>0</v>
      </c>
      <c r="AN44">
        <v>0</v>
      </c>
      <c r="AO44">
        <v>0</v>
      </c>
      <c r="AP44">
        <v>5</v>
      </c>
      <c r="AQ44">
        <v>0</v>
      </c>
      <c r="AR44">
        <v>0</v>
      </c>
      <c r="AS44" t="s">
        <v>59</v>
      </c>
      <c r="AT44">
        <v>1</v>
      </c>
      <c r="AU44" t="s">
        <v>64</v>
      </c>
      <c r="AV44" t="s">
        <v>77</v>
      </c>
      <c r="AW44">
        <v>0</v>
      </c>
      <c r="AX44">
        <v>2</v>
      </c>
      <c r="AY44">
        <v>0</v>
      </c>
      <c r="AZ44">
        <v>16700</v>
      </c>
      <c r="BA44">
        <v>100</v>
      </c>
      <c r="BB44">
        <v>100</v>
      </c>
      <c r="BC44">
        <v>100</v>
      </c>
      <c r="BD44">
        <v>100</v>
      </c>
      <c r="BE44">
        <v>1</v>
      </c>
      <c r="BF44">
        <v>15000</v>
      </c>
      <c r="BG44">
        <v>1000</v>
      </c>
      <c r="BH44" s="7">
        <f>ROUND(Wapato_Inventory[[#This Row],[detatched_value]]*Lookups!$B$22*Lookups!$H$48,-2)</f>
        <v>14900</v>
      </c>
      <c r="BI44" s="7">
        <f>ROUND(((Wapato_Inventory[[#This Row],[land_extract]]*Lookups!$B$3) +(Lookups!$B$2*0.5))*Lookups!$H$48,-2)</f>
        <v>58500</v>
      </c>
      <c r="BJ44" s="7">
        <f>IF(Wapato_Inventory[[#This Row],[bldg_style]]="",0,Lookups!$B$2*0.5)</f>
        <v>53765.27</v>
      </c>
      <c r="BK44" s="7">
        <f>_xlfn.IFNA(VLOOKUP(Wapato_Inventory[[#This Row],[quality]],Lookups!$H$2:$J$14,3,FALSE),0)</f>
        <v>48043</v>
      </c>
      <c r="BL44" s="7">
        <f>_xlfn.IFNA(VLOOKUP(Wapato_Inventory[[#This Row],[condition]],Lookups!$H$17:$J$24,3,FALSE),0)</f>
        <v>52231</v>
      </c>
      <c r="BM44" s="7">
        <f>Wapato_Inventory[[#This Row],[Age]]*Lookups!$B$16</f>
        <v>-34472.840100000001</v>
      </c>
      <c r="BN44" s="7">
        <f>Wapato_Inventory[[#This Row],[Main Floor]]*Lookups!$B$17</f>
        <v>53337.742963999997</v>
      </c>
      <c r="BO44" s="7">
        <f>Wapato_Inventory[[#This Row],[Upper Floor]]*Lookups!$B$18</f>
        <v>0</v>
      </c>
      <c r="BP44" s="7">
        <f>Wapato_Inventory[[#This Row],[Fin BSMT]]*Lookups!$B$19</f>
        <v>0</v>
      </c>
      <c r="BQ44" s="7">
        <f>(Wapato_Inventory[[#This Row],[att_gar]]+Wapato_Inventory[[#This Row],[blt_gar]])*Lookups!$B$20</f>
        <v>0</v>
      </c>
      <c r="BR44" s="7">
        <f>Wapato_Inventory[[#This Row],[Patio]]*Lookups!$B$21</f>
        <v>0</v>
      </c>
      <c r="BS44" s="7">
        <f>SUM(Wapato_Inventory[[#This Row],[intercept]:[patio_value]])*Wapato_Inventory[[#This Row],[res_pct]]</f>
        <v>172904.17286399999</v>
      </c>
      <c r="BT44" s="7">
        <f>Wapato_Inventory[[#This Row],[land_value]]</f>
        <v>58500</v>
      </c>
      <c r="BU44" s="2">
        <f>_xlfn.IFNA(VLOOKUP(Wapato_Inventory[[#This Row],[quality]],Lookups!$A$28:$C$37,3,FALSE),1)</f>
        <v>0.98196844879778955</v>
      </c>
      <c r="BV44" s="2">
        <f>_xlfn.IFNA(VLOOKUP(Wapato_Inventory[[#This Row],[condition]],Lookups!$A$41:$C$48,3,FALSE),1)</f>
        <v>0.9832333997567807</v>
      </c>
      <c r="BW44" s="2">
        <f>IF(Wapato_Inventory[[#This Row],[decade]]="",1,_xlfn.IFNA(VLOOKUP(Wapato_Inventory[[#This Row],[decade]],Lookups!$F$28:$H$45,3,FALSE),1))</f>
        <v>1.0114203040664467</v>
      </c>
      <c r="BX44" s="2">
        <f>_xlfn.IFNA(VLOOKUP(Wapato_Inventory[[#This Row],[living_area_range]],Lookups!$K$28:$M$37,3,FALSE),1)</f>
        <v>1.0061411172456287</v>
      </c>
      <c r="BY44" s="2">
        <f>AVERAGE(Wapato_Inventory[[#This Row],[qual_adj]:[range_adj]])</f>
        <v>0.99569081746666144</v>
      </c>
      <c r="BZ44" s="7">
        <f>(Wapato_Inventory[[#This Row],[sum_land]]-IF(Wapato_Inventory[[#This Row],[no_utilities]]=1,12000,0))/IF(Wapato_Inventory[[#This Row],[unbuildable]]=1,2,1)</f>
        <v>58500</v>
      </c>
      <c r="CA44" s="7">
        <f>Wapato_Inventory[[#This Row],[pre_res]]*Wapato_Inventory[[#This Row],[overall_adj]]</f>
        <v>172159.0972223531</v>
      </c>
      <c r="CB44" s="3">
        <f>IF(ROUND(Wapato_Inventory[[#This Row],[adj_land]]*Lookups!$H$48,-2)&lt;Wapato_Inventory[[#This Row],[min_land]],Wapato_Inventory[[#This Row],[min_land]],ROUND(Wapato_Inventory[[#This Row],[adj_land]]*Lookups!$H$48,-2))</f>
        <v>55600</v>
      </c>
      <c r="CC44" s="3">
        <f>IF(ROUND(Wapato_Inventory[[#This Row],[adj_res]]*Lookups!$H$48,-2)&lt;Wapato_Inventory[[#This Row],[min_res]],Wapato_Inventory[[#This Row],[min_res]],ROUND(Wapato_Inventory[[#This Row],[adj_res]]*Lookups!$H$48,-2))</f>
        <v>163600</v>
      </c>
      <c r="CD44" s="3">
        <f>ROUND(Wapato_Inventory[[#This Row],[det_value]]*Lookups!$H$48,-2)</f>
        <v>14200</v>
      </c>
      <c r="CE44" s="3">
        <f>Wapato_Inventory[[#This Row],[final_res]]+Wapato_Inventory[[#This Row],[final_det]]</f>
        <v>177800</v>
      </c>
      <c r="CF44" s="3">
        <f>Wapato_Inventory[[#This Row],[crop_value]]+Wapato_Inventory[[#This Row],[final_land]]+Wapato_Inventory[[#This Row],[final_imp]]</f>
        <v>233400</v>
      </c>
      <c r="CH44" t="str">
        <f t="shared" si="0"/>
        <v>update valuation set market_land =55600, market_bldg=177800, market_total =233400, market_mdno =405, market_date ='9/10/2023' where link_id = (select link_id from parcel where parcel_year = '2024' and parcel_id = '19110944428');</v>
      </c>
    </row>
    <row r="45" spans="1:86" x14ac:dyDescent="0.25">
      <c r="A45">
        <v>19110944429</v>
      </c>
      <c r="B45">
        <v>1</v>
      </c>
      <c r="C45">
        <v>43474</v>
      </c>
      <c r="D45" t="s">
        <v>144</v>
      </c>
      <c r="E45" t="s">
        <v>54</v>
      </c>
      <c r="F45" t="s">
        <v>54</v>
      </c>
      <c r="G45">
        <v>3</v>
      </c>
      <c r="H45" t="s">
        <v>55</v>
      </c>
      <c r="I45">
        <v>181300</v>
      </c>
      <c r="J45">
        <v>45300</v>
      </c>
      <c r="K45">
        <v>1</v>
      </c>
      <c r="L45">
        <f>IF(Wapato_Inventory[[#This Row],[parcel_acres]]-Wapato_Inventory[[#This Row],[non_valued_acres]] =0,0,LN(Wapato_Inventory[[#This Row],[parcel_acres]]-Wapato_Inventory[[#This Row],[non_valued_acres]]))</f>
        <v>0</v>
      </c>
      <c r="M45">
        <v>0</v>
      </c>
      <c r="N45">
        <v>0</v>
      </c>
      <c r="O45">
        <v>0</v>
      </c>
      <c r="P45">
        <v>27904.037</v>
      </c>
      <c r="Q45">
        <v>74398</v>
      </c>
      <c r="R45" s="3">
        <f>(Wapato_Inventory[[#This Row],[ln_acres]]*Wapato_Inventory[[#This Row],[coeff]])+Wapato_Inventory[[#This Row],[const]]</f>
        <v>74398</v>
      </c>
      <c r="S45" t="s">
        <v>66</v>
      </c>
      <c r="T45">
        <v>1</v>
      </c>
      <c r="U45" t="s">
        <v>75</v>
      </c>
      <c r="V45" t="s">
        <v>68</v>
      </c>
      <c r="W45">
        <v>0</v>
      </c>
      <c r="X45">
        <v>0</v>
      </c>
      <c r="Y45">
        <v>51</v>
      </c>
      <c r="Z45">
        <v>83</v>
      </c>
      <c r="AA45">
        <v>90</v>
      </c>
      <c r="AB45">
        <v>1500</v>
      </c>
      <c r="AC45">
        <v>1296</v>
      </c>
      <c r="AD45">
        <v>1296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7</v>
      </c>
      <c r="AQ45">
        <v>0</v>
      </c>
      <c r="AR45">
        <v>1</v>
      </c>
      <c r="AS45" t="s">
        <v>59</v>
      </c>
      <c r="AT45">
        <v>1</v>
      </c>
      <c r="AU45" t="s">
        <v>64</v>
      </c>
      <c r="AV45" t="s">
        <v>61</v>
      </c>
      <c r="AW45">
        <v>1</v>
      </c>
      <c r="AX45">
        <v>3</v>
      </c>
      <c r="AY45">
        <v>0</v>
      </c>
      <c r="AZ45">
        <v>10400</v>
      </c>
      <c r="BA45">
        <v>100</v>
      </c>
      <c r="BB45">
        <v>100</v>
      </c>
      <c r="BC45">
        <v>100</v>
      </c>
      <c r="BD45">
        <v>100</v>
      </c>
      <c r="BE45">
        <v>1</v>
      </c>
      <c r="BF45">
        <v>15000</v>
      </c>
      <c r="BG45">
        <v>1000</v>
      </c>
      <c r="BH45" s="7">
        <f>ROUND(Wapato_Inventory[[#This Row],[detatched_value]]*Lookups!$B$22*Lookups!$H$48,-2)</f>
        <v>9300</v>
      </c>
      <c r="BI45" s="7">
        <f>ROUND(((Wapato_Inventory[[#This Row],[land_extract]]*Lookups!$B$3) +(Lookups!$B$2*0.5))*Lookups!$H$48,-2)</f>
        <v>58300</v>
      </c>
      <c r="BJ45" s="7">
        <f>IF(Wapato_Inventory[[#This Row],[bldg_style]]="",0,Lookups!$B$2*0.5)</f>
        <v>53765.27</v>
      </c>
      <c r="BK45" s="7">
        <f>_xlfn.IFNA(VLOOKUP(Wapato_Inventory[[#This Row],[quality]],Lookups!$H$2:$J$14,3,FALSE),0)</f>
        <v>48043</v>
      </c>
      <c r="BL45" s="7">
        <f>_xlfn.IFNA(VLOOKUP(Wapato_Inventory[[#This Row],[condition]],Lookups!$H$17:$J$24,3,FALSE),0)</f>
        <v>52231</v>
      </c>
      <c r="BM45" s="7">
        <f>Wapato_Inventory[[#This Row],[Age]]*Lookups!$B$16</f>
        <v>-30766.0831</v>
      </c>
      <c r="BN45" s="7">
        <f>Wapato_Inventory[[#This Row],[Main Floor]]*Lookups!$B$17</f>
        <v>54173.757744000002</v>
      </c>
      <c r="BO45" s="7">
        <f>Wapato_Inventory[[#This Row],[Upper Floor]]*Lookups!$B$18</f>
        <v>0</v>
      </c>
      <c r="BP45" s="7">
        <f>Wapato_Inventory[[#This Row],[Fin BSMT]]*Lookups!$B$19</f>
        <v>0</v>
      </c>
      <c r="BQ45" s="7">
        <f>(Wapato_Inventory[[#This Row],[att_gar]]+Wapato_Inventory[[#This Row],[blt_gar]])*Lookups!$B$20</f>
        <v>0</v>
      </c>
      <c r="BR45" s="7">
        <f>Wapato_Inventory[[#This Row],[Patio]]*Lookups!$B$21</f>
        <v>0</v>
      </c>
      <c r="BS45" s="7">
        <f>SUM(Wapato_Inventory[[#This Row],[intercept]:[patio_value]])*Wapato_Inventory[[#This Row],[res_pct]]</f>
        <v>177446.94464399997</v>
      </c>
      <c r="BT45" s="7">
        <f>Wapato_Inventory[[#This Row],[land_value]]</f>
        <v>58300</v>
      </c>
      <c r="BU45" s="2">
        <f>_xlfn.IFNA(VLOOKUP(Wapato_Inventory[[#This Row],[quality]],Lookups!$A$28:$C$37,3,FALSE),1)</f>
        <v>0.98196844879778955</v>
      </c>
      <c r="BV45" s="2">
        <f>_xlfn.IFNA(VLOOKUP(Wapato_Inventory[[#This Row],[condition]],Lookups!$A$41:$C$48,3,FALSE),1)</f>
        <v>0.9832333997567807</v>
      </c>
      <c r="BW45" s="2">
        <f>IF(Wapato_Inventory[[#This Row],[decade]]="",1,_xlfn.IFNA(VLOOKUP(Wapato_Inventory[[#This Row],[decade]],Lookups!$F$28:$H$45,3,FALSE),1))</f>
        <v>0.94742695999815718</v>
      </c>
      <c r="BX45" s="2">
        <f>_xlfn.IFNA(VLOOKUP(Wapato_Inventory[[#This Row],[living_area_range]],Lookups!$K$28:$M$37,3,FALSE),1)</f>
        <v>1.0061411172456287</v>
      </c>
      <c r="BY45" s="2">
        <f>AVERAGE(Wapato_Inventory[[#This Row],[qual_adj]:[range_adj]])</f>
        <v>0.97969248144958898</v>
      </c>
      <c r="BZ45" s="7">
        <f>(Wapato_Inventory[[#This Row],[sum_land]]-IF(Wapato_Inventory[[#This Row],[no_utilities]]=1,12000,0))/IF(Wapato_Inventory[[#This Row],[unbuildable]]=1,2,1)</f>
        <v>58300</v>
      </c>
      <c r="CA45" s="7">
        <f>Wapato_Inventory[[#This Row],[pre_res]]*Wapato_Inventory[[#This Row],[overall_adj]]</f>
        <v>173843.43752392818</v>
      </c>
      <c r="CB45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45" s="3">
        <f>IF(ROUND(Wapato_Inventory[[#This Row],[adj_res]]*Lookups!$H$48,-2)&lt;Wapato_Inventory[[#This Row],[min_res]],Wapato_Inventory[[#This Row],[min_res]],ROUND(Wapato_Inventory[[#This Row],[adj_res]]*Lookups!$H$48,-2))</f>
        <v>165200</v>
      </c>
      <c r="CD45" s="3">
        <f>ROUND(Wapato_Inventory[[#This Row],[det_value]]*Lookups!$H$48,-2)</f>
        <v>8800</v>
      </c>
      <c r="CE45" s="3">
        <f>Wapato_Inventory[[#This Row],[final_res]]+Wapato_Inventory[[#This Row],[final_det]]</f>
        <v>174000</v>
      </c>
      <c r="CF45" s="3">
        <f>Wapato_Inventory[[#This Row],[crop_value]]+Wapato_Inventory[[#This Row],[final_land]]+Wapato_Inventory[[#This Row],[final_imp]]</f>
        <v>229400</v>
      </c>
      <c r="CH45" t="str">
        <f t="shared" si="0"/>
        <v>update valuation set market_land =55400, market_bldg=174000, market_total =229400, market_mdno =405, market_date ='9/10/2023' where link_id = (select link_id from parcel where parcel_year = '2024' and parcel_id = '19110944429');</v>
      </c>
    </row>
    <row r="46" spans="1:86" x14ac:dyDescent="0.25">
      <c r="A46">
        <v>19110944432</v>
      </c>
      <c r="B46">
        <v>1</v>
      </c>
      <c r="C46">
        <v>43561</v>
      </c>
      <c r="D46" t="s">
        <v>144</v>
      </c>
      <c r="E46" t="s">
        <v>54</v>
      </c>
      <c r="F46" t="s">
        <v>54</v>
      </c>
      <c r="G46">
        <v>3</v>
      </c>
      <c r="H46" t="s">
        <v>55</v>
      </c>
      <c r="I46">
        <v>123800</v>
      </c>
      <c r="J46">
        <v>45300</v>
      </c>
      <c r="K46">
        <v>1</v>
      </c>
      <c r="L46">
        <f>IF(Wapato_Inventory[[#This Row],[parcel_acres]]-Wapato_Inventory[[#This Row],[non_valued_acres]] =0,0,LN(Wapato_Inventory[[#This Row],[parcel_acres]]-Wapato_Inventory[[#This Row],[non_valued_acres]]))</f>
        <v>0</v>
      </c>
      <c r="M46">
        <v>0</v>
      </c>
      <c r="N46">
        <v>0</v>
      </c>
      <c r="O46">
        <v>0</v>
      </c>
      <c r="P46">
        <v>27904.037</v>
      </c>
      <c r="Q46">
        <v>74398</v>
      </c>
      <c r="R46" s="3">
        <f>(Wapato_Inventory[[#This Row],[ln_acres]]*Wapato_Inventory[[#This Row],[coeff]])+Wapato_Inventory[[#This Row],[const]]</f>
        <v>74398</v>
      </c>
      <c r="S46" t="s">
        <v>66</v>
      </c>
      <c r="T46">
        <v>1</v>
      </c>
      <c r="U46" t="s">
        <v>71</v>
      </c>
      <c r="V46" t="s">
        <v>68</v>
      </c>
      <c r="W46">
        <v>0</v>
      </c>
      <c r="X46">
        <v>0</v>
      </c>
      <c r="Y46">
        <v>53</v>
      </c>
      <c r="Z46">
        <v>93</v>
      </c>
      <c r="AA46">
        <v>100</v>
      </c>
      <c r="AB46">
        <v>1500</v>
      </c>
      <c r="AC46">
        <v>1088</v>
      </c>
      <c r="AD46">
        <v>1088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242</v>
      </c>
      <c r="AN46">
        <v>36</v>
      </c>
      <c r="AO46">
        <v>242</v>
      </c>
      <c r="AP46">
        <v>5</v>
      </c>
      <c r="AQ46">
        <v>0</v>
      </c>
      <c r="AR46">
        <v>0</v>
      </c>
      <c r="AS46" t="s">
        <v>59</v>
      </c>
      <c r="AT46">
        <v>1</v>
      </c>
      <c r="AU46" t="s">
        <v>72</v>
      </c>
      <c r="AV46" t="s">
        <v>77</v>
      </c>
      <c r="AW46">
        <v>0</v>
      </c>
      <c r="AX46">
        <v>2</v>
      </c>
      <c r="AY46">
        <v>0</v>
      </c>
      <c r="AZ46">
        <v>23700</v>
      </c>
      <c r="BA46">
        <v>100</v>
      </c>
      <c r="BB46">
        <v>100</v>
      </c>
      <c r="BC46">
        <v>100</v>
      </c>
      <c r="BD46">
        <v>100</v>
      </c>
      <c r="BE46">
        <v>1</v>
      </c>
      <c r="BF46">
        <v>15000</v>
      </c>
      <c r="BG46">
        <v>1000</v>
      </c>
      <c r="BH46" s="7">
        <f>ROUND(Wapato_Inventory[[#This Row],[detatched_value]]*Lookups!$B$22*Lookups!$H$48,-2)</f>
        <v>21200</v>
      </c>
      <c r="BI46" s="7">
        <f>ROUND(((Wapato_Inventory[[#This Row],[land_extract]]*Lookups!$B$3) +(Lookups!$B$2*0.5))*Lookups!$H$48,-2)</f>
        <v>58300</v>
      </c>
      <c r="BJ46" s="7">
        <f>IF(Wapato_Inventory[[#This Row],[bldg_style]]="",0,Lookups!$B$2*0.5)</f>
        <v>53765.27</v>
      </c>
      <c r="BK46" s="7">
        <f>_xlfn.IFNA(VLOOKUP(Wapato_Inventory[[#This Row],[quality]],Lookups!$H$2:$J$14,3,FALSE),0)</f>
        <v>28034</v>
      </c>
      <c r="BL46" s="7">
        <f>_xlfn.IFNA(VLOOKUP(Wapato_Inventory[[#This Row],[condition]],Lookups!$H$17:$J$24,3,FALSE),0)</f>
        <v>52231</v>
      </c>
      <c r="BM46" s="7">
        <f>Wapato_Inventory[[#This Row],[Age]]*Lookups!$B$16</f>
        <v>-34472.840100000001</v>
      </c>
      <c r="BN46" s="7">
        <f>Wapato_Inventory[[#This Row],[Main Floor]]*Lookups!$B$17</f>
        <v>45479.204032000001</v>
      </c>
      <c r="BO46" s="7">
        <f>Wapato_Inventory[[#This Row],[Upper Floor]]*Lookups!$B$18</f>
        <v>0</v>
      </c>
      <c r="BP46" s="7">
        <f>Wapato_Inventory[[#This Row],[Fin BSMT]]*Lookups!$B$19</f>
        <v>0</v>
      </c>
      <c r="BQ46" s="7">
        <f>(Wapato_Inventory[[#This Row],[att_gar]]+Wapato_Inventory[[#This Row],[blt_gar]])*Lookups!$B$20</f>
        <v>0</v>
      </c>
      <c r="BR46" s="7">
        <f>Wapato_Inventory[[#This Row],[Patio]]*Lookups!$B$21</f>
        <v>10484.402918</v>
      </c>
      <c r="BS46" s="7">
        <f>SUM(Wapato_Inventory[[#This Row],[intercept]:[patio_value]])*Wapato_Inventory[[#This Row],[res_pct]]</f>
        <v>155521.03685</v>
      </c>
      <c r="BT46" s="7">
        <f>Wapato_Inventory[[#This Row],[land_value]]</f>
        <v>58300</v>
      </c>
      <c r="BU46" s="2">
        <f>_xlfn.IFNA(VLOOKUP(Wapato_Inventory[[#This Row],[quality]],Lookups!$A$28:$C$37,3,FALSE),1)</f>
        <v>0.96265813922927435</v>
      </c>
      <c r="BV46" s="2">
        <f>_xlfn.IFNA(VLOOKUP(Wapato_Inventory[[#This Row],[condition]],Lookups!$A$41:$C$48,3,FALSE),1)</f>
        <v>0.9832333997567807</v>
      </c>
      <c r="BW46" s="2">
        <f>IF(Wapato_Inventory[[#This Row],[decade]]="",1,_xlfn.IFNA(VLOOKUP(Wapato_Inventory[[#This Row],[decade]],Lookups!$F$28:$H$45,3,FALSE),1))</f>
        <v>1.0114203040664467</v>
      </c>
      <c r="BX46" s="2">
        <f>_xlfn.IFNA(VLOOKUP(Wapato_Inventory[[#This Row],[living_area_range]],Lookups!$K$28:$M$37,3,FALSE),1)</f>
        <v>1.0061411172456287</v>
      </c>
      <c r="BY46" s="2">
        <f>AVERAGE(Wapato_Inventory[[#This Row],[qual_adj]:[range_adj]])</f>
        <v>0.99086324007453253</v>
      </c>
      <c r="BZ46" s="7">
        <f>(Wapato_Inventory[[#This Row],[sum_land]]-IF(Wapato_Inventory[[#This Row],[no_utilities]]=1,12000,0))/IF(Wapato_Inventory[[#This Row],[unbuildable]]=1,2,1)</f>
        <v>58300</v>
      </c>
      <c r="CA46" s="7">
        <f>Wapato_Inventory[[#This Row],[pre_res]]*Wapato_Inventory[[#This Row],[overall_adj]]</f>
        <v>154100.07847294176</v>
      </c>
      <c r="CB46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46" s="3">
        <f>IF(ROUND(Wapato_Inventory[[#This Row],[adj_res]]*Lookups!$H$48,-2)&lt;Wapato_Inventory[[#This Row],[min_res]],Wapato_Inventory[[#This Row],[min_res]],ROUND(Wapato_Inventory[[#This Row],[adj_res]]*Lookups!$H$48,-2))</f>
        <v>146400</v>
      </c>
      <c r="CD46" s="3">
        <f>ROUND(Wapato_Inventory[[#This Row],[det_value]]*Lookups!$H$48,-2)</f>
        <v>20100</v>
      </c>
      <c r="CE46" s="3">
        <f>Wapato_Inventory[[#This Row],[final_res]]+Wapato_Inventory[[#This Row],[final_det]]</f>
        <v>166500</v>
      </c>
      <c r="CF46" s="3">
        <f>Wapato_Inventory[[#This Row],[crop_value]]+Wapato_Inventory[[#This Row],[final_land]]+Wapato_Inventory[[#This Row],[final_imp]]</f>
        <v>221900</v>
      </c>
      <c r="CH46" t="str">
        <f t="shared" si="0"/>
        <v>update valuation set market_land =55400, market_bldg=166500, market_total =221900, market_mdno =405, market_date ='9/10/2023' where link_id = (select link_id from parcel where parcel_year = '2024' and parcel_id = '19110944432');</v>
      </c>
    </row>
    <row r="47" spans="1:86" x14ac:dyDescent="0.25">
      <c r="A47">
        <v>19110944434</v>
      </c>
      <c r="B47">
        <v>0.73</v>
      </c>
      <c r="C47">
        <v>31901</v>
      </c>
      <c r="D47" t="s">
        <v>144</v>
      </c>
      <c r="E47" t="s">
        <v>54</v>
      </c>
      <c r="F47" t="s">
        <v>54</v>
      </c>
      <c r="G47">
        <v>3</v>
      </c>
      <c r="H47" t="s">
        <v>55</v>
      </c>
      <c r="I47">
        <v>94100</v>
      </c>
      <c r="J47">
        <v>43100</v>
      </c>
      <c r="K47">
        <v>0.73</v>
      </c>
      <c r="L47">
        <f>IF(Wapato_Inventory[[#This Row],[parcel_acres]]-Wapato_Inventory[[#This Row],[non_valued_acres]] =0,0,LN(Wapato_Inventory[[#This Row],[parcel_acres]]-Wapato_Inventory[[#This Row],[non_valued_acres]]))</f>
        <v>-0.31471074483970024</v>
      </c>
      <c r="M47">
        <v>0</v>
      </c>
      <c r="N47">
        <v>0</v>
      </c>
      <c r="O47">
        <v>0</v>
      </c>
      <c r="P47">
        <v>27904.037</v>
      </c>
      <c r="Q47">
        <v>74398</v>
      </c>
      <c r="R47" s="3">
        <f>(Wapato_Inventory[[#This Row],[ln_acres]]*Wapato_Inventory[[#This Row],[coeff]])+Wapato_Inventory[[#This Row],[const]]</f>
        <v>65616.299731695442</v>
      </c>
      <c r="S47" t="s">
        <v>66</v>
      </c>
      <c r="T47">
        <v>1</v>
      </c>
      <c r="U47" t="s">
        <v>71</v>
      </c>
      <c r="V47" t="s">
        <v>68</v>
      </c>
      <c r="W47">
        <v>0</v>
      </c>
      <c r="X47">
        <v>0</v>
      </c>
      <c r="Y47">
        <v>55</v>
      </c>
      <c r="Z47">
        <v>98</v>
      </c>
      <c r="AA47">
        <v>100</v>
      </c>
      <c r="AB47">
        <v>1000</v>
      </c>
      <c r="AC47">
        <v>868</v>
      </c>
      <c r="AD47">
        <v>868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260</v>
      </c>
      <c r="AN47">
        <v>0</v>
      </c>
      <c r="AO47">
        <v>0</v>
      </c>
      <c r="AP47">
        <v>5</v>
      </c>
      <c r="AQ47">
        <v>0</v>
      </c>
      <c r="AR47">
        <v>0</v>
      </c>
      <c r="AS47" t="s">
        <v>59</v>
      </c>
      <c r="AT47">
        <v>1</v>
      </c>
      <c r="AU47" t="s">
        <v>76</v>
      </c>
      <c r="AV47" t="s">
        <v>61</v>
      </c>
      <c r="AW47">
        <v>0</v>
      </c>
      <c r="AX47">
        <v>3</v>
      </c>
      <c r="AY47">
        <v>0</v>
      </c>
      <c r="AZ47">
        <v>0</v>
      </c>
      <c r="BA47">
        <v>100</v>
      </c>
      <c r="BB47">
        <v>100</v>
      </c>
      <c r="BC47">
        <v>100</v>
      </c>
      <c r="BD47">
        <v>100</v>
      </c>
      <c r="BE47">
        <v>1</v>
      </c>
      <c r="BF47">
        <v>15000</v>
      </c>
      <c r="BG47">
        <v>1000</v>
      </c>
      <c r="BH47" s="7">
        <f>ROUND(Wapato_Inventory[[#This Row],[detatched_value]]*Lookups!$B$22*Lookups!$H$48,-2)</f>
        <v>0</v>
      </c>
      <c r="BI47" s="7">
        <f>ROUND(((Wapato_Inventory[[#This Row],[land_extract]]*Lookups!$B$3) +(Lookups!$B$2*0.5))*Lookups!$H$48,-2)</f>
        <v>57400</v>
      </c>
      <c r="BJ47" s="7">
        <f>IF(Wapato_Inventory[[#This Row],[bldg_style]]="",0,Lookups!$B$2*0.5)</f>
        <v>53765.27</v>
      </c>
      <c r="BK47" s="7">
        <f>_xlfn.IFNA(VLOOKUP(Wapato_Inventory[[#This Row],[quality]],Lookups!$H$2:$J$14,3,FALSE),0)</f>
        <v>28034</v>
      </c>
      <c r="BL47" s="7">
        <f>_xlfn.IFNA(VLOOKUP(Wapato_Inventory[[#This Row],[condition]],Lookups!$H$17:$J$24,3,FALSE),0)</f>
        <v>52231</v>
      </c>
      <c r="BM47" s="7">
        <f>Wapato_Inventory[[#This Row],[Age]]*Lookups!$B$16</f>
        <v>-36326.2186</v>
      </c>
      <c r="BN47" s="7">
        <f>Wapato_Inventory[[#This Row],[Main Floor]]*Lookups!$B$17</f>
        <v>36283.041451999998</v>
      </c>
      <c r="BO47" s="7">
        <f>Wapato_Inventory[[#This Row],[Upper Floor]]*Lookups!$B$18</f>
        <v>0</v>
      </c>
      <c r="BP47" s="7">
        <f>Wapato_Inventory[[#This Row],[Fin BSMT]]*Lookups!$B$19</f>
        <v>0</v>
      </c>
      <c r="BQ47" s="7">
        <f>(Wapato_Inventory[[#This Row],[att_gar]]+Wapato_Inventory[[#This Row],[blt_gar]])*Lookups!$B$20</f>
        <v>0</v>
      </c>
      <c r="BR47" s="7">
        <f>Wapato_Inventory[[#This Row],[Patio]]*Lookups!$B$21</f>
        <v>11264.234539999999</v>
      </c>
      <c r="BS47" s="7">
        <f>SUM(Wapato_Inventory[[#This Row],[intercept]:[patio_value]])*Wapato_Inventory[[#This Row],[res_pct]]</f>
        <v>145251.32739200001</v>
      </c>
      <c r="BT47" s="7">
        <f>Wapato_Inventory[[#This Row],[land_value]]</f>
        <v>57400</v>
      </c>
      <c r="BU47" s="2">
        <f>_xlfn.IFNA(VLOOKUP(Wapato_Inventory[[#This Row],[quality]],Lookups!$A$28:$C$37,3,FALSE),1)</f>
        <v>0.96265813922927435</v>
      </c>
      <c r="BV47" s="2">
        <f>_xlfn.IFNA(VLOOKUP(Wapato_Inventory[[#This Row],[condition]],Lookups!$A$41:$C$48,3,FALSE),1)</f>
        <v>0.9832333997567807</v>
      </c>
      <c r="BW47" s="2">
        <f>IF(Wapato_Inventory[[#This Row],[decade]]="",1,_xlfn.IFNA(VLOOKUP(Wapato_Inventory[[#This Row],[decade]],Lookups!$F$28:$H$45,3,FALSE),1))</f>
        <v>1.0114203040664467</v>
      </c>
      <c r="BX47" s="2">
        <f>_xlfn.IFNA(VLOOKUP(Wapato_Inventory[[#This Row],[living_area_range]],Lookups!$K$28:$M$37,3,FALSE),1)</f>
        <v>0.99022994770196116</v>
      </c>
      <c r="BY47" s="2">
        <f>AVERAGE(Wapato_Inventory[[#This Row],[qual_adj]:[range_adj]])</f>
        <v>0.98688544768861564</v>
      </c>
      <c r="BZ47" s="7">
        <f>(Wapato_Inventory[[#This Row],[sum_land]]-IF(Wapato_Inventory[[#This Row],[no_utilities]]=1,12000,0))/IF(Wapato_Inventory[[#This Row],[unbuildable]]=1,2,1)</f>
        <v>57400</v>
      </c>
      <c r="CA47" s="7">
        <f>Wapato_Inventory[[#This Row],[pre_res]]*Wapato_Inventory[[#This Row],[overall_adj]]</f>
        <v>143346.42126061959</v>
      </c>
      <c r="CB47" s="3">
        <f>IF(ROUND(Wapato_Inventory[[#This Row],[adj_land]]*Lookups!$H$48,-2)&lt;Wapato_Inventory[[#This Row],[min_land]],Wapato_Inventory[[#This Row],[min_land]],ROUND(Wapato_Inventory[[#This Row],[adj_land]]*Lookups!$H$48,-2))</f>
        <v>54500</v>
      </c>
      <c r="CC47" s="3">
        <f>IF(ROUND(Wapato_Inventory[[#This Row],[adj_res]]*Lookups!$H$48,-2)&lt;Wapato_Inventory[[#This Row],[min_res]],Wapato_Inventory[[#This Row],[min_res]],ROUND(Wapato_Inventory[[#This Row],[adj_res]]*Lookups!$H$48,-2))</f>
        <v>136200</v>
      </c>
      <c r="CD47" s="3">
        <f>ROUND(Wapato_Inventory[[#This Row],[det_value]]*Lookups!$H$48,-2)</f>
        <v>0</v>
      </c>
      <c r="CE47" s="3">
        <f>Wapato_Inventory[[#This Row],[final_res]]+Wapato_Inventory[[#This Row],[final_det]]</f>
        <v>136200</v>
      </c>
      <c r="CF47" s="3">
        <f>Wapato_Inventory[[#This Row],[crop_value]]+Wapato_Inventory[[#This Row],[final_land]]+Wapato_Inventory[[#This Row],[final_imp]]</f>
        <v>190700</v>
      </c>
      <c r="CH47" t="str">
        <f t="shared" si="0"/>
        <v>update valuation set market_land =54500, market_bldg=136200, market_total =190700, market_mdno =405, market_date ='9/10/2023' where link_id = (select link_id from parcel where parcel_year = '2024' and parcel_id = '19110944434');</v>
      </c>
    </row>
    <row r="48" spans="1:86" x14ac:dyDescent="0.25">
      <c r="A48">
        <v>19110944435</v>
      </c>
      <c r="B48">
        <v>0.73</v>
      </c>
      <c r="C48">
        <v>31878</v>
      </c>
      <c r="D48" t="s">
        <v>144</v>
      </c>
      <c r="E48" t="s">
        <v>54</v>
      </c>
      <c r="F48" t="s">
        <v>54</v>
      </c>
      <c r="G48">
        <v>3</v>
      </c>
      <c r="H48" t="s">
        <v>55</v>
      </c>
      <c r="I48">
        <v>150400</v>
      </c>
      <c r="J48">
        <v>43100</v>
      </c>
      <c r="K48">
        <v>0.73</v>
      </c>
      <c r="L48">
        <f>IF(Wapato_Inventory[[#This Row],[parcel_acres]]-Wapato_Inventory[[#This Row],[non_valued_acres]] =0,0,LN(Wapato_Inventory[[#This Row],[parcel_acres]]-Wapato_Inventory[[#This Row],[non_valued_acres]]))</f>
        <v>-0.31471074483970024</v>
      </c>
      <c r="M48">
        <v>0</v>
      </c>
      <c r="N48">
        <v>0</v>
      </c>
      <c r="O48">
        <v>0</v>
      </c>
      <c r="P48">
        <v>27904.037</v>
      </c>
      <c r="Q48">
        <v>74398</v>
      </c>
      <c r="R48" s="3">
        <f>(Wapato_Inventory[[#This Row],[ln_acres]]*Wapato_Inventory[[#This Row],[coeff]])+Wapato_Inventory[[#This Row],[const]]</f>
        <v>65616.299731695442</v>
      </c>
      <c r="S48" t="s">
        <v>66</v>
      </c>
      <c r="T48">
        <v>1</v>
      </c>
      <c r="U48" t="s">
        <v>71</v>
      </c>
      <c r="V48" t="s">
        <v>68</v>
      </c>
      <c r="W48">
        <v>0</v>
      </c>
      <c r="X48">
        <v>0</v>
      </c>
      <c r="Y48">
        <v>49</v>
      </c>
      <c r="Z48">
        <v>68</v>
      </c>
      <c r="AA48">
        <v>70</v>
      </c>
      <c r="AB48">
        <v>1000</v>
      </c>
      <c r="AC48">
        <v>936</v>
      </c>
      <c r="AD48">
        <v>936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726</v>
      </c>
      <c r="AL48">
        <v>0</v>
      </c>
      <c r="AM48">
        <v>0</v>
      </c>
      <c r="AN48">
        <v>0</v>
      </c>
      <c r="AO48">
        <v>0</v>
      </c>
      <c r="AP48">
        <v>5</v>
      </c>
      <c r="AQ48">
        <v>0</v>
      </c>
      <c r="AR48">
        <v>0</v>
      </c>
      <c r="AS48" t="s">
        <v>59</v>
      </c>
      <c r="AT48">
        <v>1</v>
      </c>
      <c r="AU48" t="s">
        <v>72</v>
      </c>
      <c r="AV48" t="s">
        <v>61</v>
      </c>
      <c r="AW48">
        <v>0</v>
      </c>
      <c r="AX48">
        <v>2</v>
      </c>
      <c r="AY48">
        <v>0</v>
      </c>
      <c r="AZ48">
        <v>42500</v>
      </c>
      <c r="BA48">
        <v>100</v>
      </c>
      <c r="BB48">
        <v>100</v>
      </c>
      <c r="BC48">
        <v>100</v>
      </c>
      <c r="BD48">
        <v>100</v>
      </c>
      <c r="BE48">
        <v>1</v>
      </c>
      <c r="BF48">
        <v>15000</v>
      </c>
      <c r="BG48">
        <v>1000</v>
      </c>
      <c r="BH48" s="7">
        <f>ROUND(Wapato_Inventory[[#This Row],[detatched_value]]*Lookups!$B$22*Lookups!$H$48,-2)</f>
        <v>38000</v>
      </c>
      <c r="BI48" s="7">
        <f>ROUND(((Wapato_Inventory[[#This Row],[land_extract]]*Lookups!$B$3) +(Lookups!$B$2*0.5))*Lookups!$H$48,-2)</f>
        <v>57400</v>
      </c>
      <c r="BJ48" s="7">
        <f>IF(Wapato_Inventory[[#This Row],[bldg_style]]="",0,Lookups!$B$2*0.5)</f>
        <v>53765.27</v>
      </c>
      <c r="BK48" s="7">
        <f>_xlfn.IFNA(VLOOKUP(Wapato_Inventory[[#This Row],[quality]],Lookups!$H$2:$J$14,3,FALSE),0)</f>
        <v>28034</v>
      </c>
      <c r="BL48" s="7">
        <f>_xlfn.IFNA(VLOOKUP(Wapato_Inventory[[#This Row],[condition]],Lookups!$H$17:$J$24,3,FALSE),0)</f>
        <v>52231</v>
      </c>
      <c r="BM48" s="7">
        <f>Wapato_Inventory[[#This Row],[Age]]*Lookups!$B$16</f>
        <v>-25205.9476</v>
      </c>
      <c r="BN48" s="7">
        <f>Wapato_Inventory[[#This Row],[Main Floor]]*Lookups!$B$17</f>
        <v>39125.491704</v>
      </c>
      <c r="BO48" s="7">
        <f>Wapato_Inventory[[#This Row],[Upper Floor]]*Lookups!$B$18</f>
        <v>0</v>
      </c>
      <c r="BP48" s="7">
        <f>Wapato_Inventory[[#This Row],[Fin BSMT]]*Lookups!$B$19</f>
        <v>0</v>
      </c>
      <c r="BQ48" s="7">
        <f>(Wapato_Inventory[[#This Row],[att_gar]]+Wapato_Inventory[[#This Row],[blt_gar]])*Lookups!$B$20</f>
        <v>0</v>
      </c>
      <c r="BR48" s="7">
        <f>Wapato_Inventory[[#This Row],[Patio]]*Lookups!$B$21</f>
        <v>0</v>
      </c>
      <c r="BS48" s="7">
        <f>SUM(Wapato_Inventory[[#This Row],[intercept]:[patio_value]])*Wapato_Inventory[[#This Row],[res_pct]]</f>
        <v>147949.81410399999</v>
      </c>
      <c r="BT48" s="7">
        <f>Wapato_Inventory[[#This Row],[land_value]]</f>
        <v>57400</v>
      </c>
      <c r="BU48" s="2">
        <f>_xlfn.IFNA(VLOOKUP(Wapato_Inventory[[#This Row],[quality]],Lookups!$A$28:$C$37,3,FALSE),1)</f>
        <v>0.96265813922927435</v>
      </c>
      <c r="BV48" s="2">
        <f>_xlfn.IFNA(VLOOKUP(Wapato_Inventory[[#This Row],[condition]],Lookups!$A$41:$C$48,3,FALSE),1)</f>
        <v>0.9832333997567807</v>
      </c>
      <c r="BW48" s="2">
        <f>IF(Wapato_Inventory[[#This Row],[decade]]="",1,_xlfn.IFNA(VLOOKUP(Wapato_Inventory[[#This Row],[decade]],Lookups!$F$28:$H$45,3,FALSE),1))</f>
        <v>1.0012715221492001</v>
      </c>
      <c r="BX48" s="2">
        <f>_xlfn.IFNA(VLOOKUP(Wapato_Inventory[[#This Row],[living_area_range]],Lookups!$K$28:$M$37,3,FALSE),1)</f>
        <v>0.99022994770196116</v>
      </c>
      <c r="BY48" s="2">
        <f>AVERAGE(Wapato_Inventory[[#This Row],[qual_adj]:[range_adj]])</f>
        <v>0.984348252209304</v>
      </c>
      <c r="BZ48" s="7">
        <f>(Wapato_Inventory[[#This Row],[sum_land]]-IF(Wapato_Inventory[[#This Row],[no_utilities]]=1,12000,0))/IF(Wapato_Inventory[[#This Row],[unbuildable]]=1,2,1)</f>
        <v>57400</v>
      </c>
      <c r="CA48" s="7">
        <f>Wapato_Inventory[[#This Row],[pre_res]]*Wapato_Inventory[[#This Row],[overall_adj]]</f>
        <v>145634.14092796383</v>
      </c>
      <c r="CB48" s="3">
        <f>IF(ROUND(Wapato_Inventory[[#This Row],[adj_land]]*Lookups!$H$48,-2)&lt;Wapato_Inventory[[#This Row],[min_land]],Wapato_Inventory[[#This Row],[min_land]],ROUND(Wapato_Inventory[[#This Row],[adj_land]]*Lookups!$H$48,-2))</f>
        <v>54500</v>
      </c>
      <c r="CC48" s="3">
        <f>IF(ROUND(Wapato_Inventory[[#This Row],[adj_res]]*Lookups!$H$48,-2)&lt;Wapato_Inventory[[#This Row],[min_res]],Wapato_Inventory[[#This Row],[min_res]],ROUND(Wapato_Inventory[[#This Row],[adj_res]]*Lookups!$H$48,-2))</f>
        <v>138400</v>
      </c>
      <c r="CD48" s="3">
        <f>ROUND(Wapato_Inventory[[#This Row],[det_value]]*Lookups!$H$48,-2)</f>
        <v>36100</v>
      </c>
      <c r="CE48" s="3">
        <f>Wapato_Inventory[[#This Row],[final_res]]+Wapato_Inventory[[#This Row],[final_det]]</f>
        <v>174500</v>
      </c>
      <c r="CF48" s="3">
        <f>Wapato_Inventory[[#This Row],[crop_value]]+Wapato_Inventory[[#This Row],[final_land]]+Wapato_Inventory[[#This Row],[final_imp]]</f>
        <v>229000</v>
      </c>
      <c r="CH48" t="str">
        <f t="shared" si="0"/>
        <v>update valuation set market_land =54500, market_bldg=174500, market_total =229000, market_mdno =405, market_date ='9/10/2023' where link_id = (select link_id from parcel where parcel_year = '2024' and parcel_id = '19110944435');</v>
      </c>
    </row>
    <row r="49" spans="1:86" x14ac:dyDescent="0.25">
      <c r="A49">
        <v>19110944437</v>
      </c>
      <c r="B49">
        <v>0.25</v>
      </c>
      <c r="C49">
        <v>10890</v>
      </c>
      <c r="D49" t="s">
        <v>144</v>
      </c>
      <c r="E49" t="s">
        <v>54</v>
      </c>
      <c r="F49" t="s">
        <v>54</v>
      </c>
      <c r="G49">
        <v>3</v>
      </c>
      <c r="H49" t="s">
        <v>55</v>
      </c>
      <c r="I49">
        <v>96400</v>
      </c>
      <c r="J49">
        <v>35500</v>
      </c>
      <c r="K49">
        <v>0.25</v>
      </c>
      <c r="L49">
        <f>IF(Wapato_Inventory[[#This Row],[parcel_acres]]-Wapato_Inventory[[#This Row],[non_valued_acres]] =0,0,LN(Wapato_Inventory[[#This Row],[parcel_acres]]-Wapato_Inventory[[#This Row],[non_valued_acres]]))</f>
        <v>-1.3862943611198906</v>
      </c>
      <c r="M49">
        <v>0</v>
      </c>
      <c r="N49">
        <v>0</v>
      </c>
      <c r="O49">
        <v>0</v>
      </c>
      <c r="P49">
        <v>27904.037</v>
      </c>
      <c r="Q49">
        <v>74398</v>
      </c>
      <c r="R49" s="3">
        <f>(Wapato_Inventory[[#This Row],[ln_acres]]*Wapato_Inventory[[#This Row],[coeff]])+Wapato_Inventory[[#This Row],[const]]</f>
        <v>35714.790854419211</v>
      </c>
      <c r="S49" t="s">
        <v>66</v>
      </c>
      <c r="T49">
        <v>1</v>
      </c>
      <c r="U49" t="s">
        <v>78</v>
      </c>
      <c r="V49" t="s">
        <v>68</v>
      </c>
      <c r="W49">
        <v>0</v>
      </c>
      <c r="X49">
        <v>0</v>
      </c>
      <c r="Y49">
        <v>57</v>
      </c>
      <c r="Z49">
        <v>103</v>
      </c>
      <c r="AA49">
        <v>110</v>
      </c>
      <c r="AB49">
        <v>1000</v>
      </c>
      <c r="AC49">
        <v>720</v>
      </c>
      <c r="AD49">
        <v>720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5</v>
      </c>
      <c r="AQ49">
        <v>0</v>
      </c>
      <c r="AR49">
        <v>0</v>
      </c>
      <c r="AS49" t="s">
        <v>59</v>
      </c>
      <c r="AT49">
        <v>1</v>
      </c>
      <c r="AU49" t="s">
        <v>72</v>
      </c>
      <c r="AV49" t="s">
        <v>61</v>
      </c>
      <c r="AW49">
        <v>0</v>
      </c>
      <c r="AX49">
        <v>1</v>
      </c>
      <c r="AY49">
        <v>0</v>
      </c>
      <c r="AZ49">
        <v>0</v>
      </c>
      <c r="BA49">
        <v>100</v>
      </c>
      <c r="BB49">
        <v>100</v>
      </c>
      <c r="BC49">
        <v>100</v>
      </c>
      <c r="BD49">
        <v>100</v>
      </c>
      <c r="BE49">
        <v>1</v>
      </c>
      <c r="BF49">
        <v>15000</v>
      </c>
      <c r="BG49">
        <v>1000</v>
      </c>
      <c r="BH49" s="7">
        <f>ROUND(Wapato_Inventory[[#This Row],[detatched_value]]*Lookups!$B$22*Lookups!$H$48,-2)</f>
        <v>0</v>
      </c>
      <c r="BI49" s="7">
        <f>ROUND(((Wapato_Inventory[[#This Row],[land_extract]]*Lookups!$B$3) +(Lookups!$B$2*0.5))*Lookups!$H$48,-2)</f>
        <v>54500</v>
      </c>
      <c r="BJ49" s="7">
        <f>IF(Wapato_Inventory[[#This Row],[bldg_style]]="",0,Lookups!$B$2*0.5)</f>
        <v>53765.27</v>
      </c>
      <c r="BK49" s="7">
        <f>_xlfn.IFNA(VLOOKUP(Wapato_Inventory[[#This Row],[quality]],Lookups!$H$2:$J$14,3,FALSE),0)</f>
        <v>23424</v>
      </c>
      <c r="BL49" s="7">
        <f>_xlfn.IFNA(VLOOKUP(Wapato_Inventory[[#This Row],[condition]],Lookups!$H$17:$J$24,3,FALSE),0)</f>
        <v>52231</v>
      </c>
      <c r="BM49" s="7">
        <f>Wapato_Inventory[[#This Row],[Age]]*Lookups!$B$16</f>
        <v>-38179.597099999999</v>
      </c>
      <c r="BN49" s="7">
        <f>Wapato_Inventory[[#This Row],[Main Floor]]*Lookups!$B$17</f>
        <v>30096.532080000001</v>
      </c>
      <c r="BO49" s="7">
        <f>Wapato_Inventory[[#This Row],[Upper Floor]]*Lookups!$B$18</f>
        <v>0</v>
      </c>
      <c r="BP49" s="7">
        <f>Wapato_Inventory[[#This Row],[Fin BSMT]]*Lookups!$B$19</f>
        <v>0</v>
      </c>
      <c r="BQ49" s="7">
        <f>(Wapato_Inventory[[#This Row],[att_gar]]+Wapato_Inventory[[#This Row],[blt_gar]])*Lookups!$B$20</f>
        <v>0</v>
      </c>
      <c r="BR49" s="7">
        <f>Wapato_Inventory[[#This Row],[Patio]]*Lookups!$B$21</f>
        <v>0</v>
      </c>
      <c r="BS49" s="7">
        <f>SUM(Wapato_Inventory[[#This Row],[intercept]:[patio_value]])*Wapato_Inventory[[#This Row],[res_pct]]</f>
        <v>121337.20497999999</v>
      </c>
      <c r="BT49" s="7">
        <f>Wapato_Inventory[[#This Row],[land_value]]</f>
        <v>54500</v>
      </c>
      <c r="BU49" s="2">
        <f>_xlfn.IFNA(VLOOKUP(Wapato_Inventory[[#This Row],[quality]],Lookups!$A$28:$C$37,3,FALSE),1)</f>
        <v>1.0091195562373767</v>
      </c>
      <c r="BV49" s="2">
        <f>_xlfn.IFNA(VLOOKUP(Wapato_Inventory[[#This Row],[condition]],Lookups!$A$41:$C$48,3,FALSE),1)</f>
        <v>0.9832333997567807</v>
      </c>
      <c r="BW49" s="2">
        <f>IF(Wapato_Inventory[[#This Row],[decade]]="",1,_xlfn.IFNA(VLOOKUP(Wapato_Inventory[[#This Row],[decade]],Lookups!$F$28:$H$45,3,FALSE),1))</f>
        <v>0.93664589651353292</v>
      </c>
      <c r="BX49" s="2">
        <f>_xlfn.IFNA(VLOOKUP(Wapato_Inventory[[#This Row],[living_area_range]],Lookups!$K$28:$M$37,3,FALSE),1)</f>
        <v>0.99022994770196116</v>
      </c>
      <c r="BY49" s="2">
        <f>AVERAGE(Wapato_Inventory[[#This Row],[qual_adj]:[range_adj]])</f>
        <v>0.97980720005241284</v>
      </c>
      <c r="BZ49" s="7">
        <f>(Wapato_Inventory[[#This Row],[sum_land]]-IF(Wapato_Inventory[[#This Row],[no_utilities]]=1,12000,0))/IF(Wapato_Inventory[[#This Row],[unbuildable]]=1,2,1)</f>
        <v>54500</v>
      </c>
      <c r="CA49" s="7">
        <f>Wapato_Inventory[[#This Row],[pre_res]]*Wapato_Inventory[[#This Row],[overall_adj]]</f>
        <v>118887.06707363948</v>
      </c>
      <c r="CB49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9" s="3">
        <f>IF(ROUND(Wapato_Inventory[[#This Row],[adj_res]]*Lookups!$H$48,-2)&lt;Wapato_Inventory[[#This Row],[min_res]],Wapato_Inventory[[#This Row],[min_res]],ROUND(Wapato_Inventory[[#This Row],[adj_res]]*Lookups!$H$48,-2))</f>
        <v>112900</v>
      </c>
      <c r="CD49" s="3">
        <f>ROUND(Wapato_Inventory[[#This Row],[det_value]]*Lookups!$H$48,-2)</f>
        <v>0</v>
      </c>
      <c r="CE49" s="3">
        <f>Wapato_Inventory[[#This Row],[final_res]]+Wapato_Inventory[[#This Row],[final_det]]</f>
        <v>112900</v>
      </c>
      <c r="CF49" s="3">
        <f>Wapato_Inventory[[#This Row],[crop_value]]+Wapato_Inventory[[#This Row],[final_land]]+Wapato_Inventory[[#This Row],[final_imp]]</f>
        <v>164700</v>
      </c>
      <c r="CH49" t="str">
        <f t="shared" si="0"/>
        <v>update valuation set market_land =51800, market_bldg=112900, market_total =164700, market_mdno =405, market_date ='9/10/2023' where link_id = (select link_id from parcel where parcel_year = '2024' and parcel_id = '19110944437');</v>
      </c>
    </row>
    <row r="50" spans="1:86" x14ac:dyDescent="0.25">
      <c r="A50">
        <v>19110944438</v>
      </c>
      <c r="B50">
        <v>0.5</v>
      </c>
      <c r="C50">
        <v>21668</v>
      </c>
      <c r="D50" t="s">
        <v>144</v>
      </c>
      <c r="E50" t="s">
        <v>54</v>
      </c>
      <c r="F50" t="s">
        <v>54</v>
      </c>
      <c r="G50">
        <v>3</v>
      </c>
      <c r="H50" t="s">
        <v>55</v>
      </c>
      <c r="I50">
        <v>178100</v>
      </c>
      <c r="J50">
        <v>40400</v>
      </c>
      <c r="K50">
        <v>0.5</v>
      </c>
      <c r="L50">
        <f>IF(Wapato_Inventory[[#This Row],[parcel_acres]]-Wapato_Inventory[[#This Row],[non_valued_acres]] =0,0,LN(Wapato_Inventory[[#This Row],[parcel_acres]]-Wapato_Inventory[[#This Row],[non_valued_acres]]))</f>
        <v>-0.69314718055994529</v>
      </c>
      <c r="M50">
        <v>0</v>
      </c>
      <c r="N50">
        <v>0</v>
      </c>
      <c r="O50">
        <v>0</v>
      </c>
      <c r="P50">
        <v>27904.037</v>
      </c>
      <c r="Q50">
        <v>74398</v>
      </c>
      <c r="R50" s="3">
        <f>(Wapato_Inventory[[#This Row],[ln_acres]]*Wapato_Inventory[[#This Row],[coeff]])+Wapato_Inventory[[#This Row],[const]]</f>
        <v>55056.395427209602</v>
      </c>
      <c r="S50" t="s">
        <v>62</v>
      </c>
      <c r="T50">
        <v>1</v>
      </c>
      <c r="U50" t="s">
        <v>75</v>
      </c>
      <c r="V50" t="s">
        <v>68</v>
      </c>
      <c r="W50">
        <v>0</v>
      </c>
      <c r="X50">
        <v>0</v>
      </c>
      <c r="Y50">
        <v>44</v>
      </c>
      <c r="Z50">
        <v>49</v>
      </c>
      <c r="AA50">
        <v>50</v>
      </c>
      <c r="AB50">
        <v>1500</v>
      </c>
      <c r="AC50">
        <v>1400</v>
      </c>
      <c r="AD50">
        <v>1400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392</v>
      </c>
      <c r="AL50">
        <v>0</v>
      </c>
      <c r="AM50">
        <v>0</v>
      </c>
      <c r="AN50">
        <v>0</v>
      </c>
      <c r="AO50">
        <v>0</v>
      </c>
      <c r="AP50">
        <v>7</v>
      </c>
      <c r="AQ50">
        <v>0</v>
      </c>
      <c r="AR50">
        <v>0</v>
      </c>
      <c r="AS50" t="s">
        <v>59</v>
      </c>
      <c r="AT50">
        <v>1</v>
      </c>
      <c r="AU50" t="s">
        <v>72</v>
      </c>
      <c r="AV50" t="s">
        <v>61</v>
      </c>
      <c r="AW50">
        <v>0</v>
      </c>
      <c r="AX50">
        <v>3</v>
      </c>
      <c r="AY50">
        <v>0</v>
      </c>
      <c r="AZ50">
        <v>3500</v>
      </c>
      <c r="BA50">
        <v>100</v>
      </c>
      <c r="BB50">
        <v>100</v>
      </c>
      <c r="BC50">
        <v>100</v>
      </c>
      <c r="BD50">
        <v>100</v>
      </c>
      <c r="BE50">
        <v>1</v>
      </c>
      <c r="BF50">
        <v>15000</v>
      </c>
      <c r="BG50">
        <v>1000</v>
      </c>
      <c r="BH50" s="7">
        <f>ROUND(Wapato_Inventory[[#This Row],[detatched_value]]*Lookups!$B$22*Lookups!$H$48,-2)</f>
        <v>3100</v>
      </c>
      <c r="BI50" s="7">
        <f>ROUND(((Wapato_Inventory[[#This Row],[land_extract]]*Lookups!$B$3) +(Lookups!$B$2*0.5))*Lookups!$H$48,-2)</f>
        <v>56400</v>
      </c>
      <c r="BJ50" s="7">
        <f>IF(Wapato_Inventory[[#This Row],[bldg_style]]="",0,Lookups!$B$2*0.5)</f>
        <v>53765.27</v>
      </c>
      <c r="BK50" s="7">
        <f>_xlfn.IFNA(VLOOKUP(Wapato_Inventory[[#This Row],[quality]],Lookups!$H$2:$J$14,3,FALSE),0)</f>
        <v>48043</v>
      </c>
      <c r="BL50" s="7">
        <f>_xlfn.IFNA(VLOOKUP(Wapato_Inventory[[#This Row],[condition]],Lookups!$H$17:$J$24,3,FALSE),0)</f>
        <v>52231</v>
      </c>
      <c r="BM50" s="7">
        <f>Wapato_Inventory[[#This Row],[Age]]*Lookups!$B$16</f>
        <v>-18163.1093</v>
      </c>
      <c r="BN50" s="7">
        <f>Wapato_Inventory[[#This Row],[Main Floor]]*Lookups!$B$17</f>
        <v>58521.034599999999</v>
      </c>
      <c r="BO50" s="7">
        <f>Wapato_Inventory[[#This Row],[Upper Floor]]*Lookups!$B$18</f>
        <v>0</v>
      </c>
      <c r="BP50" s="7">
        <f>Wapato_Inventory[[#This Row],[Fin BSMT]]*Lookups!$B$19</f>
        <v>0</v>
      </c>
      <c r="BQ50" s="7">
        <f>(Wapato_Inventory[[#This Row],[att_gar]]+Wapato_Inventory[[#This Row],[blt_gar]])*Lookups!$B$20</f>
        <v>0</v>
      </c>
      <c r="BR50" s="7">
        <f>Wapato_Inventory[[#This Row],[Patio]]*Lookups!$B$21</f>
        <v>0</v>
      </c>
      <c r="BS50" s="7">
        <f>SUM(Wapato_Inventory[[#This Row],[intercept]:[patio_value]])*Wapato_Inventory[[#This Row],[res_pct]]</f>
        <v>194397.19529999996</v>
      </c>
      <c r="BT50" s="7">
        <f>Wapato_Inventory[[#This Row],[land_value]]</f>
        <v>56400</v>
      </c>
      <c r="BU50" s="2">
        <f>_xlfn.IFNA(VLOOKUP(Wapato_Inventory[[#This Row],[quality]],Lookups!$A$28:$C$37,3,FALSE),1)</f>
        <v>0.98196844879778955</v>
      </c>
      <c r="BV50" s="2">
        <f>_xlfn.IFNA(VLOOKUP(Wapato_Inventory[[#This Row],[condition]],Lookups!$A$41:$C$48,3,FALSE),1)</f>
        <v>0.9832333997567807</v>
      </c>
      <c r="BW50" s="2">
        <f>IF(Wapato_Inventory[[#This Row],[decade]]="",1,_xlfn.IFNA(VLOOKUP(Wapato_Inventory[[#This Row],[decade]],Lookups!$F$28:$H$45,3,FALSE),1))</f>
        <v>0.96240333884358298</v>
      </c>
      <c r="BX50" s="2">
        <f>_xlfn.IFNA(VLOOKUP(Wapato_Inventory[[#This Row],[living_area_range]],Lookups!$K$28:$M$37,3,FALSE),1)</f>
        <v>1.0061411172456287</v>
      </c>
      <c r="BY50" s="2">
        <f>AVERAGE(Wapato_Inventory[[#This Row],[qual_adj]:[range_adj]])</f>
        <v>0.98343657616094549</v>
      </c>
      <c r="BZ50" s="7">
        <f>(Wapato_Inventory[[#This Row],[sum_land]]-IF(Wapato_Inventory[[#This Row],[no_utilities]]=1,12000,0))/IF(Wapato_Inventory[[#This Row],[unbuildable]]=1,2,1)</f>
        <v>56400</v>
      </c>
      <c r="CA50" s="7">
        <f>Wapato_Inventory[[#This Row],[pre_res]]*Wapato_Inventory[[#This Row],[overall_adj]]</f>
        <v>191177.31216112259</v>
      </c>
      <c r="CB50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50" s="3">
        <f>IF(ROUND(Wapato_Inventory[[#This Row],[adj_res]]*Lookups!$H$48,-2)&lt;Wapato_Inventory[[#This Row],[min_res]],Wapato_Inventory[[#This Row],[min_res]],ROUND(Wapato_Inventory[[#This Row],[adj_res]]*Lookups!$H$48,-2))</f>
        <v>181600</v>
      </c>
      <c r="CD50" s="3">
        <f>ROUND(Wapato_Inventory[[#This Row],[det_value]]*Lookups!$H$48,-2)</f>
        <v>2900</v>
      </c>
      <c r="CE50" s="3">
        <f>Wapato_Inventory[[#This Row],[final_res]]+Wapato_Inventory[[#This Row],[final_det]]</f>
        <v>184500</v>
      </c>
      <c r="CF50" s="3">
        <f>Wapato_Inventory[[#This Row],[crop_value]]+Wapato_Inventory[[#This Row],[final_land]]+Wapato_Inventory[[#This Row],[final_imp]]</f>
        <v>238100</v>
      </c>
      <c r="CH50" t="str">
        <f t="shared" si="0"/>
        <v>update valuation set market_land =53600, market_bldg=184500, market_total =238100, market_mdno =405, market_date ='9/10/2023' where link_id = (select link_id from parcel where parcel_year = '2024' and parcel_id = '19110944438');</v>
      </c>
    </row>
    <row r="51" spans="1:86" x14ac:dyDescent="0.25">
      <c r="A51">
        <v>19110944439</v>
      </c>
      <c r="B51">
        <v>0.25</v>
      </c>
      <c r="C51">
        <v>10891</v>
      </c>
      <c r="D51" t="s">
        <v>144</v>
      </c>
      <c r="E51" t="s">
        <v>54</v>
      </c>
      <c r="F51" t="s">
        <v>54</v>
      </c>
      <c r="G51">
        <v>3</v>
      </c>
      <c r="H51" t="s">
        <v>55</v>
      </c>
      <c r="I51">
        <v>157700</v>
      </c>
      <c r="J51">
        <v>35500</v>
      </c>
      <c r="K51">
        <v>0.25</v>
      </c>
      <c r="L51">
        <f>IF(Wapato_Inventory[[#This Row],[parcel_acres]]-Wapato_Inventory[[#This Row],[non_valued_acres]] =0,0,LN(Wapato_Inventory[[#This Row],[parcel_acres]]-Wapato_Inventory[[#This Row],[non_valued_acres]]))</f>
        <v>-1.3862943611198906</v>
      </c>
      <c r="M51">
        <v>0</v>
      </c>
      <c r="N51">
        <v>0</v>
      </c>
      <c r="O51">
        <v>0</v>
      </c>
      <c r="P51">
        <v>27904.037</v>
      </c>
      <c r="Q51">
        <v>74398</v>
      </c>
      <c r="R51" s="3">
        <f>(Wapato_Inventory[[#This Row],[ln_acres]]*Wapato_Inventory[[#This Row],[coeff]])+Wapato_Inventory[[#This Row],[const]]</f>
        <v>35714.790854419211</v>
      </c>
      <c r="S51" t="s">
        <v>62</v>
      </c>
      <c r="T51">
        <v>1</v>
      </c>
      <c r="U51" t="s">
        <v>75</v>
      </c>
      <c r="V51" t="s">
        <v>68</v>
      </c>
      <c r="W51">
        <v>0</v>
      </c>
      <c r="X51">
        <v>0</v>
      </c>
      <c r="Y51">
        <v>51</v>
      </c>
      <c r="Z51">
        <v>83</v>
      </c>
      <c r="AA51">
        <v>90</v>
      </c>
      <c r="AB51">
        <v>1500</v>
      </c>
      <c r="AC51">
        <v>1284</v>
      </c>
      <c r="AD51">
        <v>1284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480</v>
      </c>
      <c r="AL51">
        <v>0</v>
      </c>
      <c r="AM51">
        <v>0</v>
      </c>
      <c r="AN51">
        <v>20</v>
      </c>
      <c r="AO51">
        <v>0</v>
      </c>
      <c r="AP51">
        <v>5</v>
      </c>
      <c r="AQ51">
        <v>1</v>
      </c>
      <c r="AR51">
        <v>0</v>
      </c>
      <c r="AS51" t="s">
        <v>59</v>
      </c>
      <c r="AT51">
        <v>1</v>
      </c>
      <c r="AU51" t="s">
        <v>64</v>
      </c>
      <c r="AV51" t="s">
        <v>77</v>
      </c>
      <c r="AW51">
        <v>0</v>
      </c>
      <c r="AX51">
        <v>3</v>
      </c>
      <c r="AY51">
        <v>0</v>
      </c>
      <c r="AZ51">
        <v>1000</v>
      </c>
      <c r="BA51">
        <v>100</v>
      </c>
      <c r="BB51">
        <v>100</v>
      </c>
      <c r="BC51">
        <v>100</v>
      </c>
      <c r="BD51">
        <v>100</v>
      </c>
      <c r="BE51">
        <v>1</v>
      </c>
      <c r="BF51">
        <v>15000</v>
      </c>
      <c r="BG51">
        <v>1000</v>
      </c>
      <c r="BH51" s="7">
        <f>ROUND(Wapato_Inventory[[#This Row],[detatched_value]]*Lookups!$B$22*Lookups!$H$48,-2)</f>
        <v>900</v>
      </c>
      <c r="BI51" s="7">
        <f>ROUND(((Wapato_Inventory[[#This Row],[land_extract]]*Lookups!$B$3) +(Lookups!$B$2*0.5))*Lookups!$H$48,-2)</f>
        <v>54500</v>
      </c>
      <c r="BJ51" s="7">
        <f>IF(Wapato_Inventory[[#This Row],[bldg_style]]="",0,Lookups!$B$2*0.5)</f>
        <v>53765.27</v>
      </c>
      <c r="BK51" s="7">
        <f>_xlfn.IFNA(VLOOKUP(Wapato_Inventory[[#This Row],[quality]],Lookups!$H$2:$J$14,3,FALSE),0)</f>
        <v>48043</v>
      </c>
      <c r="BL51" s="7">
        <f>_xlfn.IFNA(VLOOKUP(Wapato_Inventory[[#This Row],[condition]],Lookups!$H$17:$J$24,3,FALSE),0)</f>
        <v>52231</v>
      </c>
      <c r="BM51" s="7">
        <f>Wapato_Inventory[[#This Row],[Age]]*Lookups!$B$16</f>
        <v>-30766.0831</v>
      </c>
      <c r="BN51" s="7">
        <f>Wapato_Inventory[[#This Row],[Main Floor]]*Lookups!$B$17</f>
        <v>53672.148875999999</v>
      </c>
      <c r="BO51" s="7">
        <f>Wapato_Inventory[[#This Row],[Upper Floor]]*Lookups!$B$18</f>
        <v>0</v>
      </c>
      <c r="BP51" s="7">
        <f>Wapato_Inventory[[#This Row],[Fin BSMT]]*Lookups!$B$19</f>
        <v>0</v>
      </c>
      <c r="BQ51" s="7">
        <f>(Wapato_Inventory[[#This Row],[att_gar]]+Wapato_Inventory[[#This Row],[blt_gar]])*Lookups!$B$20</f>
        <v>0</v>
      </c>
      <c r="BR51" s="7">
        <f>Wapato_Inventory[[#This Row],[Patio]]*Lookups!$B$21</f>
        <v>0</v>
      </c>
      <c r="BS51" s="7">
        <f>SUM(Wapato_Inventory[[#This Row],[intercept]:[patio_value]])*Wapato_Inventory[[#This Row],[res_pct]]</f>
        <v>176945.33577599999</v>
      </c>
      <c r="BT51" s="7">
        <f>Wapato_Inventory[[#This Row],[land_value]]</f>
        <v>54500</v>
      </c>
      <c r="BU51" s="2">
        <f>_xlfn.IFNA(VLOOKUP(Wapato_Inventory[[#This Row],[quality]],Lookups!$A$28:$C$37,3,FALSE),1)</f>
        <v>0.98196844879778955</v>
      </c>
      <c r="BV51" s="2">
        <f>_xlfn.IFNA(VLOOKUP(Wapato_Inventory[[#This Row],[condition]],Lookups!$A$41:$C$48,3,FALSE),1)</f>
        <v>0.9832333997567807</v>
      </c>
      <c r="BW51" s="2">
        <f>IF(Wapato_Inventory[[#This Row],[decade]]="",1,_xlfn.IFNA(VLOOKUP(Wapato_Inventory[[#This Row],[decade]],Lookups!$F$28:$H$45,3,FALSE),1))</f>
        <v>0.94742695999815718</v>
      </c>
      <c r="BX51" s="2">
        <f>_xlfn.IFNA(VLOOKUP(Wapato_Inventory[[#This Row],[living_area_range]],Lookups!$K$28:$M$37,3,FALSE),1)</f>
        <v>1.0061411172456287</v>
      </c>
      <c r="BY51" s="2">
        <f>AVERAGE(Wapato_Inventory[[#This Row],[qual_adj]:[range_adj]])</f>
        <v>0.97969248144958898</v>
      </c>
      <c r="BZ51" s="7">
        <f>(Wapato_Inventory[[#This Row],[sum_land]]-IF(Wapato_Inventory[[#This Row],[no_utilities]]=1,12000,0))/IF(Wapato_Inventory[[#This Row],[unbuildable]]=1,2,1)</f>
        <v>54500</v>
      </c>
      <c r="CA51" s="7">
        <f>Wapato_Inventory[[#This Row],[pre_res]]*Wapato_Inventory[[#This Row],[overall_adj]]</f>
        <v>173352.01508732018</v>
      </c>
      <c r="CB51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51" s="3">
        <f>IF(ROUND(Wapato_Inventory[[#This Row],[adj_res]]*Lookups!$H$48,-2)&lt;Wapato_Inventory[[#This Row],[min_res]],Wapato_Inventory[[#This Row],[min_res]],ROUND(Wapato_Inventory[[#This Row],[adj_res]]*Lookups!$H$48,-2))</f>
        <v>164700</v>
      </c>
      <c r="CD51" s="3">
        <f>ROUND(Wapato_Inventory[[#This Row],[det_value]]*Lookups!$H$48,-2)</f>
        <v>900</v>
      </c>
      <c r="CE51" s="3">
        <f>Wapato_Inventory[[#This Row],[final_res]]+Wapato_Inventory[[#This Row],[final_det]]</f>
        <v>165600</v>
      </c>
      <c r="CF51" s="3">
        <f>Wapato_Inventory[[#This Row],[crop_value]]+Wapato_Inventory[[#This Row],[final_land]]+Wapato_Inventory[[#This Row],[final_imp]]</f>
        <v>217400</v>
      </c>
      <c r="CH51" t="str">
        <f t="shared" si="0"/>
        <v>update valuation set market_land =51800, market_bldg=165600, market_total =217400, market_mdno =405, market_date ='9/10/2023' where link_id = (select link_id from parcel where parcel_year = '2024' and parcel_id = '19110944439');</v>
      </c>
    </row>
    <row r="52" spans="1:86" x14ac:dyDescent="0.25">
      <c r="A52">
        <v>19110944440</v>
      </c>
      <c r="B52">
        <v>0.5</v>
      </c>
      <c r="C52">
        <v>21781</v>
      </c>
      <c r="D52" t="s">
        <v>144</v>
      </c>
      <c r="E52" t="s">
        <v>54</v>
      </c>
      <c r="F52" t="s">
        <v>54</v>
      </c>
      <c r="G52">
        <v>3</v>
      </c>
      <c r="H52" t="s">
        <v>55</v>
      </c>
      <c r="I52">
        <v>248800</v>
      </c>
      <c r="J52">
        <v>40400</v>
      </c>
      <c r="K52">
        <v>0.5</v>
      </c>
      <c r="L52">
        <f>IF(Wapato_Inventory[[#This Row],[parcel_acres]]-Wapato_Inventory[[#This Row],[non_valued_acres]] =0,0,LN(Wapato_Inventory[[#This Row],[parcel_acres]]-Wapato_Inventory[[#This Row],[non_valued_acres]]))</f>
        <v>-0.69314718055994529</v>
      </c>
      <c r="M52">
        <v>0</v>
      </c>
      <c r="N52">
        <v>0</v>
      </c>
      <c r="O52">
        <v>0</v>
      </c>
      <c r="P52">
        <v>27904.037</v>
      </c>
      <c r="Q52">
        <v>74398</v>
      </c>
      <c r="R52" s="3">
        <f>(Wapato_Inventory[[#This Row],[ln_acres]]*Wapato_Inventory[[#This Row],[coeff]])+Wapato_Inventory[[#This Row],[const]]</f>
        <v>55056.395427209602</v>
      </c>
      <c r="S52" t="s">
        <v>62</v>
      </c>
      <c r="T52">
        <v>1</v>
      </c>
      <c r="U52" t="s">
        <v>71</v>
      </c>
      <c r="V52" t="s">
        <v>68</v>
      </c>
      <c r="W52">
        <v>0</v>
      </c>
      <c r="X52">
        <v>0</v>
      </c>
      <c r="Y52">
        <v>45</v>
      </c>
      <c r="Z52">
        <v>50</v>
      </c>
      <c r="AA52">
        <v>50</v>
      </c>
      <c r="AB52">
        <v>1500</v>
      </c>
      <c r="AC52">
        <v>1440</v>
      </c>
      <c r="AD52">
        <v>1440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360</v>
      </c>
      <c r="AO52">
        <v>0</v>
      </c>
      <c r="AP52">
        <v>5</v>
      </c>
      <c r="AQ52">
        <v>0</v>
      </c>
      <c r="AR52">
        <v>0</v>
      </c>
      <c r="AS52" t="s">
        <v>59</v>
      </c>
      <c r="AT52">
        <v>1</v>
      </c>
      <c r="AU52" t="s">
        <v>72</v>
      </c>
      <c r="AV52" t="s">
        <v>61</v>
      </c>
      <c r="AW52">
        <v>0</v>
      </c>
      <c r="AX52">
        <v>4</v>
      </c>
      <c r="AY52">
        <v>0</v>
      </c>
      <c r="AZ52">
        <v>25100</v>
      </c>
      <c r="BA52">
        <v>100</v>
      </c>
      <c r="BB52">
        <v>100</v>
      </c>
      <c r="BC52">
        <v>100</v>
      </c>
      <c r="BD52">
        <v>100</v>
      </c>
      <c r="BE52">
        <v>1</v>
      </c>
      <c r="BF52">
        <v>15000</v>
      </c>
      <c r="BG52">
        <v>1000</v>
      </c>
      <c r="BH52" s="7">
        <f>ROUND(Wapato_Inventory[[#This Row],[detatched_value]]*Lookups!$B$22*Lookups!$H$48,-2)</f>
        <v>22400</v>
      </c>
      <c r="BI52" s="7">
        <f>ROUND(((Wapato_Inventory[[#This Row],[land_extract]]*Lookups!$B$3) +(Lookups!$B$2*0.5))*Lookups!$H$48,-2)</f>
        <v>56400</v>
      </c>
      <c r="BJ52" s="7">
        <f>IF(Wapato_Inventory[[#This Row],[bldg_style]]="",0,Lookups!$B$2*0.5)</f>
        <v>53765.27</v>
      </c>
      <c r="BK52" s="7">
        <f>_xlfn.IFNA(VLOOKUP(Wapato_Inventory[[#This Row],[quality]],Lookups!$H$2:$J$14,3,FALSE),0)</f>
        <v>28034</v>
      </c>
      <c r="BL52" s="7">
        <f>_xlfn.IFNA(VLOOKUP(Wapato_Inventory[[#This Row],[condition]],Lookups!$H$17:$J$24,3,FALSE),0)</f>
        <v>52231</v>
      </c>
      <c r="BM52" s="7">
        <f>Wapato_Inventory[[#This Row],[Age]]*Lookups!$B$16</f>
        <v>-18533.785</v>
      </c>
      <c r="BN52" s="7">
        <f>Wapato_Inventory[[#This Row],[Main Floor]]*Lookups!$B$17</f>
        <v>60193.064160000002</v>
      </c>
      <c r="BO52" s="7">
        <f>Wapato_Inventory[[#This Row],[Upper Floor]]*Lookups!$B$18</f>
        <v>0</v>
      </c>
      <c r="BP52" s="7">
        <f>Wapato_Inventory[[#This Row],[Fin BSMT]]*Lookups!$B$19</f>
        <v>0</v>
      </c>
      <c r="BQ52" s="7">
        <f>(Wapato_Inventory[[#This Row],[att_gar]]+Wapato_Inventory[[#This Row],[blt_gar]])*Lookups!$B$20</f>
        <v>0</v>
      </c>
      <c r="BR52" s="7">
        <f>Wapato_Inventory[[#This Row],[Patio]]*Lookups!$B$21</f>
        <v>0</v>
      </c>
      <c r="BS52" s="7">
        <f>SUM(Wapato_Inventory[[#This Row],[intercept]:[patio_value]])*Wapato_Inventory[[#This Row],[res_pct]]</f>
        <v>175689.54916</v>
      </c>
      <c r="BT52" s="7">
        <f>Wapato_Inventory[[#This Row],[land_value]]</f>
        <v>56400</v>
      </c>
      <c r="BU52" s="2">
        <f>_xlfn.IFNA(VLOOKUP(Wapato_Inventory[[#This Row],[quality]],Lookups!$A$28:$C$37,3,FALSE),1)</f>
        <v>0.96265813922927435</v>
      </c>
      <c r="BV52" s="2">
        <f>_xlfn.IFNA(VLOOKUP(Wapato_Inventory[[#This Row],[condition]],Lookups!$A$41:$C$48,3,FALSE),1)</f>
        <v>0.9832333997567807</v>
      </c>
      <c r="BW52" s="2">
        <f>IF(Wapato_Inventory[[#This Row],[decade]]="",1,_xlfn.IFNA(VLOOKUP(Wapato_Inventory[[#This Row],[decade]],Lookups!$F$28:$H$45,3,FALSE),1))</f>
        <v>0.96240333884358298</v>
      </c>
      <c r="BX52" s="2">
        <f>_xlfn.IFNA(VLOOKUP(Wapato_Inventory[[#This Row],[living_area_range]],Lookups!$K$28:$M$37,3,FALSE),1)</f>
        <v>1.0061411172456287</v>
      </c>
      <c r="BY52" s="2">
        <f>AVERAGE(Wapato_Inventory[[#This Row],[qual_adj]:[range_adj]])</f>
        <v>0.97860899876881668</v>
      </c>
      <c r="BZ52" s="7">
        <f>(Wapato_Inventory[[#This Row],[sum_land]]-IF(Wapato_Inventory[[#This Row],[no_utilities]]=1,12000,0))/IF(Wapato_Inventory[[#This Row],[unbuildable]]=1,2,1)</f>
        <v>56400</v>
      </c>
      <c r="CA52" s="7">
        <f>Wapato_Inventory[[#This Row],[pre_res]]*Wapato_Inventory[[#This Row],[overall_adj]]</f>
        <v>171931.37379761238</v>
      </c>
      <c r="CB52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52" s="3">
        <f>IF(ROUND(Wapato_Inventory[[#This Row],[adj_res]]*Lookups!$H$48,-2)&lt;Wapato_Inventory[[#This Row],[min_res]],Wapato_Inventory[[#This Row],[min_res]],ROUND(Wapato_Inventory[[#This Row],[adj_res]]*Lookups!$H$48,-2))</f>
        <v>163300</v>
      </c>
      <c r="CD52" s="3">
        <f>ROUND(Wapato_Inventory[[#This Row],[det_value]]*Lookups!$H$48,-2)</f>
        <v>21300</v>
      </c>
      <c r="CE52" s="3">
        <f>Wapato_Inventory[[#This Row],[final_res]]+Wapato_Inventory[[#This Row],[final_det]]</f>
        <v>184600</v>
      </c>
      <c r="CF52" s="3">
        <f>Wapato_Inventory[[#This Row],[crop_value]]+Wapato_Inventory[[#This Row],[final_land]]+Wapato_Inventory[[#This Row],[final_imp]]</f>
        <v>238200</v>
      </c>
      <c r="CH52" t="str">
        <f t="shared" si="0"/>
        <v>update valuation set market_land =53600, market_bldg=184600, market_total =238200, market_mdno =405, market_date ='9/10/2023' where link_id = (select link_id from parcel where parcel_year = '2024' and parcel_id = '19110944440');</v>
      </c>
    </row>
    <row r="53" spans="1:86" x14ac:dyDescent="0.25">
      <c r="A53">
        <v>19110944441</v>
      </c>
      <c r="B53">
        <v>1</v>
      </c>
      <c r="C53">
        <v>43561</v>
      </c>
      <c r="D53" t="s">
        <v>144</v>
      </c>
      <c r="E53" t="s">
        <v>54</v>
      </c>
      <c r="F53" t="s">
        <v>54</v>
      </c>
      <c r="G53">
        <v>3</v>
      </c>
      <c r="H53" t="s">
        <v>55</v>
      </c>
      <c r="I53">
        <v>116900</v>
      </c>
      <c r="J53">
        <v>45300</v>
      </c>
      <c r="K53">
        <v>1</v>
      </c>
      <c r="L53">
        <f>IF(Wapato_Inventory[[#This Row],[parcel_acres]]-Wapato_Inventory[[#This Row],[non_valued_acres]] =0,0,LN(Wapato_Inventory[[#This Row],[parcel_acres]]-Wapato_Inventory[[#This Row],[non_valued_acres]]))</f>
        <v>0</v>
      </c>
      <c r="M53">
        <v>0</v>
      </c>
      <c r="N53">
        <v>0</v>
      </c>
      <c r="O53">
        <v>0</v>
      </c>
      <c r="P53">
        <v>27904.037</v>
      </c>
      <c r="Q53">
        <v>74398</v>
      </c>
      <c r="R53" s="3">
        <f>(Wapato_Inventory[[#This Row],[ln_acres]]*Wapato_Inventory[[#This Row],[coeff]])+Wapato_Inventory[[#This Row],[const]]</f>
        <v>74398</v>
      </c>
      <c r="S53" t="s">
        <v>66</v>
      </c>
      <c r="T53">
        <v>1</v>
      </c>
      <c r="U53" t="s">
        <v>71</v>
      </c>
      <c r="V53" t="s">
        <v>68</v>
      </c>
      <c r="W53">
        <v>0</v>
      </c>
      <c r="X53">
        <v>0</v>
      </c>
      <c r="Y53">
        <v>52</v>
      </c>
      <c r="Z53">
        <v>88</v>
      </c>
      <c r="AA53">
        <v>90</v>
      </c>
      <c r="AB53">
        <v>1000</v>
      </c>
      <c r="AC53">
        <v>920</v>
      </c>
      <c r="AD53">
        <v>920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24</v>
      </c>
      <c r="AM53">
        <v>0</v>
      </c>
      <c r="AN53">
        <v>0</v>
      </c>
      <c r="AO53">
        <v>24</v>
      </c>
      <c r="AP53">
        <v>5</v>
      </c>
      <c r="AQ53">
        <v>0</v>
      </c>
      <c r="AR53">
        <v>0</v>
      </c>
      <c r="AS53" t="s">
        <v>82</v>
      </c>
      <c r="AT53">
        <v>1</v>
      </c>
      <c r="AU53" t="s">
        <v>72</v>
      </c>
      <c r="AV53" t="s">
        <v>61</v>
      </c>
      <c r="AW53">
        <v>0</v>
      </c>
      <c r="AX53">
        <v>4</v>
      </c>
      <c r="AY53">
        <v>0</v>
      </c>
      <c r="AZ53">
        <v>9700</v>
      </c>
      <c r="BA53">
        <v>100</v>
      </c>
      <c r="BB53">
        <v>100</v>
      </c>
      <c r="BC53">
        <v>100</v>
      </c>
      <c r="BD53">
        <v>100</v>
      </c>
      <c r="BE53">
        <v>1</v>
      </c>
      <c r="BF53">
        <v>15000</v>
      </c>
      <c r="BG53">
        <v>1000</v>
      </c>
      <c r="BH53" s="7">
        <f>ROUND(Wapato_Inventory[[#This Row],[detatched_value]]*Lookups!$B$22*Lookups!$H$48,-2)</f>
        <v>8700</v>
      </c>
      <c r="BI53" s="7">
        <f>ROUND(((Wapato_Inventory[[#This Row],[land_extract]]*Lookups!$B$3) +(Lookups!$B$2*0.5))*Lookups!$H$48,-2)</f>
        <v>58300</v>
      </c>
      <c r="BJ53" s="7">
        <f>IF(Wapato_Inventory[[#This Row],[bldg_style]]="",0,Lookups!$B$2*0.5)</f>
        <v>53765.27</v>
      </c>
      <c r="BK53" s="7">
        <f>_xlfn.IFNA(VLOOKUP(Wapato_Inventory[[#This Row],[quality]],Lookups!$H$2:$J$14,3,FALSE),0)</f>
        <v>28034</v>
      </c>
      <c r="BL53" s="7">
        <f>_xlfn.IFNA(VLOOKUP(Wapato_Inventory[[#This Row],[condition]],Lookups!$H$17:$J$24,3,FALSE),0)</f>
        <v>52231</v>
      </c>
      <c r="BM53" s="7">
        <f>Wapato_Inventory[[#This Row],[Age]]*Lookups!$B$16</f>
        <v>-32619.461600000002</v>
      </c>
      <c r="BN53" s="7">
        <f>Wapato_Inventory[[#This Row],[Main Floor]]*Lookups!$B$17</f>
        <v>38456.679880000003</v>
      </c>
      <c r="BO53" s="7">
        <f>Wapato_Inventory[[#This Row],[Upper Floor]]*Lookups!$B$18</f>
        <v>0</v>
      </c>
      <c r="BP53" s="7">
        <f>Wapato_Inventory[[#This Row],[Fin BSMT]]*Lookups!$B$19</f>
        <v>0</v>
      </c>
      <c r="BQ53" s="7">
        <f>(Wapato_Inventory[[#This Row],[att_gar]]+Wapato_Inventory[[#This Row],[blt_gar]])*Lookups!$B$20</f>
        <v>0</v>
      </c>
      <c r="BR53" s="7">
        <f>Wapato_Inventory[[#This Row],[Patio]]*Lookups!$B$21</f>
        <v>0</v>
      </c>
      <c r="BS53" s="7">
        <f>SUM(Wapato_Inventory[[#This Row],[intercept]:[patio_value]])*Wapato_Inventory[[#This Row],[res_pct]]</f>
        <v>139867.48827999999</v>
      </c>
      <c r="BT53" s="7">
        <f>Wapato_Inventory[[#This Row],[land_value]]</f>
        <v>58300</v>
      </c>
      <c r="BU53" s="2">
        <f>_xlfn.IFNA(VLOOKUP(Wapato_Inventory[[#This Row],[quality]],Lookups!$A$28:$C$37,3,FALSE),1)</f>
        <v>0.96265813922927435</v>
      </c>
      <c r="BV53" s="2">
        <f>_xlfn.IFNA(VLOOKUP(Wapato_Inventory[[#This Row],[condition]],Lookups!$A$41:$C$48,3,FALSE),1)</f>
        <v>0.9832333997567807</v>
      </c>
      <c r="BW53" s="2">
        <f>IF(Wapato_Inventory[[#This Row],[decade]]="",1,_xlfn.IFNA(VLOOKUP(Wapato_Inventory[[#This Row],[decade]],Lookups!$F$28:$H$45,3,FALSE),1))</f>
        <v>0.94742695999815718</v>
      </c>
      <c r="BX53" s="2">
        <f>_xlfn.IFNA(VLOOKUP(Wapato_Inventory[[#This Row],[living_area_range]],Lookups!$K$28:$M$37,3,FALSE),1)</f>
        <v>0.99022994770196116</v>
      </c>
      <c r="BY53" s="2">
        <f>AVERAGE(Wapato_Inventory[[#This Row],[qual_adj]:[range_adj]])</f>
        <v>0.97088711167154329</v>
      </c>
      <c r="BZ53" s="7">
        <f>(Wapato_Inventory[[#This Row],[sum_land]]-IF(Wapato_Inventory[[#This Row],[no_utilities]]=1,12000,0))/IF(Wapato_Inventory[[#This Row],[unbuildable]]=1,2,1)</f>
        <v>58300</v>
      </c>
      <c r="CA53" s="7">
        <f>Wapato_Inventory[[#This Row],[pre_res]]*Wapato_Inventory[[#This Row],[overall_adj]]</f>
        <v>135795.54171292263</v>
      </c>
      <c r="CB53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53" s="3">
        <f>IF(ROUND(Wapato_Inventory[[#This Row],[adj_res]]*Lookups!$H$48,-2)&lt;Wapato_Inventory[[#This Row],[min_res]],Wapato_Inventory[[#This Row],[min_res]],ROUND(Wapato_Inventory[[#This Row],[adj_res]]*Lookups!$H$48,-2))</f>
        <v>129000</v>
      </c>
      <c r="CD53" s="3">
        <f>ROUND(Wapato_Inventory[[#This Row],[det_value]]*Lookups!$H$48,-2)</f>
        <v>8300</v>
      </c>
      <c r="CE53" s="3">
        <f>Wapato_Inventory[[#This Row],[final_res]]+Wapato_Inventory[[#This Row],[final_det]]</f>
        <v>137300</v>
      </c>
      <c r="CF53" s="3">
        <f>Wapato_Inventory[[#This Row],[crop_value]]+Wapato_Inventory[[#This Row],[final_land]]+Wapato_Inventory[[#This Row],[final_imp]]</f>
        <v>192700</v>
      </c>
      <c r="CH53" t="str">
        <f t="shared" si="0"/>
        <v>update valuation set market_land =55400, market_bldg=137300, market_total =192700, market_mdno =405, market_date ='9/10/2023' where link_id = (select link_id from parcel where parcel_year = '2024' and parcel_id = '19110944441');</v>
      </c>
    </row>
    <row r="54" spans="1:86" x14ac:dyDescent="0.25">
      <c r="A54">
        <v>19110944442</v>
      </c>
      <c r="B54">
        <v>1</v>
      </c>
      <c r="C54">
        <v>43561</v>
      </c>
      <c r="D54" t="s">
        <v>144</v>
      </c>
      <c r="E54" t="s">
        <v>54</v>
      </c>
      <c r="F54" t="s">
        <v>54</v>
      </c>
      <c r="G54">
        <v>3</v>
      </c>
      <c r="H54" t="s">
        <v>55</v>
      </c>
      <c r="I54">
        <v>327700</v>
      </c>
      <c r="J54">
        <v>45300</v>
      </c>
      <c r="K54">
        <v>1</v>
      </c>
      <c r="L54">
        <f>IF(Wapato_Inventory[[#This Row],[parcel_acres]]-Wapato_Inventory[[#This Row],[non_valued_acres]] =0,0,LN(Wapato_Inventory[[#This Row],[parcel_acres]]-Wapato_Inventory[[#This Row],[non_valued_acres]]))</f>
        <v>0</v>
      </c>
      <c r="M54">
        <v>0</v>
      </c>
      <c r="N54">
        <v>0</v>
      </c>
      <c r="O54">
        <v>0</v>
      </c>
      <c r="P54">
        <v>27904.037</v>
      </c>
      <c r="Q54">
        <v>74398</v>
      </c>
      <c r="R54" s="3">
        <f>(Wapato_Inventory[[#This Row],[ln_acres]]*Wapato_Inventory[[#This Row],[coeff]])+Wapato_Inventory[[#This Row],[const]]</f>
        <v>74398</v>
      </c>
      <c r="S54" t="s">
        <v>66</v>
      </c>
      <c r="T54">
        <v>1</v>
      </c>
      <c r="U54" t="s">
        <v>71</v>
      </c>
      <c r="V54" t="s">
        <v>68</v>
      </c>
      <c r="W54">
        <v>0</v>
      </c>
      <c r="X54">
        <v>0</v>
      </c>
      <c r="Y54">
        <v>49</v>
      </c>
      <c r="Z54">
        <v>68</v>
      </c>
      <c r="AA54">
        <v>70</v>
      </c>
      <c r="AB54">
        <v>2000</v>
      </c>
      <c r="AC54">
        <v>1864</v>
      </c>
      <c r="AD54">
        <v>1864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374</v>
      </c>
      <c r="AN54">
        <v>0</v>
      </c>
      <c r="AO54">
        <v>55</v>
      </c>
      <c r="AP54">
        <v>5</v>
      </c>
      <c r="AQ54">
        <v>1</v>
      </c>
      <c r="AR54">
        <v>0</v>
      </c>
      <c r="AS54" t="s">
        <v>81</v>
      </c>
      <c r="AT54">
        <v>1</v>
      </c>
      <c r="AU54" t="s">
        <v>72</v>
      </c>
      <c r="AV54" t="s">
        <v>61</v>
      </c>
      <c r="AW54">
        <v>0</v>
      </c>
      <c r="AX54">
        <v>3</v>
      </c>
      <c r="AY54">
        <v>0</v>
      </c>
      <c r="AZ54">
        <v>126700</v>
      </c>
      <c r="BA54">
        <v>100</v>
      </c>
      <c r="BB54">
        <v>100</v>
      </c>
      <c r="BC54">
        <v>100</v>
      </c>
      <c r="BD54">
        <v>100</v>
      </c>
      <c r="BE54">
        <v>1</v>
      </c>
      <c r="BF54">
        <v>15000</v>
      </c>
      <c r="BG54">
        <v>1000</v>
      </c>
      <c r="BH54" s="7">
        <f>ROUND(Wapato_Inventory[[#This Row],[detatched_value]]*Lookups!$B$22*Lookups!$H$48,-2)</f>
        <v>113200</v>
      </c>
      <c r="BI54" s="7">
        <f>ROUND(((Wapato_Inventory[[#This Row],[land_extract]]*Lookups!$B$3) +(Lookups!$B$2*0.5))*Lookups!$H$48,-2)</f>
        <v>58300</v>
      </c>
      <c r="BJ54" s="7">
        <f>IF(Wapato_Inventory[[#This Row],[bldg_style]]="",0,Lookups!$B$2*0.5)</f>
        <v>53765.27</v>
      </c>
      <c r="BK54" s="7">
        <f>_xlfn.IFNA(VLOOKUP(Wapato_Inventory[[#This Row],[quality]],Lookups!$H$2:$J$14,3,FALSE),0)</f>
        <v>28034</v>
      </c>
      <c r="BL54" s="7">
        <f>_xlfn.IFNA(VLOOKUP(Wapato_Inventory[[#This Row],[condition]],Lookups!$H$17:$J$24,3,FALSE),0)</f>
        <v>52231</v>
      </c>
      <c r="BM54" s="7">
        <f>Wapato_Inventory[[#This Row],[Age]]*Lookups!$B$16</f>
        <v>-25205.9476</v>
      </c>
      <c r="BN54" s="7">
        <f>Wapato_Inventory[[#This Row],[Main Floor]]*Lookups!$B$17</f>
        <v>77916.577495999998</v>
      </c>
      <c r="BO54" s="7">
        <f>Wapato_Inventory[[#This Row],[Upper Floor]]*Lookups!$B$18</f>
        <v>0</v>
      </c>
      <c r="BP54" s="7">
        <f>Wapato_Inventory[[#This Row],[Fin BSMT]]*Lookups!$B$19</f>
        <v>0</v>
      </c>
      <c r="BQ54" s="7">
        <f>(Wapato_Inventory[[#This Row],[att_gar]]+Wapato_Inventory[[#This Row],[blt_gar]])*Lookups!$B$20</f>
        <v>0</v>
      </c>
      <c r="BR54" s="7">
        <f>Wapato_Inventory[[#This Row],[Patio]]*Lookups!$B$21</f>
        <v>16203.168146</v>
      </c>
      <c r="BS54" s="7">
        <f>SUM(Wapato_Inventory[[#This Row],[intercept]:[patio_value]])*Wapato_Inventory[[#This Row],[res_pct]]</f>
        <v>202944.068042</v>
      </c>
      <c r="BT54" s="7">
        <f>Wapato_Inventory[[#This Row],[land_value]]</f>
        <v>58300</v>
      </c>
      <c r="BU54" s="2">
        <f>_xlfn.IFNA(VLOOKUP(Wapato_Inventory[[#This Row],[quality]],Lookups!$A$28:$C$37,3,FALSE),1)</f>
        <v>0.96265813922927435</v>
      </c>
      <c r="BV54" s="2">
        <f>_xlfn.IFNA(VLOOKUP(Wapato_Inventory[[#This Row],[condition]],Lookups!$A$41:$C$48,3,FALSE),1)</f>
        <v>0.9832333997567807</v>
      </c>
      <c r="BW54" s="2">
        <f>IF(Wapato_Inventory[[#This Row],[decade]]="",1,_xlfn.IFNA(VLOOKUP(Wapato_Inventory[[#This Row],[decade]],Lookups!$F$28:$H$45,3,FALSE),1))</f>
        <v>1.0012715221492001</v>
      </c>
      <c r="BX54" s="2">
        <f>_xlfn.IFNA(VLOOKUP(Wapato_Inventory[[#This Row],[living_area_range]],Lookups!$K$28:$M$37,3,FALSE),1)</f>
        <v>0.99330894324714125</v>
      </c>
      <c r="BY54" s="2">
        <f>AVERAGE(Wapato_Inventory[[#This Row],[qual_adj]:[range_adj]])</f>
        <v>0.98511800109559899</v>
      </c>
      <c r="BZ54" s="7">
        <f>(Wapato_Inventory[[#This Row],[sum_land]]-IF(Wapato_Inventory[[#This Row],[no_utilities]]=1,12000,0))/IF(Wapato_Inventory[[#This Row],[unbuildable]]=1,2,1)</f>
        <v>58300</v>
      </c>
      <c r="CA54" s="7">
        <f>Wapato_Inventory[[#This Row],[pre_res]]*Wapato_Inventory[[#This Row],[overall_adj]]</f>
        <v>199923.85464374427</v>
      </c>
      <c r="CB54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54" s="3">
        <f>IF(ROUND(Wapato_Inventory[[#This Row],[adj_res]]*Lookups!$H$48,-2)&lt;Wapato_Inventory[[#This Row],[min_res]],Wapato_Inventory[[#This Row],[min_res]],ROUND(Wapato_Inventory[[#This Row],[adj_res]]*Lookups!$H$48,-2))</f>
        <v>189900</v>
      </c>
      <c r="CD54" s="3">
        <f>ROUND(Wapato_Inventory[[#This Row],[det_value]]*Lookups!$H$48,-2)</f>
        <v>107500</v>
      </c>
      <c r="CE54" s="3">
        <f>Wapato_Inventory[[#This Row],[final_res]]+Wapato_Inventory[[#This Row],[final_det]]</f>
        <v>297400</v>
      </c>
      <c r="CF54" s="3">
        <f>Wapato_Inventory[[#This Row],[crop_value]]+Wapato_Inventory[[#This Row],[final_land]]+Wapato_Inventory[[#This Row],[final_imp]]</f>
        <v>352800</v>
      </c>
      <c r="CH54" t="str">
        <f t="shared" si="0"/>
        <v>update valuation set market_land =55400, market_bldg=297400, market_total =352800, market_mdno =405, market_date ='9/10/2023' where link_id = (select link_id from parcel where parcel_year = '2024' and parcel_id = '19110944442');</v>
      </c>
    </row>
    <row r="55" spans="1:86" x14ac:dyDescent="0.25">
      <c r="A55">
        <v>19110944443</v>
      </c>
      <c r="B55">
        <v>0.33</v>
      </c>
      <c r="C55" t="s">
        <v>144</v>
      </c>
      <c r="D55" t="s">
        <v>144</v>
      </c>
      <c r="E55" t="s">
        <v>54</v>
      </c>
      <c r="F55" t="s">
        <v>54</v>
      </c>
      <c r="G55">
        <v>3</v>
      </c>
      <c r="H55" t="s">
        <v>55</v>
      </c>
      <c r="I55">
        <v>104100</v>
      </c>
      <c r="J55">
        <v>37400</v>
      </c>
      <c r="K55">
        <v>0.33</v>
      </c>
      <c r="L55">
        <f>IF(Wapato_Inventory[[#This Row],[parcel_acres]]-Wapato_Inventory[[#This Row],[non_valued_acres]] =0,0,LN(Wapato_Inventory[[#This Row],[parcel_acres]]-Wapato_Inventory[[#This Row],[non_valued_acres]]))</f>
        <v>-1.1086626245216111</v>
      </c>
      <c r="M55">
        <v>0</v>
      </c>
      <c r="N55">
        <v>0</v>
      </c>
      <c r="O55">
        <v>0</v>
      </c>
      <c r="P55">
        <v>27904.037</v>
      </c>
      <c r="Q55">
        <v>74398</v>
      </c>
      <c r="R55" s="3">
        <f>(Wapato_Inventory[[#This Row],[ln_acres]]*Wapato_Inventory[[#This Row],[coeff]])+Wapato_Inventory[[#This Row],[const]]</f>
        <v>43461.837104831851</v>
      </c>
      <c r="S55" t="s">
        <v>66</v>
      </c>
      <c r="T55">
        <v>1</v>
      </c>
      <c r="U55" t="s">
        <v>71</v>
      </c>
      <c r="V55" t="s">
        <v>68</v>
      </c>
      <c r="W55">
        <v>0</v>
      </c>
      <c r="X55">
        <v>0</v>
      </c>
      <c r="Y55">
        <v>51</v>
      </c>
      <c r="Z55">
        <v>83</v>
      </c>
      <c r="AA55">
        <v>90</v>
      </c>
      <c r="AB55">
        <v>1000</v>
      </c>
      <c r="AC55">
        <v>898</v>
      </c>
      <c r="AD55">
        <v>898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340</v>
      </c>
      <c r="AN55">
        <v>80</v>
      </c>
      <c r="AO55">
        <v>0</v>
      </c>
      <c r="AP55">
        <v>5</v>
      </c>
      <c r="AQ55">
        <v>0</v>
      </c>
      <c r="AR55">
        <v>0</v>
      </c>
      <c r="AS55" t="s">
        <v>59</v>
      </c>
      <c r="AT55">
        <v>1</v>
      </c>
      <c r="AU55" t="s">
        <v>64</v>
      </c>
      <c r="AV55" t="s">
        <v>65</v>
      </c>
      <c r="AW55">
        <v>0</v>
      </c>
      <c r="AX55">
        <v>1</v>
      </c>
      <c r="AY55">
        <v>0</v>
      </c>
      <c r="AZ55">
        <v>0</v>
      </c>
      <c r="BA55">
        <v>100</v>
      </c>
      <c r="BB55">
        <v>100</v>
      </c>
      <c r="BC55">
        <v>100</v>
      </c>
      <c r="BD55">
        <v>100</v>
      </c>
      <c r="BE55">
        <v>1</v>
      </c>
      <c r="BF55">
        <v>15000</v>
      </c>
      <c r="BG55">
        <v>1000</v>
      </c>
      <c r="BH55" s="7">
        <f>ROUND(Wapato_Inventory[[#This Row],[detatched_value]]*Lookups!$B$22*Lookups!$H$48,-2)</f>
        <v>0</v>
      </c>
      <c r="BI55" s="7">
        <f>ROUND(((Wapato_Inventory[[#This Row],[land_extract]]*Lookups!$B$3) +(Lookups!$B$2*0.5))*Lookups!$H$48,-2)</f>
        <v>55300</v>
      </c>
      <c r="BJ55" s="7">
        <f>IF(Wapato_Inventory[[#This Row],[bldg_style]]="",0,Lookups!$B$2*0.5)</f>
        <v>53765.27</v>
      </c>
      <c r="BK55" s="7">
        <f>_xlfn.IFNA(VLOOKUP(Wapato_Inventory[[#This Row],[quality]],Lookups!$H$2:$J$14,3,FALSE),0)</f>
        <v>28034</v>
      </c>
      <c r="BL55" s="7">
        <f>_xlfn.IFNA(VLOOKUP(Wapato_Inventory[[#This Row],[condition]],Lookups!$H$17:$J$24,3,FALSE),0)</f>
        <v>52231</v>
      </c>
      <c r="BM55" s="7">
        <f>Wapato_Inventory[[#This Row],[Age]]*Lookups!$B$16</f>
        <v>-30766.0831</v>
      </c>
      <c r="BN55" s="7">
        <f>Wapato_Inventory[[#This Row],[Main Floor]]*Lookups!$B$17</f>
        <v>37537.063622000001</v>
      </c>
      <c r="BO55" s="7">
        <f>Wapato_Inventory[[#This Row],[Upper Floor]]*Lookups!$B$18</f>
        <v>0</v>
      </c>
      <c r="BP55" s="7">
        <f>Wapato_Inventory[[#This Row],[Fin BSMT]]*Lookups!$B$19</f>
        <v>0</v>
      </c>
      <c r="BQ55" s="7">
        <f>(Wapato_Inventory[[#This Row],[att_gar]]+Wapato_Inventory[[#This Row],[blt_gar]])*Lookups!$B$20</f>
        <v>0</v>
      </c>
      <c r="BR55" s="7">
        <f>Wapato_Inventory[[#This Row],[Patio]]*Lookups!$B$21</f>
        <v>14730.15286</v>
      </c>
      <c r="BS55" s="7">
        <f>SUM(Wapato_Inventory[[#This Row],[intercept]:[patio_value]])*Wapato_Inventory[[#This Row],[res_pct]]</f>
        <v>155531.40338199999</v>
      </c>
      <c r="BT55" s="7">
        <f>Wapato_Inventory[[#This Row],[land_value]]</f>
        <v>55300</v>
      </c>
      <c r="BU55" s="2">
        <f>_xlfn.IFNA(VLOOKUP(Wapato_Inventory[[#This Row],[quality]],Lookups!$A$28:$C$37,3,FALSE),1)</f>
        <v>0.96265813922927435</v>
      </c>
      <c r="BV55" s="2">
        <f>_xlfn.IFNA(VLOOKUP(Wapato_Inventory[[#This Row],[condition]],Lookups!$A$41:$C$48,3,FALSE),1)</f>
        <v>0.9832333997567807</v>
      </c>
      <c r="BW55" s="2">
        <f>IF(Wapato_Inventory[[#This Row],[decade]]="",1,_xlfn.IFNA(VLOOKUP(Wapato_Inventory[[#This Row],[decade]],Lookups!$F$28:$H$45,3,FALSE),1))</f>
        <v>0.94742695999815718</v>
      </c>
      <c r="BX55" s="2">
        <f>_xlfn.IFNA(VLOOKUP(Wapato_Inventory[[#This Row],[living_area_range]],Lookups!$K$28:$M$37,3,FALSE),1)</f>
        <v>0.99022994770196116</v>
      </c>
      <c r="BY55" s="2">
        <f>AVERAGE(Wapato_Inventory[[#This Row],[qual_adj]:[range_adj]])</f>
        <v>0.97088711167154329</v>
      </c>
      <c r="BZ55" s="7">
        <f>(Wapato_Inventory[[#This Row],[sum_land]]-IF(Wapato_Inventory[[#This Row],[no_utilities]]=1,12000,0))/IF(Wapato_Inventory[[#This Row],[unbuildable]]=1,2,1)</f>
        <v>55300</v>
      </c>
      <c r="CA55" s="7">
        <f>Wapato_Inventory[[#This Row],[pre_res]]*Wapato_Inventory[[#This Row],[overall_adj]]</f>
        <v>151003.43500377168</v>
      </c>
      <c r="CB55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55" s="3">
        <f>IF(ROUND(Wapato_Inventory[[#This Row],[adj_res]]*Lookups!$H$48,-2)&lt;Wapato_Inventory[[#This Row],[min_res]],Wapato_Inventory[[#This Row],[min_res]],ROUND(Wapato_Inventory[[#This Row],[adj_res]]*Lookups!$H$48,-2))</f>
        <v>143500</v>
      </c>
      <c r="CD55" s="3">
        <f>ROUND(Wapato_Inventory[[#This Row],[det_value]]*Lookups!$H$48,-2)</f>
        <v>0</v>
      </c>
      <c r="CE55" s="3">
        <f>Wapato_Inventory[[#This Row],[final_res]]+Wapato_Inventory[[#This Row],[final_det]]</f>
        <v>143500</v>
      </c>
      <c r="CF55" s="3">
        <f>Wapato_Inventory[[#This Row],[crop_value]]+Wapato_Inventory[[#This Row],[final_land]]+Wapato_Inventory[[#This Row],[final_imp]]</f>
        <v>196000</v>
      </c>
      <c r="CH55" t="str">
        <f t="shared" si="0"/>
        <v>update valuation set market_land =52500, market_bldg=143500, market_total =196000, market_mdno =405, market_date ='9/10/2023' where link_id = (select link_id from parcel where parcel_year = '2024' and parcel_id = '19110944443');</v>
      </c>
    </row>
    <row r="56" spans="1:86" x14ac:dyDescent="0.25">
      <c r="A56">
        <v>19110944444</v>
      </c>
      <c r="B56">
        <v>0.33</v>
      </c>
      <c r="C56">
        <v>14520</v>
      </c>
      <c r="D56" t="s">
        <v>144</v>
      </c>
      <c r="E56" t="s">
        <v>54</v>
      </c>
      <c r="F56" t="s">
        <v>54</v>
      </c>
      <c r="G56">
        <v>3</v>
      </c>
      <c r="H56" t="s">
        <v>55</v>
      </c>
      <c r="I56">
        <v>192400</v>
      </c>
      <c r="J56">
        <v>37400</v>
      </c>
      <c r="K56">
        <v>0.33</v>
      </c>
      <c r="L56">
        <f>IF(Wapato_Inventory[[#This Row],[parcel_acres]]-Wapato_Inventory[[#This Row],[non_valued_acres]] =0,0,LN(Wapato_Inventory[[#This Row],[parcel_acres]]-Wapato_Inventory[[#This Row],[non_valued_acres]]))</f>
        <v>-1.1086626245216111</v>
      </c>
      <c r="M56">
        <v>0</v>
      </c>
      <c r="N56">
        <v>0</v>
      </c>
      <c r="O56">
        <v>0</v>
      </c>
      <c r="P56">
        <v>27904.037</v>
      </c>
      <c r="Q56">
        <v>74398</v>
      </c>
      <c r="R56" s="3">
        <f>(Wapato_Inventory[[#This Row],[ln_acres]]*Wapato_Inventory[[#This Row],[coeff]])+Wapato_Inventory[[#This Row],[const]]</f>
        <v>43461.837104831851</v>
      </c>
      <c r="S56" t="s">
        <v>56</v>
      </c>
      <c r="T56">
        <v>2</v>
      </c>
      <c r="U56" t="s">
        <v>67</v>
      </c>
      <c r="V56" t="s">
        <v>68</v>
      </c>
      <c r="W56">
        <v>0</v>
      </c>
      <c r="X56">
        <v>0</v>
      </c>
      <c r="Y56">
        <v>50</v>
      </c>
      <c r="Z56">
        <v>73</v>
      </c>
      <c r="AA56">
        <v>80</v>
      </c>
      <c r="AB56">
        <v>2000</v>
      </c>
      <c r="AC56">
        <v>1788</v>
      </c>
      <c r="AD56">
        <v>1388</v>
      </c>
      <c r="AE56">
        <v>400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560</v>
      </c>
      <c r="AL56">
        <v>0</v>
      </c>
      <c r="AM56">
        <v>784</v>
      </c>
      <c r="AN56">
        <v>0</v>
      </c>
      <c r="AO56">
        <v>144</v>
      </c>
      <c r="AP56">
        <v>7</v>
      </c>
      <c r="AQ56">
        <v>0</v>
      </c>
      <c r="AR56">
        <v>1</v>
      </c>
      <c r="AS56" t="s">
        <v>59</v>
      </c>
      <c r="AT56">
        <v>1</v>
      </c>
      <c r="AU56" t="s">
        <v>72</v>
      </c>
      <c r="AV56" t="s">
        <v>61</v>
      </c>
      <c r="AW56">
        <v>0</v>
      </c>
      <c r="AX56">
        <v>4</v>
      </c>
      <c r="AY56">
        <v>0</v>
      </c>
      <c r="AZ56">
        <v>10500</v>
      </c>
      <c r="BA56">
        <v>100</v>
      </c>
      <c r="BB56">
        <v>100</v>
      </c>
      <c r="BC56">
        <v>100</v>
      </c>
      <c r="BD56">
        <v>100</v>
      </c>
      <c r="BE56">
        <v>1</v>
      </c>
      <c r="BF56">
        <v>15000</v>
      </c>
      <c r="BG56">
        <v>1000</v>
      </c>
      <c r="BH56" s="7">
        <f>ROUND(Wapato_Inventory[[#This Row],[detatched_value]]*Lookups!$B$22*Lookups!$H$48,-2)</f>
        <v>9400</v>
      </c>
      <c r="BI56" s="7">
        <f>ROUND(((Wapato_Inventory[[#This Row],[land_extract]]*Lookups!$B$3) +(Lookups!$B$2*0.5))*Lookups!$H$48,-2)</f>
        <v>55300</v>
      </c>
      <c r="BJ56" s="7">
        <f>IF(Wapato_Inventory[[#This Row],[bldg_style]]="",0,Lookups!$B$2*0.5)</f>
        <v>53765.27</v>
      </c>
      <c r="BK56" s="7">
        <f>_xlfn.IFNA(VLOOKUP(Wapato_Inventory[[#This Row],[quality]],Lookups!$H$2:$J$14,3,FALSE),0)</f>
        <v>50405</v>
      </c>
      <c r="BL56" s="7">
        <f>_xlfn.IFNA(VLOOKUP(Wapato_Inventory[[#This Row],[condition]],Lookups!$H$17:$J$24,3,FALSE),0)</f>
        <v>52231</v>
      </c>
      <c r="BM56" s="7">
        <f>Wapato_Inventory[[#This Row],[Age]]*Lookups!$B$16</f>
        <v>-27059.326100000002</v>
      </c>
      <c r="BN56" s="7">
        <f>Wapato_Inventory[[#This Row],[Main Floor]]*Lookups!$B$17</f>
        <v>58019.425732000003</v>
      </c>
      <c r="BO56" s="7">
        <f>Wapato_Inventory[[#This Row],[Upper Floor]]*Lookups!$B$18</f>
        <v>19840.455600000001</v>
      </c>
      <c r="BP56" s="7">
        <f>Wapato_Inventory[[#This Row],[Fin BSMT]]*Lookups!$B$19</f>
        <v>0</v>
      </c>
      <c r="BQ56" s="7">
        <f>(Wapato_Inventory[[#This Row],[att_gar]]+Wapato_Inventory[[#This Row],[blt_gar]])*Lookups!$B$20</f>
        <v>0</v>
      </c>
      <c r="BR56" s="7">
        <f>Wapato_Inventory[[#This Row],[Patio]]*Lookups!$B$21</f>
        <v>33965.999536000003</v>
      </c>
      <c r="BS56" s="7">
        <f>SUM(Wapato_Inventory[[#This Row],[intercept]:[patio_value]])*Wapato_Inventory[[#This Row],[res_pct]]</f>
        <v>241167.82476799999</v>
      </c>
      <c r="BT56" s="7">
        <f>Wapato_Inventory[[#This Row],[land_value]]</f>
        <v>55300</v>
      </c>
      <c r="BU56" s="2">
        <f>_xlfn.IFNA(VLOOKUP(Wapato_Inventory[[#This Row],[quality]],Lookups!$A$28:$C$37,3,FALSE),1)</f>
        <v>0.97993206410140754</v>
      </c>
      <c r="BV56" s="2">
        <f>_xlfn.IFNA(VLOOKUP(Wapato_Inventory[[#This Row],[condition]],Lookups!$A$41:$C$48,3,FALSE),1)</f>
        <v>0.9832333997567807</v>
      </c>
      <c r="BW56" s="2">
        <f>IF(Wapato_Inventory[[#This Row],[decade]]="",1,_xlfn.IFNA(VLOOKUP(Wapato_Inventory[[#This Row],[decade]],Lookups!$F$28:$H$45,3,FALSE),1))</f>
        <v>0.8438929209510081</v>
      </c>
      <c r="BX56" s="2">
        <f>_xlfn.IFNA(VLOOKUP(Wapato_Inventory[[#This Row],[living_area_range]],Lookups!$K$28:$M$37,3,FALSE),1)</f>
        <v>0.99330894324714125</v>
      </c>
      <c r="BY56" s="2">
        <f>AVERAGE(Wapato_Inventory[[#This Row],[qual_adj]:[range_adj]])</f>
        <v>0.95009183201408443</v>
      </c>
      <c r="BZ56" s="7">
        <f>(Wapato_Inventory[[#This Row],[sum_land]]-IF(Wapato_Inventory[[#This Row],[no_utilities]]=1,12000,0))/IF(Wapato_Inventory[[#This Row],[unbuildable]]=1,2,1)</f>
        <v>55300</v>
      </c>
      <c r="CA56" s="7">
        <f>Wapato_Inventory[[#This Row],[pre_res]]*Wapato_Inventory[[#This Row],[overall_adj]]</f>
        <v>229131.58045668079</v>
      </c>
      <c r="CB56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56" s="3">
        <f>IF(ROUND(Wapato_Inventory[[#This Row],[adj_res]]*Lookups!$H$48,-2)&lt;Wapato_Inventory[[#This Row],[min_res]],Wapato_Inventory[[#This Row],[min_res]],ROUND(Wapato_Inventory[[#This Row],[adj_res]]*Lookups!$H$48,-2))</f>
        <v>217700</v>
      </c>
      <c r="CD56" s="3">
        <f>ROUND(Wapato_Inventory[[#This Row],[det_value]]*Lookups!$H$48,-2)</f>
        <v>8900</v>
      </c>
      <c r="CE56" s="3">
        <f>Wapato_Inventory[[#This Row],[final_res]]+Wapato_Inventory[[#This Row],[final_det]]</f>
        <v>226600</v>
      </c>
      <c r="CF56" s="3">
        <f>Wapato_Inventory[[#This Row],[crop_value]]+Wapato_Inventory[[#This Row],[final_land]]+Wapato_Inventory[[#This Row],[final_imp]]</f>
        <v>279100</v>
      </c>
      <c r="CH56" t="str">
        <f t="shared" si="0"/>
        <v>update valuation set market_land =52500, market_bldg=226600, market_total =279100, market_mdno =405, market_date ='9/10/2023' where link_id = (select link_id from parcel where parcel_year = '2024' and parcel_id = '19110944444');</v>
      </c>
    </row>
    <row r="57" spans="1:86" x14ac:dyDescent="0.25">
      <c r="A57">
        <v>19110944445</v>
      </c>
      <c r="B57">
        <v>0.33</v>
      </c>
      <c r="C57">
        <v>14520</v>
      </c>
      <c r="D57" t="s">
        <v>144</v>
      </c>
      <c r="E57" t="s">
        <v>54</v>
      </c>
      <c r="F57" t="s">
        <v>54</v>
      </c>
      <c r="G57">
        <v>3</v>
      </c>
      <c r="H57" t="s">
        <v>55</v>
      </c>
      <c r="I57">
        <v>103300</v>
      </c>
      <c r="J57">
        <v>37400</v>
      </c>
      <c r="K57">
        <v>0.33</v>
      </c>
      <c r="L57">
        <f>IF(Wapato_Inventory[[#This Row],[parcel_acres]]-Wapato_Inventory[[#This Row],[non_valued_acres]] =0,0,LN(Wapato_Inventory[[#This Row],[parcel_acres]]-Wapato_Inventory[[#This Row],[non_valued_acres]]))</f>
        <v>-1.1086626245216111</v>
      </c>
      <c r="M57">
        <v>0</v>
      </c>
      <c r="N57">
        <v>0</v>
      </c>
      <c r="O57">
        <v>0</v>
      </c>
      <c r="P57">
        <v>27904.037</v>
      </c>
      <c r="Q57">
        <v>74398</v>
      </c>
      <c r="R57" s="3">
        <f>(Wapato_Inventory[[#This Row],[ln_acres]]*Wapato_Inventory[[#This Row],[coeff]])+Wapato_Inventory[[#This Row],[const]]</f>
        <v>43461.837104831851</v>
      </c>
      <c r="S57" t="s">
        <v>66</v>
      </c>
      <c r="T57">
        <v>1</v>
      </c>
      <c r="U57" t="s">
        <v>71</v>
      </c>
      <c r="V57" t="s">
        <v>68</v>
      </c>
      <c r="W57">
        <v>0</v>
      </c>
      <c r="X57">
        <v>0</v>
      </c>
      <c r="Y57">
        <v>52</v>
      </c>
      <c r="Z57">
        <v>88</v>
      </c>
      <c r="AA57">
        <v>90</v>
      </c>
      <c r="AB57">
        <v>1000</v>
      </c>
      <c r="AC57">
        <v>720</v>
      </c>
      <c r="AD57">
        <v>720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24</v>
      </c>
      <c r="AM57">
        <v>336</v>
      </c>
      <c r="AN57">
        <v>0</v>
      </c>
      <c r="AO57">
        <v>336</v>
      </c>
      <c r="AP57">
        <v>5</v>
      </c>
      <c r="AQ57">
        <v>0</v>
      </c>
      <c r="AR57">
        <v>0</v>
      </c>
      <c r="AS57" t="s">
        <v>59</v>
      </c>
      <c r="AT57">
        <v>1</v>
      </c>
      <c r="AU57" t="s">
        <v>72</v>
      </c>
      <c r="AV57" t="s">
        <v>61</v>
      </c>
      <c r="AW57">
        <v>0</v>
      </c>
      <c r="AX57">
        <v>2</v>
      </c>
      <c r="AY57">
        <v>0</v>
      </c>
      <c r="AZ57">
        <v>10100</v>
      </c>
      <c r="BA57">
        <v>100</v>
      </c>
      <c r="BB57">
        <v>100</v>
      </c>
      <c r="BC57">
        <v>100</v>
      </c>
      <c r="BD57">
        <v>100</v>
      </c>
      <c r="BE57">
        <v>1</v>
      </c>
      <c r="BF57">
        <v>15000</v>
      </c>
      <c r="BG57">
        <v>1000</v>
      </c>
      <c r="BH57" s="7">
        <f>ROUND(Wapato_Inventory[[#This Row],[detatched_value]]*Lookups!$B$22*Lookups!$H$48,-2)</f>
        <v>9000</v>
      </c>
      <c r="BI57" s="7">
        <f>ROUND(((Wapato_Inventory[[#This Row],[land_extract]]*Lookups!$B$3) +(Lookups!$B$2*0.5))*Lookups!$H$48,-2)</f>
        <v>55300</v>
      </c>
      <c r="BJ57" s="7">
        <f>IF(Wapato_Inventory[[#This Row],[bldg_style]]="",0,Lookups!$B$2*0.5)</f>
        <v>53765.27</v>
      </c>
      <c r="BK57" s="7">
        <f>_xlfn.IFNA(VLOOKUP(Wapato_Inventory[[#This Row],[quality]],Lookups!$H$2:$J$14,3,FALSE),0)</f>
        <v>28034</v>
      </c>
      <c r="BL57" s="7">
        <f>_xlfn.IFNA(VLOOKUP(Wapato_Inventory[[#This Row],[condition]],Lookups!$H$17:$J$24,3,FALSE),0)</f>
        <v>52231</v>
      </c>
      <c r="BM57" s="7">
        <f>Wapato_Inventory[[#This Row],[Age]]*Lookups!$B$16</f>
        <v>-32619.461600000002</v>
      </c>
      <c r="BN57" s="7">
        <f>Wapato_Inventory[[#This Row],[Main Floor]]*Lookups!$B$17</f>
        <v>30096.532080000001</v>
      </c>
      <c r="BO57" s="7">
        <f>Wapato_Inventory[[#This Row],[Upper Floor]]*Lookups!$B$18</f>
        <v>0</v>
      </c>
      <c r="BP57" s="7">
        <f>Wapato_Inventory[[#This Row],[Fin BSMT]]*Lookups!$B$19</f>
        <v>0</v>
      </c>
      <c r="BQ57" s="7">
        <f>(Wapato_Inventory[[#This Row],[att_gar]]+Wapato_Inventory[[#This Row],[blt_gar]])*Lookups!$B$20</f>
        <v>0</v>
      </c>
      <c r="BR57" s="7">
        <f>Wapato_Inventory[[#This Row],[Patio]]*Lookups!$B$21</f>
        <v>14556.856944000001</v>
      </c>
      <c r="BS57" s="7">
        <f>SUM(Wapato_Inventory[[#This Row],[intercept]:[patio_value]])*Wapato_Inventory[[#This Row],[res_pct]]</f>
        <v>146064.19742399998</v>
      </c>
      <c r="BT57" s="7">
        <f>Wapato_Inventory[[#This Row],[land_value]]</f>
        <v>55300</v>
      </c>
      <c r="BU57" s="2">
        <f>_xlfn.IFNA(VLOOKUP(Wapato_Inventory[[#This Row],[quality]],Lookups!$A$28:$C$37,3,FALSE),1)</f>
        <v>0.96265813922927435</v>
      </c>
      <c r="BV57" s="2">
        <f>_xlfn.IFNA(VLOOKUP(Wapato_Inventory[[#This Row],[condition]],Lookups!$A$41:$C$48,3,FALSE),1)</f>
        <v>0.9832333997567807</v>
      </c>
      <c r="BW57" s="2">
        <f>IF(Wapato_Inventory[[#This Row],[decade]]="",1,_xlfn.IFNA(VLOOKUP(Wapato_Inventory[[#This Row],[decade]],Lookups!$F$28:$H$45,3,FALSE),1))</f>
        <v>0.94742695999815718</v>
      </c>
      <c r="BX57" s="2">
        <f>_xlfn.IFNA(VLOOKUP(Wapato_Inventory[[#This Row],[living_area_range]],Lookups!$K$28:$M$37,3,FALSE),1)</f>
        <v>0.99022994770196116</v>
      </c>
      <c r="BY57" s="2">
        <f>AVERAGE(Wapato_Inventory[[#This Row],[qual_adj]:[range_adj]])</f>
        <v>0.97088711167154329</v>
      </c>
      <c r="BZ57" s="7">
        <f>(Wapato_Inventory[[#This Row],[sum_land]]-IF(Wapato_Inventory[[#This Row],[no_utilities]]=1,12000,0))/IF(Wapato_Inventory[[#This Row],[unbuildable]]=1,2,1)</f>
        <v>55300</v>
      </c>
      <c r="CA57" s="7">
        <f>Wapato_Inventory[[#This Row],[pre_res]]*Wapato_Inventory[[#This Row],[overall_adj]]</f>
        <v>141811.84675560941</v>
      </c>
      <c r="CB57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57" s="3">
        <f>IF(ROUND(Wapato_Inventory[[#This Row],[adj_res]]*Lookups!$H$48,-2)&lt;Wapato_Inventory[[#This Row],[min_res]],Wapato_Inventory[[#This Row],[min_res]],ROUND(Wapato_Inventory[[#This Row],[adj_res]]*Lookups!$H$48,-2))</f>
        <v>134700</v>
      </c>
      <c r="CD57" s="3">
        <f>ROUND(Wapato_Inventory[[#This Row],[det_value]]*Lookups!$H$48,-2)</f>
        <v>8600</v>
      </c>
      <c r="CE57" s="3">
        <f>Wapato_Inventory[[#This Row],[final_res]]+Wapato_Inventory[[#This Row],[final_det]]</f>
        <v>143300</v>
      </c>
      <c r="CF57" s="3">
        <f>Wapato_Inventory[[#This Row],[crop_value]]+Wapato_Inventory[[#This Row],[final_land]]+Wapato_Inventory[[#This Row],[final_imp]]</f>
        <v>195800</v>
      </c>
      <c r="CH57" t="str">
        <f t="shared" si="0"/>
        <v>update valuation set market_land =52500, market_bldg=143300, market_total =195800, market_mdno =405, market_date ='9/10/2023' where link_id = (select link_id from parcel where parcel_year = '2024' and parcel_id = '19110944445');</v>
      </c>
    </row>
    <row r="58" spans="1:86" x14ac:dyDescent="0.25">
      <c r="A58">
        <v>19110944447</v>
      </c>
      <c r="B58">
        <v>0.14000000000000001</v>
      </c>
      <c r="C58" t="s">
        <v>144</v>
      </c>
      <c r="D58" t="s">
        <v>144</v>
      </c>
      <c r="E58" t="s">
        <v>54</v>
      </c>
      <c r="F58" t="s">
        <v>54</v>
      </c>
      <c r="G58">
        <v>3</v>
      </c>
      <c r="H58" t="s">
        <v>55</v>
      </c>
      <c r="I58">
        <v>63900</v>
      </c>
      <c r="J58">
        <v>31400</v>
      </c>
      <c r="K58">
        <v>0.14000000000000001</v>
      </c>
      <c r="L58">
        <f>IF(Wapato_Inventory[[#This Row],[parcel_acres]]-Wapato_Inventory[[#This Row],[non_valued_acres]] =0,0,LN(Wapato_Inventory[[#This Row],[parcel_acres]]-Wapato_Inventory[[#This Row],[non_valued_acres]]))</f>
        <v>-1.9661128563728327</v>
      </c>
      <c r="M58">
        <v>0</v>
      </c>
      <c r="N58">
        <v>0</v>
      </c>
      <c r="O58">
        <v>0</v>
      </c>
      <c r="P58">
        <v>27904.037</v>
      </c>
      <c r="Q58">
        <v>74398</v>
      </c>
      <c r="R58" s="3">
        <f>(Wapato_Inventory[[#This Row],[ln_acres]]*Wapato_Inventory[[#This Row],[coeff]])+Wapato_Inventory[[#This Row],[const]]</f>
        <v>19535.514109596792</v>
      </c>
      <c r="S58" t="s">
        <v>66</v>
      </c>
      <c r="T58">
        <v>1</v>
      </c>
      <c r="U58" t="s">
        <v>78</v>
      </c>
      <c r="V58" t="s">
        <v>73</v>
      </c>
      <c r="W58">
        <v>0</v>
      </c>
      <c r="X58">
        <v>0</v>
      </c>
      <c r="Y58">
        <v>57</v>
      </c>
      <c r="Z58">
        <v>103</v>
      </c>
      <c r="AA58">
        <v>110</v>
      </c>
      <c r="AB58">
        <v>1000</v>
      </c>
      <c r="AC58">
        <v>784</v>
      </c>
      <c r="AD58">
        <v>784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168</v>
      </c>
      <c r="AL58">
        <v>0</v>
      </c>
      <c r="AM58">
        <v>120</v>
      </c>
      <c r="AN58">
        <v>0</v>
      </c>
      <c r="AO58">
        <v>120</v>
      </c>
      <c r="AP58">
        <v>5</v>
      </c>
      <c r="AQ58">
        <v>0</v>
      </c>
      <c r="AR58">
        <v>0</v>
      </c>
      <c r="AS58" t="s">
        <v>59</v>
      </c>
      <c r="AT58">
        <v>0</v>
      </c>
      <c r="AU58" t="s">
        <v>80</v>
      </c>
      <c r="AV58" t="s">
        <v>77</v>
      </c>
      <c r="AW58">
        <v>0</v>
      </c>
      <c r="AX58">
        <v>2</v>
      </c>
      <c r="AY58">
        <v>0</v>
      </c>
      <c r="AZ58">
        <v>0</v>
      </c>
      <c r="BA58">
        <v>100</v>
      </c>
      <c r="BB58">
        <v>100</v>
      </c>
      <c r="BC58">
        <v>100</v>
      </c>
      <c r="BD58">
        <v>100</v>
      </c>
      <c r="BE58">
        <v>1</v>
      </c>
      <c r="BF58">
        <v>15000</v>
      </c>
      <c r="BG58">
        <v>1000</v>
      </c>
      <c r="BH58" s="7">
        <f>ROUND(Wapato_Inventory[[#This Row],[detatched_value]]*Lookups!$B$22*Lookups!$H$48,-2)</f>
        <v>0</v>
      </c>
      <c r="BI58" s="7">
        <f>ROUND(((Wapato_Inventory[[#This Row],[land_extract]]*Lookups!$B$3) +(Lookups!$B$2*0.5))*Lookups!$H$48,-2)</f>
        <v>53000</v>
      </c>
      <c r="BJ58" s="7">
        <f>IF(Wapato_Inventory[[#This Row],[bldg_style]]="",0,Lookups!$B$2*0.5)</f>
        <v>53765.27</v>
      </c>
      <c r="BK58" s="7">
        <f>_xlfn.IFNA(VLOOKUP(Wapato_Inventory[[#This Row],[quality]],Lookups!$H$2:$J$14,3,FALSE),0)</f>
        <v>23424</v>
      </c>
      <c r="BL58" s="7">
        <f>_xlfn.IFNA(VLOOKUP(Wapato_Inventory[[#This Row],[condition]],Lookups!$H$17:$J$24,3,FALSE),0)</f>
        <v>16276</v>
      </c>
      <c r="BM58" s="7">
        <f>Wapato_Inventory[[#This Row],[Age]]*Lookups!$B$16</f>
        <v>-38179.597099999999</v>
      </c>
      <c r="BN58" s="7">
        <f>Wapato_Inventory[[#This Row],[Main Floor]]*Lookups!$B$17</f>
        <v>32771.779375999999</v>
      </c>
      <c r="BO58" s="7">
        <f>Wapato_Inventory[[#This Row],[Upper Floor]]*Lookups!$B$18</f>
        <v>0</v>
      </c>
      <c r="BP58" s="7">
        <f>Wapato_Inventory[[#This Row],[Fin BSMT]]*Lookups!$B$19</f>
        <v>0</v>
      </c>
      <c r="BQ58" s="7">
        <f>(Wapato_Inventory[[#This Row],[att_gar]]+Wapato_Inventory[[#This Row],[blt_gar]])*Lookups!$B$20</f>
        <v>0</v>
      </c>
      <c r="BR58" s="7">
        <f>Wapato_Inventory[[#This Row],[Patio]]*Lookups!$B$21</f>
        <v>5198.8774800000001</v>
      </c>
      <c r="BS58" s="7">
        <f>SUM(Wapato_Inventory[[#This Row],[intercept]:[patio_value]])*Wapato_Inventory[[#This Row],[res_pct]]</f>
        <v>93256.329755999992</v>
      </c>
      <c r="BT58" s="7">
        <f>Wapato_Inventory[[#This Row],[land_value]]</f>
        <v>53000</v>
      </c>
      <c r="BU58" s="2">
        <f>_xlfn.IFNA(VLOOKUP(Wapato_Inventory[[#This Row],[quality]],Lookups!$A$28:$C$37,3,FALSE),1)</f>
        <v>1.0091195562373767</v>
      </c>
      <c r="BV58" s="2">
        <f>_xlfn.IFNA(VLOOKUP(Wapato_Inventory[[#This Row],[condition]],Lookups!$A$41:$C$48,3,FALSE),1)</f>
        <v>0.93399385491337139</v>
      </c>
      <c r="BW58" s="2">
        <f>IF(Wapato_Inventory[[#This Row],[decade]]="",1,_xlfn.IFNA(VLOOKUP(Wapato_Inventory[[#This Row],[decade]],Lookups!$F$28:$H$45,3,FALSE),1))</f>
        <v>0.93664589651353292</v>
      </c>
      <c r="BX58" s="2">
        <f>_xlfn.IFNA(VLOOKUP(Wapato_Inventory[[#This Row],[living_area_range]],Lookups!$K$28:$M$37,3,FALSE),1)</f>
        <v>0.99022994770196116</v>
      </c>
      <c r="BY58" s="2">
        <f>AVERAGE(Wapato_Inventory[[#This Row],[qual_adj]:[range_adj]])</f>
        <v>0.96749731384156046</v>
      </c>
      <c r="BZ58" s="7">
        <f>(Wapato_Inventory[[#This Row],[sum_land]]-IF(Wapato_Inventory[[#This Row],[no_utilities]]=1,12000,0))/IF(Wapato_Inventory[[#This Row],[unbuildable]]=1,2,1)</f>
        <v>53000</v>
      </c>
      <c r="CA58" s="7">
        <f>Wapato_Inventory[[#This Row],[pre_res]]*Wapato_Inventory[[#This Row],[overall_adj]]</f>
        <v>90225.248537652777</v>
      </c>
      <c r="CB5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8" s="3">
        <f>IF(ROUND(Wapato_Inventory[[#This Row],[adj_res]]*Lookups!$H$48,-2)&lt;Wapato_Inventory[[#This Row],[min_res]],Wapato_Inventory[[#This Row],[min_res]],ROUND(Wapato_Inventory[[#This Row],[adj_res]]*Lookups!$H$48,-2))</f>
        <v>85700</v>
      </c>
      <c r="CD58" s="3">
        <f>ROUND(Wapato_Inventory[[#This Row],[det_value]]*Lookups!$H$48,-2)</f>
        <v>0</v>
      </c>
      <c r="CE58" s="3">
        <f>Wapato_Inventory[[#This Row],[final_res]]+Wapato_Inventory[[#This Row],[final_det]]</f>
        <v>85700</v>
      </c>
      <c r="CF58" s="3">
        <f>Wapato_Inventory[[#This Row],[crop_value]]+Wapato_Inventory[[#This Row],[final_land]]+Wapato_Inventory[[#This Row],[final_imp]]</f>
        <v>136100</v>
      </c>
      <c r="CH58" t="str">
        <f t="shared" si="0"/>
        <v>update valuation set market_land =50400, market_bldg=85700, market_total =136100, market_mdno =405, market_date ='9/10/2023' where link_id = (select link_id from parcel where parcel_year = '2024' and parcel_id = '19110944447');</v>
      </c>
    </row>
    <row r="59" spans="1:86" x14ac:dyDescent="0.25">
      <c r="A59">
        <v>19110944448</v>
      </c>
      <c r="B59">
        <v>1</v>
      </c>
      <c r="C59">
        <v>43561</v>
      </c>
      <c r="D59" t="s">
        <v>144</v>
      </c>
      <c r="E59" t="s">
        <v>54</v>
      </c>
      <c r="F59" t="s">
        <v>54</v>
      </c>
      <c r="G59">
        <v>3</v>
      </c>
      <c r="H59" t="s">
        <v>55</v>
      </c>
      <c r="I59">
        <v>160200</v>
      </c>
      <c r="J59">
        <v>45300</v>
      </c>
      <c r="K59">
        <v>1</v>
      </c>
      <c r="L59">
        <f>IF(Wapato_Inventory[[#This Row],[parcel_acres]]-Wapato_Inventory[[#This Row],[non_valued_acres]] =0,0,LN(Wapato_Inventory[[#This Row],[parcel_acres]]-Wapato_Inventory[[#This Row],[non_valued_acres]]))</f>
        <v>0</v>
      </c>
      <c r="M59">
        <v>0</v>
      </c>
      <c r="N59">
        <v>0</v>
      </c>
      <c r="O59">
        <v>0</v>
      </c>
      <c r="P59">
        <v>27904.037</v>
      </c>
      <c r="Q59">
        <v>74398</v>
      </c>
      <c r="R59" s="3">
        <f>(Wapato_Inventory[[#This Row],[ln_acres]]*Wapato_Inventory[[#This Row],[coeff]])+Wapato_Inventory[[#This Row],[const]]</f>
        <v>74398</v>
      </c>
      <c r="S59" t="s">
        <v>66</v>
      </c>
      <c r="T59">
        <v>1</v>
      </c>
      <c r="U59" t="s">
        <v>71</v>
      </c>
      <c r="V59" t="s">
        <v>68</v>
      </c>
      <c r="W59">
        <v>0</v>
      </c>
      <c r="X59">
        <v>0</v>
      </c>
      <c r="Y59">
        <v>57</v>
      </c>
      <c r="Z59">
        <v>103</v>
      </c>
      <c r="AA59">
        <v>110</v>
      </c>
      <c r="AB59">
        <v>2000</v>
      </c>
      <c r="AC59">
        <v>1608</v>
      </c>
      <c r="AD59">
        <v>1608</v>
      </c>
      <c r="AE59">
        <v>0</v>
      </c>
      <c r="AF59">
        <v>0</v>
      </c>
      <c r="AG59">
        <v>0</v>
      </c>
      <c r="AH59">
        <v>0</v>
      </c>
      <c r="AI59">
        <v>396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6</v>
      </c>
      <c r="AQ59">
        <v>1</v>
      </c>
      <c r="AR59">
        <v>0</v>
      </c>
      <c r="AS59" t="s">
        <v>59</v>
      </c>
      <c r="AT59">
        <v>0</v>
      </c>
      <c r="AU59" t="s">
        <v>80</v>
      </c>
      <c r="AV59" t="s">
        <v>77</v>
      </c>
      <c r="AW59">
        <v>0</v>
      </c>
      <c r="AX59">
        <v>2</v>
      </c>
      <c r="AY59">
        <v>0</v>
      </c>
      <c r="AZ59">
        <v>0</v>
      </c>
      <c r="BA59">
        <v>100</v>
      </c>
      <c r="BB59">
        <v>100</v>
      </c>
      <c r="BC59">
        <v>100</v>
      </c>
      <c r="BD59">
        <v>100</v>
      </c>
      <c r="BE59">
        <v>1</v>
      </c>
      <c r="BF59">
        <v>15000</v>
      </c>
      <c r="BG59">
        <v>1000</v>
      </c>
      <c r="BH59" s="7">
        <f>ROUND(Wapato_Inventory[[#This Row],[detatched_value]]*Lookups!$B$22*Lookups!$H$48,-2)</f>
        <v>0</v>
      </c>
      <c r="BI59" s="7">
        <f>ROUND(((Wapato_Inventory[[#This Row],[land_extract]]*Lookups!$B$3) +(Lookups!$B$2*0.5))*Lookups!$H$48,-2)</f>
        <v>58300</v>
      </c>
      <c r="BJ59" s="7">
        <f>IF(Wapato_Inventory[[#This Row],[bldg_style]]="",0,Lookups!$B$2*0.5)</f>
        <v>53765.27</v>
      </c>
      <c r="BK59" s="7">
        <f>_xlfn.IFNA(VLOOKUP(Wapato_Inventory[[#This Row],[quality]],Lookups!$H$2:$J$14,3,FALSE),0)</f>
        <v>28034</v>
      </c>
      <c r="BL59" s="7">
        <f>_xlfn.IFNA(VLOOKUP(Wapato_Inventory[[#This Row],[condition]],Lookups!$H$17:$J$24,3,FALSE),0)</f>
        <v>52231</v>
      </c>
      <c r="BM59" s="7">
        <f>Wapato_Inventory[[#This Row],[Age]]*Lookups!$B$16</f>
        <v>-38179.597099999999</v>
      </c>
      <c r="BN59" s="7">
        <f>Wapato_Inventory[[#This Row],[Main Floor]]*Lookups!$B$17</f>
        <v>67215.588312000007</v>
      </c>
      <c r="BO59" s="7">
        <f>Wapato_Inventory[[#This Row],[Upper Floor]]*Lookups!$B$18</f>
        <v>0</v>
      </c>
      <c r="BP59" s="7">
        <f>Wapato_Inventory[[#This Row],[Fin BSMT]]*Lookups!$B$19</f>
        <v>0</v>
      </c>
      <c r="BQ59" s="7">
        <f>(Wapato_Inventory[[#This Row],[att_gar]]+Wapato_Inventory[[#This Row],[blt_gar]])*Lookups!$B$20</f>
        <v>14655.465792000001</v>
      </c>
      <c r="BR59" s="7">
        <f>Wapato_Inventory[[#This Row],[Patio]]*Lookups!$B$21</f>
        <v>0</v>
      </c>
      <c r="BS59" s="7">
        <f>SUM(Wapato_Inventory[[#This Row],[intercept]:[patio_value]])*Wapato_Inventory[[#This Row],[res_pct]]</f>
        <v>177721.72700399999</v>
      </c>
      <c r="BT59" s="7">
        <f>Wapato_Inventory[[#This Row],[land_value]]</f>
        <v>58300</v>
      </c>
      <c r="BU59" s="2">
        <f>_xlfn.IFNA(VLOOKUP(Wapato_Inventory[[#This Row],[quality]],Lookups!$A$28:$C$37,3,FALSE),1)</f>
        <v>0.96265813922927435</v>
      </c>
      <c r="BV59" s="2">
        <f>_xlfn.IFNA(VLOOKUP(Wapato_Inventory[[#This Row],[condition]],Lookups!$A$41:$C$48,3,FALSE),1)</f>
        <v>0.9832333997567807</v>
      </c>
      <c r="BW59" s="2">
        <f>IF(Wapato_Inventory[[#This Row],[decade]]="",1,_xlfn.IFNA(VLOOKUP(Wapato_Inventory[[#This Row],[decade]],Lookups!$F$28:$H$45,3,FALSE),1))</f>
        <v>0.93664589651353292</v>
      </c>
      <c r="BX59" s="2">
        <f>_xlfn.IFNA(VLOOKUP(Wapato_Inventory[[#This Row],[living_area_range]],Lookups!$K$28:$M$37,3,FALSE),1)</f>
        <v>0.99330894324714125</v>
      </c>
      <c r="BY59" s="2">
        <f>AVERAGE(Wapato_Inventory[[#This Row],[qual_adj]:[range_adj]])</f>
        <v>0.96896159468668219</v>
      </c>
      <c r="BZ59" s="7">
        <f>(Wapato_Inventory[[#This Row],[sum_land]]-IF(Wapato_Inventory[[#This Row],[no_utilities]]=1,12000,0))/IF(Wapato_Inventory[[#This Row],[unbuildable]]=1,2,1)</f>
        <v>58300</v>
      </c>
      <c r="CA59" s="7">
        <f>Wapato_Inventory[[#This Row],[pre_res]]*Wapato_Inventory[[#This Row],[overall_adj]]</f>
        <v>172205.52800826702</v>
      </c>
      <c r="CB59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59" s="3">
        <f>IF(ROUND(Wapato_Inventory[[#This Row],[adj_res]]*Lookups!$H$48,-2)&lt;Wapato_Inventory[[#This Row],[min_res]],Wapato_Inventory[[#This Row],[min_res]],ROUND(Wapato_Inventory[[#This Row],[adj_res]]*Lookups!$H$48,-2))</f>
        <v>163600</v>
      </c>
      <c r="CD59" s="3">
        <f>ROUND(Wapato_Inventory[[#This Row],[det_value]]*Lookups!$H$48,-2)</f>
        <v>0</v>
      </c>
      <c r="CE59" s="3">
        <f>Wapato_Inventory[[#This Row],[final_res]]+Wapato_Inventory[[#This Row],[final_det]]</f>
        <v>163600</v>
      </c>
      <c r="CF59" s="3">
        <f>Wapato_Inventory[[#This Row],[crop_value]]+Wapato_Inventory[[#This Row],[final_land]]+Wapato_Inventory[[#This Row],[final_imp]]</f>
        <v>219000</v>
      </c>
      <c r="CH59" t="str">
        <f t="shared" si="0"/>
        <v>update valuation set market_land =55400, market_bldg=163600, market_total =219000, market_mdno =405, market_date ='9/10/2023' where link_id = (select link_id from parcel where parcel_year = '2024' and parcel_id = '19110944448');</v>
      </c>
    </row>
    <row r="60" spans="1:86" x14ac:dyDescent="0.25">
      <c r="A60">
        <v>19110944449</v>
      </c>
      <c r="B60">
        <v>0.51</v>
      </c>
      <c r="C60">
        <v>22160</v>
      </c>
      <c r="D60" t="s">
        <v>144</v>
      </c>
      <c r="E60" t="s">
        <v>54</v>
      </c>
      <c r="F60" t="s">
        <v>54</v>
      </c>
      <c r="G60">
        <v>3</v>
      </c>
      <c r="H60" t="s">
        <v>55</v>
      </c>
      <c r="I60">
        <v>136000</v>
      </c>
      <c r="J60">
        <v>40500</v>
      </c>
      <c r="K60">
        <v>0.51</v>
      </c>
      <c r="L60">
        <f>IF(Wapato_Inventory[[#This Row],[parcel_acres]]-Wapato_Inventory[[#This Row],[non_valued_acres]] =0,0,LN(Wapato_Inventory[[#This Row],[parcel_acres]]-Wapato_Inventory[[#This Row],[non_valued_acres]]))</f>
        <v>-0.67334455326376563</v>
      </c>
      <c r="M60">
        <v>0</v>
      </c>
      <c r="N60">
        <v>0</v>
      </c>
      <c r="O60">
        <v>0</v>
      </c>
      <c r="P60">
        <v>27904.037</v>
      </c>
      <c r="Q60">
        <v>74398</v>
      </c>
      <c r="R60" s="3">
        <f>(Wapato_Inventory[[#This Row],[ln_acres]]*Wapato_Inventory[[#This Row],[coeff]])+Wapato_Inventory[[#This Row],[const]]</f>
        <v>55608.968671979412</v>
      </c>
      <c r="S60" t="s">
        <v>66</v>
      </c>
      <c r="T60">
        <v>1</v>
      </c>
      <c r="U60" t="s">
        <v>75</v>
      </c>
      <c r="V60" t="s">
        <v>68</v>
      </c>
      <c r="W60">
        <v>0</v>
      </c>
      <c r="X60">
        <v>0</v>
      </c>
      <c r="Y60">
        <v>53</v>
      </c>
      <c r="Z60">
        <v>93</v>
      </c>
      <c r="AA60">
        <v>100</v>
      </c>
      <c r="AB60">
        <v>1500</v>
      </c>
      <c r="AC60">
        <v>1010</v>
      </c>
      <c r="AD60">
        <v>1010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5</v>
      </c>
      <c r="AQ60">
        <v>0</v>
      </c>
      <c r="AR60">
        <v>0</v>
      </c>
      <c r="AS60" t="s">
        <v>59</v>
      </c>
      <c r="AT60">
        <v>1</v>
      </c>
      <c r="AU60" t="s">
        <v>64</v>
      </c>
      <c r="AV60" t="s">
        <v>77</v>
      </c>
      <c r="AW60">
        <v>0</v>
      </c>
      <c r="AX60">
        <v>2</v>
      </c>
      <c r="AY60">
        <v>0</v>
      </c>
      <c r="AZ60">
        <v>5800</v>
      </c>
      <c r="BA60">
        <v>100</v>
      </c>
      <c r="BB60">
        <v>100</v>
      </c>
      <c r="BC60">
        <v>100</v>
      </c>
      <c r="BD60">
        <v>100</v>
      </c>
      <c r="BE60">
        <v>1</v>
      </c>
      <c r="BF60">
        <v>15000</v>
      </c>
      <c r="BG60">
        <v>1000</v>
      </c>
      <c r="BH60" s="7">
        <f>ROUND(Wapato_Inventory[[#This Row],[detatched_value]]*Lookups!$B$22*Lookups!$H$48,-2)</f>
        <v>5200</v>
      </c>
      <c r="BI60" s="7">
        <f>ROUND(((Wapato_Inventory[[#This Row],[land_extract]]*Lookups!$B$3) +(Lookups!$B$2*0.5))*Lookups!$H$48,-2)</f>
        <v>56400</v>
      </c>
      <c r="BJ60" s="7">
        <f>IF(Wapato_Inventory[[#This Row],[bldg_style]]="",0,Lookups!$B$2*0.5)</f>
        <v>53765.27</v>
      </c>
      <c r="BK60" s="7">
        <f>_xlfn.IFNA(VLOOKUP(Wapato_Inventory[[#This Row],[quality]],Lookups!$H$2:$J$14,3,FALSE),0)</f>
        <v>48043</v>
      </c>
      <c r="BL60" s="7">
        <f>_xlfn.IFNA(VLOOKUP(Wapato_Inventory[[#This Row],[condition]],Lookups!$H$17:$J$24,3,FALSE),0)</f>
        <v>52231</v>
      </c>
      <c r="BM60" s="7">
        <f>Wapato_Inventory[[#This Row],[Age]]*Lookups!$B$16</f>
        <v>-34472.840100000001</v>
      </c>
      <c r="BN60" s="7">
        <f>Wapato_Inventory[[#This Row],[Main Floor]]*Lookups!$B$17</f>
        <v>42218.74639</v>
      </c>
      <c r="BO60" s="7">
        <f>Wapato_Inventory[[#This Row],[Upper Floor]]*Lookups!$B$18</f>
        <v>0</v>
      </c>
      <c r="BP60" s="7">
        <f>Wapato_Inventory[[#This Row],[Fin BSMT]]*Lookups!$B$19</f>
        <v>0</v>
      </c>
      <c r="BQ60" s="7">
        <f>(Wapato_Inventory[[#This Row],[att_gar]]+Wapato_Inventory[[#This Row],[blt_gar]])*Lookups!$B$20</f>
        <v>0</v>
      </c>
      <c r="BR60" s="7">
        <f>Wapato_Inventory[[#This Row],[Patio]]*Lookups!$B$21</f>
        <v>0</v>
      </c>
      <c r="BS60" s="7">
        <f>SUM(Wapato_Inventory[[#This Row],[intercept]:[patio_value]])*Wapato_Inventory[[#This Row],[res_pct]]</f>
        <v>161785.17628999997</v>
      </c>
      <c r="BT60" s="7">
        <f>Wapato_Inventory[[#This Row],[land_value]]</f>
        <v>56400</v>
      </c>
      <c r="BU60" s="2">
        <f>_xlfn.IFNA(VLOOKUP(Wapato_Inventory[[#This Row],[quality]],Lookups!$A$28:$C$37,3,FALSE),1)</f>
        <v>0.98196844879778955</v>
      </c>
      <c r="BV60" s="2">
        <f>_xlfn.IFNA(VLOOKUP(Wapato_Inventory[[#This Row],[condition]],Lookups!$A$41:$C$48,3,FALSE),1)</f>
        <v>0.9832333997567807</v>
      </c>
      <c r="BW60" s="2">
        <f>IF(Wapato_Inventory[[#This Row],[decade]]="",1,_xlfn.IFNA(VLOOKUP(Wapato_Inventory[[#This Row],[decade]],Lookups!$F$28:$H$45,3,FALSE),1))</f>
        <v>1.0114203040664467</v>
      </c>
      <c r="BX60" s="2">
        <f>_xlfn.IFNA(VLOOKUP(Wapato_Inventory[[#This Row],[living_area_range]],Lookups!$K$28:$M$37,3,FALSE),1)</f>
        <v>1.0061411172456287</v>
      </c>
      <c r="BY60" s="2">
        <f>AVERAGE(Wapato_Inventory[[#This Row],[qual_adj]:[range_adj]])</f>
        <v>0.99569081746666144</v>
      </c>
      <c r="BZ60" s="7">
        <f>(Wapato_Inventory[[#This Row],[sum_land]]-IF(Wapato_Inventory[[#This Row],[no_utilities]]=1,12000,0))/IF(Wapato_Inventory[[#This Row],[unbuildable]]=1,2,1)</f>
        <v>56400</v>
      </c>
      <c r="CA60" s="7">
        <f>Wapato_Inventory[[#This Row],[pre_res]]*Wapato_Inventory[[#This Row],[overall_adj]]</f>
        <v>161088.01443417801</v>
      </c>
      <c r="CB60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60" s="3">
        <f>IF(ROUND(Wapato_Inventory[[#This Row],[adj_res]]*Lookups!$H$48,-2)&lt;Wapato_Inventory[[#This Row],[min_res]],Wapato_Inventory[[#This Row],[min_res]],ROUND(Wapato_Inventory[[#This Row],[adj_res]]*Lookups!$H$48,-2))</f>
        <v>153000</v>
      </c>
      <c r="CD60" s="3">
        <f>ROUND(Wapato_Inventory[[#This Row],[det_value]]*Lookups!$H$48,-2)</f>
        <v>4900</v>
      </c>
      <c r="CE60" s="3">
        <f>Wapato_Inventory[[#This Row],[final_res]]+Wapato_Inventory[[#This Row],[final_det]]</f>
        <v>157900</v>
      </c>
      <c r="CF60" s="3">
        <f>Wapato_Inventory[[#This Row],[crop_value]]+Wapato_Inventory[[#This Row],[final_land]]+Wapato_Inventory[[#This Row],[final_imp]]</f>
        <v>211500</v>
      </c>
      <c r="CH60" t="str">
        <f t="shared" si="0"/>
        <v>update valuation set market_land =53600, market_bldg=157900, market_total =211500, market_mdno =405, market_date ='9/10/2023' where link_id = (select link_id from parcel where parcel_year = '2024' and parcel_id = '19110944449');</v>
      </c>
    </row>
    <row r="61" spans="1:86" x14ac:dyDescent="0.25">
      <c r="A61">
        <v>19110944450</v>
      </c>
      <c r="B61">
        <v>1</v>
      </c>
      <c r="C61">
        <v>43561</v>
      </c>
      <c r="D61" t="s">
        <v>144</v>
      </c>
      <c r="E61" t="s">
        <v>54</v>
      </c>
      <c r="F61" t="s">
        <v>54</v>
      </c>
      <c r="G61">
        <v>3</v>
      </c>
      <c r="H61" t="s">
        <v>55</v>
      </c>
      <c r="I61">
        <v>106600</v>
      </c>
      <c r="J61">
        <v>45300</v>
      </c>
      <c r="K61">
        <v>1</v>
      </c>
      <c r="L61">
        <f>IF(Wapato_Inventory[[#This Row],[parcel_acres]]-Wapato_Inventory[[#This Row],[non_valued_acres]] =0,0,LN(Wapato_Inventory[[#This Row],[parcel_acres]]-Wapato_Inventory[[#This Row],[non_valued_acres]]))</f>
        <v>0</v>
      </c>
      <c r="M61">
        <v>0</v>
      </c>
      <c r="N61">
        <v>0</v>
      </c>
      <c r="O61">
        <v>0</v>
      </c>
      <c r="P61">
        <v>27904.037</v>
      </c>
      <c r="Q61">
        <v>74398</v>
      </c>
      <c r="R61" s="3">
        <f>(Wapato_Inventory[[#This Row],[ln_acres]]*Wapato_Inventory[[#This Row],[coeff]])+Wapato_Inventory[[#This Row],[const]]</f>
        <v>74398</v>
      </c>
      <c r="S61" t="s">
        <v>66</v>
      </c>
      <c r="T61">
        <v>1</v>
      </c>
      <c r="U61" t="s">
        <v>71</v>
      </c>
      <c r="V61" t="s">
        <v>73</v>
      </c>
      <c r="W61">
        <v>0</v>
      </c>
      <c r="X61">
        <v>0</v>
      </c>
      <c r="Y61">
        <v>58</v>
      </c>
      <c r="Z61">
        <v>113</v>
      </c>
      <c r="AA61">
        <v>120</v>
      </c>
      <c r="AB61">
        <v>2000</v>
      </c>
      <c r="AC61">
        <v>1712</v>
      </c>
      <c r="AD61">
        <v>1712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480</v>
      </c>
      <c r="AL61">
        <v>0</v>
      </c>
      <c r="AM61">
        <v>0</v>
      </c>
      <c r="AN61">
        <v>0</v>
      </c>
      <c r="AO61">
        <v>0</v>
      </c>
      <c r="AP61">
        <v>5</v>
      </c>
      <c r="AQ61">
        <v>0</v>
      </c>
      <c r="AR61">
        <v>0</v>
      </c>
      <c r="AS61" t="s">
        <v>59</v>
      </c>
      <c r="AT61">
        <v>1</v>
      </c>
      <c r="AU61" t="s">
        <v>76</v>
      </c>
      <c r="AV61" t="s">
        <v>61</v>
      </c>
      <c r="AW61">
        <v>0</v>
      </c>
      <c r="AX61">
        <v>2</v>
      </c>
      <c r="AY61">
        <v>0</v>
      </c>
      <c r="AZ61">
        <v>2300</v>
      </c>
      <c r="BA61">
        <v>100</v>
      </c>
      <c r="BB61">
        <v>100</v>
      </c>
      <c r="BC61">
        <v>100</v>
      </c>
      <c r="BD61">
        <v>100</v>
      </c>
      <c r="BE61">
        <v>1</v>
      </c>
      <c r="BF61">
        <v>15000</v>
      </c>
      <c r="BG61">
        <v>1000</v>
      </c>
      <c r="BH61" s="7">
        <f>ROUND(Wapato_Inventory[[#This Row],[detatched_value]]*Lookups!$B$22*Lookups!$H$48,-2)</f>
        <v>2100</v>
      </c>
      <c r="BI61" s="7">
        <f>ROUND(((Wapato_Inventory[[#This Row],[land_extract]]*Lookups!$B$3) +(Lookups!$B$2*0.5))*Lookups!$H$48,-2)</f>
        <v>58300</v>
      </c>
      <c r="BJ61" s="7">
        <f>IF(Wapato_Inventory[[#This Row],[bldg_style]]="",0,Lookups!$B$2*0.5)</f>
        <v>53765.27</v>
      </c>
      <c r="BK61" s="7">
        <f>_xlfn.IFNA(VLOOKUP(Wapato_Inventory[[#This Row],[quality]],Lookups!$H$2:$J$14,3,FALSE),0)</f>
        <v>28034</v>
      </c>
      <c r="BL61" s="7">
        <f>_xlfn.IFNA(VLOOKUP(Wapato_Inventory[[#This Row],[condition]],Lookups!$H$17:$J$24,3,FALSE),0)</f>
        <v>16276</v>
      </c>
      <c r="BM61" s="7">
        <f>Wapato_Inventory[[#This Row],[Age]]*Lookups!$B$16</f>
        <v>-41886.354100000004</v>
      </c>
      <c r="BN61" s="7">
        <f>Wapato_Inventory[[#This Row],[Main Floor]]*Lookups!$B$17</f>
        <v>71562.865168000004</v>
      </c>
      <c r="BO61" s="7">
        <f>Wapato_Inventory[[#This Row],[Upper Floor]]*Lookups!$B$18</f>
        <v>0</v>
      </c>
      <c r="BP61" s="7">
        <f>Wapato_Inventory[[#This Row],[Fin BSMT]]*Lookups!$B$19</f>
        <v>0</v>
      </c>
      <c r="BQ61" s="7">
        <f>(Wapato_Inventory[[#This Row],[att_gar]]+Wapato_Inventory[[#This Row],[blt_gar]])*Lookups!$B$20</f>
        <v>0</v>
      </c>
      <c r="BR61" s="7">
        <f>Wapato_Inventory[[#This Row],[Patio]]*Lookups!$B$21</f>
        <v>0</v>
      </c>
      <c r="BS61" s="7">
        <f>SUM(Wapato_Inventory[[#This Row],[intercept]:[patio_value]])*Wapato_Inventory[[#This Row],[res_pct]]</f>
        <v>127751.78106799998</v>
      </c>
      <c r="BT61" s="7">
        <f>Wapato_Inventory[[#This Row],[land_value]]</f>
        <v>58300</v>
      </c>
      <c r="BU61" s="2">
        <f>_xlfn.IFNA(VLOOKUP(Wapato_Inventory[[#This Row],[quality]],Lookups!$A$28:$C$37,3,FALSE),1)</f>
        <v>0.96265813922927435</v>
      </c>
      <c r="BV61" s="2">
        <f>_xlfn.IFNA(VLOOKUP(Wapato_Inventory[[#This Row],[condition]],Lookups!$A$41:$C$48,3,FALSE),1)</f>
        <v>0.93399385491337139</v>
      </c>
      <c r="BW61" s="2">
        <f>IF(Wapato_Inventory[[#This Row],[decade]]="",1,_xlfn.IFNA(VLOOKUP(Wapato_Inventory[[#This Row],[decade]],Lookups!$F$28:$H$45,3,FALSE),1))</f>
        <v>0.93664589651353292</v>
      </c>
      <c r="BX61" s="2">
        <f>_xlfn.IFNA(VLOOKUP(Wapato_Inventory[[#This Row],[living_area_range]],Lookups!$K$28:$M$37,3,FALSE),1)</f>
        <v>0.99330894324714125</v>
      </c>
      <c r="BY61" s="2">
        <f>AVERAGE(Wapato_Inventory[[#This Row],[qual_adj]:[range_adj]])</f>
        <v>0.95665170847583003</v>
      </c>
      <c r="BZ61" s="7">
        <f>(Wapato_Inventory[[#This Row],[sum_land]]-IF(Wapato_Inventory[[#This Row],[no_utilities]]=1,12000,0))/IF(Wapato_Inventory[[#This Row],[unbuildable]]=1,2,1)</f>
        <v>58300</v>
      </c>
      <c r="CA61" s="7">
        <f>Wapato_Inventory[[#This Row],[pre_res]]*Wapato_Inventory[[#This Row],[overall_adj]]</f>
        <v>122213.95961953238</v>
      </c>
      <c r="CB61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61" s="3">
        <f>IF(ROUND(Wapato_Inventory[[#This Row],[adj_res]]*Lookups!$H$48,-2)&lt;Wapato_Inventory[[#This Row],[min_res]],Wapato_Inventory[[#This Row],[min_res]],ROUND(Wapato_Inventory[[#This Row],[adj_res]]*Lookups!$H$48,-2))</f>
        <v>116100</v>
      </c>
      <c r="CD61" s="3">
        <f>ROUND(Wapato_Inventory[[#This Row],[det_value]]*Lookups!$H$48,-2)</f>
        <v>2000</v>
      </c>
      <c r="CE61" s="3">
        <f>Wapato_Inventory[[#This Row],[final_res]]+Wapato_Inventory[[#This Row],[final_det]]</f>
        <v>118100</v>
      </c>
      <c r="CF61" s="3">
        <f>Wapato_Inventory[[#This Row],[crop_value]]+Wapato_Inventory[[#This Row],[final_land]]+Wapato_Inventory[[#This Row],[final_imp]]</f>
        <v>173500</v>
      </c>
      <c r="CH61" t="str">
        <f t="shared" si="0"/>
        <v>update valuation set market_land =55400, market_bldg=118100, market_total =173500, market_mdno =405, market_date ='9/10/2023' where link_id = (select link_id from parcel where parcel_year = '2024' and parcel_id = '19110944450');</v>
      </c>
    </row>
    <row r="62" spans="1:86" x14ac:dyDescent="0.25">
      <c r="A62">
        <v>19110944451</v>
      </c>
      <c r="B62">
        <v>1.39</v>
      </c>
      <c r="C62">
        <v>60471</v>
      </c>
      <c r="D62" t="s">
        <v>144</v>
      </c>
      <c r="E62" t="s">
        <v>54</v>
      </c>
      <c r="F62" t="s">
        <v>54</v>
      </c>
      <c r="G62">
        <v>3</v>
      </c>
      <c r="H62" t="s">
        <v>55</v>
      </c>
      <c r="I62">
        <v>169800</v>
      </c>
      <c r="J62">
        <v>47600</v>
      </c>
      <c r="K62">
        <v>1.39</v>
      </c>
      <c r="L62">
        <f>IF(Wapato_Inventory[[#This Row],[parcel_acres]]-Wapato_Inventory[[#This Row],[non_valued_acres]] =0,0,LN(Wapato_Inventory[[#This Row],[parcel_acres]]-Wapato_Inventory[[#This Row],[non_valued_acres]]))</f>
        <v>0.3293037471426003</v>
      </c>
      <c r="M62">
        <v>0</v>
      </c>
      <c r="N62">
        <v>0</v>
      </c>
      <c r="O62">
        <v>0</v>
      </c>
      <c r="P62">
        <v>27904.037</v>
      </c>
      <c r="Q62">
        <v>74398</v>
      </c>
      <c r="R62" s="3">
        <f>(Wapato_Inventory[[#This Row],[ln_acres]]*Wapato_Inventory[[#This Row],[coeff]])+Wapato_Inventory[[#This Row],[const]]</f>
        <v>83586.903944505757</v>
      </c>
      <c r="S62" t="s">
        <v>66</v>
      </c>
      <c r="T62">
        <v>1</v>
      </c>
      <c r="U62" t="s">
        <v>75</v>
      </c>
      <c r="V62" t="s">
        <v>69</v>
      </c>
      <c r="W62">
        <v>0</v>
      </c>
      <c r="X62">
        <v>0</v>
      </c>
      <c r="Y62">
        <v>37</v>
      </c>
      <c r="Z62">
        <v>88</v>
      </c>
      <c r="AA62">
        <v>90</v>
      </c>
      <c r="AB62">
        <v>1500</v>
      </c>
      <c r="AC62">
        <v>1362</v>
      </c>
      <c r="AD62">
        <v>962</v>
      </c>
      <c r="AE62">
        <v>0</v>
      </c>
      <c r="AF62">
        <v>0</v>
      </c>
      <c r="AG62">
        <v>400</v>
      </c>
      <c r="AH62">
        <v>200</v>
      </c>
      <c r="AI62">
        <v>0</v>
      </c>
      <c r="AJ62">
        <v>0</v>
      </c>
      <c r="AK62">
        <v>434</v>
      </c>
      <c r="AL62">
        <v>0</v>
      </c>
      <c r="AM62">
        <v>0</v>
      </c>
      <c r="AN62">
        <v>370</v>
      </c>
      <c r="AO62">
        <v>0</v>
      </c>
      <c r="AP62">
        <v>5</v>
      </c>
      <c r="AQ62">
        <v>0</v>
      </c>
      <c r="AR62">
        <v>0</v>
      </c>
      <c r="AS62" t="s">
        <v>59</v>
      </c>
      <c r="AT62">
        <v>1</v>
      </c>
      <c r="AU62" t="s">
        <v>72</v>
      </c>
      <c r="AV62" t="s">
        <v>65</v>
      </c>
      <c r="AW62">
        <v>0</v>
      </c>
      <c r="AX62">
        <v>2</v>
      </c>
      <c r="AY62">
        <v>0</v>
      </c>
      <c r="AZ62">
        <v>8500</v>
      </c>
      <c r="BA62">
        <v>100</v>
      </c>
      <c r="BB62">
        <v>100</v>
      </c>
      <c r="BC62">
        <v>100</v>
      </c>
      <c r="BD62">
        <v>100</v>
      </c>
      <c r="BE62">
        <v>1</v>
      </c>
      <c r="BF62">
        <v>15000</v>
      </c>
      <c r="BG62">
        <v>1000</v>
      </c>
      <c r="BH62" s="7">
        <f>ROUND(Wapato_Inventory[[#This Row],[detatched_value]]*Lookups!$B$22*Lookups!$H$48,-2)</f>
        <v>7600</v>
      </c>
      <c r="BI62" s="7">
        <f>ROUND(((Wapato_Inventory[[#This Row],[land_extract]]*Lookups!$B$3) +(Lookups!$B$2*0.5))*Lookups!$H$48,-2)</f>
        <v>59100</v>
      </c>
      <c r="BJ62" s="7">
        <f>IF(Wapato_Inventory[[#This Row],[bldg_style]]="",0,Lookups!$B$2*0.5)</f>
        <v>53765.27</v>
      </c>
      <c r="BK62" s="7">
        <f>_xlfn.IFNA(VLOOKUP(Wapato_Inventory[[#This Row],[quality]],Lookups!$H$2:$J$14,3,FALSE),0)</f>
        <v>48043</v>
      </c>
      <c r="BL62" s="7">
        <f>_xlfn.IFNA(VLOOKUP(Wapato_Inventory[[#This Row],[condition]],Lookups!$H$17:$J$24,3,FALSE),0)</f>
        <v>74543</v>
      </c>
      <c r="BM62" s="7">
        <f>Wapato_Inventory[[#This Row],[Age]]*Lookups!$B$16</f>
        <v>-32619.461600000002</v>
      </c>
      <c r="BN62" s="7">
        <f>Wapato_Inventory[[#This Row],[Main Floor]]*Lookups!$B$17</f>
        <v>40212.310918000003</v>
      </c>
      <c r="BO62" s="7">
        <f>Wapato_Inventory[[#This Row],[Upper Floor]]*Lookups!$B$18</f>
        <v>0</v>
      </c>
      <c r="BP62" s="7">
        <f>Wapato_Inventory[[#This Row],[Fin BSMT]]*Lookups!$B$19</f>
        <v>9746.6959999999999</v>
      </c>
      <c r="BQ62" s="7">
        <f>(Wapato_Inventory[[#This Row],[att_gar]]+Wapato_Inventory[[#This Row],[blt_gar]])*Lookups!$B$20</f>
        <v>0</v>
      </c>
      <c r="BR62" s="7">
        <f>Wapato_Inventory[[#This Row],[Patio]]*Lookups!$B$21</f>
        <v>0</v>
      </c>
      <c r="BS62" s="7">
        <f>SUM(Wapato_Inventory[[#This Row],[intercept]:[patio_value]])*Wapato_Inventory[[#This Row],[res_pct]]</f>
        <v>193690.81531799998</v>
      </c>
      <c r="BT62" s="7">
        <f>Wapato_Inventory[[#This Row],[land_value]]</f>
        <v>59100</v>
      </c>
      <c r="BU62" s="2">
        <f>_xlfn.IFNA(VLOOKUP(Wapato_Inventory[[#This Row],[quality]],Lookups!$A$28:$C$37,3,FALSE),1)</f>
        <v>0.98196844879778955</v>
      </c>
      <c r="BV62" s="2">
        <f>_xlfn.IFNA(VLOOKUP(Wapato_Inventory[[#This Row],[condition]],Lookups!$A$41:$C$48,3,FALSE),1)</f>
        <v>0.98442438223270734</v>
      </c>
      <c r="BW62" s="2">
        <f>IF(Wapato_Inventory[[#This Row],[decade]]="",1,_xlfn.IFNA(VLOOKUP(Wapato_Inventory[[#This Row],[decade]],Lookups!$F$28:$H$45,3,FALSE),1))</f>
        <v>0.94742695999815718</v>
      </c>
      <c r="BX62" s="2">
        <f>_xlfn.IFNA(VLOOKUP(Wapato_Inventory[[#This Row],[living_area_range]],Lookups!$K$28:$M$37,3,FALSE),1)</f>
        <v>1.0061411172456287</v>
      </c>
      <c r="BY62" s="2">
        <f>AVERAGE(Wapato_Inventory[[#This Row],[qual_adj]:[range_adj]])</f>
        <v>0.97999022706857064</v>
      </c>
      <c r="BZ62" s="7">
        <f>(Wapato_Inventory[[#This Row],[sum_land]]-IF(Wapato_Inventory[[#This Row],[no_utilities]]=1,12000,0))/IF(Wapato_Inventory[[#This Row],[unbuildable]]=1,2,1)</f>
        <v>59100</v>
      </c>
      <c r="CA62" s="7">
        <f>Wapato_Inventory[[#This Row],[pre_res]]*Wapato_Inventory[[#This Row],[overall_adj]]</f>
        <v>189815.10608458339</v>
      </c>
      <c r="CB62" s="3">
        <f>IF(ROUND(Wapato_Inventory[[#This Row],[adj_land]]*Lookups!$H$48,-2)&lt;Wapato_Inventory[[#This Row],[min_land]],Wapato_Inventory[[#This Row],[min_land]],ROUND(Wapato_Inventory[[#This Row],[adj_land]]*Lookups!$H$48,-2))</f>
        <v>56100</v>
      </c>
      <c r="CC62" s="3">
        <f>IF(ROUND(Wapato_Inventory[[#This Row],[adj_res]]*Lookups!$H$48,-2)&lt;Wapato_Inventory[[#This Row],[min_res]],Wapato_Inventory[[#This Row],[min_res]],ROUND(Wapato_Inventory[[#This Row],[adj_res]]*Lookups!$H$48,-2))</f>
        <v>180300</v>
      </c>
      <c r="CD62" s="3">
        <f>ROUND(Wapato_Inventory[[#This Row],[det_value]]*Lookups!$H$48,-2)</f>
        <v>7200</v>
      </c>
      <c r="CE62" s="3">
        <f>Wapato_Inventory[[#This Row],[final_res]]+Wapato_Inventory[[#This Row],[final_det]]</f>
        <v>187500</v>
      </c>
      <c r="CF62" s="3">
        <f>Wapato_Inventory[[#This Row],[crop_value]]+Wapato_Inventory[[#This Row],[final_land]]+Wapato_Inventory[[#This Row],[final_imp]]</f>
        <v>243600</v>
      </c>
      <c r="CH62" t="str">
        <f t="shared" si="0"/>
        <v>update valuation set market_land =56100, market_bldg=187500, market_total =243600, market_mdno =405, market_date ='9/10/2023' where link_id = (select link_id from parcel where parcel_year = '2024' and parcel_id = '19110944451');</v>
      </c>
    </row>
    <row r="63" spans="1:86" x14ac:dyDescent="0.25">
      <c r="A63">
        <v>19110944454</v>
      </c>
      <c r="B63">
        <v>0.25</v>
      </c>
      <c r="C63">
        <v>10981</v>
      </c>
      <c r="D63" t="s">
        <v>144</v>
      </c>
      <c r="E63" t="s">
        <v>54</v>
      </c>
      <c r="F63" t="s">
        <v>54</v>
      </c>
      <c r="G63">
        <v>3</v>
      </c>
      <c r="H63" t="s">
        <v>55</v>
      </c>
      <c r="I63">
        <v>213400</v>
      </c>
      <c r="J63">
        <v>35500</v>
      </c>
      <c r="K63">
        <v>0.25</v>
      </c>
      <c r="L63">
        <f>IF(Wapato_Inventory[[#This Row],[parcel_acres]]-Wapato_Inventory[[#This Row],[non_valued_acres]] =0,0,LN(Wapato_Inventory[[#This Row],[parcel_acres]]-Wapato_Inventory[[#This Row],[non_valued_acres]]))</f>
        <v>-1.3862943611198906</v>
      </c>
      <c r="M63">
        <v>0</v>
      </c>
      <c r="N63">
        <v>0</v>
      </c>
      <c r="O63">
        <v>0</v>
      </c>
      <c r="P63">
        <v>27904.037</v>
      </c>
      <c r="Q63">
        <v>74398</v>
      </c>
      <c r="R63" s="3">
        <f>(Wapato_Inventory[[#This Row],[ln_acres]]*Wapato_Inventory[[#This Row],[coeff]])+Wapato_Inventory[[#This Row],[const]]</f>
        <v>35714.790854419211</v>
      </c>
      <c r="S63" t="s">
        <v>62</v>
      </c>
      <c r="T63">
        <v>1</v>
      </c>
      <c r="U63" t="s">
        <v>67</v>
      </c>
      <c r="V63" t="s">
        <v>58</v>
      </c>
      <c r="W63">
        <v>0</v>
      </c>
      <c r="X63">
        <v>0</v>
      </c>
      <c r="Y63">
        <v>9</v>
      </c>
      <c r="Z63">
        <v>9</v>
      </c>
      <c r="AA63">
        <v>10</v>
      </c>
      <c r="AB63">
        <v>1500</v>
      </c>
      <c r="AC63">
        <v>1024</v>
      </c>
      <c r="AD63">
        <v>1024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120</v>
      </c>
      <c r="AO63">
        <v>0</v>
      </c>
      <c r="AP63">
        <v>8</v>
      </c>
      <c r="AQ63">
        <v>0</v>
      </c>
      <c r="AR63">
        <v>0</v>
      </c>
      <c r="AS63" t="s">
        <v>59</v>
      </c>
      <c r="AT63">
        <v>1</v>
      </c>
      <c r="AU63" t="s">
        <v>76</v>
      </c>
      <c r="AV63" t="s">
        <v>61</v>
      </c>
      <c r="AW63">
        <v>0</v>
      </c>
      <c r="AX63">
        <v>2</v>
      </c>
      <c r="AY63">
        <v>0</v>
      </c>
      <c r="AZ63">
        <v>1100</v>
      </c>
      <c r="BA63">
        <v>100</v>
      </c>
      <c r="BB63">
        <v>100</v>
      </c>
      <c r="BC63">
        <v>100</v>
      </c>
      <c r="BD63">
        <v>100</v>
      </c>
      <c r="BE63">
        <v>1</v>
      </c>
      <c r="BF63">
        <v>15000</v>
      </c>
      <c r="BG63">
        <v>1000</v>
      </c>
      <c r="BH63" s="7">
        <f>ROUND(Wapato_Inventory[[#This Row],[detatched_value]]*Lookups!$B$22*Lookups!$H$48,-2)</f>
        <v>1000</v>
      </c>
      <c r="BI63" s="7">
        <f>ROUND(((Wapato_Inventory[[#This Row],[land_extract]]*Lookups!$B$3) +(Lookups!$B$2*0.5))*Lookups!$H$48,-2)</f>
        <v>54500</v>
      </c>
      <c r="BJ63" s="7">
        <f>IF(Wapato_Inventory[[#This Row],[bldg_style]]="",0,Lookups!$B$2*0.5)</f>
        <v>53765.27</v>
      </c>
      <c r="BK63" s="7">
        <f>_xlfn.IFNA(VLOOKUP(Wapato_Inventory[[#This Row],[quality]],Lookups!$H$2:$J$14,3,FALSE),0)</f>
        <v>50405</v>
      </c>
      <c r="BL63" s="7">
        <f>_xlfn.IFNA(VLOOKUP(Wapato_Inventory[[#This Row],[condition]],Lookups!$H$17:$J$24,3,FALSE),0)</f>
        <v>122095</v>
      </c>
      <c r="BM63" s="7">
        <f>Wapato_Inventory[[#This Row],[Age]]*Lookups!$B$16</f>
        <v>-3336.0812999999998</v>
      </c>
      <c r="BN63" s="7">
        <f>Wapato_Inventory[[#This Row],[Main Floor]]*Lookups!$B$17</f>
        <v>42803.956736</v>
      </c>
      <c r="BO63" s="7">
        <f>Wapato_Inventory[[#This Row],[Upper Floor]]*Lookups!$B$18</f>
        <v>0</v>
      </c>
      <c r="BP63" s="7">
        <f>Wapato_Inventory[[#This Row],[Fin BSMT]]*Lookups!$B$19</f>
        <v>0</v>
      </c>
      <c r="BQ63" s="7">
        <f>(Wapato_Inventory[[#This Row],[att_gar]]+Wapato_Inventory[[#This Row],[blt_gar]])*Lookups!$B$20</f>
        <v>0</v>
      </c>
      <c r="BR63" s="7">
        <f>Wapato_Inventory[[#This Row],[Patio]]*Lookups!$B$21</f>
        <v>0</v>
      </c>
      <c r="BS63" s="7">
        <f>SUM(Wapato_Inventory[[#This Row],[intercept]:[patio_value]])*Wapato_Inventory[[#This Row],[res_pct]]</f>
        <v>265733.14543600002</v>
      </c>
      <c r="BT63" s="7">
        <f>Wapato_Inventory[[#This Row],[land_value]]</f>
        <v>54500</v>
      </c>
      <c r="BU63" s="2">
        <f>_xlfn.IFNA(VLOOKUP(Wapato_Inventory[[#This Row],[quality]],Lookups!$A$28:$C$37,3,FALSE),1)</f>
        <v>0.97993206410140754</v>
      </c>
      <c r="BV63" s="2">
        <f>_xlfn.IFNA(VLOOKUP(Wapato_Inventory[[#This Row],[condition]],Lookups!$A$41:$C$48,3,FALSE),1)</f>
        <v>1.00041560026225</v>
      </c>
      <c r="BW63" s="2">
        <f>IF(Wapato_Inventory[[#This Row],[decade]]="",1,_xlfn.IFNA(VLOOKUP(Wapato_Inventory[[#This Row],[decade]],Lookups!$F$28:$H$45,3,FALSE),1))</f>
        <v>1.0321018519633791</v>
      </c>
      <c r="BX63" s="2">
        <f>_xlfn.IFNA(VLOOKUP(Wapato_Inventory[[#This Row],[living_area_range]],Lookups!$K$28:$M$37,3,FALSE),1)</f>
        <v>1.0061411172456287</v>
      </c>
      <c r="BY63" s="2">
        <f>AVERAGE(Wapato_Inventory[[#This Row],[qual_adj]:[range_adj]])</f>
        <v>1.0046476583931663</v>
      </c>
      <c r="BZ63" s="7">
        <f>(Wapato_Inventory[[#This Row],[sum_land]]-IF(Wapato_Inventory[[#This Row],[no_utilities]]=1,12000,0))/IF(Wapato_Inventory[[#This Row],[unbuildable]]=1,2,1)</f>
        <v>54500</v>
      </c>
      <c r="CA63" s="7">
        <f>Wapato_Inventory[[#This Row],[pre_res]]*Wapato_Inventory[[#This Row],[overall_adj]]</f>
        <v>266968.18231972813</v>
      </c>
      <c r="CB63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63" s="3">
        <f>IF(ROUND(Wapato_Inventory[[#This Row],[adj_res]]*Lookups!$H$48,-2)&lt;Wapato_Inventory[[#This Row],[min_res]],Wapato_Inventory[[#This Row],[min_res]],ROUND(Wapato_Inventory[[#This Row],[adj_res]]*Lookups!$H$48,-2))</f>
        <v>253600</v>
      </c>
      <c r="CD63" s="3">
        <f>ROUND(Wapato_Inventory[[#This Row],[det_value]]*Lookups!$H$48,-2)</f>
        <v>1000</v>
      </c>
      <c r="CE63" s="3">
        <f>Wapato_Inventory[[#This Row],[final_res]]+Wapato_Inventory[[#This Row],[final_det]]</f>
        <v>254600</v>
      </c>
      <c r="CF63" s="3">
        <f>Wapato_Inventory[[#This Row],[crop_value]]+Wapato_Inventory[[#This Row],[final_land]]+Wapato_Inventory[[#This Row],[final_imp]]</f>
        <v>306400</v>
      </c>
      <c r="CH63" t="str">
        <f t="shared" si="0"/>
        <v>update valuation set market_land =51800, market_bldg=254600, market_total =306400, market_mdno =405, market_date ='9/10/2023' where link_id = (select link_id from parcel where parcel_year = '2024' and parcel_id = '19110944454');</v>
      </c>
    </row>
    <row r="64" spans="1:86" x14ac:dyDescent="0.25">
      <c r="A64">
        <v>19110944456</v>
      </c>
      <c r="B64">
        <v>0.32</v>
      </c>
      <c r="C64">
        <v>14096</v>
      </c>
      <c r="D64" t="s">
        <v>144</v>
      </c>
      <c r="E64" t="s">
        <v>54</v>
      </c>
      <c r="F64" t="s">
        <v>54</v>
      </c>
      <c r="G64">
        <v>3</v>
      </c>
      <c r="H64" t="s">
        <v>55</v>
      </c>
      <c r="I64">
        <v>130300</v>
      </c>
      <c r="J64">
        <v>37200</v>
      </c>
      <c r="K64">
        <v>0.32</v>
      </c>
      <c r="L64">
        <f>IF(Wapato_Inventory[[#This Row],[parcel_acres]]-Wapato_Inventory[[#This Row],[non_valued_acres]] =0,0,LN(Wapato_Inventory[[#This Row],[parcel_acres]]-Wapato_Inventory[[#This Row],[non_valued_acres]]))</f>
        <v>-1.1394342831883648</v>
      </c>
      <c r="M64">
        <v>0</v>
      </c>
      <c r="N64">
        <v>0</v>
      </c>
      <c r="O64">
        <v>0</v>
      </c>
      <c r="P64">
        <v>27904.037</v>
      </c>
      <c r="Q64">
        <v>74398</v>
      </c>
      <c r="R64" s="3">
        <f>(Wapato_Inventory[[#This Row],[ln_acres]]*Wapato_Inventory[[#This Row],[coeff]])+Wapato_Inventory[[#This Row],[const]]</f>
        <v>42603.18360284339</v>
      </c>
      <c r="S64" t="s">
        <v>66</v>
      </c>
      <c r="T64">
        <v>1</v>
      </c>
      <c r="U64" t="s">
        <v>71</v>
      </c>
      <c r="V64" t="s">
        <v>68</v>
      </c>
      <c r="W64">
        <v>0</v>
      </c>
      <c r="X64">
        <v>0</v>
      </c>
      <c r="Y64">
        <v>52</v>
      </c>
      <c r="Z64">
        <v>88</v>
      </c>
      <c r="AA64">
        <v>90</v>
      </c>
      <c r="AB64">
        <v>1500</v>
      </c>
      <c r="AC64">
        <v>1200</v>
      </c>
      <c r="AD64">
        <v>1200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240</v>
      </c>
      <c r="AM64">
        <v>0</v>
      </c>
      <c r="AN64">
        <v>0</v>
      </c>
      <c r="AO64">
        <v>240</v>
      </c>
      <c r="AP64">
        <v>5</v>
      </c>
      <c r="AQ64">
        <v>0</v>
      </c>
      <c r="AR64">
        <v>0</v>
      </c>
      <c r="AS64" t="s">
        <v>59</v>
      </c>
      <c r="AT64">
        <v>1</v>
      </c>
      <c r="AU64" t="s">
        <v>72</v>
      </c>
      <c r="AV64" t="s">
        <v>61</v>
      </c>
      <c r="AW64">
        <v>0</v>
      </c>
      <c r="AX64">
        <v>2</v>
      </c>
      <c r="AY64">
        <v>0</v>
      </c>
      <c r="AZ64">
        <v>3600</v>
      </c>
      <c r="BA64">
        <v>100</v>
      </c>
      <c r="BB64">
        <v>100</v>
      </c>
      <c r="BC64">
        <v>100</v>
      </c>
      <c r="BD64">
        <v>100</v>
      </c>
      <c r="BE64">
        <v>1</v>
      </c>
      <c r="BF64">
        <v>15000</v>
      </c>
      <c r="BG64">
        <v>1000</v>
      </c>
      <c r="BH64" s="7">
        <f>ROUND(Wapato_Inventory[[#This Row],[detatched_value]]*Lookups!$B$22*Lookups!$H$48,-2)</f>
        <v>3200</v>
      </c>
      <c r="BI64" s="7">
        <f>ROUND(((Wapato_Inventory[[#This Row],[land_extract]]*Lookups!$B$3) +(Lookups!$B$2*0.5))*Lookups!$H$48,-2)</f>
        <v>55200</v>
      </c>
      <c r="BJ64" s="7">
        <f>IF(Wapato_Inventory[[#This Row],[bldg_style]]="",0,Lookups!$B$2*0.5)</f>
        <v>53765.27</v>
      </c>
      <c r="BK64" s="7">
        <f>_xlfn.IFNA(VLOOKUP(Wapato_Inventory[[#This Row],[quality]],Lookups!$H$2:$J$14,3,FALSE),0)</f>
        <v>28034</v>
      </c>
      <c r="BL64" s="7">
        <f>_xlfn.IFNA(VLOOKUP(Wapato_Inventory[[#This Row],[condition]],Lookups!$H$17:$J$24,3,FALSE),0)</f>
        <v>52231</v>
      </c>
      <c r="BM64" s="7">
        <f>Wapato_Inventory[[#This Row],[Age]]*Lookups!$B$16</f>
        <v>-32619.461600000002</v>
      </c>
      <c r="BN64" s="7">
        <f>Wapato_Inventory[[#This Row],[Main Floor]]*Lookups!$B$17</f>
        <v>50160.8868</v>
      </c>
      <c r="BO64" s="7">
        <f>Wapato_Inventory[[#This Row],[Upper Floor]]*Lookups!$B$18</f>
        <v>0</v>
      </c>
      <c r="BP64" s="7">
        <f>Wapato_Inventory[[#This Row],[Fin BSMT]]*Lookups!$B$19</f>
        <v>0</v>
      </c>
      <c r="BQ64" s="7">
        <f>(Wapato_Inventory[[#This Row],[att_gar]]+Wapato_Inventory[[#This Row],[blt_gar]])*Lookups!$B$20</f>
        <v>0</v>
      </c>
      <c r="BR64" s="7">
        <f>Wapato_Inventory[[#This Row],[Patio]]*Lookups!$B$21</f>
        <v>0</v>
      </c>
      <c r="BS64" s="7">
        <f>SUM(Wapato_Inventory[[#This Row],[intercept]:[patio_value]])*Wapato_Inventory[[#This Row],[res_pct]]</f>
        <v>151571.69519999999</v>
      </c>
      <c r="BT64" s="7">
        <f>Wapato_Inventory[[#This Row],[land_value]]</f>
        <v>55200</v>
      </c>
      <c r="BU64" s="2">
        <f>_xlfn.IFNA(VLOOKUP(Wapato_Inventory[[#This Row],[quality]],Lookups!$A$28:$C$37,3,FALSE),1)</f>
        <v>0.96265813922927435</v>
      </c>
      <c r="BV64" s="2">
        <f>_xlfn.IFNA(VLOOKUP(Wapato_Inventory[[#This Row],[condition]],Lookups!$A$41:$C$48,3,FALSE),1)</f>
        <v>0.9832333997567807</v>
      </c>
      <c r="BW64" s="2">
        <f>IF(Wapato_Inventory[[#This Row],[decade]]="",1,_xlfn.IFNA(VLOOKUP(Wapato_Inventory[[#This Row],[decade]],Lookups!$F$28:$H$45,3,FALSE),1))</f>
        <v>0.94742695999815718</v>
      </c>
      <c r="BX64" s="2">
        <f>_xlfn.IFNA(VLOOKUP(Wapato_Inventory[[#This Row],[living_area_range]],Lookups!$K$28:$M$37,3,FALSE),1)</f>
        <v>1.0061411172456287</v>
      </c>
      <c r="BY64" s="2">
        <f>AVERAGE(Wapato_Inventory[[#This Row],[qual_adj]:[range_adj]])</f>
        <v>0.97486490405746018</v>
      </c>
      <c r="BZ64" s="7">
        <f>(Wapato_Inventory[[#This Row],[sum_land]]-IF(Wapato_Inventory[[#This Row],[no_utilities]]=1,12000,0))/IF(Wapato_Inventory[[#This Row],[unbuildable]]=1,2,1)</f>
        <v>55200</v>
      </c>
      <c r="CA64" s="7">
        <f>Wapato_Inventory[[#This Row],[pre_res]]*Wapato_Inventory[[#This Row],[overall_adj]]</f>
        <v>147761.9260989746</v>
      </c>
      <c r="CB64" s="3">
        <f>IF(ROUND(Wapato_Inventory[[#This Row],[adj_land]]*Lookups!$H$48,-2)&lt;Wapato_Inventory[[#This Row],[min_land]],Wapato_Inventory[[#This Row],[min_land]],ROUND(Wapato_Inventory[[#This Row],[adj_land]]*Lookups!$H$48,-2))</f>
        <v>52400</v>
      </c>
      <c r="CC64" s="3">
        <f>IF(ROUND(Wapato_Inventory[[#This Row],[adj_res]]*Lookups!$H$48,-2)&lt;Wapato_Inventory[[#This Row],[min_res]],Wapato_Inventory[[#This Row],[min_res]],ROUND(Wapato_Inventory[[#This Row],[adj_res]]*Lookups!$H$48,-2))</f>
        <v>140400</v>
      </c>
      <c r="CD64" s="3">
        <f>ROUND(Wapato_Inventory[[#This Row],[det_value]]*Lookups!$H$48,-2)</f>
        <v>3000</v>
      </c>
      <c r="CE64" s="3">
        <f>Wapato_Inventory[[#This Row],[final_res]]+Wapato_Inventory[[#This Row],[final_det]]</f>
        <v>143400</v>
      </c>
      <c r="CF64" s="3">
        <f>Wapato_Inventory[[#This Row],[crop_value]]+Wapato_Inventory[[#This Row],[final_land]]+Wapato_Inventory[[#This Row],[final_imp]]</f>
        <v>195800</v>
      </c>
      <c r="CH64" t="str">
        <f t="shared" si="0"/>
        <v>update valuation set market_land =52400, market_bldg=143400, market_total =195800, market_mdno =405, market_date ='9/10/2023' where link_id = (select link_id from parcel where parcel_year = '2024' and parcel_id = '19110944456');</v>
      </c>
    </row>
    <row r="65" spans="1:86" x14ac:dyDescent="0.25">
      <c r="A65">
        <v>19110944457</v>
      </c>
      <c r="B65">
        <v>0.68</v>
      </c>
      <c r="C65">
        <v>29465</v>
      </c>
      <c r="D65" t="s">
        <v>144</v>
      </c>
      <c r="E65" t="s">
        <v>54</v>
      </c>
      <c r="F65" t="s">
        <v>54</v>
      </c>
      <c r="G65">
        <v>3</v>
      </c>
      <c r="H65" t="s">
        <v>55</v>
      </c>
      <c r="I65">
        <v>103800</v>
      </c>
      <c r="J65">
        <v>42500</v>
      </c>
      <c r="K65">
        <v>0.68</v>
      </c>
      <c r="L65">
        <f>IF(Wapato_Inventory[[#This Row],[parcel_acres]]-Wapato_Inventory[[#This Row],[non_valued_acres]] =0,0,LN(Wapato_Inventory[[#This Row],[parcel_acres]]-Wapato_Inventory[[#This Row],[non_valued_acres]]))</f>
        <v>-0.38566248081198462</v>
      </c>
      <c r="M65">
        <v>0</v>
      </c>
      <c r="N65">
        <v>0</v>
      </c>
      <c r="O65">
        <v>0</v>
      </c>
      <c r="P65">
        <v>27904.037</v>
      </c>
      <c r="Q65">
        <v>74398</v>
      </c>
      <c r="R65" s="3">
        <f>(Wapato_Inventory[[#This Row],[ln_acres]]*Wapato_Inventory[[#This Row],[coeff]])+Wapato_Inventory[[#This Row],[const]]</f>
        <v>63636.45986591059</v>
      </c>
      <c r="S65" t="s">
        <v>66</v>
      </c>
      <c r="T65">
        <v>1</v>
      </c>
      <c r="U65" t="s">
        <v>78</v>
      </c>
      <c r="V65" t="s">
        <v>73</v>
      </c>
      <c r="W65">
        <v>0</v>
      </c>
      <c r="X65">
        <v>0</v>
      </c>
      <c r="Y65">
        <v>57</v>
      </c>
      <c r="Z65">
        <v>103</v>
      </c>
      <c r="AA65">
        <v>110</v>
      </c>
      <c r="AB65">
        <v>1500</v>
      </c>
      <c r="AC65">
        <v>1158</v>
      </c>
      <c r="AD65">
        <v>1158</v>
      </c>
      <c r="AE65">
        <v>0</v>
      </c>
      <c r="AF65">
        <v>0</v>
      </c>
      <c r="AG65">
        <v>0</v>
      </c>
      <c r="AH65">
        <v>192</v>
      </c>
      <c r="AI65">
        <v>0</v>
      </c>
      <c r="AJ65">
        <v>0</v>
      </c>
      <c r="AK65">
        <v>0</v>
      </c>
      <c r="AL65">
        <v>0</v>
      </c>
      <c r="AM65">
        <v>60</v>
      </c>
      <c r="AN65">
        <v>0</v>
      </c>
      <c r="AO65">
        <v>60</v>
      </c>
      <c r="AP65">
        <v>5</v>
      </c>
      <c r="AQ65">
        <v>0</v>
      </c>
      <c r="AR65">
        <v>0</v>
      </c>
      <c r="AS65" t="s">
        <v>59</v>
      </c>
      <c r="AT65">
        <v>0</v>
      </c>
      <c r="AU65" t="s">
        <v>80</v>
      </c>
      <c r="AV65" t="s">
        <v>77</v>
      </c>
      <c r="AW65">
        <v>0</v>
      </c>
      <c r="AX65">
        <v>3</v>
      </c>
      <c r="AY65">
        <v>0</v>
      </c>
      <c r="AZ65">
        <v>18600</v>
      </c>
      <c r="BA65">
        <v>100</v>
      </c>
      <c r="BB65">
        <v>100</v>
      </c>
      <c r="BC65">
        <v>100</v>
      </c>
      <c r="BD65">
        <v>100</v>
      </c>
      <c r="BE65">
        <v>1</v>
      </c>
      <c r="BF65">
        <v>15000</v>
      </c>
      <c r="BG65">
        <v>1000</v>
      </c>
      <c r="BH65" s="7">
        <f>ROUND(Wapato_Inventory[[#This Row],[detatched_value]]*Lookups!$B$22*Lookups!$H$48,-2)</f>
        <v>16600</v>
      </c>
      <c r="BI65" s="7">
        <f>ROUND(((Wapato_Inventory[[#This Row],[land_extract]]*Lookups!$B$3) +(Lookups!$B$2*0.5))*Lookups!$H$48,-2)</f>
        <v>57200</v>
      </c>
      <c r="BJ65" s="7">
        <f>IF(Wapato_Inventory[[#This Row],[bldg_style]]="",0,Lookups!$B$2*0.5)</f>
        <v>53765.27</v>
      </c>
      <c r="BK65" s="7">
        <f>_xlfn.IFNA(VLOOKUP(Wapato_Inventory[[#This Row],[quality]],Lookups!$H$2:$J$14,3,FALSE),0)</f>
        <v>23424</v>
      </c>
      <c r="BL65" s="7">
        <f>_xlfn.IFNA(VLOOKUP(Wapato_Inventory[[#This Row],[condition]],Lookups!$H$17:$J$24,3,FALSE),0)</f>
        <v>16276</v>
      </c>
      <c r="BM65" s="7">
        <f>Wapato_Inventory[[#This Row],[Age]]*Lookups!$B$16</f>
        <v>-38179.597099999999</v>
      </c>
      <c r="BN65" s="7">
        <f>Wapato_Inventory[[#This Row],[Main Floor]]*Lookups!$B$17</f>
        <v>48405.255762000001</v>
      </c>
      <c r="BO65" s="7">
        <f>Wapato_Inventory[[#This Row],[Upper Floor]]*Lookups!$B$18</f>
        <v>0</v>
      </c>
      <c r="BP65" s="7">
        <f>Wapato_Inventory[[#This Row],[Fin BSMT]]*Lookups!$B$19</f>
        <v>0</v>
      </c>
      <c r="BQ65" s="7">
        <f>(Wapato_Inventory[[#This Row],[att_gar]]+Wapato_Inventory[[#This Row],[blt_gar]])*Lookups!$B$20</f>
        <v>0</v>
      </c>
      <c r="BR65" s="7">
        <f>Wapato_Inventory[[#This Row],[Patio]]*Lookups!$B$21</f>
        <v>2599.4387400000001</v>
      </c>
      <c r="BS65" s="7">
        <f>SUM(Wapato_Inventory[[#This Row],[intercept]:[patio_value]])*Wapato_Inventory[[#This Row],[res_pct]]</f>
        <v>106290.36740199999</v>
      </c>
      <c r="BT65" s="7">
        <f>Wapato_Inventory[[#This Row],[land_value]]</f>
        <v>57200</v>
      </c>
      <c r="BU65" s="2">
        <f>_xlfn.IFNA(VLOOKUP(Wapato_Inventory[[#This Row],[quality]],Lookups!$A$28:$C$37,3,FALSE),1)</f>
        <v>1.0091195562373767</v>
      </c>
      <c r="BV65" s="2">
        <f>_xlfn.IFNA(VLOOKUP(Wapato_Inventory[[#This Row],[condition]],Lookups!$A$41:$C$48,3,FALSE),1)</f>
        <v>0.93399385491337139</v>
      </c>
      <c r="BW65" s="2">
        <f>IF(Wapato_Inventory[[#This Row],[decade]]="",1,_xlfn.IFNA(VLOOKUP(Wapato_Inventory[[#This Row],[decade]],Lookups!$F$28:$H$45,3,FALSE),1))</f>
        <v>0.93664589651353292</v>
      </c>
      <c r="BX65" s="2">
        <f>_xlfn.IFNA(VLOOKUP(Wapato_Inventory[[#This Row],[living_area_range]],Lookups!$K$28:$M$37,3,FALSE),1)</f>
        <v>1.0061411172456287</v>
      </c>
      <c r="BY65" s="2">
        <f>AVERAGE(Wapato_Inventory[[#This Row],[qual_adj]:[range_adj]])</f>
        <v>0.97147510622747735</v>
      </c>
      <c r="BZ65" s="7">
        <f>(Wapato_Inventory[[#This Row],[sum_land]]-IF(Wapato_Inventory[[#This Row],[no_utilities]]=1,12000,0))/IF(Wapato_Inventory[[#This Row],[unbuildable]]=1,2,1)</f>
        <v>57200</v>
      </c>
      <c r="CA65" s="7">
        <f>Wapato_Inventory[[#This Row],[pre_res]]*Wapato_Inventory[[#This Row],[overall_adj]]</f>
        <v>103258.44596281553</v>
      </c>
      <c r="CB65" s="3">
        <f>IF(ROUND(Wapato_Inventory[[#This Row],[adj_land]]*Lookups!$H$48,-2)&lt;Wapato_Inventory[[#This Row],[min_land]],Wapato_Inventory[[#This Row],[min_land]],ROUND(Wapato_Inventory[[#This Row],[adj_land]]*Lookups!$H$48,-2))</f>
        <v>54300</v>
      </c>
      <c r="CC65" s="3">
        <f>IF(ROUND(Wapato_Inventory[[#This Row],[adj_res]]*Lookups!$H$48,-2)&lt;Wapato_Inventory[[#This Row],[min_res]],Wapato_Inventory[[#This Row],[min_res]],ROUND(Wapato_Inventory[[#This Row],[adj_res]]*Lookups!$H$48,-2))</f>
        <v>98100</v>
      </c>
      <c r="CD65" s="3">
        <f>ROUND(Wapato_Inventory[[#This Row],[det_value]]*Lookups!$H$48,-2)</f>
        <v>15800</v>
      </c>
      <c r="CE65" s="3">
        <f>Wapato_Inventory[[#This Row],[final_res]]+Wapato_Inventory[[#This Row],[final_det]]</f>
        <v>113900</v>
      </c>
      <c r="CF65" s="3">
        <f>Wapato_Inventory[[#This Row],[crop_value]]+Wapato_Inventory[[#This Row],[final_land]]+Wapato_Inventory[[#This Row],[final_imp]]</f>
        <v>168200</v>
      </c>
      <c r="CH65" t="str">
        <f t="shared" si="0"/>
        <v>update valuation set market_land =54300, market_bldg=113900, market_total =168200, market_mdno =405, market_date ='9/10/2023' where link_id = (select link_id from parcel where parcel_year = '2024' and parcel_id = '19110944457');</v>
      </c>
    </row>
    <row r="66" spans="1:86" x14ac:dyDescent="0.25">
      <c r="A66">
        <v>19110944458</v>
      </c>
      <c r="B66">
        <v>0.27</v>
      </c>
      <c r="C66">
        <v>11738</v>
      </c>
      <c r="D66" t="s">
        <v>144</v>
      </c>
      <c r="E66" t="s">
        <v>54</v>
      </c>
      <c r="F66" t="s">
        <v>54</v>
      </c>
      <c r="G66">
        <v>3</v>
      </c>
      <c r="H66" t="s">
        <v>55</v>
      </c>
      <c r="I66">
        <v>175500</v>
      </c>
      <c r="J66">
        <v>36000</v>
      </c>
      <c r="K66">
        <v>0.27</v>
      </c>
      <c r="L66">
        <f>IF(Wapato_Inventory[[#This Row],[parcel_acres]]-Wapato_Inventory[[#This Row],[non_valued_acres]] =0,0,LN(Wapato_Inventory[[#This Row],[parcel_acres]]-Wapato_Inventory[[#This Row],[non_valued_acres]]))</f>
        <v>-1.3093333199837622</v>
      </c>
      <c r="M66">
        <v>0</v>
      </c>
      <c r="N66">
        <v>0</v>
      </c>
      <c r="O66">
        <v>0</v>
      </c>
      <c r="P66">
        <v>27904.037</v>
      </c>
      <c r="Q66">
        <v>74398</v>
      </c>
      <c r="R66" s="3">
        <f>(Wapato_Inventory[[#This Row],[ln_acres]]*Wapato_Inventory[[#This Row],[coeff]])+Wapato_Inventory[[#This Row],[const]]</f>
        <v>37862.314593840259</v>
      </c>
      <c r="S66" t="s">
        <v>66</v>
      </c>
      <c r="T66">
        <v>1</v>
      </c>
      <c r="U66" t="s">
        <v>75</v>
      </c>
      <c r="V66" t="s">
        <v>69</v>
      </c>
      <c r="W66">
        <v>0</v>
      </c>
      <c r="X66">
        <v>0</v>
      </c>
      <c r="Y66">
        <v>51</v>
      </c>
      <c r="Z66">
        <v>83</v>
      </c>
      <c r="AA66">
        <v>90</v>
      </c>
      <c r="AB66">
        <v>1000</v>
      </c>
      <c r="AC66">
        <v>976</v>
      </c>
      <c r="AD66">
        <v>976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280</v>
      </c>
      <c r="AN66">
        <v>72</v>
      </c>
      <c r="AO66">
        <v>280</v>
      </c>
      <c r="AP66">
        <v>5</v>
      </c>
      <c r="AQ66">
        <v>0</v>
      </c>
      <c r="AR66">
        <v>0</v>
      </c>
      <c r="AS66" t="s">
        <v>59</v>
      </c>
      <c r="AT66">
        <v>1</v>
      </c>
      <c r="AU66" t="s">
        <v>72</v>
      </c>
      <c r="AV66" t="s">
        <v>61</v>
      </c>
      <c r="AW66">
        <v>0</v>
      </c>
      <c r="AX66">
        <v>2</v>
      </c>
      <c r="AY66">
        <v>0</v>
      </c>
      <c r="AZ66">
        <v>2800</v>
      </c>
      <c r="BA66">
        <v>100</v>
      </c>
      <c r="BB66">
        <v>100</v>
      </c>
      <c r="BC66">
        <v>100</v>
      </c>
      <c r="BD66">
        <v>100</v>
      </c>
      <c r="BE66">
        <v>1</v>
      </c>
      <c r="BF66">
        <v>15000</v>
      </c>
      <c r="BG66">
        <v>1000</v>
      </c>
      <c r="BH66" s="7">
        <f>ROUND(Wapato_Inventory[[#This Row],[detatched_value]]*Lookups!$B$22*Lookups!$H$48,-2)</f>
        <v>2500</v>
      </c>
      <c r="BI66" s="7">
        <f>ROUND(((Wapato_Inventory[[#This Row],[land_extract]]*Lookups!$B$3) +(Lookups!$B$2*0.5))*Lookups!$H$48,-2)</f>
        <v>54700</v>
      </c>
      <c r="BJ66" s="7">
        <f>IF(Wapato_Inventory[[#This Row],[bldg_style]]="",0,Lookups!$B$2*0.5)</f>
        <v>53765.27</v>
      </c>
      <c r="BK66" s="7">
        <f>_xlfn.IFNA(VLOOKUP(Wapato_Inventory[[#This Row],[quality]],Lookups!$H$2:$J$14,3,FALSE),0)</f>
        <v>48043</v>
      </c>
      <c r="BL66" s="7">
        <f>_xlfn.IFNA(VLOOKUP(Wapato_Inventory[[#This Row],[condition]],Lookups!$H$17:$J$24,3,FALSE),0)</f>
        <v>74543</v>
      </c>
      <c r="BM66" s="7">
        <f>Wapato_Inventory[[#This Row],[Age]]*Lookups!$B$16</f>
        <v>-30766.0831</v>
      </c>
      <c r="BN66" s="7">
        <f>Wapato_Inventory[[#This Row],[Main Floor]]*Lookups!$B$17</f>
        <v>40797.521264000003</v>
      </c>
      <c r="BO66" s="7">
        <f>Wapato_Inventory[[#This Row],[Upper Floor]]*Lookups!$B$18</f>
        <v>0</v>
      </c>
      <c r="BP66" s="7">
        <f>Wapato_Inventory[[#This Row],[Fin BSMT]]*Lookups!$B$19</f>
        <v>0</v>
      </c>
      <c r="BQ66" s="7">
        <f>(Wapato_Inventory[[#This Row],[att_gar]]+Wapato_Inventory[[#This Row],[blt_gar]])*Lookups!$B$20</f>
        <v>0</v>
      </c>
      <c r="BR66" s="7">
        <f>Wapato_Inventory[[#This Row],[Patio]]*Lookups!$B$21</f>
        <v>12130.714120000001</v>
      </c>
      <c r="BS66" s="7">
        <f>SUM(Wapato_Inventory[[#This Row],[intercept]:[patio_value]])*Wapato_Inventory[[#This Row],[res_pct]]</f>
        <v>198513.422284</v>
      </c>
      <c r="BT66" s="7">
        <f>Wapato_Inventory[[#This Row],[land_value]]</f>
        <v>54700</v>
      </c>
      <c r="BU66" s="2">
        <f>_xlfn.IFNA(VLOOKUP(Wapato_Inventory[[#This Row],[quality]],Lookups!$A$28:$C$37,3,FALSE),1)</f>
        <v>0.98196844879778955</v>
      </c>
      <c r="BV66" s="2">
        <f>_xlfn.IFNA(VLOOKUP(Wapato_Inventory[[#This Row],[condition]],Lookups!$A$41:$C$48,3,FALSE),1)</f>
        <v>0.98442438223270734</v>
      </c>
      <c r="BW66" s="2">
        <f>IF(Wapato_Inventory[[#This Row],[decade]]="",1,_xlfn.IFNA(VLOOKUP(Wapato_Inventory[[#This Row],[decade]],Lookups!$F$28:$H$45,3,FALSE),1))</f>
        <v>0.94742695999815718</v>
      </c>
      <c r="BX66" s="2">
        <f>_xlfn.IFNA(VLOOKUP(Wapato_Inventory[[#This Row],[living_area_range]],Lookups!$K$28:$M$37,3,FALSE),1)</f>
        <v>0.99022994770196116</v>
      </c>
      <c r="BY66" s="2">
        <f>AVERAGE(Wapato_Inventory[[#This Row],[qual_adj]:[range_adj]])</f>
        <v>0.97601243468265375</v>
      </c>
      <c r="BZ66" s="7">
        <f>(Wapato_Inventory[[#This Row],[sum_land]]-IF(Wapato_Inventory[[#This Row],[no_utilities]]=1,12000,0))/IF(Wapato_Inventory[[#This Row],[unbuildable]]=1,2,1)</f>
        <v>54700</v>
      </c>
      <c r="CA66" s="7">
        <f>Wapato_Inventory[[#This Row],[pre_res]]*Wapato_Inventory[[#This Row],[overall_adj]]</f>
        <v>193751.56860059261</v>
      </c>
      <c r="CB66" s="3">
        <f>IF(ROUND(Wapato_Inventory[[#This Row],[adj_land]]*Lookups!$H$48,-2)&lt;Wapato_Inventory[[#This Row],[min_land]],Wapato_Inventory[[#This Row],[min_land]],ROUND(Wapato_Inventory[[#This Row],[adj_land]]*Lookups!$H$48,-2))</f>
        <v>52000</v>
      </c>
      <c r="CC66" s="3">
        <f>IF(ROUND(Wapato_Inventory[[#This Row],[adj_res]]*Lookups!$H$48,-2)&lt;Wapato_Inventory[[#This Row],[min_res]],Wapato_Inventory[[#This Row],[min_res]],ROUND(Wapato_Inventory[[#This Row],[adj_res]]*Lookups!$H$48,-2))</f>
        <v>184100</v>
      </c>
      <c r="CD66" s="3">
        <f>ROUND(Wapato_Inventory[[#This Row],[det_value]]*Lookups!$H$48,-2)</f>
        <v>2400</v>
      </c>
      <c r="CE66" s="3">
        <f>Wapato_Inventory[[#This Row],[final_res]]+Wapato_Inventory[[#This Row],[final_det]]</f>
        <v>186500</v>
      </c>
      <c r="CF66" s="3">
        <f>Wapato_Inventory[[#This Row],[crop_value]]+Wapato_Inventory[[#This Row],[final_land]]+Wapato_Inventory[[#This Row],[final_imp]]</f>
        <v>238500</v>
      </c>
      <c r="CH66" t="str">
        <f t="shared" ref="CH66:CH129" si="1">"update valuation set market_land ="&amp;CB66&amp;", market_bldg="&amp;CE66&amp;", market_total ="&amp;CF66&amp;", market_mdno ="&amp;$CH$1&amp;", market_date ='"&amp;TEXT($CI$1,"m/d/yyyy")&amp;"' where link_id = (select link_id from parcel where parcel_year = '2024' and parcel_id = '"&amp;A66&amp;"');"</f>
        <v>update valuation set market_land =52000, market_bldg=186500, market_total =238500, market_mdno =405, market_date ='9/10/2023' where link_id = (select link_id from parcel where parcel_year = '2024' and parcel_id = '19110944458');</v>
      </c>
    </row>
    <row r="67" spans="1:86" x14ac:dyDescent="0.25">
      <c r="A67">
        <v>19110944459</v>
      </c>
      <c r="B67">
        <v>0.23</v>
      </c>
      <c r="C67">
        <v>10040</v>
      </c>
      <c r="D67" t="s">
        <v>144</v>
      </c>
      <c r="E67" t="s">
        <v>54</v>
      </c>
      <c r="F67" t="s">
        <v>54</v>
      </c>
      <c r="G67">
        <v>3</v>
      </c>
      <c r="H67" t="s">
        <v>55</v>
      </c>
      <c r="I67">
        <v>106100</v>
      </c>
      <c r="J67">
        <v>34900</v>
      </c>
      <c r="K67">
        <v>0.23</v>
      </c>
      <c r="L67">
        <f>IF(Wapato_Inventory[[#This Row],[parcel_acres]]-Wapato_Inventory[[#This Row],[non_valued_acres]] =0,0,LN(Wapato_Inventory[[#This Row],[parcel_acres]]-Wapato_Inventory[[#This Row],[non_valued_acres]]))</f>
        <v>-1.4696759700589417</v>
      </c>
      <c r="M67">
        <v>0</v>
      </c>
      <c r="N67">
        <v>0</v>
      </c>
      <c r="O67">
        <v>0</v>
      </c>
      <c r="P67">
        <v>27904.037</v>
      </c>
      <c r="Q67">
        <v>74398</v>
      </c>
      <c r="R67" s="3">
        <f>(Wapato_Inventory[[#This Row],[ln_acres]]*Wapato_Inventory[[#This Row],[coeff]])+Wapato_Inventory[[#This Row],[const]]</f>
        <v>33388.107353464402</v>
      </c>
      <c r="S67" t="s">
        <v>66</v>
      </c>
      <c r="T67">
        <v>1</v>
      </c>
      <c r="U67" t="s">
        <v>71</v>
      </c>
      <c r="V67" t="s">
        <v>68</v>
      </c>
      <c r="W67">
        <v>0</v>
      </c>
      <c r="X67">
        <v>0</v>
      </c>
      <c r="Y67">
        <v>52</v>
      </c>
      <c r="Z67">
        <v>88</v>
      </c>
      <c r="AA67">
        <v>90</v>
      </c>
      <c r="AB67">
        <v>1000</v>
      </c>
      <c r="AC67">
        <v>924</v>
      </c>
      <c r="AD67">
        <v>924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396</v>
      </c>
      <c r="AL67">
        <v>0</v>
      </c>
      <c r="AM67">
        <v>0</v>
      </c>
      <c r="AN67">
        <v>0</v>
      </c>
      <c r="AO67">
        <v>0</v>
      </c>
      <c r="AP67">
        <v>5</v>
      </c>
      <c r="AQ67">
        <v>0</v>
      </c>
      <c r="AR67">
        <v>0</v>
      </c>
      <c r="AS67" t="s">
        <v>59</v>
      </c>
      <c r="AT67">
        <v>1</v>
      </c>
      <c r="AU67" t="s">
        <v>76</v>
      </c>
      <c r="AV67" t="s">
        <v>61</v>
      </c>
      <c r="AW67">
        <v>0</v>
      </c>
      <c r="AX67">
        <v>2</v>
      </c>
      <c r="AY67">
        <v>0</v>
      </c>
      <c r="AZ67">
        <v>5700</v>
      </c>
      <c r="BA67">
        <v>100</v>
      </c>
      <c r="BB67">
        <v>100</v>
      </c>
      <c r="BC67">
        <v>100</v>
      </c>
      <c r="BD67">
        <v>100</v>
      </c>
      <c r="BE67">
        <v>1</v>
      </c>
      <c r="BF67">
        <v>15000</v>
      </c>
      <c r="BG67">
        <v>1000</v>
      </c>
      <c r="BH67" s="7">
        <f>ROUND(Wapato_Inventory[[#This Row],[detatched_value]]*Lookups!$B$22*Lookups!$H$48,-2)</f>
        <v>5100</v>
      </c>
      <c r="BI67" s="7">
        <f>ROUND(((Wapato_Inventory[[#This Row],[land_extract]]*Lookups!$B$3) +(Lookups!$B$2*0.5))*Lookups!$H$48,-2)</f>
        <v>54300</v>
      </c>
      <c r="BJ67" s="7">
        <f>IF(Wapato_Inventory[[#This Row],[bldg_style]]="",0,Lookups!$B$2*0.5)</f>
        <v>53765.27</v>
      </c>
      <c r="BK67" s="7">
        <f>_xlfn.IFNA(VLOOKUP(Wapato_Inventory[[#This Row],[quality]],Lookups!$H$2:$J$14,3,FALSE),0)</f>
        <v>28034</v>
      </c>
      <c r="BL67" s="7">
        <f>_xlfn.IFNA(VLOOKUP(Wapato_Inventory[[#This Row],[condition]],Lookups!$H$17:$J$24,3,FALSE),0)</f>
        <v>52231</v>
      </c>
      <c r="BM67" s="7">
        <f>Wapato_Inventory[[#This Row],[Age]]*Lookups!$B$16</f>
        <v>-32619.461600000002</v>
      </c>
      <c r="BN67" s="7">
        <f>Wapato_Inventory[[#This Row],[Main Floor]]*Lookups!$B$17</f>
        <v>38623.882835999997</v>
      </c>
      <c r="BO67" s="7">
        <f>Wapato_Inventory[[#This Row],[Upper Floor]]*Lookups!$B$18</f>
        <v>0</v>
      </c>
      <c r="BP67" s="7">
        <f>Wapato_Inventory[[#This Row],[Fin BSMT]]*Lookups!$B$19</f>
        <v>0</v>
      </c>
      <c r="BQ67" s="7">
        <f>(Wapato_Inventory[[#This Row],[att_gar]]+Wapato_Inventory[[#This Row],[blt_gar]])*Lookups!$B$20</f>
        <v>0</v>
      </c>
      <c r="BR67" s="7">
        <f>Wapato_Inventory[[#This Row],[Patio]]*Lookups!$B$21</f>
        <v>0</v>
      </c>
      <c r="BS67" s="7">
        <f>SUM(Wapato_Inventory[[#This Row],[intercept]:[patio_value]])*Wapato_Inventory[[#This Row],[res_pct]]</f>
        <v>140034.69123599998</v>
      </c>
      <c r="BT67" s="7">
        <f>Wapato_Inventory[[#This Row],[land_value]]</f>
        <v>54300</v>
      </c>
      <c r="BU67" s="2">
        <f>_xlfn.IFNA(VLOOKUP(Wapato_Inventory[[#This Row],[quality]],Lookups!$A$28:$C$37,3,FALSE),1)</f>
        <v>0.96265813922927435</v>
      </c>
      <c r="BV67" s="2">
        <f>_xlfn.IFNA(VLOOKUP(Wapato_Inventory[[#This Row],[condition]],Lookups!$A$41:$C$48,3,FALSE),1)</f>
        <v>0.9832333997567807</v>
      </c>
      <c r="BW67" s="2">
        <f>IF(Wapato_Inventory[[#This Row],[decade]]="",1,_xlfn.IFNA(VLOOKUP(Wapato_Inventory[[#This Row],[decade]],Lookups!$F$28:$H$45,3,FALSE),1))</f>
        <v>0.94742695999815718</v>
      </c>
      <c r="BX67" s="2">
        <f>_xlfn.IFNA(VLOOKUP(Wapato_Inventory[[#This Row],[living_area_range]],Lookups!$K$28:$M$37,3,FALSE),1)</f>
        <v>0.99022994770196116</v>
      </c>
      <c r="BY67" s="2">
        <f>AVERAGE(Wapato_Inventory[[#This Row],[qual_adj]:[range_adj]])</f>
        <v>0.97088711167154329</v>
      </c>
      <c r="BZ67" s="7">
        <f>(Wapato_Inventory[[#This Row],[sum_land]]-IF(Wapato_Inventory[[#This Row],[no_utilities]]=1,12000,0))/IF(Wapato_Inventory[[#This Row],[unbuildable]]=1,2,1)</f>
        <v>54300</v>
      </c>
      <c r="CA67" s="7">
        <f>Wapato_Inventory[[#This Row],[pre_res]]*Wapato_Inventory[[#This Row],[overall_adj]]</f>
        <v>135957.87690793641</v>
      </c>
      <c r="CB67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67" s="3">
        <f>IF(ROUND(Wapato_Inventory[[#This Row],[adj_res]]*Lookups!$H$48,-2)&lt;Wapato_Inventory[[#This Row],[min_res]],Wapato_Inventory[[#This Row],[min_res]],ROUND(Wapato_Inventory[[#This Row],[adj_res]]*Lookups!$H$48,-2))</f>
        <v>129200</v>
      </c>
      <c r="CD67" s="3">
        <f>ROUND(Wapato_Inventory[[#This Row],[det_value]]*Lookups!$H$48,-2)</f>
        <v>4800</v>
      </c>
      <c r="CE67" s="3">
        <f>Wapato_Inventory[[#This Row],[final_res]]+Wapato_Inventory[[#This Row],[final_det]]</f>
        <v>134000</v>
      </c>
      <c r="CF67" s="3">
        <f>Wapato_Inventory[[#This Row],[crop_value]]+Wapato_Inventory[[#This Row],[final_land]]+Wapato_Inventory[[#This Row],[final_imp]]</f>
        <v>185600</v>
      </c>
      <c r="CH67" t="str">
        <f t="shared" si="1"/>
        <v>update valuation set market_land =51600, market_bldg=134000, market_total =185600, market_mdno =405, market_date ='9/10/2023' where link_id = (select link_id from parcel where parcel_year = '2024' and parcel_id = '19110944459');</v>
      </c>
    </row>
    <row r="68" spans="1:86" x14ac:dyDescent="0.25">
      <c r="A68">
        <v>19110944461</v>
      </c>
      <c r="B68">
        <v>1</v>
      </c>
      <c r="C68">
        <v>43561</v>
      </c>
      <c r="D68" t="s">
        <v>144</v>
      </c>
      <c r="E68" t="s">
        <v>54</v>
      </c>
      <c r="F68" t="s">
        <v>54</v>
      </c>
      <c r="G68">
        <v>3</v>
      </c>
      <c r="H68" t="s">
        <v>55</v>
      </c>
      <c r="I68">
        <v>226600</v>
      </c>
      <c r="J68">
        <v>45300</v>
      </c>
      <c r="K68">
        <v>1</v>
      </c>
      <c r="L68">
        <f>IF(Wapato_Inventory[[#This Row],[parcel_acres]]-Wapato_Inventory[[#This Row],[non_valued_acres]] =0,0,LN(Wapato_Inventory[[#This Row],[parcel_acres]]-Wapato_Inventory[[#This Row],[non_valued_acres]]))</f>
        <v>0</v>
      </c>
      <c r="M68">
        <v>0</v>
      </c>
      <c r="N68">
        <v>0</v>
      </c>
      <c r="O68">
        <v>0</v>
      </c>
      <c r="P68">
        <v>27904.037</v>
      </c>
      <c r="Q68">
        <v>74398</v>
      </c>
      <c r="R68" s="3">
        <f>(Wapato_Inventory[[#This Row],[ln_acres]]*Wapato_Inventory[[#This Row],[coeff]])+Wapato_Inventory[[#This Row],[const]]</f>
        <v>74398</v>
      </c>
      <c r="S68" t="s">
        <v>66</v>
      </c>
      <c r="T68">
        <v>1</v>
      </c>
      <c r="U68" t="s">
        <v>75</v>
      </c>
      <c r="V68" t="s">
        <v>70</v>
      </c>
      <c r="W68">
        <v>0</v>
      </c>
      <c r="X68">
        <v>0</v>
      </c>
      <c r="Y68">
        <v>43</v>
      </c>
      <c r="Z68">
        <v>93</v>
      </c>
      <c r="AA68">
        <v>100</v>
      </c>
      <c r="AB68">
        <v>2000</v>
      </c>
      <c r="AC68">
        <v>1565</v>
      </c>
      <c r="AD68">
        <v>1565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138</v>
      </c>
      <c r="AO68">
        <v>0</v>
      </c>
      <c r="AP68">
        <v>8</v>
      </c>
      <c r="AQ68">
        <v>0</v>
      </c>
      <c r="AR68">
        <v>0</v>
      </c>
      <c r="AS68" t="s">
        <v>59</v>
      </c>
      <c r="AT68">
        <v>1</v>
      </c>
      <c r="AU68" t="s">
        <v>76</v>
      </c>
      <c r="AV68" t="s">
        <v>61</v>
      </c>
      <c r="AW68">
        <v>0</v>
      </c>
      <c r="AX68">
        <v>3</v>
      </c>
      <c r="AY68">
        <v>0</v>
      </c>
      <c r="AZ68">
        <v>0</v>
      </c>
      <c r="BA68">
        <v>100</v>
      </c>
      <c r="BB68">
        <v>100</v>
      </c>
      <c r="BC68">
        <v>100</v>
      </c>
      <c r="BD68">
        <v>100</v>
      </c>
      <c r="BE68">
        <v>1</v>
      </c>
      <c r="BF68">
        <v>15000</v>
      </c>
      <c r="BG68">
        <v>1000</v>
      </c>
      <c r="BH68" s="7">
        <f>ROUND(Wapato_Inventory[[#This Row],[detatched_value]]*Lookups!$B$22*Lookups!$H$48,-2)</f>
        <v>0</v>
      </c>
      <c r="BI68" s="7">
        <f>ROUND(((Wapato_Inventory[[#This Row],[land_extract]]*Lookups!$B$3) +(Lookups!$B$2*0.5))*Lookups!$H$48,-2)</f>
        <v>58300</v>
      </c>
      <c r="BJ68" s="7">
        <f>IF(Wapato_Inventory[[#This Row],[bldg_style]]="",0,Lookups!$B$2*0.5)</f>
        <v>53765.27</v>
      </c>
      <c r="BK68" s="7">
        <f>_xlfn.IFNA(VLOOKUP(Wapato_Inventory[[#This Row],[quality]],Lookups!$H$2:$J$14,3,FALSE),0)</f>
        <v>48043</v>
      </c>
      <c r="BL68" s="7">
        <f>_xlfn.IFNA(VLOOKUP(Wapato_Inventory[[#This Row],[condition]],Lookups!$H$17:$J$24,3,FALSE),0)</f>
        <v>84338</v>
      </c>
      <c r="BM68" s="7">
        <f>Wapato_Inventory[[#This Row],[Age]]*Lookups!$B$16</f>
        <v>-34472.840100000001</v>
      </c>
      <c r="BN68" s="7">
        <f>Wapato_Inventory[[#This Row],[Main Floor]]*Lookups!$B$17</f>
        <v>65418.156535000002</v>
      </c>
      <c r="BO68" s="7">
        <f>Wapato_Inventory[[#This Row],[Upper Floor]]*Lookups!$B$18</f>
        <v>0</v>
      </c>
      <c r="BP68" s="7">
        <f>Wapato_Inventory[[#This Row],[Fin BSMT]]*Lookups!$B$19</f>
        <v>0</v>
      </c>
      <c r="BQ68" s="7">
        <f>(Wapato_Inventory[[#This Row],[att_gar]]+Wapato_Inventory[[#This Row],[blt_gar]])*Lookups!$B$20</f>
        <v>0</v>
      </c>
      <c r="BR68" s="7">
        <f>Wapato_Inventory[[#This Row],[Patio]]*Lookups!$B$21</f>
        <v>0</v>
      </c>
      <c r="BS68" s="7">
        <f>SUM(Wapato_Inventory[[#This Row],[intercept]:[patio_value]])*Wapato_Inventory[[#This Row],[res_pct]]</f>
        <v>217091.586435</v>
      </c>
      <c r="BT68" s="7">
        <f>Wapato_Inventory[[#This Row],[land_value]]</f>
        <v>58300</v>
      </c>
      <c r="BU68" s="2">
        <f>_xlfn.IFNA(VLOOKUP(Wapato_Inventory[[#This Row],[quality]],Lookups!$A$28:$C$37,3,FALSE),1)</f>
        <v>0.98196844879778955</v>
      </c>
      <c r="BV68" s="2">
        <f>_xlfn.IFNA(VLOOKUP(Wapato_Inventory[[#This Row],[condition]],Lookups!$A$41:$C$48,3,FALSE),1)</f>
        <v>0.99478075210508476</v>
      </c>
      <c r="BW68" s="2">
        <f>IF(Wapato_Inventory[[#This Row],[decade]]="",1,_xlfn.IFNA(VLOOKUP(Wapato_Inventory[[#This Row],[decade]],Lookups!$F$28:$H$45,3,FALSE),1))</f>
        <v>1.0114203040664467</v>
      </c>
      <c r="BX68" s="2">
        <f>_xlfn.IFNA(VLOOKUP(Wapato_Inventory[[#This Row],[living_area_range]],Lookups!$K$28:$M$37,3,FALSE),1)</f>
        <v>0.99330894324714125</v>
      </c>
      <c r="BY68" s="2">
        <f>AVERAGE(Wapato_Inventory[[#This Row],[qual_adj]:[range_adj]])</f>
        <v>0.99536961205411545</v>
      </c>
      <c r="BZ68" s="7">
        <f>(Wapato_Inventory[[#This Row],[sum_land]]-IF(Wapato_Inventory[[#This Row],[no_utilities]]=1,12000,0))/IF(Wapato_Inventory[[#This Row],[unbuildable]]=1,2,1)</f>
        <v>58300</v>
      </c>
      <c r="CA68" s="7">
        <f>Wapato_Inventory[[#This Row],[pre_res]]*Wapato_Inventory[[#This Row],[overall_adj]]</f>
        <v>216086.36817001842</v>
      </c>
      <c r="CB68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68" s="3">
        <f>IF(ROUND(Wapato_Inventory[[#This Row],[adj_res]]*Lookups!$H$48,-2)&lt;Wapato_Inventory[[#This Row],[min_res]],Wapato_Inventory[[#This Row],[min_res]],ROUND(Wapato_Inventory[[#This Row],[adj_res]]*Lookups!$H$48,-2))</f>
        <v>205300</v>
      </c>
      <c r="CD68" s="3">
        <f>ROUND(Wapato_Inventory[[#This Row],[det_value]]*Lookups!$H$48,-2)</f>
        <v>0</v>
      </c>
      <c r="CE68" s="3">
        <f>Wapato_Inventory[[#This Row],[final_res]]+Wapato_Inventory[[#This Row],[final_det]]</f>
        <v>205300</v>
      </c>
      <c r="CF68" s="3">
        <f>Wapato_Inventory[[#This Row],[crop_value]]+Wapato_Inventory[[#This Row],[final_land]]+Wapato_Inventory[[#This Row],[final_imp]]</f>
        <v>260700</v>
      </c>
      <c r="CH68" t="str">
        <f t="shared" si="1"/>
        <v>update valuation set market_land =55400, market_bldg=205300, market_total =260700, market_mdno =405, market_date ='9/10/2023' where link_id = (select link_id from parcel where parcel_year = '2024' and parcel_id = '19110944461');</v>
      </c>
    </row>
    <row r="69" spans="1:86" x14ac:dyDescent="0.25">
      <c r="A69">
        <v>19110944463</v>
      </c>
      <c r="B69">
        <v>0.51</v>
      </c>
      <c r="C69">
        <v>22361</v>
      </c>
      <c r="D69" t="s">
        <v>144</v>
      </c>
      <c r="E69" t="s">
        <v>54</v>
      </c>
      <c r="F69" t="s">
        <v>54</v>
      </c>
      <c r="G69">
        <v>3</v>
      </c>
      <c r="H69" t="s">
        <v>55</v>
      </c>
      <c r="I69">
        <v>359900</v>
      </c>
      <c r="J69">
        <v>40500</v>
      </c>
      <c r="K69">
        <v>0.51</v>
      </c>
      <c r="L69">
        <f>IF(Wapato_Inventory[[#This Row],[parcel_acres]]-Wapato_Inventory[[#This Row],[non_valued_acres]] =0,0,LN(Wapato_Inventory[[#This Row],[parcel_acres]]-Wapato_Inventory[[#This Row],[non_valued_acres]]))</f>
        <v>-0.67334455326376563</v>
      </c>
      <c r="M69">
        <v>0</v>
      </c>
      <c r="N69">
        <v>0</v>
      </c>
      <c r="O69">
        <v>0</v>
      </c>
      <c r="P69">
        <v>27904.037</v>
      </c>
      <c r="Q69">
        <v>74398</v>
      </c>
      <c r="R69" s="3">
        <f>(Wapato_Inventory[[#This Row],[ln_acres]]*Wapato_Inventory[[#This Row],[coeff]])+Wapato_Inventory[[#This Row],[const]]</f>
        <v>55608.968671979412</v>
      </c>
      <c r="S69" t="s">
        <v>56</v>
      </c>
      <c r="T69">
        <v>2</v>
      </c>
      <c r="U69" t="s">
        <v>67</v>
      </c>
      <c r="V69" t="s">
        <v>69</v>
      </c>
      <c r="W69">
        <v>0</v>
      </c>
      <c r="X69">
        <v>0</v>
      </c>
      <c r="Y69">
        <v>17</v>
      </c>
      <c r="Z69">
        <v>17</v>
      </c>
      <c r="AA69">
        <v>20</v>
      </c>
      <c r="AB69">
        <v>3500</v>
      </c>
      <c r="AC69">
        <v>3080</v>
      </c>
      <c r="AD69">
        <v>2100</v>
      </c>
      <c r="AE69">
        <v>980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224</v>
      </c>
      <c r="AM69">
        <v>0</v>
      </c>
      <c r="AN69">
        <v>64</v>
      </c>
      <c r="AO69">
        <v>0</v>
      </c>
      <c r="AP69">
        <v>9</v>
      </c>
      <c r="AQ69">
        <v>0</v>
      </c>
      <c r="AR69">
        <v>0</v>
      </c>
      <c r="AS69" t="s">
        <v>59</v>
      </c>
      <c r="AT69">
        <v>1</v>
      </c>
      <c r="AU69" t="s">
        <v>60</v>
      </c>
      <c r="AV69" t="s">
        <v>61</v>
      </c>
      <c r="AW69">
        <v>1</v>
      </c>
      <c r="AX69">
        <v>2</v>
      </c>
      <c r="AY69">
        <v>0</v>
      </c>
      <c r="AZ69">
        <v>15900</v>
      </c>
      <c r="BA69">
        <v>100</v>
      </c>
      <c r="BB69">
        <v>100</v>
      </c>
      <c r="BC69">
        <v>100</v>
      </c>
      <c r="BD69">
        <v>100</v>
      </c>
      <c r="BE69">
        <v>1</v>
      </c>
      <c r="BF69">
        <v>15000</v>
      </c>
      <c r="BG69">
        <v>1000</v>
      </c>
      <c r="BH69" s="7">
        <f>ROUND(Wapato_Inventory[[#This Row],[detatched_value]]*Lookups!$B$22*Lookups!$H$48,-2)</f>
        <v>14200</v>
      </c>
      <c r="BI69" s="7">
        <f>ROUND(((Wapato_Inventory[[#This Row],[land_extract]]*Lookups!$B$3) +(Lookups!$B$2*0.5))*Lookups!$H$48,-2)</f>
        <v>56400</v>
      </c>
      <c r="BJ69" s="7">
        <f>IF(Wapato_Inventory[[#This Row],[bldg_style]]="",0,Lookups!$B$2*0.5)</f>
        <v>53765.27</v>
      </c>
      <c r="BK69" s="7">
        <f>_xlfn.IFNA(VLOOKUP(Wapato_Inventory[[#This Row],[quality]],Lookups!$H$2:$J$14,3,FALSE),0)</f>
        <v>50405</v>
      </c>
      <c r="BL69" s="7">
        <f>_xlfn.IFNA(VLOOKUP(Wapato_Inventory[[#This Row],[condition]],Lookups!$H$17:$J$24,3,FALSE),0)</f>
        <v>74543</v>
      </c>
      <c r="BM69" s="7">
        <f>Wapato_Inventory[[#This Row],[Age]]*Lookups!$B$16</f>
        <v>-6301.4868999999999</v>
      </c>
      <c r="BN69" s="7">
        <f>Wapato_Inventory[[#This Row],[Main Floor]]*Lookups!$B$17</f>
        <v>87781.551900000006</v>
      </c>
      <c r="BO69" s="7">
        <f>Wapato_Inventory[[#This Row],[Upper Floor]]*Lookups!$B$18</f>
        <v>48609.116220000004</v>
      </c>
      <c r="BP69" s="7">
        <f>Wapato_Inventory[[#This Row],[Fin BSMT]]*Lookups!$B$19</f>
        <v>0</v>
      </c>
      <c r="BQ69" s="7">
        <f>(Wapato_Inventory[[#This Row],[att_gar]]+Wapato_Inventory[[#This Row],[blt_gar]])*Lookups!$B$20</f>
        <v>0</v>
      </c>
      <c r="BR69" s="7">
        <f>Wapato_Inventory[[#This Row],[Patio]]*Lookups!$B$21</f>
        <v>0</v>
      </c>
      <c r="BS69" s="7">
        <f>SUM(Wapato_Inventory[[#This Row],[intercept]:[patio_value]])*Wapato_Inventory[[#This Row],[res_pct]]</f>
        <v>308802.45122000005</v>
      </c>
      <c r="BT69" s="7">
        <f>Wapato_Inventory[[#This Row],[land_value]]</f>
        <v>56400</v>
      </c>
      <c r="BU69" s="2">
        <f>_xlfn.IFNA(VLOOKUP(Wapato_Inventory[[#This Row],[quality]],Lookups!$A$28:$C$37,3,FALSE),1)</f>
        <v>0.97993206410140754</v>
      </c>
      <c r="BV69" s="2">
        <f>_xlfn.IFNA(VLOOKUP(Wapato_Inventory[[#This Row],[condition]],Lookups!$A$41:$C$48,3,FALSE),1)</f>
        <v>0.98442438223270734</v>
      </c>
      <c r="BW69" s="2">
        <f>IF(Wapato_Inventory[[#This Row],[decade]]="",1,_xlfn.IFNA(VLOOKUP(Wapato_Inventory[[#This Row],[decade]],Lookups!$F$28:$H$45,3,FALSE),1))</f>
        <v>1.0658609603367226</v>
      </c>
      <c r="BX69" s="2">
        <f>_xlfn.IFNA(VLOOKUP(Wapato_Inventory[[#This Row],[living_area_range]],Lookups!$K$28:$M$37,3,FALSE),1)</f>
        <v>1.0155869662067822</v>
      </c>
      <c r="BY69" s="2">
        <f>AVERAGE(Wapato_Inventory[[#This Row],[qual_adj]:[range_adj]])</f>
        <v>1.011451093219405</v>
      </c>
      <c r="BZ69" s="7">
        <f>(Wapato_Inventory[[#This Row],[sum_land]]-IF(Wapato_Inventory[[#This Row],[no_utilities]]=1,12000,0))/IF(Wapato_Inventory[[#This Row],[unbuildable]]=1,2,1)</f>
        <v>56400</v>
      </c>
      <c r="CA69" s="7">
        <f>Wapato_Inventory[[#This Row],[pre_res]]*Wapato_Inventory[[#This Row],[overall_adj]]</f>
        <v>312338.57687530102</v>
      </c>
      <c r="CB69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69" s="3">
        <f>IF(ROUND(Wapato_Inventory[[#This Row],[adj_res]]*Lookups!$H$48,-2)&lt;Wapato_Inventory[[#This Row],[min_res]],Wapato_Inventory[[#This Row],[min_res]],ROUND(Wapato_Inventory[[#This Row],[adj_res]]*Lookups!$H$48,-2))</f>
        <v>296700</v>
      </c>
      <c r="CD69" s="3">
        <f>ROUND(Wapato_Inventory[[#This Row],[det_value]]*Lookups!$H$48,-2)</f>
        <v>13500</v>
      </c>
      <c r="CE69" s="3">
        <f>Wapato_Inventory[[#This Row],[final_res]]+Wapato_Inventory[[#This Row],[final_det]]</f>
        <v>310200</v>
      </c>
      <c r="CF69" s="3">
        <f>Wapato_Inventory[[#This Row],[crop_value]]+Wapato_Inventory[[#This Row],[final_land]]+Wapato_Inventory[[#This Row],[final_imp]]</f>
        <v>363800</v>
      </c>
      <c r="CH69" t="str">
        <f t="shared" si="1"/>
        <v>update valuation set market_land =53600, market_bldg=310200, market_total =363800, market_mdno =405, market_date ='9/10/2023' where link_id = (select link_id from parcel where parcel_year = '2024' and parcel_id = '19110944463');</v>
      </c>
    </row>
    <row r="70" spans="1:86" x14ac:dyDescent="0.25">
      <c r="A70">
        <v>19110944464</v>
      </c>
      <c r="B70">
        <v>1</v>
      </c>
      <c r="C70">
        <v>43561</v>
      </c>
      <c r="D70" t="s">
        <v>144</v>
      </c>
      <c r="E70" t="s">
        <v>54</v>
      </c>
      <c r="F70" t="s">
        <v>54</v>
      </c>
      <c r="G70">
        <v>3</v>
      </c>
      <c r="H70" t="s">
        <v>55</v>
      </c>
      <c r="I70">
        <v>167700</v>
      </c>
      <c r="J70">
        <v>45300</v>
      </c>
      <c r="K70">
        <v>1</v>
      </c>
      <c r="L70">
        <f>IF(Wapato_Inventory[[#This Row],[parcel_acres]]-Wapato_Inventory[[#This Row],[non_valued_acres]] =0,0,LN(Wapato_Inventory[[#This Row],[parcel_acres]]-Wapato_Inventory[[#This Row],[non_valued_acres]]))</f>
        <v>0</v>
      </c>
      <c r="M70">
        <v>0</v>
      </c>
      <c r="N70">
        <v>0</v>
      </c>
      <c r="O70">
        <v>0</v>
      </c>
      <c r="P70">
        <v>27904.037</v>
      </c>
      <c r="Q70">
        <v>74398</v>
      </c>
      <c r="R70" s="3">
        <f>(Wapato_Inventory[[#This Row],[ln_acres]]*Wapato_Inventory[[#This Row],[coeff]])+Wapato_Inventory[[#This Row],[const]]</f>
        <v>74398</v>
      </c>
      <c r="S70" t="s">
        <v>66</v>
      </c>
      <c r="T70">
        <v>1</v>
      </c>
      <c r="U70" t="s">
        <v>75</v>
      </c>
      <c r="V70" t="s">
        <v>68</v>
      </c>
      <c r="W70">
        <v>0</v>
      </c>
      <c r="X70">
        <v>0</v>
      </c>
      <c r="Y70">
        <v>50</v>
      </c>
      <c r="Z70">
        <v>73</v>
      </c>
      <c r="AA70">
        <v>80</v>
      </c>
      <c r="AB70">
        <v>1500</v>
      </c>
      <c r="AC70">
        <v>1256</v>
      </c>
      <c r="AD70">
        <v>1256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300</v>
      </c>
      <c r="AN70">
        <v>0</v>
      </c>
      <c r="AO70">
        <v>300</v>
      </c>
      <c r="AP70">
        <v>5</v>
      </c>
      <c r="AQ70">
        <v>1</v>
      </c>
      <c r="AR70">
        <v>0</v>
      </c>
      <c r="AS70" t="s">
        <v>59</v>
      </c>
      <c r="AT70">
        <v>1</v>
      </c>
      <c r="AU70" t="s">
        <v>72</v>
      </c>
      <c r="AV70" t="s">
        <v>61</v>
      </c>
      <c r="AW70">
        <v>0</v>
      </c>
      <c r="AX70">
        <v>2</v>
      </c>
      <c r="AY70">
        <v>0</v>
      </c>
      <c r="AZ70">
        <v>6800</v>
      </c>
      <c r="BA70">
        <v>100</v>
      </c>
      <c r="BB70">
        <v>100</v>
      </c>
      <c r="BC70">
        <v>100</v>
      </c>
      <c r="BD70">
        <v>100</v>
      </c>
      <c r="BE70">
        <v>1</v>
      </c>
      <c r="BF70">
        <v>15000</v>
      </c>
      <c r="BG70">
        <v>1000</v>
      </c>
      <c r="BH70" s="7">
        <f>ROUND(Wapato_Inventory[[#This Row],[detatched_value]]*Lookups!$B$22*Lookups!$H$48,-2)</f>
        <v>6100</v>
      </c>
      <c r="BI70" s="7">
        <f>ROUND(((Wapato_Inventory[[#This Row],[land_extract]]*Lookups!$B$3) +(Lookups!$B$2*0.5))*Lookups!$H$48,-2)</f>
        <v>58300</v>
      </c>
      <c r="BJ70" s="7">
        <f>IF(Wapato_Inventory[[#This Row],[bldg_style]]="",0,Lookups!$B$2*0.5)</f>
        <v>53765.27</v>
      </c>
      <c r="BK70" s="7">
        <f>_xlfn.IFNA(VLOOKUP(Wapato_Inventory[[#This Row],[quality]],Lookups!$H$2:$J$14,3,FALSE),0)</f>
        <v>48043</v>
      </c>
      <c r="BL70" s="7">
        <f>_xlfn.IFNA(VLOOKUP(Wapato_Inventory[[#This Row],[condition]],Lookups!$H$17:$J$24,3,FALSE),0)</f>
        <v>52231</v>
      </c>
      <c r="BM70" s="7">
        <f>Wapato_Inventory[[#This Row],[Age]]*Lookups!$B$16</f>
        <v>-27059.326100000002</v>
      </c>
      <c r="BN70" s="7">
        <f>Wapato_Inventory[[#This Row],[Main Floor]]*Lookups!$B$17</f>
        <v>52501.728184</v>
      </c>
      <c r="BO70" s="7">
        <f>Wapato_Inventory[[#This Row],[Upper Floor]]*Lookups!$B$18</f>
        <v>0</v>
      </c>
      <c r="BP70" s="7">
        <f>Wapato_Inventory[[#This Row],[Fin BSMT]]*Lookups!$B$19</f>
        <v>0</v>
      </c>
      <c r="BQ70" s="7">
        <f>(Wapato_Inventory[[#This Row],[att_gar]]+Wapato_Inventory[[#This Row],[blt_gar]])*Lookups!$B$20</f>
        <v>0</v>
      </c>
      <c r="BR70" s="7">
        <f>Wapato_Inventory[[#This Row],[Patio]]*Lookups!$B$21</f>
        <v>12997.1937</v>
      </c>
      <c r="BS70" s="7">
        <f>SUM(Wapato_Inventory[[#This Row],[intercept]:[patio_value]])*Wapato_Inventory[[#This Row],[res_pct]]</f>
        <v>192478.86578399999</v>
      </c>
      <c r="BT70" s="7">
        <f>Wapato_Inventory[[#This Row],[land_value]]</f>
        <v>58300</v>
      </c>
      <c r="BU70" s="2">
        <f>_xlfn.IFNA(VLOOKUP(Wapato_Inventory[[#This Row],[quality]],Lookups!$A$28:$C$37,3,FALSE),1)</f>
        <v>0.98196844879778955</v>
      </c>
      <c r="BV70" s="2">
        <f>_xlfn.IFNA(VLOOKUP(Wapato_Inventory[[#This Row],[condition]],Lookups!$A$41:$C$48,3,FALSE),1)</f>
        <v>0.9832333997567807</v>
      </c>
      <c r="BW70" s="2">
        <f>IF(Wapato_Inventory[[#This Row],[decade]]="",1,_xlfn.IFNA(VLOOKUP(Wapato_Inventory[[#This Row],[decade]],Lookups!$F$28:$H$45,3,FALSE),1))</f>
        <v>0.8438929209510081</v>
      </c>
      <c r="BX70" s="2">
        <f>_xlfn.IFNA(VLOOKUP(Wapato_Inventory[[#This Row],[living_area_range]],Lookups!$K$28:$M$37,3,FALSE),1)</f>
        <v>1.0061411172456287</v>
      </c>
      <c r="BY70" s="2">
        <f>AVERAGE(Wapato_Inventory[[#This Row],[qual_adj]:[range_adj]])</f>
        <v>0.95380897168780177</v>
      </c>
      <c r="BZ70" s="7">
        <f>(Wapato_Inventory[[#This Row],[sum_land]]-IF(Wapato_Inventory[[#This Row],[no_utilities]]=1,12000,0))/IF(Wapato_Inventory[[#This Row],[unbuildable]]=1,2,1)</f>
        <v>58300</v>
      </c>
      <c r="CA70" s="7">
        <f>Wapato_Inventory[[#This Row],[pre_res]]*Wapato_Inventory[[#This Row],[overall_adj]]</f>
        <v>183588.06904507143</v>
      </c>
      <c r="CB70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70" s="3">
        <f>IF(ROUND(Wapato_Inventory[[#This Row],[adj_res]]*Lookups!$H$48,-2)&lt;Wapato_Inventory[[#This Row],[min_res]],Wapato_Inventory[[#This Row],[min_res]],ROUND(Wapato_Inventory[[#This Row],[adj_res]]*Lookups!$H$48,-2))</f>
        <v>174400</v>
      </c>
      <c r="CD70" s="3">
        <f>ROUND(Wapato_Inventory[[#This Row],[det_value]]*Lookups!$H$48,-2)</f>
        <v>5800</v>
      </c>
      <c r="CE70" s="3">
        <f>Wapato_Inventory[[#This Row],[final_res]]+Wapato_Inventory[[#This Row],[final_det]]</f>
        <v>180200</v>
      </c>
      <c r="CF70" s="3">
        <f>Wapato_Inventory[[#This Row],[crop_value]]+Wapato_Inventory[[#This Row],[final_land]]+Wapato_Inventory[[#This Row],[final_imp]]</f>
        <v>235600</v>
      </c>
      <c r="CH70" t="str">
        <f t="shared" si="1"/>
        <v>update valuation set market_land =55400, market_bldg=180200, market_total =235600, market_mdno =405, market_date ='9/10/2023' where link_id = (select link_id from parcel where parcel_year = '2024' and parcel_id = '19110944464');</v>
      </c>
    </row>
    <row r="71" spans="1:86" x14ac:dyDescent="0.25">
      <c r="A71">
        <v>19110944465</v>
      </c>
      <c r="B71">
        <v>1</v>
      </c>
      <c r="C71" t="s">
        <v>144</v>
      </c>
      <c r="D71" t="s">
        <v>144</v>
      </c>
      <c r="E71" t="s">
        <v>54</v>
      </c>
      <c r="F71" t="s">
        <v>54</v>
      </c>
      <c r="G71">
        <v>3</v>
      </c>
      <c r="H71" t="s">
        <v>55</v>
      </c>
      <c r="I71">
        <v>110800</v>
      </c>
      <c r="J71">
        <v>45300</v>
      </c>
      <c r="K71">
        <v>1</v>
      </c>
      <c r="L71">
        <f>IF(Wapato_Inventory[[#This Row],[parcel_acres]]-Wapato_Inventory[[#This Row],[non_valued_acres]] =0,0,LN(Wapato_Inventory[[#This Row],[parcel_acres]]-Wapato_Inventory[[#This Row],[non_valued_acres]]))</f>
        <v>0</v>
      </c>
      <c r="M71">
        <v>0</v>
      </c>
      <c r="N71">
        <v>0</v>
      </c>
      <c r="O71">
        <v>0</v>
      </c>
      <c r="P71">
        <v>27904.037</v>
      </c>
      <c r="Q71">
        <v>74398</v>
      </c>
      <c r="R71" s="3">
        <f>(Wapato_Inventory[[#This Row],[ln_acres]]*Wapato_Inventory[[#This Row],[coeff]])+Wapato_Inventory[[#This Row],[const]]</f>
        <v>74398</v>
      </c>
      <c r="S71" t="s">
        <v>66</v>
      </c>
      <c r="T71">
        <v>1</v>
      </c>
      <c r="U71" t="s">
        <v>71</v>
      </c>
      <c r="V71" t="s">
        <v>68</v>
      </c>
      <c r="W71">
        <v>0</v>
      </c>
      <c r="X71">
        <v>0</v>
      </c>
      <c r="Y71">
        <v>53</v>
      </c>
      <c r="Z71">
        <v>93</v>
      </c>
      <c r="AA71">
        <v>100</v>
      </c>
      <c r="AB71">
        <v>1500</v>
      </c>
      <c r="AC71">
        <v>1016</v>
      </c>
      <c r="AD71">
        <v>1016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5</v>
      </c>
      <c r="AQ71">
        <v>0</v>
      </c>
      <c r="AR71">
        <v>0</v>
      </c>
      <c r="AS71" t="s">
        <v>59</v>
      </c>
      <c r="AT71">
        <v>1</v>
      </c>
      <c r="AU71" t="s">
        <v>72</v>
      </c>
      <c r="AV71" t="s">
        <v>61</v>
      </c>
      <c r="AW71">
        <v>0</v>
      </c>
      <c r="AX71">
        <v>2</v>
      </c>
      <c r="AY71">
        <v>0</v>
      </c>
      <c r="AZ71">
        <v>1900</v>
      </c>
      <c r="BA71">
        <v>100</v>
      </c>
      <c r="BB71">
        <v>100</v>
      </c>
      <c r="BC71">
        <v>100</v>
      </c>
      <c r="BD71">
        <v>100</v>
      </c>
      <c r="BE71">
        <v>1</v>
      </c>
      <c r="BF71">
        <v>15000</v>
      </c>
      <c r="BG71">
        <v>1000</v>
      </c>
      <c r="BH71" s="7">
        <f>ROUND(Wapato_Inventory[[#This Row],[detatched_value]]*Lookups!$B$22*Lookups!$H$48,-2)</f>
        <v>1700</v>
      </c>
      <c r="BI71" s="7">
        <f>ROUND(((Wapato_Inventory[[#This Row],[land_extract]]*Lookups!$B$3) +(Lookups!$B$2*0.5))*Lookups!$H$48,-2)</f>
        <v>58300</v>
      </c>
      <c r="BJ71" s="7">
        <f>IF(Wapato_Inventory[[#This Row],[bldg_style]]="",0,Lookups!$B$2*0.5)</f>
        <v>53765.27</v>
      </c>
      <c r="BK71" s="7">
        <f>_xlfn.IFNA(VLOOKUP(Wapato_Inventory[[#This Row],[quality]],Lookups!$H$2:$J$14,3,FALSE),0)</f>
        <v>28034</v>
      </c>
      <c r="BL71" s="7">
        <f>_xlfn.IFNA(VLOOKUP(Wapato_Inventory[[#This Row],[condition]],Lookups!$H$17:$J$24,3,FALSE),0)</f>
        <v>52231</v>
      </c>
      <c r="BM71" s="7">
        <f>Wapato_Inventory[[#This Row],[Age]]*Lookups!$B$16</f>
        <v>-34472.840100000001</v>
      </c>
      <c r="BN71" s="7">
        <f>Wapato_Inventory[[#This Row],[Main Floor]]*Lookups!$B$17</f>
        <v>42469.550823999998</v>
      </c>
      <c r="BO71" s="7">
        <f>Wapato_Inventory[[#This Row],[Upper Floor]]*Lookups!$B$18</f>
        <v>0</v>
      </c>
      <c r="BP71" s="7">
        <f>Wapato_Inventory[[#This Row],[Fin BSMT]]*Lookups!$B$19</f>
        <v>0</v>
      </c>
      <c r="BQ71" s="7">
        <f>(Wapato_Inventory[[#This Row],[att_gar]]+Wapato_Inventory[[#This Row],[blt_gar]])*Lookups!$B$20</f>
        <v>0</v>
      </c>
      <c r="BR71" s="7">
        <f>Wapato_Inventory[[#This Row],[Patio]]*Lookups!$B$21</f>
        <v>0</v>
      </c>
      <c r="BS71" s="7">
        <f>SUM(Wapato_Inventory[[#This Row],[intercept]:[patio_value]])*Wapato_Inventory[[#This Row],[res_pct]]</f>
        <v>142026.98072399999</v>
      </c>
      <c r="BT71" s="7">
        <f>Wapato_Inventory[[#This Row],[land_value]]</f>
        <v>58300</v>
      </c>
      <c r="BU71" s="2">
        <f>_xlfn.IFNA(VLOOKUP(Wapato_Inventory[[#This Row],[quality]],Lookups!$A$28:$C$37,3,FALSE),1)</f>
        <v>0.96265813922927435</v>
      </c>
      <c r="BV71" s="2">
        <f>_xlfn.IFNA(VLOOKUP(Wapato_Inventory[[#This Row],[condition]],Lookups!$A$41:$C$48,3,FALSE),1)</f>
        <v>0.9832333997567807</v>
      </c>
      <c r="BW71" s="2">
        <f>IF(Wapato_Inventory[[#This Row],[decade]]="",1,_xlfn.IFNA(VLOOKUP(Wapato_Inventory[[#This Row],[decade]],Lookups!$F$28:$H$45,3,FALSE),1))</f>
        <v>1.0114203040664467</v>
      </c>
      <c r="BX71" s="2">
        <f>_xlfn.IFNA(VLOOKUP(Wapato_Inventory[[#This Row],[living_area_range]],Lookups!$K$28:$M$37,3,FALSE),1)</f>
        <v>1.0061411172456287</v>
      </c>
      <c r="BY71" s="2">
        <f>AVERAGE(Wapato_Inventory[[#This Row],[qual_adj]:[range_adj]])</f>
        <v>0.99086324007453253</v>
      </c>
      <c r="BZ71" s="7">
        <f>(Wapato_Inventory[[#This Row],[sum_land]]-IF(Wapato_Inventory[[#This Row],[no_utilities]]=1,12000,0))/IF(Wapato_Inventory[[#This Row],[unbuildable]]=1,2,1)</f>
        <v>58300</v>
      </c>
      <c r="CA71" s="7">
        <f>Wapato_Inventory[[#This Row],[pre_res]]*Wapato_Inventory[[#This Row],[overall_adj]]</f>
        <v>140729.31429818581</v>
      </c>
      <c r="CB71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71" s="3">
        <f>IF(ROUND(Wapato_Inventory[[#This Row],[adj_res]]*Lookups!$H$48,-2)&lt;Wapato_Inventory[[#This Row],[min_res]],Wapato_Inventory[[#This Row],[min_res]],ROUND(Wapato_Inventory[[#This Row],[adj_res]]*Lookups!$H$48,-2))</f>
        <v>133700</v>
      </c>
      <c r="CD71" s="3">
        <f>ROUND(Wapato_Inventory[[#This Row],[det_value]]*Lookups!$H$48,-2)</f>
        <v>1600</v>
      </c>
      <c r="CE71" s="3">
        <f>Wapato_Inventory[[#This Row],[final_res]]+Wapato_Inventory[[#This Row],[final_det]]</f>
        <v>135300</v>
      </c>
      <c r="CF71" s="3">
        <f>Wapato_Inventory[[#This Row],[crop_value]]+Wapato_Inventory[[#This Row],[final_land]]+Wapato_Inventory[[#This Row],[final_imp]]</f>
        <v>190700</v>
      </c>
      <c r="CH71" t="str">
        <f t="shared" si="1"/>
        <v>update valuation set market_land =55400, market_bldg=135300, market_total =190700, market_mdno =405, market_date ='9/10/2023' where link_id = (select link_id from parcel where parcel_year = '2024' and parcel_id = '19110944465');</v>
      </c>
    </row>
    <row r="72" spans="1:86" x14ac:dyDescent="0.25">
      <c r="A72">
        <v>19110944466</v>
      </c>
      <c r="B72">
        <v>1</v>
      </c>
      <c r="C72">
        <v>43561</v>
      </c>
      <c r="D72" t="s">
        <v>144</v>
      </c>
      <c r="E72" t="s">
        <v>54</v>
      </c>
      <c r="F72" t="s">
        <v>54</v>
      </c>
      <c r="G72">
        <v>3</v>
      </c>
      <c r="H72" t="s">
        <v>55</v>
      </c>
      <c r="I72">
        <v>89400</v>
      </c>
      <c r="J72">
        <v>45300</v>
      </c>
      <c r="K72">
        <v>1</v>
      </c>
      <c r="L72">
        <f>IF(Wapato_Inventory[[#This Row],[parcel_acres]]-Wapato_Inventory[[#This Row],[non_valued_acres]] =0,0,LN(Wapato_Inventory[[#This Row],[parcel_acres]]-Wapato_Inventory[[#This Row],[non_valued_acres]]))</f>
        <v>0</v>
      </c>
      <c r="M72">
        <v>0</v>
      </c>
      <c r="N72">
        <v>0</v>
      </c>
      <c r="O72">
        <v>0</v>
      </c>
      <c r="P72">
        <v>27904.037</v>
      </c>
      <c r="Q72">
        <v>74398</v>
      </c>
      <c r="R72" s="3">
        <f>(Wapato_Inventory[[#This Row],[ln_acres]]*Wapato_Inventory[[#This Row],[coeff]])+Wapato_Inventory[[#This Row],[const]]</f>
        <v>74398</v>
      </c>
      <c r="S72" t="s">
        <v>66</v>
      </c>
      <c r="T72">
        <v>1</v>
      </c>
      <c r="U72" t="s">
        <v>71</v>
      </c>
      <c r="V72" t="s">
        <v>68</v>
      </c>
      <c r="W72">
        <v>0</v>
      </c>
      <c r="X72">
        <v>0</v>
      </c>
      <c r="Y72">
        <v>55</v>
      </c>
      <c r="Z72">
        <v>98</v>
      </c>
      <c r="AA72">
        <v>100</v>
      </c>
      <c r="AB72">
        <v>1000</v>
      </c>
      <c r="AC72">
        <v>672</v>
      </c>
      <c r="AD72">
        <v>672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200</v>
      </c>
      <c r="AO72">
        <v>0</v>
      </c>
      <c r="AP72">
        <v>5</v>
      </c>
      <c r="AQ72">
        <v>0</v>
      </c>
      <c r="AR72">
        <v>0</v>
      </c>
      <c r="AS72" t="s">
        <v>59</v>
      </c>
      <c r="AT72">
        <v>0</v>
      </c>
      <c r="AU72" t="s">
        <v>80</v>
      </c>
      <c r="AV72" t="s">
        <v>77</v>
      </c>
      <c r="AW72">
        <v>0</v>
      </c>
      <c r="AX72">
        <v>2</v>
      </c>
      <c r="AY72">
        <v>0</v>
      </c>
      <c r="AZ72">
        <v>6400</v>
      </c>
      <c r="BA72">
        <v>100</v>
      </c>
      <c r="BB72">
        <v>100</v>
      </c>
      <c r="BC72">
        <v>100</v>
      </c>
      <c r="BD72">
        <v>100</v>
      </c>
      <c r="BE72">
        <v>1</v>
      </c>
      <c r="BF72">
        <v>15000</v>
      </c>
      <c r="BG72">
        <v>1000</v>
      </c>
      <c r="BH72" s="7">
        <f>ROUND(Wapato_Inventory[[#This Row],[detatched_value]]*Lookups!$B$22*Lookups!$H$48,-2)</f>
        <v>5700</v>
      </c>
      <c r="BI72" s="7">
        <f>ROUND(((Wapato_Inventory[[#This Row],[land_extract]]*Lookups!$B$3) +(Lookups!$B$2*0.5))*Lookups!$H$48,-2)</f>
        <v>58300</v>
      </c>
      <c r="BJ72" s="7">
        <f>IF(Wapato_Inventory[[#This Row],[bldg_style]]="",0,Lookups!$B$2*0.5)</f>
        <v>53765.27</v>
      </c>
      <c r="BK72" s="7">
        <f>_xlfn.IFNA(VLOOKUP(Wapato_Inventory[[#This Row],[quality]],Lookups!$H$2:$J$14,3,FALSE),0)</f>
        <v>28034</v>
      </c>
      <c r="BL72" s="7">
        <f>_xlfn.IFNA(VLOOKUP(Wapato_Inventory[[#This Row],[condition]],Lookups!$H$17:$J$24,3,FALSE),0)</f>
        <v>52231</v>
      </c>
      <c r="BM72" s="7">
        <f>Wapato_Inventory[[#This Row],[Age]]*Lookups!$B$16</f>
        <v>-36326.2186</v>
      </c>
      <c r="BN72" s="7">
        <f>Wapato_Inventory[[#This Row],[Main Floor]]*Lookups!$B$17</f>
        <v>28090.096608</v>
      </c>
      <c r="BO72" s="7">
        <f>Wapato_Inventory[[#This Row],[Upper Floor]]*Lookups!$B$18</f>
        <v>0</v>
      </c>
      <c r="BP72" s="7">
        <f>Wapato_Inventory[[#This Row],[Fin BSMT]]*Lookups!$B$19</f>
        <v>0</v>
      </c>
      <c r="BQ72" s="7">
        <f>(Wapato_Inventory[[#This Row],[att_gar]]+Wapato_Inventory[[#This Row],[blt_gar]])*Lookups!$B$20</f>
        <v>0</v>
      </c>
      <c r="BR72" s="7">
        <f>Wapato_Inventory[[#This Row],[Patio]]*Lookups!$B$21</f>
        <v>0</v>
      </c>
      <c r="BS72" s="7">
        <f>SUM(Wapato_Inventory[[#This Row],[intercept]:[patio_value]])*Wapato_Inventory[[#This Row],[res_pct]]</f>
        <v>125794.14800799999</v>
      </c>
      <c r="BT72" s="7">
        <f>Wapato_Inventory[[#This Row],[land_value]]</f>
        <v>58300</v>
      </c>
      <c r="BU72" s="2">
        <f>_xlfn.IFNA(VLOOKUP(Wapato_Inventory[[#This Row],[quality]],Lookups!$A$28:$C$37,3,FALSE),1)</f>
        <v>0.96265813922927435</v>
      </c>
      <c r="BV72" s="2">
        <f>_xlfn.IFNA(VLOOKUP(Wapato_Inventory[[#This Row],[condition]],Lookups!$A$41:$C$48,3,FALSE),1)</f>
        <v>0.9832333997567807</v>
      </c>
      <c r="BW72" s="2">
        <f>IF(Wapato_Inventory[[#This Row],[decade]]="",1,_xlfn.IFNA(VLOOKUP(Wapato_Inventory[[#This Row],[decade]],Lookups!$F$28:$H$45,3,FALSE),1))</f>
        <v>1.0114203040664467</v>
      </c>
      <c r="BX72" s="2">
        <f>_xlfn.IFNA(VLOOKUP(Wapato_Inventory[[#This Row],[living_area_range]],Lookups!$K$28:$M$37,3,FALSE),1)</f>
        <v>0.99022994770196116</v>
      </c>
      <c r="BY72" s="2">
        <f>AVERAGE(Wapato_Inventory[[#This Row],[qual_adj]:[range_adj]])</f>
        <v>0.98688544768861564</v>
      </c>
      <c r="BZ72" s="7">
        <f>(Wapato_Inventory[[#This Row],[sum_land]]-IF(Wapato_Inventory[[#This Row],[no_utilities]]=1,12000,0))/IF(Wapato_Inventory[[#This Row],[unbuildable]]=1,2,1)</f>
        <v>58300</v>
      </c>
      <c r="CA72" s="7">
        <f>Wapato_Inventory[[#This Row],[pre_res]]*Wapato_Inventory[[#This Row],[overall_adj]]</f>
        <v>124144.41407348304</v>
      </c>
      <c r="CB72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72" s="3">
        <f>IF(ROUND(Wapato_Inventory[[#This Row],[adj_res]]*Lookups!$H$48,-2)&lt;Wapato_Inventory[[#This Row],[min_res]],Wapato_Inventory[[#This Row],[min_res]],ROUND(Wapato_Inventory[[#This Row],[adj_res]]*Lookups!$H$48,-2))</f>
        <v>117900</v>
      </c>
      <c r="CD72" s="3">
        <f>ROUND(Wapato_Inventory[[#This Row],[det_value]]*Lookups!$H$48,-2)</f>
        <v>5400</v>
      </c>
      <c r="CE72" s="3">
        <f>Wapato_Inventory[[#This Row],[final_res]]+Wapato_Inventory[[#This Row],[final_det]]</f>
        <v>123300</v>
      </c>
      <c r="CF72" s="3">
        <f>Wapato_Inventory[[#This Row],[crop_value]]+Wapato_Inventory[[#This Row],[final_land]]+Wapato_Inventory[[#This Row],[final_imp]]</f>
        <v>178700</v>
      </c>
      <c r="CH72" t="str">
        <f t="shared" si="1"/>
        <v>update valuation set market_land =55400, market_bldg=123300, market_total =178700, market_mdno =405, market_date ='9/10/2023' where link_id = (select link_id from parcel where parcel_year = '2024' and parcel_id = '19110944466');</v>
      </c>
    </row>
    <row r="73" spans="1:86" x14ac:dyDescent="0.25">
      <c r="A73">
        <v>19110944467</v>
      </c>
      <c r="B73">
        <v>1</v>
      </c>
      <c r="C73">
        <v>43561</v>
      </c>
      <c r="D73" t="s">
        <v>144</v>
      </c>
      <c r="E73" t="s">
        <v>54</v>
      </c>
      <c r="F73" t="s">
        <v>54</v>
      </c>
      <c r="G73">
        <v>3</v>
      </c>
      <c r="H73" t="s">
        <v>55</v>
      </c>
      <c r="I73">
        <v>102600</v>
      </c>
      <c r="J73">
        <v>45300</v>
      </c>
      <c r="K73">
        <v>1</v>
      </c>
      <c r="L73">
        <f>IF(Wapato_Inventory[[#This Row],[parcel_acres]]-Wapato_Inventory[[#This Row],[non_valued_acres]] =0,0,LN(Wapato_Inventory[[#This Row],[parcel_acres]]-Wapato_Inventory[[#This Row],[non_valued_acres]]))</f>
        <v>0</v>
      </c>
      <c r="M73">
        <v>0</v>
      </c>
      <c r="N73">
        <v>0</v>
      </c>
      <c r="O73">
        <v>0</v>
      </c>
      <c r="P73">
        <v>27904.037</v>
      </c>
      <c r="Q73">
        <v>74398</v>
      </c>
      <c r="R73" s="3">
        <f>(Wapato_Inventory[[#This Row],[ln_acres]]*Wapato_Inventory[[#This Row],[coeff]])+Wapato_Inventory[[#This Row],[const]]</f>
        <v>74398</v>
      </c>
      <c r="S73" t="s">
        <v>66</v>
      </c>
      <c r="T73">
        <v>1</v>
      </c>
      <c r="U73" t="s">
        <v>71</v>
      </c>
      <c r="V73" t="s">
        <v>68</v>
      </c>
      <c r="W73">
        <v>0</v>
      </c>
      <c r="X73">
        <v>0</v>
      </c>
      <c r="Y73">
        <v>51</v>
      </c>
      <c r="Z73">
        <v>78</v>
      </c>
      <c r="AA73">
        <v>80</v>
      </c>
      <c r="AB73">
        <v>1000</v>
      </c>
      <c r="AC73">
        <v>878</v>
      </c>
      <c r="AD73">
        <v>878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12</v>
      </c>
      <c r="AO73">
        <v>0</v>
      </c>
      <c r="AP73">
        <v>5</v>
      </c>
      <c r="AQ73">
        <v>0</v>
      </c>
      <c r="AR73">
        <v>0</v>
      </c>
      <c r="AS73" t="s">
        <v>59</v>
      </c>
      <c r="AT73">
        <v>1</v>
      </c>
      <c r="AU73" t="s">
        <v>76</v>
      </c>
      <c r="AV73" t="s">
        <v>61</v>
      </c>
      <c r="AW73">
        <v>0</v>
      </c>
      <c r="AX73">
        <v>2</v>
      </c>
      <c r="AY73">
        <v>0</v>
      </c>
      <c r="AZ73">
        <v>0</v>
      </c>
      <c r="BA73">
        <v>100</v>
      </c>
      <c r="BB73">
        <v>100</v>
      </c>
      <c r="BC73">
        <v>100</v>
      </c>
      <c r="BD73">
        <v>100</v>
      </c>
      <c r="BE73">
        <v>1</v>
      </c>
      <c r="BF73">
        <v>15000</v>
      </c>
      <c r="BG73">
        <v>1000</v>
      </c>
      <c r="BH73" s="7">
        <f>ROUND(Wapato_Inventory[[#This Row],[detatched_value]]*Lookups!$B$22*Lookups!$H$48,-2)</f>
        <v>0</v>
      </c>
      <c r="BI73" s="7">
        <f>ROUND(((Wapato_Inventory[[#This Row],[land_extract]]*Lookups!$B$3) +(Lookups!$B$2*0.5))*Lookups!$H$48,-2)</f>
        <v>58300</v>
      </c>
      <c r="BJ73" s="7">
        <f>IF(Wapato_Inventory[[#This Row],[bldg_style]]="",0,Lookups!$B$2*0.5)</f>
        <v>53765.27</v>
      </c>
      <c r="BK73" s="7">
        <f>_xlfn.IFNA(VLOOKUP(Wapato_Inventory[[#This Row],[quality]],Lookups!$H$2:$J$14,3,FALSE),0)</f>
        <v>28034</v>
      </c>
      <c r="BL73" s="7">
        <f>_xlfn.IFNA(VLOOKUP(Wapato_Inventory[[#This Row],[condition]],Lookups!$H$17:$J$24,3,FALSE),0)</f>
        <v>52231</v>
      </c>
      <c r="BM73" s="7">
        <f>Wapato_Inventory[[#This Row],[Age]]*Lookups!$B$16</f>
        <v>-28912.704600000001</v>
      </c>
      <c r="BN73" s="7">
        <f>Wapato_Inventory[[#This Row],[Main Floor]]*Lookups!$B$17</f>
        <v>36701.048841999997</v>
      </c>
      <c r="BO73" s="7">
        <f>Wapato_Inventory[[#This Row],[Upper Floor]]*Lookups!$B$18</f>
        <v>0</v>
      </c>
      <c r="BP73" s="7">
        <f>Wapato_Inventory[[#This Row],[Fin BSMT]]*Lookups!$B$19</f>
        <v>0</v>
      </c>
      <c r="BQ73" s="7">
        <f>(Wapato_Inventory[[#This Row],[att_gar]]+Wapato_Inventory[[#This Row],[blt_gar]])*Lookups!$B$20</f>
        <v>0</v>
      </c>
      <c r="BR73" s="7">
        <f>Wapato_Inventory[[#This Row],[Patio]]*Lookups!$B$21</f>
        <v>0</v>
      </c>
      <c r="BS73" s="7">
        <f>SUM(Wapato_Inventory[[#This Row],[intercept]:[patio_value]])*Wapato_Inventory[[#This Row],[res_pct]]</f>
        <v>141818.61424199998</v>
      </c>
      <c r="BT73" s="7">
        <f>Wapato_Inventory[[#This Row],[land_value]]</f>
        <v>58300</v>
      </c>
      <c r="BU73" s="2">
        <f>_xlfn.IFNA(VLOOKUP(Wapato_Inventory[[#This Row],[quality]],Lookups!$A$28:$C$37,3,FALSE),1)</f>
        <v>0.96265813922927435</v>
      </c>
      <c r="BV73" s="2">
        <f>_xlfn.IFNA(VLOOKUP(Wapato_Inventory[[#This Row],[condition]],Lookups!$A$41:$C$48,3,FALSE),1)</f>
        <v>0.9832333997567807</v>
      </c>
      <c r="BW73" s="2">
        <f>IF(Wapato_Inventory[[#This Row],[decade]]="",1,_xlfn.IFNA(VLOOKUP(Wapato_Inventory[[#This Row],[decade]],Lookups!$F$28:$H$45,3,FALSE),1))</f>
        <v>0.8438929209510081</v>
      </c>
      <c r="BX73" s="2">
        <f>_xlfn.IFNA(VLOOKUP(Wapato_Inventory[[#This Row],[living_area_range]],Lookups!$K$28:$M$37,3,FALSE),1)</f>
        <v>0.99022994770196116</v>
      </c>
      <c r="BY73" s="2">
        <f>AVERAGE(Wapato_Inventory[[#This Row],[qual_adj]:[range_adj]])</f>
        <v>0.94500360190975607</v>
      </c>
      <c r="BZ73" s="7">
        <f>(Wapato_Inventory[[#This Row],[sum_land]]-IF(Wapato_Inventory[[#This Row],[no_utilities]]=1,12000,0))/IF(Wapato_Inventory[[#This Row],[unbuildable]]=1,2,1)</f>
        <v>58300</v>
      </c>
      <c r="CA73" s="7">
        <f>Wapato_Inventory[[#This Row],[pre_res]]*Wapato_Inventory[[#This Row],[overall_adj]]</f>
        <v>134019.10127654023</v>
      </c>
      <c r="CB73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73" s="3">
        <f>IF(ROUND(Wapato_Inventory[[#This Row],[adj_res]]*Lookups!$H$48,-2)&lt;Wapato_Inventory[[#This Row],[min_res]],Wapato_Inventory[[#This Row],[min_res]],ROUND(Wapato_Inventory[[#This Row],[adj_res]]*Lookups!$H$48,-2))</f>
        <v>127300</v>
      </c>
      <c r="CD73" s="3">
        <f>ROUND(Wapato_Inventory[[#This Row],[det_value]]*Lookups!$H$48,-2)</f>
        <v>0</v>
      </c>
      <c r="CE73" s="3">
        <f>Wapato_Inventory[[#This Row],[final_res]]+Wapato_Inventory[[#This Row],[final_det]]</f>
        <v>127300</v>
      </c>
      <c r="CF73" s="3">
        <f>Wapato_Inventory[[#This Row],[crop_value]]+Wapato_Inventory[[#This Row],[final_land]]+Wapato_Inventory[[#This Row],[final_imp]]</f>
        <v>182700</v>
      </c>
      <c r="CH73" t="str">
        <f t="shared" si="1"/>
        <v>update valuation set market_land =55400, market_bldg=127300, market_total =182700, market_mdno =405, market_date ='9/10/2023' where link_id = (select link_id from parcel where parcel_year = '2024' and parcel_id = '19110944467');</v>
      </c>
    </row>
    <row r="74" spans="1:86" x14ac:dyDescent="0.25">
      <c r="A74">
        <v>19110944469</v>
      </c>
      <c r="B74">
        <v>0.22</v>
      </c>
      <c r="C74">
        <v>9687</v>
      </c>
      <c r="D74" t="s">
        <v>144</v>
      </c>
      <c r="E74" t="s">
        <v>54</v>
      </c>
      <c r="F74" t="s">
        <v>54</v>
      </c>
      <c r="G74">
        <v>3</v>
      </c>
      <c r="H74" t="s">
        <v>55</v>
      </c>
      <c r="I74">
        <v>69900</v>
      </c>
      <c r="J74">
        <v>34600</v>
      </c>
      <c r="K74">
        <v>0.22</v>
      </c>
      <c r="L74">
        <f>IF(Wapato_Inventory[[#This Row],[parcel_acres]]-Wapato_Inventory[[#This Row],[non_valued_acres]] =0,0,LN(Wapato_Inventory[[#This Row],[parcel_acres]]-Wapato_Inventory[[#This Row],[non_valued_acres]]))</f>
        <v>-1.5141277326297755</v>
      </c>
      <c r="M74">
        <v>0</v>
      </c>
      <c r="N74">
        <v>0</v>
      </c>
      <c r="O74">
        <v>0</v>
      </c>
      <c r="P74">
        <v>27904.037</v>
      </c>
      <c r="Q74">
        <v>74398</v>
      </c>
      <c r="R74" s="3">
        <f>(Wapato_Inventory[[#This Row],[ln_acres]]*Wapato_Inventory[[#This Row],[coeff]])+Wapato_Inventory[[#This Row],[const]]</f>
        <v>32147.723725972639</v>
      </c>
      <c r="S74" t="s">
        <v>66</v>
      </c>
      <c r="T74">
        <v>1</v>
      </c>
      <c r="U74" t="s">
        <v>78</v>
      </c>
      <c r="V74" t="s">
        <v>73</v>
      </c>
      <c r="W74">
        <v>0</v>
      </c>
      <c r="X74">
        <v>0</v>
      </c>
      <c r="Y74">
        <v>53</v>
      </c>
      <c r="Z74">
        <v>93</v>
      </c>
      <c r="AA74">
        <v>100</v>
      </c>
      <c r="AB74">
        <v>1000</v>
      </c>
      <c r="AC74">
        <v>776</v>
      </c>
      <c r="AD74">
        <v>776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50</v>
      </c>
      <c r="AM74">
        <v>0</v>
      </c>
      <c r="AN74">
        <v>0</v>
      </c>
      <c r="AO74">
        <v>50</v>
      </c>
      <c r="AP74">
        <v>5</v>
      </c>
      <c r="AQ74">
        <v>0</v>
      </c>
      <c r="AR74">
        <v>0</v>
      </c>
      <c r="AS74" t="s">
        <v>59</v>
      </c>
      <c r="AT74">
        <v>1</v>
      </c>
      <c r="AU74" t="s">
        <v>76</v>
      </c>
      <c r="AV74" t="s">
        <v>61</v>
      </c>
      <c r="AW74">
        <v>0</v>
      </c>
      <c r="AX74">
        <v>2</v>
      </c>
      <c r="AY74">
        <v>0</v>
      </c>
      <c r="AZ74">
        <v>4100</v>
      </c>
      <c r="BA74">
        <v>100</v>
      </c>
      <c r="BB74">
        <v>100</v>
      </c>
      <c r="BC74">
        <v>100</v>
      </c>
      <c r="BD74">
        <v>100</v>
      </c>
      <c r="BE74">
        <v>1</v>
      </c>
      <c r="BF74">
        <v>15000</v>
      </c>
      <c r="BG74">
        <v>1000</v>
      </c>
      <c r="BH74" s="7">
        <f>ROUND(Wapato_Inventory[[#This Row],[detatched_value]]*Lookups!$B$22*Lookups!$H$48,-2)</f>
        <v>3700</v>
      </c>
      <c r="BI74" s="7">
        <f>ROUND(((Wapato_Inventory[[#This Row],[land_extract]]*Lookups!$B$3) +(Lookups!$B$2*0.5))*Lookups!$H$48,-2)</f>
        <v>54200</v>
      </c>
      <c r="BJ74" s="7">
        <f>IF(Wapato_Inventory[[#This Row],[bldg_style]]="",0,Lookups!$B$2*0.5)</f>
        <v>53765.27</v>
      </c>
      <c r="BK74" s="7">
        <f>_xlfn.IFNA(VLOOKUP(Wapato_Inventory[[#This Row],[quality]],Lookups!$H$2:$J$14,3,FALSE),0)</f>
        <v>23424</v>
      </c>
      <c r="BL74" s="7">
        <f>_xlfn.IFNA(VLOOKUP(Wapato_Inventory[[#This Row],[condition]],Lookups!$H$17:$J$24,3,FALSE),0)</f>
        <v>16276</v>
      </c>
      <c r="BM74" s="7">
        <f>Wapato_Inventory[[#This Row],[Age]]*Lookups!$B$16</f>
        <v>-34472.840100000001</v>
      </c>
      <c r="BN74" s="7">
        <f>Wapato_Inventory[[#This Row],[Main Floor]]*Lookups!$B$17</f>
        <v>32437.373464</v>
      </c>
      <c r="BO74" s="7">
        <f>Wapato_Inventory[[#This Row],[Upper Floor]]*Lookups!$B$18</f>
        <v>0</v>
      </c>
      <c r="BP74" s="7">
        <f>Wapato_Inventory[[#This Row],[Fin BSMT]]*Lookups!$B$19</f>
        <v>0</v>
      </c>
      <c r="BQ74" s="7">
        <f>(Wapato_Inventory[[#This Row],[att_gar]]+Wapato_Inventory[[#This Row],[blt_gar]])*Lookups!$B$20</f>
        <v>0</v>
      </c>
      <c r="BR74" s="7">
        <f>Wapato_Inventory[[#This Row],[Patio]]*Lookups!$B$21</f>
        <v>0</v>
      </c>
      <c r="BS74" s="7">
        <f>SUM(Wapato_Inventory[[#This Row],[intercept]:[patio_value]])*Wapato_Inventory[[#This Row],[res_pct]]</f>
        <v>91429.803363999992</v>
      </c>
      <c r="BT74" s="7">
        <f>Wapato_Inventory[[#This Row],[land_value]]</f>
        <v>54200</v>
      </c>
      <c r="BU74" s="2">
        <f>_xlfn.IFNA(VLOOKUP(Wapato_Inventory[[#This Row],[quality]],Lookups!$A$28:$C$37,3,FALSE),1)</f>
        <v>1.0091195562373767</v>
      </c>
      <c r="BV74" s="2">
        <f>_xlfn.IFNA(VLOOKUP(Wapato_Inventory[[#This Row],[condition]],Lookups!$A$41:$C$48,3,FALSE),1)</f>
        <v>0.93399385491337139</v>
      </c>
      <c r="BW74" s="2">
        <f>IF(Wapato_Inventory[[#This Row],[decade]]="",1,_xlfn.IFNA(VLOOKUP(Wapato_Inventory[[#This Row],[decade]],Lookups!$F$28:$H$45,3,FALSE),1))</f>
        <v>1.0114203040664467</v>
      </c>
      <c r="BX74" s="2">
        <f>_xlfn.IFNA(VLOOKUP(Wapato_Inventory[[#This Row],[living_area_range]],Lookups!$K$28:$M$37,3,FALSE),1)</f>
        <v>0.99022994770196116</v>
      </c>
      <c r="BY74" s="2">
        <f>AVERAGE(Wapato_Inventory[[#This Row],[qual_adj]:[range_adj]])</f>
        <v>0.9861909157297889</v>
      </c>
      <c r="BZ74" s="7">
        <f>(Wapato_Inventory[[#This Row],[sum_land]]-IF(Wapato_Inventory[[#This Row],[no_utilities]]=1,12000,0))/IF(Wapato_Inventory[[#This Row],[unbuildable]]=1,2,1)</f>
        <v>54200</v>
      </c>
      <c r="CA74" s="7">
        <f>Wapato_Inventory[[#This Row],[pre_res]]*Wapato_Inventory[[#This Row],[overall_adj]]</f>
        <v>90167.241504537684</v>
      </c>
      <c r="CB74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74" s="3">
        <f>IF(ROUND(Wapato_Inventory[[#This Row],[adj_res]]*Lookups!$H$48,-2)&lt;Wapato_Inventory[[#This Row],[min_res]],Wapato_Inventory[[#This Row],[min_res]],ROUND(Wapato_Inventory[[#This Row],[adj_res]]*Lookups!$H$48,-2))</f>
        <v>85700</v>
      </c>
      <c r="CD74" s="3">
        <f>ROUND(Wapato_Inventory[[#This Row],[det_value]]*Lookups!$H$48,-2)</f>
        <v>3500</v>
      </c>
      <c r="CE74" s="3">
        <f>Wapato_Inventory[[#This Row],[final_res]]+Wapato_Inventory[[#This Row],[final_det]]</f>
        <v>89200</v>
      </c>
      <c r="CF74" s="3">
        <f>Wapato_Inventory[[#This Row],[crop_value]]+Wapato_Inventory[[#This Row],[final_land]]+Wapato_Inventory[[#This Row],[final_imp]]</f>
        <v>140700</v>
      </c>
      <c r="CH74" t="str">
        <f t="shared" si="1"/>
        <v>update valuation set market_land =51500, market_bldg=89200, market_total =140700, market_mdno =405, market_date ='9/10/2023' where link_id = (select link_id from parcel where parcel_year = '2024' and parcel_id = '19110944469');</v>
      </c>
    </row>
    <row r="75" spans="1:86" x14ac:dyDescent="0.25">
      <c r="A75">
        <v>19110944470</v>
      </c>
      <c r="B75">
        <v>0.5</v>
      </c>
      <c r="C75">
        <v>21781</v>
      </c>
      <c r="D75" t="s">
        <v>144</v>
      </c>
      <c r="E75" t="s">
        <v>54</v>
      </c>
      <c r="F75" t="s">
        <v>54</v>
      </c>
      <c r="G75">
        <v>3</v>
      </c>
      <c r="H75" t="s">
        <v>55</v>
      </c>
      <c r="I75">
        <v>155100</v>
      </c>
      <c r="J75">
        <v>40400</v>
      </c>
      <c r="K75">
        <v>0.5</v>
      </c>
      <c r="L75">
        <f>IF(Wapato_Inventory[[#This Row],[parcel_acres]]-Wapato_Inventory[[#This Row],[non_valued_acres]] =0,0,LN(Wapato_Inventory[[#This Row],[parcel_acres]]-Wapato_Inventory[[#This Row],[non_valued_acres]]))</f>
        <v>-0.69314718055994529</v>
      </c>
      <c r="M75">
        <v>0</v>
      </c>
      <c r="N75">
        <v>0</v>
      </c>
      <c r="O75">
        <v>0</v>
      </c>
      <c r="P75">
        <v>27904.037</v>
      </c>
      <c r="Q75">
        <v>74398</v>
      </c>
      <c r="R75" s="3">
        <f>(Wapato_Inventory[[#This Row],[ln_acres]]*Wapato_Inventory[[#This Row],[coeff]])+Wapato_Inventory[[#This Row],[const]]</f>
        <v>55056.395427209602</v>
      </c>
      <c r="S75" t="s">
        <v>62</v>
      </c>
      <c r="T75">
        <v>1</v>
      </c>
      <c r="U75" t="s">
        <v>71</v>
      </c>
      <c r="V75" t="s">
        <v>68</v>
      </c>
      <c r="W75">
        <v>0</v>
      </c>
      <c r="X75">
        <v>0</v>
      </c>
      <c r="Y75">
        <v>43</v>
      </c>
      <c r="Z75">
        <v>44</v>
      </c>
      <c r="AA75">
        <v>50</v>
      </c>
      <c r="AB75">
        <v>2000</v>
      </c>
      <c r="AC75">
        <v>1560</v>
      </c>
      <c r="AD75">
        <v>1560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100</v>
      </c>
      <c r="AP75">
        <v>5</v>
      </c>
      <c r="AQ75">
        <v>0</v>
      </c>
      <c r="AR75">
        <v>0</v>
      </c>
      <c r="AS75" t="s">
        <v>59</v>
      </c>
      <c r="AT75">
        <v>1</v>
      </c>
      <c r="AU75" t="s">
        <v>76</v>
      </c>
      <c r="AV75" t="s">
        <v>61</v>
      </c>
      <c r="AW75">
        <v>0</v>
      </c>
      <c r="AX75">
        <v>4</v>
      </c>
      <c r="AY75">
        <v>0</v>
      </c>
      <c r="AZ75">
        <v>0</v>
      </c>
      <c r="BA75">
        <v>100</v>
      </c>
      <c r="BB75">
        <v>100</v>
      </c>
      <c r="BC75">
        <v>100</v>
      </c>
      <c r="BD75">
        <v>100</v>
      </c>
      <c r="BE75">
        <v>1</v>
      </c>
      <c r="BF75">
        <v>15000</v>
      </c>
      <c r="BG75">
        <v>1000</v>
      </c>
      <c r="BH75" s="7">
        <f>ROUND(Wapato_Inventory[[#This Row],[detatched_value]]*Lookups!$B$22*Lookups!$H$48,-2)</f>
        <v>0</v>
      </c>
      <c r="BI75" s="7">
        <f>ROUND(((Wapato_Inventory[[#This Row],[land_extract]]*Lookups!$B$3) +(Lookups!$B$2*0.5))*Lookups!$H$48,-2)</f>
        <v>56400</v>
      </c>
      <c r="BJ75" s="7">
        <f>IF(Wapato_Inventory[[#This Row],[bldg_style]]="",0,Lookups!$B$2*0.5)</f>
        <v>53765.27</v>
      </c>
      <c r="BK75" s="7">
        <f>_xlfn.IFNA(VLOOKUP(Wapato_Inventory[[#This Row],[quality]],Lookups!$H$2:$J$14,3,FALSE),0)</f>
        <v>28034</v>
      </c>
      <c r="BL75" s="7">
        <f>_xlfn.IFNA(VLOOKUP(Wapato_Inventory[[#This Row],[condition]],Lookups!$H$17:$J$24,3,FALSE),0)</f>
        <v>52231</v>
      </c>
      <c r="BM75" s="7">
        <f>Wapato_Inventory[[#This Row],[Age]]*Lookups!$B$16</f>
        <v>-16309.730800000001</v>
      </c>
      <c r="BN75" s="7">
        <f>Wapato_Inventory[[#This Row],[Main Floor]]*Lookups!$B$17</f>
        <v>65209.152840000002</v>
      </c>
      <c r="BO75" s="7">
        <f>Wapato_Inventory[[#This Row],[Upper Floor]]*Lookups!$B$18</f>
        <v>0</v>
      </c>
      <c r="BP75" s="7">
        <f>Wapato_Inventory[[#This Row],[Fin BSMT]]*Lookups!$B$19</f>
        <v>0</v>
      </c>
      <c r="BQ75" s="7">
        <f>(Wapato_Inventory[[#This Row],[att_gar]]+Wapato_Inventory[[#This Row],[blt_gar]])*Lookups!$B$20</f>
        <v>0</v>
      </c>
      <c r="BR75" s="7">
        <f>Wapato_Inventory[[#This Row],[Patio]]*Lookups!$B$21</f>
        <v>0</v>
      </c>
      <c r="BS75" s="7">
        <f>SUM(Wapato_Inventory[[#This Row],[intercept]:[patio_value]])*Wapato_Inventory[[#This Row],[res_pct]]</f>
        <v>182929.69203999999</v>
      </c>
      <c r="BT75" s="7">
        <f>Wapato_Inventory[[#This Row],[land_value]]</f>
        <v>56400</v>
      </c>
      <c r="BU75" s="2">
        <f>_xlfn.IFNA(VLOOKUP(Wapato_Inventory[[#This Row],[quality]],Lookups!$A$28:$C$37,3,FALSE),1)</f>
        <v>0.96265813922927435</v>
      </c>
      <c r="BV75" s="2">
        <f>_xlfn.IFNA(VLOOKUP(Wapato_Inventory[[#This Row],[condition]],Lookups!$A$41:$C$48,3,FALSE),1)</f>
        <v>0.9832333997567807</v>
      </c>
      <c r="BW75" s="2">
        <f>IF(Wapato_Inventory[[#This Row],[decade]]="",1,_xlfn.IFNA(VLOOKUP(Wapato_Inventory[[#This Row],[decade]],Lookups!$F$28:$H$45,3,FALSE),1))</f>
        <v>0.96240333884358298</v>
      </c>
      <c r="BX75" s="2">
        <f>_xlfn.IFNA(VLOOKUP(Wapato_Inventory[[#This Row],[living_area_range]],Lookups!$K$28:$M$37,3,FALSE),1)</f>
        <v>0.99330894324714125</v>
      </c>
      <c r="BY75" s="2">
        <f>AVERAGE(Wapato_Inventory[[#This Row],[qual_adj]:[range_adj]])</f>
        <v>0.97540095526919479</v>
      </c>
      <c r="BZ75" s="7">
        <f>(Wapato_Inventory[[#This Row],[sum_land]]-IF(Wapato_Inventory[[#This Row],[no_utilities]]=1,12000,0))/IF(Wapato_Inventory[[#This Row],[unbuildable]]=1,2,1)</f>
        <v>56400</v>
      </c>
      <c r="CA75" s="7">
        <f>Wapato_Inventory[[#This Row],[pre_res]]*Wapato_Inventory[[#This Row],[overall_adj]]</f>
        <v>178429.7963629156</v>
      </c>
      <c r="CB75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75" s="3">
        <f>IF(ROUND(Wapato_Inventory[[#This Row],[adj_res]]*Lookups!$H$48,-2)&lt;Wapato_Inventory[[#This Row],[min_res]],Wapato_Inventory[[#This Row],[min_res]],ROUND(Wapato_Inventory[[#This Row],[adj_res]]*Lookups!$H$48,-2))</f>
        <v>169500</v>
      </c>
      <c r="CD75" s="3">
        <f>ROUND(Wapato_Inventory[[#This Row],[det_value]]*Lookups!$H$48,-2)</f>
        <v>0</v>
      </c>
      <c r="CE75" s="3">
        <f>Wapato_Inventory[[#This Row],[final_res]]+Wapato_Inventory[[#This Row],[final_det]]</f>
        <v>169500</v>
      </c>
      <c r="CF75" s="3">
        <f>Wapato_Inventory[[#This Row],[crop_value]]+Wapato_Inventory[[#This Row],[final_land]]+Wapato_Inventory[[#This Row],[final_imp]]</f>
        <v>223100</v>
      </c>
      <c r="CH75" t="str">
        <f t="shared" si="1"/>
        <v>update valuation set market_land =53600, market_bldg=169500, market_total =223100, market_mdno =405, market_date ='9/10/2023' where link_id = (select link_id from parcel where parcel_year = '2024' and parcel_id = '19110944470');</v>
      </c>
    </row>
    <row r="76" spans="1:86" x14ac:dyDescent="0.25">
      <c r="A76">
        <v>19110944473</v>
      </c>
      <c r="B76">
        <v>0.27</v>
      </c>
      <c r="C76">
        <v>11671</v>
      </c>
      <c r="D76" t="s">
        <v>144</v>
      </c>
      <c r="E76" t="s">
        <v>54</v>
      </c>
      <c r="F76" t="s">
        <v>54</v>
      </c>
      <c r="G76">
        <v>3</v>
      </c>
      <c r="H76" t="s">
        <v>55</v>
      </c>
      <c r="I76">
        <v>181200</v>
      </c>
      <c r="J76">
        <v>36000</v>
      </c>
      <c r="K76">
        <v>0.27</v>
      </c>
      <c r="L76">
        <f>IF(Wapato_Inventory[[#This Row],[parcel_acres]]-Wapato_Inventory[[#This Row],[non_valued_acres]] =0,0,LN(Wapato_Inventory[[#This Row],[parcel_acres]]-Wapato_Inventory[[#This Row],[non_valued_acres]]))</f>
        <v>-1.3093333199837622</v>
      </c>
      <c r="M76">
        <v>0</v>
      </c>
      <c r="N76">
        <v>0</v>
      </c>
      <c r="O76">
        <v>0</v>
      </c>
      <c r="P76">
        <v>27904.037</v>
      </c>
      <c r="Q76">
        <v>74398</v>
      </c>
      <c r="R76" s="3">
        <f>(Wapato_Inventory[[#This Row],[ln_acres]]*Wapato_Inventory[[#This Row],[coeff]])+Wapato_Inventory[[#This Row],[const]]</f>
        <v>37862.314593840259</v>
      </c>
      <c r="S76" t="s">
        <v>66</v>
      </c>
      <c r="T76">
        <v>1</v>
      </c>
      <c r="U76" t="s">
        <v>78</v>
      </c>
      <c r="V76" t="s">
        <v>84</v>
      </c>
      <c r="W76">
        <v>0</v>
      </c>
      <c r="X76">
        <v>0</v>
      </c>
      <c r="Y76">
        <v>50</v>
      </c>
      <c r="Z76">
        <v>73</v>
      </c>
      <c r="AA76">
        <v>80</v>
      </c>
      <c r="AB76">
        <v>2000</v>
      </c>
      <c r="AC76">
        <v>1590</v>
      </c>
      <c r="AD76">
        <v>1590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272</v>
      </c>
      <c r="AO76">
        <v>0</v>
      </c>
      <c r="AP76">
        <v>5</v>
      </c>
      <c r="AQ76">
        <v>0</v>
      </c>
      <c r="AR76">
        <v>0</v>
      </c>
      <c r="AS76" t="s">
        <v>59</v>
      </c>
      <c r="AT76">
        <v>1</v>
      </c>
      <c r="AU76" t="s">
        <v>72</v>
      </c>
      <c r="AV76" t="s">
        <v>61</v>
      </c>
      <c r="AW76">
        <v>0</v>
      </c>
      <c r="AX76">
        <v>3</v>
      </c>
      <c r="AY76">
        <v>0</v>
      </c>
      <c r="AZ76">
        <v>91500</v>
      </c>
      <c r="BA76">
        <v>100</v>
      </c>
      <c r="BB76">
        <v>100</v>
      </c>
      <c r="BC76">
        <v>100</v>
      </c>
      <c r="BD76">
        <v>100</v>
      </c>
      <c r="BE76">
        <v>1</v>
      </c>
      <c r="BF76">
        <v>15000</v>
      </c>
      <c r="BG76">
        <v>1000</v>
      </c>
      <c r="BH76" s="7">
        <f>ROUND(Wapato_Inventory[[#This Row],[detatched_value]]*Lookups!$B$22*Lookups!$H$48,-2)</f>
        <v>81700</v>
      </c>
      <c r="BI76" s="7">
        <f>ROUND(((Wapato_Inventory[[#This Row],[land_extract]]*Lookups!$B$3) +(Lookups!$B$2*0.5))*Lookups!$H$48,-2)</f>
        <v>54700</v>
      </c>
      <c r="BJ76" s="7">
        <f>IF(Wapato_Inventory[[#This Row],[bldg_style]]="",0,Lookups!$B$2*0.5)</f>
        <v>53765.27</v>
      </c>
      <c r="BK76" s="7">
        <f>_xlfn.IFNA(VLOOKUP(Wapato_Inventory[[#This Row],[quality]],Lookups!$H$2:$J$14,3,FALSE),0)</f>
        <v>23424</v>
      </c>
      <c r="BL76" s="7">
        <f>_xlfn.IFNA(VLOOKUP(Wapato_Inventory[[#This Row],[condition]],Lookups!$H$17:$J$24,3,FALSE),0)</f>
        <v>0</v>
      </c>
      <c r="BM76" s="7">
        <f>Wapato_Inventory[[#This Row],[Age]]*Lookups!$B$16</f>
        <v>-27059.326100000002</v>
      </c>
      <c r="BN76" s="7">
        <f>Wapato_Inventory[[#This Row],[Main Floor]]*Lookups!$B$17</f>
        <v>66463.175010000006</v>
      </c>
      <c r="BO76" s="7">
        <f>Wapato_Inventory[[#This Row],[Upper Floor]]*Lookups!$B$18</f>
        <v>0</v>
      </c>
      <c r="BP76" s="7">
        <f>Wapato_Inventory[[#This Row],[Fin BSMT]]*Lookups!$B$19</f>
        <v>0</v>
      </c>
      <c r="BQ76" s="7">
        <f>(Wapato_Inventory[[#This Row],[att_gar]]+Wapato_Inventory[[#This Row],[blt_gar]])*Lookups!$B$20</f>
        <v>0</v>
      </c>
      <c r="BR76" s="7">
        <f>Wapato_Inventory[[#This Row],[Patio]]*Lookups!$B$21</f>
        <v>0</v>
      </c>
      <c r="BS76" s="7">
        <f>SUM(Wapato_Inventory[[#This Row],[intercept]:[patio_value]])*Wapato_Inventory[[#This Row],[res_pct]]</f>
        <v>116593.11890999999</v>
      </c>
      <c r="BT76" s="7">
        <f>Wapato_Inventory[[#This Row],[land_value]]</f>
        <v>54700</v>
      </c>
      <c r="BU76" s="2">
        <f>_xlfn.IFNA(VLOOKUP(Wapato_Inventory[[#This Row],[quality]],Lookups!$A$28:$C$37,3,FALSE),1)</f>
        <v>1.0091195562373767</v>
      </c>
      <c r="BV76" s="2">
        <f>_xlfn.IFNA(VLOOKUP(Wapato_Inventory[[#This Row],[condition]],Lookups!$A$41:$C$48,3,FALSE),1)</f>
        <v>1.0000035546274355</v>
      </c>
      <c r="BW76" s="2">
        <f>IF(Wapato_Inventory[[#This Row],[decade]]="",1,_xlfn.IFNA(VLOOKUP(Wapato_Inventory[[#This Row],[decade]],Lookups!$F$28:$H$45,3,FALSE),1))</f>
        <v>0.8438929209510081</v>
      </c>
      <c r="BX76" s="2">
        <f>_xlfn.IFNA(VLOOKUP(Wapato_Inventory[[#This Row],[living_area_range]],Lookups!$K$28:$M$37,3,FALSE),1)</f>
        <v>0.99330894324714125</v>
      </c>
      <c r="BY76" s="2">
        <f>AVERAGE(Wapato_Inventory[[#This Row],[qual_adj]:[range_adj]])</f>
        <v>0.96158124376574039</v>
      </c>
      <c r="BZ76" s="7">
        <f>(Wapato_Inventory[[#This Row],[sum_land]]-IF(Wapato_Inventory[[#This Row],[no_utilities]]=1,12000,0))/IF(Wapato_Inventory[[#This Row],[unbuildable]]=1,2,1)</f>
        <v>54700</v>
      </c>
      <c r="CA76" s="7">
        <f>Wapato_Inventory[[#This Row],[pre_res]]*Wapato_Inventory[[#This Row],[overall_adj]]</f>
        <v>112113.75629600465</v>
      </c>
      <c r="CB76" s="3">
        <f>IF(ROUND(Wapato_Inventory[[#This Row],[adj_land]]*Lookups!$H$48,-2)&lt;Wapato_Inventory[[#This Row],[min_land]],Wapato_Inventory[[#This Row],[min_land]],ROUND(Wapato_Inventory[[#This Row],[adj_land]]*Lookups!$H$48,-2))</f>
        <v>52000</v>
      </c>
      <c r="CC76" s="3">
        <f>IF(ROUND(Wapato_Inventory[[#This Row],[adj_res]]*Lookups!$H$48,-2)&lt;Wapato_Inventory[[#This Row],[min_res]],Wapato_Inventory[[#This Row],[min_res]],ROUND(Wapato_Inventory[[#This Row],[adj_res]]*Lookups!$H$48,-2))</f>
        <v>106500</v>
      </c>
      <c r="CD76" s="3">
        <f>ROUND(Wapato_Inventory[[#This Row],[det_value]]*Lookups!$H$48,-2)</f>
        <v>77600</v>
      </c>
      <c r="CE76" s="3">
        <f>Wapato_Inventory[[#This Row],[final_res]]+Wapato_Inventory[[#This Row],[final_det]]</f>
        <v>184100</v>
      </c>
      <c r="CF76" s="3">
        <f>Wapato_Inventory[[#This Row],[crop_value]]+Wapato_Inventory[[#This Row],[final_land]]+Wapato_Inventory[[#This Row],[final_imp]]</f>
        <v>236100</v>
      </c>
      <c r="CH76" t="str">
        <f t="shared" si="1"/>
        <v>update valuation set market_land =52000, market_bldg=184100, market_total =236100, market_mdno =405, market_date ='9/10/2023' where link_id = (select link_id from parcel where parcel_year = '2024' and parcel_id = '19110944473');</v>
      </c>
    </row>
    <row r="77" spans="1:86" x14ac:dyDescent="0.25">
      <c r="A77">
        <v>19110944475</v>
      </c>
      <c r="B77">
        <v>0.61</v>
      </c>
      <c r="C77">
        <v>26561</v>
      </c>
      <c r="D77" t="s">
        <v>144</v>
      </c>
      <c r="E77" t="s">
        <v>54</v>
      </c>
      <c r="F77" t="s">
        <v>54</v>
      </c>
      <c r="G77">
        <v>3</v>
      </c>
      <c r="H77" t="s">
        <v>55</v>
      </c>
      <c r="I77">
        <v>423200</v>
      </c>
      <c r="J77">
        <v>41700</v>
      </c>
      <c r="K77">
        <v>0.61</v>
      </c>
      <c r="L77">
        <f>IF(Wapato_Inventory[[#This Row],[parcel_acres]]-Wapato_Inventory[[#This Row],[non_valued_acres]] =0,0,LN(Wapato_Inventory[[#This Row],[parcel_acres]]-Wapato_Inventory[[#This Row],[non_valued_acres]]))</f>
        <v>-0.49429632181478012</v>
      </c>
      <c r="M77">
        <v>0</v>
      </c>
      <c r="N77">
        <v>0</v>
      </c>
      <c r="O77">
        <v>0</v>
      </c>
      <c r="P77">
        <v>27904.037</v>
      </c>
      <c r="Q77">
        <v>74398</v>
      </c>
      <c r="R77" s="3">
        <f>(Wapato_Inventory[[#This Row],[ln_acres]]*Wapato_Inventory[[#This Row],[coeff]])+Wapato_Inventory[[#This Row],[const]]</f>
        <v>60605.137147116468</v>
      </c>
      <c r="S77" t="s">
        <v>56</v>
      </c>
      <c r="T77">
        <v>1</v>
      </c>
      <c r="U77" t="s">
        <v>65</v>
      </c>
      <c r="V77" t="s">
        <v>58</v>
      </c>
      <c r="W77">
        <v>0</v>
      </c>
      <c r="X77">
        <v>0</v>
      </c>
      <c r="Y77">
        <v>7</v>
      </c>
      <c r="Z77">
        <v>7</v>
      </c>
      <c r="AA77">
        <v>10</v>
      </c>
      <c r="AB77">
        <v>3000</v>
      </c>
      <c r="AC77">
        <v>2859</v>
      </c>
      <c r="AD77">
        <v>2859</v>
      </c>
      <c r="AE77">
        <v>0</v>
      </c>
      <c r="AF77">
        <v>0</v>
      </c>
      <c r="AG77">
        <v>0</v>
      </c>
      <c r="AH77">
        <v>0</v>
      </c>
      <c r="AI77">
        <v>625</v>
      </c>
      <c r="AJ77">
        <v>0</v>
      </c>
      <c r="AK77">
        <v>0</v>
      </c>
      <c r="AL77">
        <v>0</v>
      </c>
      <c r="AM77">
        <v>144</v>
      </c>
      <c r="AN77">
        <v>160</v>
      </c>
      <c r="AO77">
        <v>0</v>
      </c>
      <c r="AP77">
        <v>11</v>
      </c>
      <c r="AQ77">
        <v>0</v>
      </c>
      <c r="AR77">
        <v>0</v>
      </c>
      <c r="AS77" t="s">
        <v>59</v>
      </c>
      <c r="AT77">
        <v>1</v>
      </c>
      <c r="AU77" t="s">
        <v>60</v>
      </c>
      <c r="AV77" t="s">
        <v>61</v>
      </c>
      <c r="AW77">
        <v>1</v>
      </c>
      <c r="AX77">
        <v>3</v>
      </c>
      <c r="AY77">
        <v>0</v>
      </c>
      <c r="AZ77">
        <v>0</v>
      </c>
      <c r="BA77">
        <v>100</v>
      </c>
      <c r="BB77">
        <v>100</v>
      </c>
      <c r="BC77">
        <v>100</v>
      </c>
      <c r="BD77">
        <v>100</v>
      </c>
      <c r="BE77">
        <v>1</v>
      </c>
      <c r="BF77">
        <v>15000</v>
      </c>
      <c r="BG77">
        <v>1000</v>
      </c>
      <c r="BH77" s="7">
        <f>ROUND(Wapato_Inventory[[#This Row],[detatched_value]]*Lookups!$B$22*Lookups!$H$48,-2)</f>
        <v>0</v>
      </c>
      <c r="BI77" s="7">
        <f>ROUND(((Wapato_Inventory[[#This Row],[land_extract]]*Lookups!$B$3) +(Lookups!$B$2*0.5))*Lookups!$H$48,-2)</f>
        <v>56900</v>
      </c>
      <c r="BJ77" s="7">
        <f>IF(Wapato_Inventory[[#This Row],[bldg_style]]="",0,Lookups!$B$2*0.5)</f>
        <v>53765.27</v>
      </c>
      <c r="BK77" s="7">
        <f>_xlfn.IFNA(VLOOKUP(Wapato_Inventory[[#This Row],[quality]],Lookups!$H$2:$J$14,3,FALSE),0)</f>
        <v>92307</v>
      </c>
      <c r="BL77" s="7">
        <f>_xlfn.IFNA(VLOOKUP(Wapato_Inventory[[#This Row],[condition]],Lookups!$H$17:$J$24,3,FALSE),0)</f>
        <v>122095</v>
      </c>
      <c r="BM77" s="7">
        <f>Wapato_Inventory[[#This Row],[Age]]*Lookups!$B$16</f>
        <v>-2594.7299000000003</v>
      </c>
      <c r="BN77" s="7">
        <f>Wapato_Inventory[[#This Row],[Main Floor]]*Lookups!$B$17</f>
        <v>119508.31280100001</v>
      </c>
      <c r="BO77" s="7">
        <f>Wapato_Inventory[[#This Row],[Upper Floor]]*Lookups!$B$18</f>
        <v>0</v>
      </c>
      <c r="BP77" s="7">
        <f>Wapato_Inventory[[#This Row],[Fin BSMT]]*Lookups!$B$19</f>
        <v>0</v>
      </c>
      <c r="BQ77" s="7">
        <f>(Wapato_Inventory[[#This Row],[att_gar]]+Wapato_Inventory[[#This Row],[blt_gar]])*Lookups!$B$20</f>
        <v>23130.47</v>
      </c>
      <c r="BR77" s="7">
        <f>Wapato_Inventory[[#This Row],[Patio]]*Lookups!$B$21</f>
        <v>6238.6529760000003</v>
      </c>
      <c r="BS77" s="7">
        <f>SUM(Wapato_Inventory[[#This Row],[intercept]:[patio_value]])*Wapato_Inventory[[#This Row],[res_pct]]</f>
        <v>414449.97587700002</v>
      </c>
      <c r="BT77" s="7">
        <f>Wapato_Inventory[[#This Row],[land_value]]</f>
        <v>56900</v>
      </c>
      <c r="BU77" s="2">
        <f>_xlfn.IFNA(VLOOKUP(Wapato_Inventory[[#This Row],[quality]],Lookups!$A$28:$C$37,3,FALSE),1)</f>
        <v>1.0013727718490204</v>
      </c>
      <c r="BV77" s="2">
        <f>_xlfn.IFNA(VLOOKUP(Wapato_Inventory[[#This Row],[condition]],Lookups!$A$41:$C$48,3,FALSE),1)</f>
        <v>1.00041560026225</v>
      </c>
      <c r="BW77" s="2">
        <f>IF(Wapato_Inventory[[#This Row],[decade]]="",1,_xlfn.IFNA(VLOOKUP(Wapato_Inventory[[#This Row],[decade]],Lookups!$F$28:$H$45,3,FALSE),1))</f>
        <v>1.0321018519633791</v>
      </c>
      <c r="BX77" s="2">
        <f>_xlfn.IFNA(VLOOKUP(Wapato_Inventory[[#This Row],[living_area_range]],Lookups!$K$28:$M$37,3,FALSE),1)</f>
        <v>1.0155869662067822</v>
      </c>
      <c r="BY77" s="2">
        <f>AVERAGE(Wapato_Inventory[[#This Row],[qual_adj]:[range_adj]])</f>
        <v>1.0123692975703578</v>
      </c>
      <c r="BZ77" s="7">
        <f>(Wapato_Inventory[[#This Row],[sum_land]]-IF(Wapato_Inventory[[#This Row],[no_utilities]]=1,12000,0))/IF(Wapato_Inventory[[#This Row],[unbuildable]]=1,2,1)</f>
        <v>56900</v>
      </c>
      <c r="CA77" s="7">
        <f>Wapato_Inventory[[#This Row],[pre_res]]*Wapato_Inventory[[#This Row],[overall_adj]]</f>
        <v>419576.43095665023</v>
      </c>
      <c r="CB77" s="3">
        <f>IF(ROUND(Wapato_Inventory[[#This Row],[adj_land]]*Lookups!$H$48,-2)&lt;Wapato_Inventory[[#This Row],[min_land]],Wapato_Inventory[[#This Row],[min_land]],ROUND(Wapato_Inventory[[#This Row],[adj_land]]*Lookups!$H$48,-2))</f>
        <v>54100</v>
      </c>
      <c r="CC77" s="3">
        <f>IF(ROUND(Wapato_Inventory[[#This Row],[adj_res]]*Lookups!$H$48,-2)&lt;Wapato_Inventory[[#This Row],[min_res]],Wapato_Inventory[[#This Row],[min_res]],ROUND(Wapato_Inventory[[#This Row],[adj_res]]*Lookups!$H$48,-2))</f>
        <v>398600</v>
      </c>
      <c r="CD77" s="3">
        <f>ROUND(Wapato_Inventory[[#This Row],[det_value]]*Lookups!$H$48,-2)</f>
        <v>0</v>
      </c>
      <c r="CE77" s="3">
        <f>Wapato_Inventory[[#This Row],[final_res]]+Wapato_Inventory[[#This Row],[final_det]]</f>
        <v>398600</v>
      </c>
      <c r="CF77" s="3">
        <f>Wapato_Inventory[[#This Row],[crop_value]]+Wapato_Inventory[[#This Row],[final_land]]+Wapato_Inventory[[#This Row],[final_imp]]</f>
        <v>452700</v>
      </c>
      <c r="CH77" t="str">
        <f t="shared" si="1"/>
        <v>update valuation set market_land =54100, market_bldg=398600, market_total =452700, market_mdno =405, market_date ='9/10/2023' where link_id = (select link_id from parcel where parcel_year = '2024' and parcel_id = '19110944475');</v>
      </c>
    </row>
    <row r="78" spans="1:86" x14ac:dyDescent="0.25">
      <c r="A78">
        <v>19110944476</v>
      </c>
      <c r="B78">
        <v>0.65</v>
      </c>
      <c r="C78">
        <v>28131</v>
      </c>
      <c r="D78" t="s">
        <v>144</v>
      </c>
      <c r="E78" t="s">
        <v>54</v>
      </c>
      <c r="F78" t="s">
        <v>54</v>
      </c>
      <c r="G78">
        <v>3</v>
      </c>
      <c r="H78" t="s">
        <v>55</v>
      </c>
      <c r="I78">
        <v>171200</v>
      </c>
      <c r="J78">
        <v>42200</v>
      </c>
      <c r="K78">
        <v>0.65</v>
      </c>
      <c r="L78">
        <f>IF(Wapato_Inventory[[#This Row],[parcel_acres]]-Wapato_Inventory[[#This Row],[non_valued_acres]] =0,0,LN(Wapato_Inventory[[#This Row],[parcel_acres]]-Wapato_Inventory[[#This Row],[non_valued_acres]]))</f>
        <v>-0.43078291609245423</v>
      </c>
      <c r="M78">
        <v>0</v>
      </c>
      <c r="N78">
        <v>0</v>
      </c>
      <c r="O78">
        <v>0</v>
      </c>
      <c r="P78">
        <v>27904.037</v>
      </c>
      <c r="Q78">
        <v>74398</v>
      </c>
      <c r="R78" s="3">
        <f>(Wapato_Inventory[[#This Row],[ln_acres]]*Wapato_Inventory[[#This Row],[coeff]])+Wapato_Inventory[[#This Row],[const]]</f>
        <v>62377.417570388265</v>
      </c>
      <c r="S78" t="s">
        <v>66</v>
      </c>
      <c r="T78">
        <v>1</v>
      </c>
      <c r="U78" t="s">
        <v>75</v>
      </c>
      <c r="V78" t="s">
        <v>68</v>
      </c>
      <c r="W78">
        <v>0</v>
      </c>
      <c r="X78">
        <v>0</v>
      </c>
      <c r="Y78">
        <v>52</v>
      </c>
      <c r="Z78">
        <v>88</v>
      </c>
      <c r="AA78">
        <v>90</v>
      </c>
      <c r="AB78">
        <v>1500</v>
      </c>
      <c r="AC78">
        <v>1408</v>
      </c>
      <c r="AD78">
        <v>1408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5</v>
      </c>
      <c r="AQ78">
        <v>0</v>
      </c>
      <c r="AR78">
        <v>1</v>
      </c>
      <c r="AS78" t="s">
        <v>59</v>
      </c>
      <c r="AT78">
        <v>1</v>
      </c>
      <c r="AU78" t="s">
        <v>64</v>
      </c>
      <c r="AV78" t="s">
        <v>77</v>
      </c>
      <c r="AW78">
        <v>0</v>
      </c>
      <c r="AX78">
        <v>2</v>
      </c>
      <c r="AY78">
        <v>0</v>
      </c>
      <c r="AZ78">
        <v>7500</v>
      </c>
      <c r="BA78">
        <v>100</v>
      </c>
      <c r="BB78">
        <v>100</v>
      </c>
      <c r="BC78">
        <v>100</v>
      </c>
      <c r="BD78">
        <v>100</v>
      </c>
      <c r="BE78">
        <v>1</v>
      </c>
      <c r="BF78">
        <v>15000</v>
      </c>
      <c r="BG78">
        <v>1000</v>
      </c>
      <c r="BH78" s="7">
        <f>ROUND(Wapato_Inventory[[#This Row],[detatched_value]]*Lookups!$B$22*Lookups!$H$48,-2)</f>
        <v>6700</v>
      </c>
      <c r="BI78" s="7">
        <f>ROUND(((Wapato_Inventory[[#This Row],[land_extract]]*Lookups!$B$3) +(Lookups!$B$2*0.5))*Lookups!$H$48,-2)</f>
        <v>57100</v>
      </c>
      <c r="BJ78" s="7">
        <f>IF(Wapato_Inventory[[#This Row],[bldg_style]]="",0,Lookups!$B$2*0.5)</f>
        <v>53765.27</v>
      </c>
      <c r="BK78" s="7">
        <f>_xlfn.IFNA(VLOOKUP(Wapato_Inventory[[#This Row],[quality]],Lookups!$H$2:$J$14,3,FALSE),0)</f>
        <v>48043</v>
      </c>
      <c r="BL78" s="7">
        <f>_xlfn.IFNA(VLOOKUP(Wapato_Inventory[[#This Row],[condition]],Lookups!$H$17:$J$24,3,FALSE),0)</f>
        <v>52231</v>
      </c>
      <c r="BM78" s="7">
        <f>Wapato_Inventory[[#This Row],[Age]]*Lookups!$B$16</f>
        <v>-32619.461600000002</v>
      </c>
      <c r="BN78" s="7">
        <f>Wapato_Inventory[[#This Row],[Main Floor]]*Lookups!$B$17</f>
        <v>58855.440512000001</v>
      </c>
      <c r="BO78" s="7">
        <f>Wapato_Inventory[[#This Row],[Upper Floor]]*Lookups!$B$18</f>
        <v>0</v>
      </c>
      <c r="BP78" s="7">
        <f>Wapato_Inventory[[#This Row],[Fin BSMT]]*Lookups!$B$19</f>
        <v>0</v>
      </c>
      <c r="BQ78" s="7">
        <f>(Wapato_Inventory[[#This Row],[att_gar]]+Wapato_Inventory[[#This Row],[blt_gar]])*Lookups!$B$20</f>
        <v>0</v>
      </c>
      <c r="BR78" s="7">
        <f>Wapato_Inventory[[#This Row],[Patio]]*Lookups!$B$21</f>
        <v>0</v>
      </c>
      <c r="BS78" s="7">
        <f>SUM(Wapato_Inventory[[#This Row],[intercept]:[patio_value]])*Wapato_Inventory[[#This Row],[res_pct]]</f>
        <v>180275.24891199998</v>
      </c>
      <c r="BT78" s="7">
        <f>Wapato_Inventory[[#This Row],[land_value]]</f>
        <v>57100</v>
      </c>
      <c r="BU78" s="2">
        <f>_xlfn.IFNA(VLOOKUP(Wapato_Inventory[[#This Row],[quality]],Lookups!$A$28:$C$37,3,FALSE),1)</f>
        <v>0.98196844879778955</v>
      </c>
      <c r="BV78" s="2">
        <f>_xlfn.IFNA(VLOOKUP(Wapato_Inventory[[#This Row],[condition]],Lookups!$A$41:$C$48,3,FALSE),1)</f>
        <v>0.9832333997567807</v>
      </c>
      <c r="BW78" s="2">
        <f>IF(Wapato_Inventory[[#This Row],[decade]]="",1,_xlfn.IFNA(VLOOKUP(Wapato_Inventory[[#This Row],[decade]],Lookups!$F$28:$H$45,3,FALSE),1))</f>
        <v>0.94742695999815718</v>
      </c>
      <c r="BX78" s="2">
        <f>_xlfn.IFNA(VLOOKUP(Wapato_Inventory[[#This Row],[living_area_range]],Lookups!$K$28:$M$37,3,FALSE),1)</f>
        <v>1.0061411172456287</v>
      </c>
      <c r="BY78" s="2">
        <f>AVERAGE(Wapato_Inventory[[#This Row],[qual_adj]:[range_adj]])</f>
        <v>0.97969248144958898</v>
      </c>
      <c r="BZ78" s="7">
        <f>(Wapato_Inventory[[#This Row],[sum_land]]-IF(Wapato_Inventory[[#This Row],[no_utilities]]=1,12000,0))/IF(Wapato_Inventory[[#This Row],[unbuildable]]=1,2,1)</f>
        <v>57100</v>
      </c>
      <c r="CA78" s="7">
        <f>Wapato_Inventory[[#This Row],[pre_res]]*Wapato_Inventory[[#This Row],[overall_adj]]</f>
        <v>176614.30595053956</v>
      </c>
      <c r="CB78" s="3">
        <f>IF(ROUND(Wapato_Inventory[[#This Row],[adj_land]]*Lookups!$H$48,-2)&lt;Wapato_Inventory[[#This Row],[min_land]],Wapato_Inventory[[#This Row],[min_land]],ROUND(Wapato_Inventory[[#This Row],[adj_land]]*Lookups!$H$48,-2))</f>
        <v>54200</v>
      </c>
      <c r="CC78" s="3">
        <f>IF(ROUND(Wapato_Inventory[[#This Row],[adj_res]]*Lookups!$H$48,-2)&lt;Wapato_Inventory[[#This Row],[min_res]],Wapato_Inventory[[#This Row],[min_res]],ROUND(Wapato_Inventory[[#This Row],[adj_res]]*Lookups!$H$48,-2))</f>
        <v>167800</v>
      </c>
      <c r="CD78" s="3">
        <f>ROUND(Wapato_Inventory[[#This Row],[det_value]]*Lookups!$H$48,-2)</f>
        <v>6400</v>
      </c>
      <c r="CE78" s="3">
        <f>Wapato_Inventory[[#This Row],[final_res]]+Wapato_Inventory[[#This Row],[final_det]]</f>
        <v>174200</v>
      </c>
      <c r="CF78" s="3">
        <f>Wapato_Inventory[[#This Row],[crop_value]]+Wapato_Inventory[[#This Row],[final_land]]+Wapato_Inventory[[#This Row],[final_imp]]</f>
        <v>228400</v>
      </c>
      <c r="CH78" t="str">
        <f t="shared" si="1"/>
        <v>update valuation set market_land =54200, market_bldg=174200, market_total =228400, market_mdno =405, market_date ='9/10/2023' where link_id = (select link_id from parcel where parcel_year = '2024' and parcel_id = '19110944476');</v>
      </c>
    </row>
    <row r="79" spans="1:86" x14ac:dyDescent="0.25">
      <c r="A79">
        <v>19110944481</v>
      </c>
      <c r="B79">
        <v>0.5</v>
      </c>
      <c r="C79">
        <v>21781</v>
      </c>
      <c r="D79" t="s">
        <v>144</v>
      </c>
      <c r="E79" t="s">
        <v>54</v>
      </c>
      <c r="F79" t="s">
        <v>54</v>
      </c>
      <c r="G79">
        <v>3</v>
      </c>
      <c r="H79" t="s">
        <v>55</v>
      </c>
      <c r="I79">
        <v>24700</v>
      </c>
      <c r="J79">
        <v>40400</v>
      </c>
      <c r="K79">
        <v>0.5</v>
      </c>
      <c r="L79">
        <f>IF(Wapato_Inventory[[#This Row],[parcel_acres]]-Wapato_Inventory[[#This Row],[non_valued_acres]] =0,0,LN(Wapato_Inventory[[#This Row],[parcel_acres]]-Wapato_Inventory[[#This Row],[non_valued_acres]]))</f>
        <v>-0.69314718055994529</v>
      </c>
      <c r="M79">
        <v>0</v>
      </c>
      <c r="N79">
        <v>0</v>
      </c>
      <c r="O79">
        <v>0</v>
      </c>
      <c r="P79">
        <v>27904.037</v>
      </c>
      <c r="Q79">
        <v>74398</v>
      </c>
      <c r="R79" s="3">
        <f>(Wapato_Inventory[[#This Row],[ln_acres]]*Wapato_Inventory[[#This Row],[coeff]])+Wapato_Inventory[[#This Row],[const]]</f>
        <v>55056.395427209602</v>
      </c>
      <c r="S79" t="s">
        <v>66</v>
      </c>
      <c r="T79">
        <v>1</v>
      </c>
      <c r="U79" t="s">
        <v>71</v>
      </c>
      <c r="V79" t="s">
        <v>111</v>
      </c>
      <c r="W79">
        <v>0</v>
      </c>
      <c r="X79">
        <v>0</v>
      </c>
      <c r="Y79">
        <v>53</v>
      </c>
      <c r="Z79">
        <v>93</v>
      </c>
      <c r="AA79">
        <v>100</v>
      </c>
      <c r="AB79">
        <v>1500</v>
      </c>
      <c r="AC79">
        <v>1028</v>
      </c>
      <c r="AD79">
        <v>1028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368</v>
      </c>
      <c r="AM79">
        <v>152</v>
      </c>
      <c r="AN79">
        <v>0</v>
      </c>
      <c r="AO79">
        <v>152</v>
      </c>
      <c r="AP79">
        <v>5</v>
      </c>
      <c r="AQ79">
        <v>0</v>
      </c>
      <c r="AR79">
        <v>0</v>
      </c>
      <c r="AS79" t="s">
        <v>59</v>
      </c>
      <c r="AT79">
        <v>1</v>
      </c>
      <c r="AU79" t="s">
        <v>76</v>
      </c>
      <c r="AV79" t="s">
        <v>61</v>
      </c>
      <c r="AW79">
        <v>0</v>
      </c>
      <c r="AX79">
        <v>3</v>
      </c>
      <c r="AY79">
        <v>0</v>
      </c>
      <c r="AZ79">
        <v>0</v>
      </c>
      <c r="BA79">
        <v>100</v>
      </c>
      <c r="BB79">
        <v>100</v>
      </c>
      <c r="BC79">
        <v>100</v>
      </c>
      <c r="BD79">
        <v>100</v>
      </c>
      <c r="BE79">
        <v>1</v>
      </c>
      <c r="BF79">
        <v>15000</v>
      </c>
      <c r="BG79">
        <v>1000</v>
      </c>
      <c r="BH79" s="7">
        <f>ROUND(Wapato_Inventory[[#This Row],[detatched_value]]*Lookups!$B$22*Lookups!$H$48,-2)</f>
        <v>0</v>
      </c>
      <c r="BI79" s="7">
        <f>ROUND(((Wapato_Inventory[[#This Row],[land_extract]]*Lookups!$B$3) +(Lookups!$B$2*0.5))*Lookups!$H$48,-2)</f>
        <v>56400</v>
      </c>
      <c r="BJ79" s="7">
        <f>IF(Wapato_Inventory[[#This Row],[bldg_style]]="",0,Lookups!$B$2*0.5)</f>
        <v>53765.27</v>
      </c>
      <c r="BK79" s="7">
        <f>_xlfn.IFNA(VLOOKUP(Wapato_Inventory[[#This Row],[quality]],Lookups!$H$2:$J$14,3,FALSE),0)</f>
        <v>28034</v>
      </c>
      <c r="BL79" s="7">
        <f>_xlfn.IFNA(VLOOKUP(Wapato_Inventory[[#This Row],[condition]],Lookups!$H$17:$J$24,3,FALSE),0)</f>
        <v>-25449</v>
      </c>
      <c r="BM79" s="7">
        <f>Wapato_Inventory[[#This Row],[Age]]*Lookups!$B$16</f>
        <v>-34472.840100000001</v>
      </c>
      <c r="BN79" s="7">
        <f>Wapato_Inventory[[#This Row],[Main Floor]]*Lookups!$B$17</f>
        <v>42971.159692000001</v>
      </c>
      <c r="BO79" s="7">
        <f>Wapato_Inventory[[#This Row],[Upper Floor]]*Lookups!$B$18</f>
        <v>0</v>
      </c>
      <c r="BP79" s="7">
        <f>Wapato_Inventory[[#This Row],[Fin BSMT]]*Lookups!$B$19</f>
        <v>0</v>
      </c>
      <c r="BQ79" s="7">
        <f>(Wapato_Inventory[[#This Row],[att_gar]]+Wapato_Inventory[[#This Row],[blt_gar]])*Lookups!$B$20</f>
        <v>0</v>
      </c>
      <c r="BR79" s="7">
        <f>Wapato_Inventory[[#This Row],[Patio]]*Lookups!$B$21</f>
        <v>6585.2448080000004</v>
      </c>
      <c r="BS79" s="7">
        <f>SUM(Wapato_Inventory[[#This Row],[intercept]:[patio_value]])*Wapato_Inventory[[#This Row],[res_pct]]</f>
        <v>71433.834399999992</v>
      </c>
      <c r="BT79" s="7">
        <f>Wapato_Inventory[[#This Row],[land_value]]</f>
        <v>56400</v>
      </c>
      <c r="BU79" s="2">
        <f>_xlfn.IFNA(VLOOKUP(Wapato_Inventory[[#This Row],[quality]],Lookups!$A$28:$C$37,3,FALSE),1)</f>
        <v>0.96265813922927435</v>
      </c>
      <c r="BV79" s="2">
        <f>_xlfn.IFNA(VLOOKUP(Wapato_Inventory[[#This Row],[condition]],Lookups!$A$41:$C$48,3,FALSE),1)</f>
        <v>1.0000035546274355</v>
      </c>
      <c r="BW79" s="2">
        <f>IF(Wapato_Inventory[[#This Row],[decade]]="",1,_xlfn.IFNA(VLOOKUP(Wapato_Inventory[[#This Row],[decade]],Lookups!$F$28:$H$45,3,FALSE),1))</f>
        <v>1.0114203040664467</v>
      </c>
      <c r="BX79" s="2">
        <f>_xlfn.IFNA(VLOOKUP(Wapato_Inventory[[#This Row],[living_area_range]],Lookups!$K$28:$M$37,3,FALSE),1)</f>
        <v>1.0061411172456287</v>
      </c>
      <c r="BY79" s="2">
        <f>AVERAGE(Wapato_Inventory[[#This Row],[qual_adj]:[range_adj]])</f>
        <v>0.99505577879219631</v>
      </c>
      <c r="BZ79" s="7">
        <f>(Wapato_Inventory[[#This Row],[sum_land]]-IF(Wapato_Inventory[[#This Row],[no_utilities]]=1,12000,0))/IF(Wapato_Inventory[[#This Row],[unbuildable]]=1,2,1)</f>
        <v>56400</v>
      </c>
      <c r="CA79" s="7">
        <f>Wapato_Inventory[[#This Row],[pre_res]]*Wapato_Inventory[[#This Row],[overall_adj]]</f>
        <v>71080.649721004782</v>
      </c>
      <c r="CB79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79" s="3">
        <f>IF(ROUND(Wapato_Inventory[[#This Row],[adj_res]]*Lookups!$H$48,-2)&lt;Wapato_Inventory[[#This Row],[min_res]],Wapato_Inventory[[#This Row],[min_res]],ROUND(Wapato_Inventory[[#This Row],[adj_res]]*Lookups!$H$48,-2))</f>
        <v>67500</v>
      </c>
      <c r="CD79" s="3">
        <f>ROUND(Wapato_Inventory[[#This Row],[det_value]]*Lookups!$H$48,-2)</f>
        <v>0</v>
      </c>
      <c r="CE79" s="3">
        <f>Wapato_Inventory[[#This Row],[final_res]]+Wapato_Inventory[[#This Row],[final_det]]</f>
        <v>67500</v>
      </c>
      <c r="CF79" s="3">
        <f>Wapato_Inventory[[#This Row],[crop_value]]+Wapato_Inventory[[#This Row],[final_land]]+Wapato_Inventory[[#This Row],[final_imp]]</f>
        <v>121100</v>
      </c>
      <c r="CH79" t="str">
        <f t="shared" si="1"/>
        <v>update valuation set market_land =53600, market_bldg=67500, market_total =121100, market_mdno =405, market_date ='9/10/2023' where link_id = (select link_id from parcel where parcel_year = '2024' and parcel_id = '19110944481');</v>
      </c>
    </row>
    <row r="80" spans="1:86" x14ac:dyDescent="0.25">
      <c r="A80">
        <v>19111013001</v>
      </c>
      <c r="B80">
        <v>4.57</v>
      </c>
      <c r="C80">
        <v>199189</v>
      </c>
      <c r="D80" t="s">
        <v>144</v>
      </c>
      <c r="E80" t="s">
        <v>54</v>
      </c>
      <c r="F80" t="s">
        <v>54</v>
      </c>
      <c r="G80">
        <v>3</v>
      </c>
      <c r="H80" t="s">
        <v>55</v>
      </c>
      <c r="I80">
        <v>156600</v>
      </c>
      <c r="J80">
        <v>56700</v>
      </c>
      <c r="K80">
        <v>4.57</v>
      </c>
      <c r="L80">
        <f>IF(Wapato_Inventory[[#This Row],[parcel_acres]]-Wapato_Inventory[[#This Row],[non_valued_acres]] =0,0,LN(Wapato_Inventory[[#This Row],[parcel_acres]]-Wapato_Inventory[[#This Row],[non_valued_acres]]))</f>
        <v>1.5195132049061133</v>
      </c>
      <c r="M80">
        <v>0</v>
      </c>
      <c r="N80">
        <v>0</v>
      </c>
      <c r="O80">
        <v>0</v>
      </c>
      <c r="P80">
        <v>27904.037</v>
      </c>
      <c r="Q80">
        <v>74398</v>
      </c>
      <c r="R80" s="3">
        <f>(Wapato_Inventory[[#This Row],[ln_acres]]*Wapato_Inventory[[#This Row],[coeff]])+Wapato_Inventory[[#This Row],[const]]</f>
        <v>116798.55269168876</v>
      </c>
      <c r="S80" t="s">
        <v>66</v>
      </c>
      <c r="T80">
        <v>1</v>
      </c>
      <c r="U80" t="s">
        <v>75</v>
      </c>
      <c r="V80" t="s">
        <v>68</v>
      </c>
      <c r="W80">
        <v>0</v>
      </c>
      <c r="X80">
        <v>0</v>
      </c>
      <c r="Y80">
        <v>53</v>
      </c>
      <c r="Z80">
        <v>93</v>
      </c>
      <c r="AA80">
        <v>100</v>
      </c>
      <c r="AB80">
        <v>1000</v>
      </c>
      <c r="AC80">
        <v>904</v>
      </c>
      <c r="AD80">
        <v>904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5</v>
      </c>
      <c r="AQ80">
        <v>0</v>
      </c>
      <c r="AR80">
        <v>1</v>
      </c>
      <c r="AS80" t="s">
        <v>59</v>
      </c>
      <c r="AT80">
        <v>1</v>
      </c>
      <c r="AU80" t="s">
        <v>64</v>
      </c>
      <c r="AV80" t="s">
        <v>61</v>
      </c>
      <c r="AW80">
        <v>0</v>
      </c>
      <c r="AX80">
        <v>2</v>
      </c>
      <c r="AY80">
        <v>0</v>
      </c>
      <c r="AZ80">
        <v>11000</v>
      </c>
      <c r="BA80">
        <v>100</v>
      </c>
      <c r="BB80">
        <v>100</v>
      </c>
      <c r="BC80">
        <v>100</v>
      </c>
      <c r="BD80">
        <v>100</v>
      </c>
      <c r="BE80">
        <v>1</v>
      </c>
      <c r="BF80">
        <v>15000</v>
      </c>
      <c r="BG80">
        <v>1000</v>
      </c>
      <c r="BH80" s="7">
        <f>ROUND(Wapato_Inventory[[#This Row],[detatched_value]]*Lookups!$B$22*Lookups!$H$48,-2)</f>
        <v>9800</v>
      </c>
      <c r="BI80" s="7">
        <f>ROUND(((Wapato_Inventory[[#This Row],[land_extract]]*Lookups!$B$3) +(Lookups!$B$2*0.5))*Lookups!$H$48,-2)</f>
        <v>62400</v>
      </c>
      <c r="BJ80" s="7">
        <f>IF(Wapato_Inventory[[#This Row],[bldg_style]]="",0,Lookups!$B$2*0.5)</f>
        <v>53765.27</v>
      </c>
      <c r="BK80" s="7">
        <f>_xlfn.IFNA(VLOOKUP(Wapato_Inventory[[#This Row],[quality]],Lookups!$H$2:$J$14,3,FALSE),0)</f>
        <v>48043</v>
      </c>
      <c r="BL80" s="7">
        <f>_xlfn.IFNA(VLOOKUP(Wapato_Inventory[[#This Row],[condition]],Lookups!$H$17:$J$24,3,FALSE),0)</f>
        <v>52231</v>
      </c>
      <c r="BM80" s="7">
        <f>Wapato_Inventory[[#This Row],[Age]]*Lookups!$B$16</f>
        <v>-34472.840100000001</v>
      </c>
      <c r="BN80" s="7">
        <f>Wapato_Inventory[[#This Row],[Main Floor]]*Lookups!$B$17</f>
        <v>37787.868055999999</v>
      </c>
      <c r="BO80" s="7">
        <f>Wapato_Inventory[[#This Row],[Upper Floor]]*Lookups!$B$18</f>
        <v>0</v>
      </c>
      <c r="BP80" s="7">
        <f>Wapato_Inventory[[#This Row],[Fin BSMT]]*Lookups!$B$19</f>
        <v>0</v>
      </c>
      <c r="BQ80" s="7">
        <f>(Wapato_Inventory[[#This Row],[att_gar]]+Wapato_Inventory[[#This Row],[blt_gar]])*Lookups!$B$20</f>
        <v>0</v>
      </c>
      <c r="BR80" s="7">
        <f>Wapato_Inventory[[#This Row],[Patio]]*Lookups!$B$21</f>
        <v>0</v>
      </c>
      <c r="BS80" s="7">
        <f>SUM(Wapato_Inventory[[#This Row],[intercept]:[patio_value]])*Wapato_Inventory[[#This Row],[res_pct]]</f>
        <v>157354.29795599999</v>
      </c>
      <c r="BT80" s="7">
        <f>Wapato_Inventory[[#This Row],[land_value]]</f>
        <v>62400</v>
      </c>
      <c r="BU80" s="2">
        <f>_xlfn.IFNA(VLOOKUP(Wapato_Inventory[[#This Row],[quality]],Lookups!$A$28:$C$37,3,FALSE),1)</f>
        <v>0.98196844879778955</v>
      </c>
      <c r="BV80" s="2">
        <f>_xlfn.IFNA(VLOOKUP(Wapato_Inventory[[#This Row],[condition]],Lookups!$A$41:$C$48,3,FALSE),1)</f>
        <v>0.9832333997567807</v>
      </c>
      <c r="BW80" s="2">
        <f>IF(Wapato_Inventory[[#This Row],[decade]]="",1,_xlfn.IFNA(VLOOKUP(Wapato_Inventory[[#This Row],[decade]],Lookups!$F$28:$H$45,3,FALSE),1))</f>
        <v>1.0114203040664467</v>
      </c>
      <c r="BX80" s="2">
        <f>_xlfn.IFNA(VLOOKUP(Wapato_Inventory[[#This Row],[living_area_range]],Lookups!$K$28:$M$37,3,FALSE),1)</f>
        <v>0.99022994770196116</v>
      </c>
      <c r="BY80" s="2">
        <f>AVERAGE(Wapato_Inventory[[#This Row],[qual_adj]:[range_adj]])</f>
        <v>0.99171302508074455</v>
      </c>
      <c r="BZ80" s="7">
        <f>(Wapato_Inventory[[#This Row],[sum_land]]-IF(Wapato_Inventory[[#This Row],[no_utilities]]=1,12000,0))/IF(Wapato_Inventory[[#This Row],[unbuildable]]=1,2,1)</f>
        <v>62400</v>
      </c>
      <c r="CA80" s="7">
        <f>Wapato_Inventory[[#This Row],[pre_res]]*Wapato_Inventory[[#This Row],[overall_adj]]</f>
        <v>156050.30683540157</v>
      </c>
      <c r="CB80" s="3">
        <f>IF(ROUND(Wapato_Inventory[[#This Row],[adj_land]]*Lookups!$H$48,-2)&lt;Wapato_Inventory[[#This Row],[min_land]],Wapato_Inventory[[#This Row],[min_land]],ROUND(Wapato_Inventory[[#This Row],[adj_land]]*Lookups!$H$48,-2))</f>
        <v>59300</v>
      </c>
      <c r="CC80" s="3">
        <f>IF(ROUND(Wapato_Inventory[[#This Row],[adj_res]]*Lookups!$H$48,-2)&lt;Wapato_Inventory[[#This Row],[min_res]],Wapato_Inventory[[#This Row],[min_res]],ROUND(Wapato_Inventory[[#This Row],[adj_res]]*Lookups!$H$48,-2))</f>
        <v>148200</v>
      </c>
      <c r="CD80" s="3">
        <f>ROUND(Wapato_Inventory[[#This Row],[det_value]]*Lookups!$H$48,-2)</f>
        <v>9300</v>
      </c>
      <c r="CE80" s="3">
        <f>Wapato_Inventory[[#This Row],[final_res]]+Wapato_Inventory[[#This Row],[final_det]]</f>
        <v>157500</v>
      </c>
      <c r="CF80" s="3">
        <f>Wapato_Inventory[[#This Row],[crop_value]]+Wapato_Inventory[[#This Row],[final_land]]+Wapato_Inventory[[#This Row],[final_imp]]</f>
        <v>216800</v>
      </c>
      <c r="CH80" t="str">
        <f t="shared" si="1"/>
        <v>update valuation set market_land =59300, market_bldg=157500, market_total =216800, market_mdno =405, market_date ='9/10/2023' where link_id = (select link_id from parcel where parcel_year = '2024' and parcel_id = '19111013001');</v>
      </c>
    </row>
    <row r="81" spans="1:86" x14ac:dyDescent="0.25">
      <c r="A81">
        <v>19111013003</v>
      </c>
      <c r="B81">
        <v>4.76</v>
      </c>
      <c r="C81">
        <v>207562</v>
      </c>
      <c r="D81" t="s">
        <v>144</v>
      </c>
      <c r="E81" t="s">
        <v>54</v>
      </c>
      <c r="F81" t="s">
        <v>54</v>
      </c>
      <c r="G81">
        <v>3</v>
      </c>
      <c r="H81" t="s">
        <v>55</v>
      </c>
      <c r="I81">
        <v>254700</v>
      </c>
      <c r="J81">
        <v>57000</v>
      </c>
      <c r="K81">
        <v>4.76</v>
      </c>
      <c r="L81">
        <f>IF(Wapato_Inventory[[#This Row],[parcel_acres]]-Wapato_Inventory[[#This Row],[non_valued_acres]] =0,0,LN(Wapato_Inventory[[#This Row],[parcel_acres]]-Wapato_Inventory[[#This Row],[non_valued_acres]]))</f>
        <v>1.5602476682433286</v>
      </c>
      <c r="M81">
        <v>0</v>
      </c>
      <c r="N81">
        <v>0</v>
      </c>
      <c r="O81">
        <v>0</v>
      </c>
      <c r="P81">
        <v>27904.037</v>
      </c>
      <c r="Q81">
        <v>74398</v>
      </c>
      <c r="R81" s="3">
        <f>(Wapato_Inventory[[#This Row],[ln_acres]]*Wapato_Inventory[[#This Row],[coeff]])+Wapato_Inventory[[#This Row],[const]]</f>
        <v>117935.20866382556</v>
      </c>
      <c r="S81" t="s">
        <v>56</v>
      </c>
      <c r="T81">
        <v>2</v>
      </c>
      <c r="U81" t="s">
        <v>67</v>
      </c>
      <c r="V81" t="s">
        <v>68</v>
      </c>
      <c r="W81">
        <v>0</v>
      </c>
      <c r="X81">
        <v>0</v>
      </c>
      <c r="Y81">
        <v>65</v>
      </c>
      <c r="Z81">
        <v>113</v>
      </c>
      <c r="AA81">
        <v>120</v>
      </c>
      <c r="AB81">
        <v>3000</v>
      </c>
      <c r="AC81">
        <v>2967</v>
      </c>
      <c r="AD81">
        <v>2199</v>
      </c>
      <c r="AE81">
        <v>768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1200</v>
      </c>
      <c r="AL81">
        <v>484</v>
      </c>
      <c r="AM81">
        <v>0</v>
      </c>
      <c r="AN81">
        <v>224</v>
      </c>
      <c r="AO81">
        <v>0</v>
      </c>
      <c r="AP81">
        <v>10</v>
      </c>
      <c r="AQ81">
        <v>1</v>
      </c>
      <c r="AR81">
        <v>0</v>
      </c>
      <c r="AS81" t="s">
        <v>74</v>
      </c>
      <c r="AT81">
        <v>1</v>
      </c>
      <c r="AU81" t="s">
        <v>64</v>
      </c>
      <c r="AV81" t="s">
        <v>61</v>
      </c>
      <c r="AW81">
        <v>1</v>
      </c>
      <c r="AX81">
        <v>3</v>
      </c>
      <c r="AY81">
        <v>0</v>
      </c>
      <c r="AZ81">
        <v>23800</v>
      </c>
      <c r="BA81">
        <v>100</v>
      </c>
      <c r="BB81">
        <v>100</v>
      </c>
      <c r="BC81">
        <v>100</v>
      </c>
      <c r="BD81">
        <v>100</v>
      </c>
      <c r="BE81">
        <v>1</v>
      </c>
      <c r="BF81">
        <v>15000</v>
      </c>
      <c r="BG81">
        <v>1000</v>
      </c>
      <c r="BH81" s="7">
        <f>ROUND(Wapato_Inventory[[#This Row],[detatched_value]]*Lookups!$B$22*Lookups!$H$48,-2)</f>
        <v>21300</v>
      </c>
      <c r="BI81" s="7">
        <f>ROUND(((Wapato_Inventory[[#This Row],[land_extract]]*Lookups!$B$3) +(Lookups!$B$2*0.5))*Lookups!$H$48,-2)</f>
        <v>62500</v>
      </c>
      <c r="BJ81" s="7">
        <f>IF(Wapato_Inventory[[#This Row],[bldg_style]]="",0,Lookups!$B$2*0.5)</f>
        <v>53765.27</v>
      </c>
      <c r="BK81" s="7">
        <f>_xlfn.IFNA(VLOOKUP(Wapato_Inventory[[#This Row],[quality]],Lookups!$H$2:$J$14,3,FALSE),0)</f>
        <v>50405</v>
      </c>
      <c r="BL81" s="7">
        <f>_xlfn.IFNA(VLOOKUP(Wapato_Inventory[[#This Row],[condition]],Lookups!$H$17:$J$24,3,FALSE),0)</f>
        <v>52231</v>
      </c>
      <c r="BM81" s="7">
        <f>Wapato_Inventory[[#This Row],[Age]]*Lookups!$B$16</f>
        <v>-41886.354100000004</v>
      </c>
      <c r="BN81" s="7">
        <f>Wapato_Inventory[[#This Row],[Main Floor]]*Lookups!$B$17</f>
        <v>91919.825060999996</v>
      </c>
      <c r="BO81" s="7">
        <f>Wapato_Inventory[[#This Row],[Upper Floor]]*Lookups!$B$18</f>
        <v>38093.674752000006</v>
      </c>
      <c r="BP81" s="7">
        <f>Wapato_Inventory[[#This Row],[Fin BSMT]]*Lookups!$B$19</f>
        <v>0</v>
      </c>
      <c r="BQ81" s="7">
        <f>(Wapato_Inventory[[#This Row],[att_gar]]+Wapato_Inventory[[#This Row],[blt_gar]])*Lookups!$B$20</f>
        <v>0</v>
      </c>
      <c r="BR81" s="7">
        <f>Wapato_Inventory[[#This Row],[Patio]]*Lookups!$B$21</f>
        <v>0</v>
      </c>
      <c r="BS81" s="7">
        <f>SUM(Wapato_Inventory[[#This Row],[intercept]:[patio_value]])*Wapato_Inventory[[#This Row],[res_pct]]</f>
        <v>244528.41571299999</v>
      </c>
      <c r="BT81" s="7">
        <f>Wapato_Inventory[[#This Row],[land_value]]</f>
        <v>62500</v>
      </c>
      <c r="BU81" s="2">
        <f>_xlfn.IFNA(VLOOKUP(Wapato_Inventory[[#This Row],[quality]],Lookups!$A$28:$C$37,3,FALSE),1)</f>
        <v>0.97993206410140754</v>
      </c>
      <c r="BV81" s="2">
        <f>_xlfn.IFNA(VLOOKUP(Wapato_Inventory[[#This Row],[condition]],Lookups!$A$41:$C$48,3,FALSE),1)</f>
        <v>0.9832333997567807</v>
      </c>
      <c r="BW81" s="2">
        <f>IF(Wapato_Inventory[[#This Row],[decade]]="",1,_xlfn.IFNA(VLOOKUP(Wapato_Inventory[[#This Row],[decade]],Lookups!$F$28:$H$45,3,FALSE),1))</f>
        <v>0.93664589651353292</v>
      </c>
      <c r="BX81" s="2">
        <f>_xlfn.IFNA(VLOOKUP(Wapato_Inventory[[#This Row],[living_area_range]],Lookups!$K$28:$M$37,3,FALSE),1)</f>
        <v>1.0155869662067822</v>
      </c>
      <c r="BY81" s="2">
        <f>AVERAGE(Wapato_Inventory[[#This Row],[qual_adj]:[range_adj]])</f>
        <v>0.97884958164462588</v>
      </c>
      <c r="BZ81" s="7">
        <f>(Wapato_Inventory[[#This Row],[sum_land]]-IF(Wapato_Inventory[[#This Row],[no_utilities]]=1,12000,0))/IF(Wapato_Inventory[[#This Row],[unbuildable]]=1,2,1)</f>
        <v>62500</v>
      </c>
      <c r="CA81" s="7">
        <f>Wapato_Inventory[[#This Row],[pre_res]]*Wapato_Inventory[[#This Row],[overall_adj]]</f>
        <v>239356.5374208932</v>
      </c>
      <c r="CB81" s="3">
        <f>IF(ROUND(Wapato_Inventory[[#This Row],[adj_land]]*Lookups!$H$48,-2)&lt;Wapato_Inventory[[#This Row],[min_land]],Wapato_Inventory[[#This Row],[min_land]],ROUND(Wapato_Inventory[[#This Row],[adj_land]]*Lookups!$H$48,-2))</f>
        <v>59400</v>
      </c>
      <c r="CC81" s="3">
        <f>IF(ROUND(Wapato_Inventory[[#This Row],[adj_res]]*Lookups!$H$48,-2)&lt;Wapato_Inventory[[#This Row],[min_res]],Wapato_Inventory[[#This Row],[min_res]],ROUND(Wapato_Inventory[[#This Row],[adj_res]]*Lookups!$H$48,-2))</f>
        <v>227400</v>
      </c>
      <c r="CD81" s="3">
        <f>ROUND(Wapato_Inventory[[#This Row],[det_value]]*Lookups!$H$48,-2)</f>
        <v>20200</v>
      </c>
      <c r="CE81" s="3">
        <f>Wapato_Inventory[[#This Row],[final_res]]+Wapato_Inventory[[#This Row],[final_det]]</f>
        <v>247600</v>
      </c>
      <c r="CF81" s="3">
        <f>Wapato_Inventory[[#This Row],[crop_value]]+Wapato_Inventory[[#This Row],[final_land]]+Wapato_Inventory[[#This Row],[final_imp]]</f>
        <v>307000</v>
      </c>
      <c r="CH81" t="str">
        <f t="shared" si="1"/>
        <v>update valuation set market_land =59400, market_bldg=247600, market_total =307000, market_mdno =405, market_date ='9/10/2023' where link_id = (select link_id from parcel where parcel_year = '2024' and parcel_id = '19111013003');</v>
      </c>
    </row>
    <row r="82" spans="1:86" x14ac:dyDescent="0.25">
      <c r="A82">
        <v>19111013004</v>
      </c>
      <c r="B82">
        <v>4.8499999999999996</v>
      </c>
      <c r="C82">
        <v>211211</v>
      </c>
      <c r="D82" t="s">
        <v>144</v>
      </c>
      <c r="E82" t="s">
        <v>54</v>
      </c>
      <c r="F82" t="s">
        <v>54</v>
      </c>
      <c r="G82">
        <v>3</v>
      </c>
      <c r="H82" t="s">
        <v>55</v>
      </c>
      <c r="I82">
        <v>209800</v>
      </c>
      <c r="J82">
        <v>57200</v>
      </c>
      <c r="K82">
        <v>4.8499999999999996</v>
      </c>
      <c r="L82">
        <f>IF(Wapato_Inventory[[#This Row],[parcel_acres]]-Wapato_Inventory[[#This Row],[non_valued_acres]] =0,0,LN(Wapato_Inventory[[#This Row],[parcel_acres]]-Wapato_Inventory[[#This Row],[non_valued_acres]]))</f>
        <v>1.5789787049493917</v>
      </c>
      <c r="M82">
        <v>0</v>
      </c>
      <c r="N82">
        <v>0</v>
      </c>
      <c r="O82">
        <v>0</v>
      </c>
      <c r="P82">
        <v>27904.037</v>
      </c>
      <c r="Q82">
        <v>74398</v>
      </c>
      <c r="R82" s="3">
        <f>(Wapato_Inventory[[#This Row],[ln_acres]]*Wapato_Inventory[[#This Row],[coeff]])+Wapato_Inventory[[#This Row],[const]]</f>
        <v>118457.8802051199</v>
      </c>
      <c r="S82" t="s">
        <v>62</v>
      </c>
      <c r="T82">
        <v>1</v>
      </c>
      <c r="U82" t="s">
        <v>75</v>
      </c>
      <c r="V82" t="s">
        <v>68</v>
      </c>
      <c r="W82">
        <v>0</v>
      </c>
      <c r="X82">
        <v>0</v>
      </c>
      <c r="Y82">
        <v>47</v>
      </c>
      <c r="Z82">
        <v>56</v>
      </c>
      <c r="AA82">
        <v>60</v>
      </c>
      <c r="AB82">
        <v>2000</v>
      </c>
      <c r="AC82">
        <v>1512</v>
      </c>
      <c r="AD82">
        <v>1512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5</v>
      </c>
      <c r="AQ82">
        <v>0</v>
      </c>
      <c r="AR82">
        <v>0</v>
      </c>
      <c r="AS82" t="s">
        <v>59</v>
      </c>
      <c r="AT82">
        <v>0</v>
      </c>
      <c r="AU82" t="s">
        <v>80</v>
      </c>
      <c r="AV82" t="s">
        <v>149</v>
      </c>
      <c r="AW82">
        <v>0</v>
      </c>
      <c r="AX82">
        <v>3</v>
      </c>
      <c r="AY82">
        <v>0</v>
      </c>
      <c r="AZ82">
        <v>35300</v>
      </c>
      <c r="BA82">
        <v>100</v>
      </c>
      <c r="BB82">
        <v>100</v>
      </c>
      <c r="BC82">
        <v>100</v>
      </c>
      <c r="BD82">
        <v>100</v>
      </c>
      <c r="BE82">
        <v>1</v>
      </c>
      <c r="BF82">
        <v>15000</v>
      </c>
      <c r="BG82">
        <v>1000</v>
      </c>
      <c r="BH82" s="7">
        <f>ROUND(Wapato_Inventory[[#This Row],[detatched_value]]*Lookups!$B$22*Lookups!$H$48,-2)</f>
        <v>31500</v>
      </c>
      <c r="BI82" s="7">
        <f>ROUND(((Wapato_Inventory[[#This Row],[land_extract]]*Lookups!$B$3) +(Lookups!$B$2*0.5))*Lookups!$H$48,-2)</f>
        <v>62500</v>
      </c>
      <c r="BJ82" s="7">
        <f>IF(Wapato_Inventory[[#This Row],[bldg_style]]="",0,Lookups!$B$2*0.5)</f>
        <v>53765.27</v>
      </c>
      <c r="BK82" s="7">
        <f>_xlfn.IFNA(VLOOKUP(Wapato_Inventory[[#This Row],[quality]],Lookups!$H$2:$J$14,3,FALSE),0)</f>
        <v>48043</v>
      </c>
      <c r="BL82" s="7">
        <f>_xlfn.IFNA(VLOOKUP(Wapato_Inventory[[#This Row],[condition]],Lookups!$H$17:$J$24,3,FALSE),0)</f>
        <v>52231</v>
      </c>
      <c r="BM82" s="7">
        <f>Wapato_Inventory[[#This Row],[Age]]*Lookups!$B$16</f>
        <v>-20757.839200000002</v>
      </c>
      <c r="BN82" s="7">
        <f>Wapato_Inventory[[#This Row],[Main Floor]]*Lookups!$B$17</f>
        <v>63202.717367999998</v>
      </c>
      <c r="BO82" s="7">
        <f>Wapato_Inventory[[#This Row],[Upper Floor]]*Lookups!$B$18</f>
        <v>0</v>
      </c>
      <c r="BP82" s="7">
        <f>Wapato_Inventory[[#This Row],[Fin BSMT]]*Lookups!$B$19</f>
        <v>0</v>
      </c>
      <c r="BQ82" s="7">
        <f>(Wapato_Inventory[[#This Row],[att_gar]]+Wapato_Inventory[[#This Row],[blt_gar]])*Lookups!$B$20</f>
        <v>0</v>
      </c>
      <c r="BR82" s="7">
        <f>Wapato_Inventory[[#This Row],[Patio]]*Lookups!$B$21</f>
        <v>0</v>
      </c>
      <c r="BS82" s="7">
        <f>SUM(Wapato_Inventory[[#This Row],[intercept]:[patio_value]])*Wapato_Inventory[[#This Row],[res_pct]]</f>
        <v>196484.14816799999</v>
      </c>
      <c r="BT82" s="7">
        <f>Wapato_Inventory[[#This Row],[land_value]]</f>
        <v>62500</v>
      </c>
      <c r="BU82" s="2">
        <f>_xlfn.IFNA(VLOOKUP(Wapato_Inventory[[#This Row],[quality]],Lookups!$A$28:$C$37,3,FALSE),1)</f>
        <v>0.98196844879778955</v>
      </c>
      <c r="BV82" s="2">
        <f>_xlfn.IFNA(VLOOKUP(Wapato_Inventory[[#This Row],[condition]],Lookups!$A$41:$C$48,3,FALSE),1)</f>
        <v>0.9832333997567807</v>
      </c>
      <c r="BW82" s="2">
        <f>IF(Wapato_Inventory[[#This Row],[decade]]="",1,_xlfn.IFNA(VLOOKUP(Wapato_Inventory[[#This Row],[decade]],Lookups!$F$28:$H$45,3,FALSE),1))</f>
        <v>1.035341704162583</v>
      </c>
      <c r="BX82" s="2">
        <f>_xlfn.IFNA(VLOOKUP(Wapato_Inventory[[#This Row],[living_area_range]],Lookups!$K$28:$M$37,3,FALSE),1)</f>
        <v>0.99330894324714125</v>
      </c>
      <c r="BY82" s="2">
        <f>AVERAGE(Wapato_Inventory[[#This Row],[qual_adj]:[range_adj]])</f>
        <v>0.99846312399107362</v>
      </c>
      <c r="BZ82" s="7">
        <f>(Wapato_Inventory[[#This Row],[sum_land]]-IF(Wapato_Inventory[[#This Row],[no_utilities]]=1,12000,0))/IF(Wapato_Inventory[[#This Row],[unbuildable]]=1,2,1)</f>
        <v>62500</v>
      </c>
      <c r="CA82" s="7">
        <f>Wapato_Inventory[[#This Row],[pre_res]]*Wapato_Inventory[[#This Row],[overall_adj]]</f>
        <v>196182.17639454626</v>
      </c>
      <c r="CB82" s="3">
        <f>IF(ROUND(Wapato_Inventory[[#This Row],[adj_land]]*Lookups!$H$48,-2)&lt;Wapato_Inventory[[#This Row],[min_land]],Wapato_Inventory[[#This Row],[min_land]],ROUND(Wapato_Inventory[[#This Row],[adj_land]]*Lookups!$H$48,-2))</f>
        <v>59400</v>
      </c>
      <c r="CC82" s="3">
        <f>IF(ROUND(Wapato_Inventory[[#This Row],[adj_res]]*Lookups!$H$48,-2)&lt;Wapato_Inventory[[#This Row],[min_res]],Wapato_Inventory[[#This Row],[min_res]],ROUND(Wapato_Inventory[[#This Row],[adj_res]]*Lookups!$H$48,-2))</f>
        <v>186400</v>
      </c>
      <c r="CD82" s="3">
        <f>ROUND(Wapato_Inventory[[#This Row],[det_value]]*Lookups!$H$48,-2)</f>
        <v>29900</v>
      </c>
      <c r="CE82" s="3">
        <f>Wapato_Inventory[[#This Row],[final_res]]+Wapato_Inventory[[#This Row],[final_det]]</f>
        <v>216300</v>
      </c>
      <c r="CF82" s="3">
        <f>Wapato_Inventory[[#This Row],[crop_value]]+Wapato_Inventory[[#This Row],[final_land]]+Wapato_Inventory[[#This Row],[final_imp]]</f>
        <v>275700</v>
      </c>
      <c r="CH82" t="str">
        <f t="shared" si="1"/>
        <v>update valuation set market_land =59400, market_bldg=216300, market_total =275700, market_mdno =405, market_date ='9/10/2023' where link_id = (select link_id from parcel where parcel_year = '2024' and parcel_id = '19111013004');</v>
      </c>
    </row>
    <row r="83" spans="1:86" x14ac:dyDescent="0.25">
      <c r="A83">
        <v>19111013008</v>
      </c>
      <c r="B83">
        <v>3.96</v>
      </c>
      <c r="C83" t="s">
        <v>144</v>
      </c>
      <c r="D83" t="s">
        <v>144</v>
      </c>
      <c r="E83" t="s">
        <v>54</v>
      </c>
      <c r="F83" t="s">
        <v>54</v>
      </c>
      <c r="G83">
        <v>3</v>
      </c>
      <c r="H83" t="s">
        <v>55</v>
      </c>
      <c r="I83">
        <v>181100</v>
      </c>
      <c r="J83">
        <v>55700</v>
      </c>
      <c r="K83">
        <v>3.96</v>
      </c>
      <c r="L83">
        <f>IF(Wapato_Inventory[[#This Row],[parcel_acres]]-Wapato_Inventory[[#This Row],[non_valued_acres]] =0,0,LN(Wapato_Inventory[[#This Row],[parcel_acres]]-Wapato_Inventory[[#This Row],[non_valued_acres]]))</f>
        <v>1.3762440252663892</v>
      </c>
      <c r="M83">
        <v>0</v>
      </c>
      <c r="N83">
        <v>0</v>
      </c>
      <c r="O83">
        <v>0</v>
      </c>
      <c r="P83">
        <v>27904.037</v>
      </c>
      <c r="Q83">
        <v>74398</v>
      </c>
      <c r="R83" s="3">
        <f>(Wapato_Inventory[[#This Row],[ln_acres]]*Wapato_Inventory[[#This Row],[coeff]])+Wapato_Inventory[[#This Row],[const]]</f>
        <v>112800.76420206226</v>
      </c>
      <c r="S83" t="s">
        <v>62</v>
      </c>
      <c r="T83">
        <v>1</v>
      </c>
      <c r="U83" t="s">
        <v>67</v>
      </c>
      <c r="V83" t="s">
        <v>73</v>
      </c>
      <c r="W83">
        <v>0</v>
      </c>
      <c r="X83">
        <v>0</v>
      </c>
      <c r="Y83">
        <v>33</v>
      </c>
      <c r="Z83">
        <v>33</v>
      </c>
      <c r="AA83">
        <v>40</v>
      </c>
      <c r="AB83">
        <v>3500</v>
      </c>
      <c r="AC83">
        <v>3040</v>
      </c>
      <c r="AD83">
        <v>1605</v>
      </c>
      <c r="AE83">
        <v>0</v>
      </c>
      <c r="AF83">
        <v>0</v>
      </c>
      <c r="AG83">
        <v>1435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70</v>
      </c>
      <c r="AN83">
        <v>0</v>
      </c>
      <c r="AO83">
        <v>0</v>
      </c>
      <c r="AP83">
        <v>8</v>
      </c>
      <c r="AQ83">
        <v>0</v>
      </c>
      <c r="AR83">
        <v>0</v>
      </c>
      <c r="AS83" t="s">
        <v>59</v>
      </c>
      <c r="AT83">
        <v>1</v>
      </c>
      <c r="AU83" t="s">
        <v>76</v>
      </c>
      <c r="AV83" t="s">
        <v>61</v>
      </c>
      <c r="AW83">
        <v>0</v>
      </c>
      <c r="AX83">
        <v>4</v>
      </c>
      <c r="AY83">
        <v>0</v>
      </c>
      <c r="AZ83">
        <v>17400</v>
      </c>
      <c r="BA83">
        <v>100</v>
      </c>
      <c r="BB83">
        <v>100</v>
      </c>
      <c r="BC83">
        <v>100</v>
      </c>
      <c r="BD83">
        <v>100</v>
      </c>
      <c r="BE83">
        <v>1</v>
      </c>
      <c r="BF83">
        <v>15000</v>
      </c>
      <c r="BG83">
        <v>1000</v>
      </c>
      <c r="BH83" s="7">
        <f>ROUND(Wapato_Inventory[[#This Row],[detatched_value]]*Lookups!$B$22*Lookups!$H$48,-2)</f>
        <v>15500</v>
      </c>
      <c r="BI83" s="7">
        <f>ROUND(((Wapato_Inventory[[#This Row],[land_extract]]*Lookups!$B$3) +(Lookups!$B$2*0.5))*Lookups!$H$48,-2)</f>
        <v>62000</v>
      </c>
      <c r="BJ83" s="7">
        <f>IF(Wapato_Inventory[[#This Row],[bldg_style]]="",0,Lookups!$B$2*0.5)</f>
        <v>53765.27</v>
      </c>
      <c r="BK83" s="7">
        <f>_xlfn.IFNA(VLOOKUP(Wapato_Inventory[[#This Row],[quality]],Lookups!$H$2:$J$14,3,FALSE),0)</f>
        <v>50405</v>
      </c>
      <c r="BL83" s="7">
        <f>_xlfn.IFNA(VLOOKUP(Wapato_Inventory[[#This Row],[condition]],Lookups!$H$17:$J$24,3,FALSE),0)</f>
        <v>16276</v>
      </c>
      <c r="BM83" s="7">
        <f>Wapato_Inventory[[#This Row],[Age]]*Lookups!$B$16</f>
        <v>-12232.2981</v>
      </c>
      <c r="BN83" s="7">
        <f>Wapato_Inventory[[#This Row],[Main Floor]]*Lookups!$B$17</f>
        <v>67090.186094999997</v>
      </c>
      <c r="BO83" s="7">
        <f>Wapato_Inventory[[#This Row],[Upper Floor]]*Lookups!$B$18</f>
        <v>0</v>
      </c>
      <c r="BP83" s="7">
        <f>Wapato_Inventory[[#This Row],[Fin BSMT]]*Lookups!$B$19</f>
        <v>34966.2719</v>
      </c>
      <c r="BQ83" s="7">
        <f>(Wapato_Inventory[[#This Row],[att_gar]]+Wapato_Inventory[[#This Row],[blt_gar]])*Lookups!$B$20</f>
        <v>0</v>
      </c>
      <c r="BR83" s="7">
        <f>Wapato_Inventory[[#This Row],[Patio]]*Lookups!$B$21</f>
        <v>3032.6785300000001</v>
      </c>
      <c r="BS83" s="7">
        <f>SUM(Wapato_Inventory[[#This Row],[intercept]:[patio_value]])*Wapato_Inventory[[#This Row],[res_pct]]</f>
        <v>213303.10842499998</v>
      </c>
      <c r="BT83" s="7">
        <f>Wapato_Inventory[[#This Row],[land_value]]</f>
        <v>62000</v>
      </c>
      <c r="BU83" s="2">
        <f>_xlfn.IFNA(VLOOKUP(Wapato_Inventory[[#This Row],[quality]],Lookups!$A$28:$C$37,3,FALSE),1)</f>
        <v>0.97993206410140754</v>
      </c>
      <c r="BV83" s="2">
        <f>_xlfn.IFNA(VLOOKUP(Wapato_Inventory[[#This Row],[condition]],Lookups!$A$41:$C$48,3,FALSE),1)</f>
        <v>0.93399385491337139</v>
      </c>
      <c r="BW83" s="2">
        <f>IF(Wapato_Inventory[[#This Row],[decade]]="",1,_xlfn.IFNA(VLOOKUP(Wapato_Inventory[[#This Row],[decade]],Lookups!$F$28:$H$45,3,FALSE),1))</f>
        <v>1.0327621624630683</v>
      </c>
      <c r="BX83" s="2">
        <f>_xlfn.IFNA(VLOOKUP(Wapato_Inventory[[#This Row],[living_area_range]],Lookups!$K$28:$M$37,3,FALSE),1)</f>
        <v>1.0155869662067822</v>
      </c>
      <c r="BY83" s="2">
        <f>AVERAGE(Wapato_Inventory[[#This Row],[qual_adj]:[range_adj]])</f>
        <v>0.99056876192115739</v>
      </c>
      <c r="BZ83" s="7">
        <f>(Wapato_Inventory[[#This Row],[sum_land]]-IF(Wapato_Inventory[[#This Row],[no_utilities]]=1,12000,0))/IF(Wapato_Inventory[[#This Row],[unbuildable]]=1,2,1)</f>
        <v>62000</v>
      </c>
      <c r="CA83" s="7">
        <f>Wapato_Inventory[[#This Row],[pre_res]]*Wapato_Inventory[[#This Row],[overall_adj]]</f>
        <v>211291.39602648662</v>
      </c>
      <c r="CB83" s="3">
        <f>IF(ROUND(Wapato_Inventory[[#This Row],[adj_land]]*Lookups!$H$48,-2)&lt;Wapato_Inventory[[#This Row],[min_land]],Wapato_Inventory[[#This Row],[min_land]],ROUND(Wapato_Inventory[[#This Row],[adj_land]]*Lookups!$H$48,-2))</f>
        <v>58900</v>
      </c>
      <c r="CC83" s="3">
        <f>IF(ROUND(Wapato_Inventory[[#This Row],[adj_res]]*Lookups!$H$48,-2)&lt;Wapato_Inventory[[#This Row],[min_res]],Wapato_Inventory[[#This Row],[min_res]],ROUND(Wapato_Inventory[[#This Row],[adj_res]]*Lookups!$H$48,-2))</f>
        <v>200700</v>
      </c>
      <c r="CD83" s="3">
        <f>ROUND(Wapato_Inventory[[#This Row],[det_value]]*Lookups!$H$48,-2)</f>
        <v>14700</v>
      </c>
      <c r="CE83" s="3">
        <f>Wapato_Inventory[[#This Row],[final_res]]+Wapato_Inventory[[#This Row],[final_det]]</f>
        <v>215400</v>
      </c>
      <c r="CF83" s="3">
        <f>Wapato_Inventory[[#This Row],[crop_value]]+Wapato_Inventory[[#This Row],[final_land]]+Wapato_Inventory[[#This Row],[final_imp]]</f>
        <v>274300</v>
      </c>
      <c r="CH83" t="str">
        <f t="shared" si="1"/>
        <v>update valuation set market_land =58900, market_bldg=215400, market_total =274300, market_mdno =405, market_date ='9/10/2023' where link_id = (select link_id from parcel where parcel_year = '2024' and parcel_id = '19111013008');</v>
      </c>
    </row>
    <row r="84" spans="1:86" x14ac:dyDescent="0.25">
      <c r="A84">
        <v>19111013013</v>
      </c>
      <c r="B84">
        <v>0.83</v>
      </c>
      <c r="C84">
        <v>36018</v>
      </c>
      <c r="D84" t="s">
        <v>144</v>
      </c>
      <c r="E84" t="s">
        <v>54</v>
      </c>
      <c r="F84" t="s">
        <v>54</v>
      </c>
      <c r="G84">
        <v>3</v>
      </c>
      <c r="H84" t="s">
        <v>55</v>
      </c>
      <c r="I84">
        <v>192900</v>
      </c>
      <c r="J84">
        <v>44600</v>
      </c>
      <c r="K84">
        <v>0.83</v>
      </c>
      <c r="L84">
        <f>IF(Wapato_Inventory[[#This Row],[parcel_acres]]-Wapato_Inventory[[#This Row],[non_valued_acres]] =0,0,LN(Wapato_Inventory[[#This Row],[parcel_acres]]-Wapato_Inventory[[#This Row],[non_valued_acres]]))</f>
        <v>-0.18632957819149348</v>
      </c>
      <c r="M84">
        <v>0</v>
      </c>
      <c r="N84">
        <v>0</v>
      </c>
      <c r="O84">
        <v>0</v>
      </c>
      <c r="P84">
        <v>27904.037</v>
      </c>
      <c r="Q84">
        <v>74398</v>
      </c>
      <c r="R84" s="3">
        <f>(Wapato_Inventory[[#This Row],[ln_acres]]*Wapato_Inventory[[#This Row],[coeff]])+Wapato_Inventory[[#This Row],[const]]</f>
        <v>69198.652555950175</v>
      </c>
      <c r="S84" t="s">
        <v>62</v>
      </c>
      <c r="T84">
        <v>1</v>
      </c>
      <c r="U84" t="s">
        <v>67</v>
      </c>
      <c r="V84" t="s">
        <v>68</v>
      </c>
      <c r="W84">
        <v>0</v>
      </c>
      <c r="X84">
        <v>0</v>
      </c>
      <c r="Y84">
        <v>45</v>
      </c>
      <c r="Z84">
        <v>51</v>
      </c>
      <c r="AA84">
        <v>60</v>
      </c>
      <c r="AB84">
        <v>2000</v>
      </c>
      <c r="AC84">
        <v>1530</v>
      </c>
      <c r="AD84">
        <v>1530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88</v>
      </c>
      <c r="AO84">
        <v>0</v>
      </c>
      <c r="AP84">
        <v>7</v>
      </c>
      <c r="AQ84">
        <v>1</v>
      </c>
      <c r="AR84">
        <v>0</v>
      </c>
      <c r="AS84" t="s">
        <v>59</v>
      </c>
      <c r="AT84">
        <v>1</v>
      </c>
      <c r="AU84" t="s">
        <v>64</v>
      </c>
      <c r="AV84" t="s">
        <v>61</v>
      </c>
      <c r="AW84">
        <v>0</v>
      </c>
      <c r="AX84">
        <v>3</v>
      </c>
      <c r="AY84">
        <v>0</v>
      </c>
      <c r="AZ84">
        <v>0</v>
      </c>
      <c r="BA84">
        <v>100</v>
      </c>
      <c r="BB84">
        <v>100</v>
      </c>
      <c r="BC84">
        <v>100</v>
      </c>
      <c r="BD84">
        <v>100</v>
      </c>
      <c r="BE84">
        <v>1</v>
      </c>
      <c r="BF84">
        <v>15000</v>
      </c>
      <c r="BG84">
        <v>1000</v>
      </c>
      <c r="BH84" s="7">
        <f>ROUND(Wapato_Inventory[[#This Row],[detatched_value]]*Lookups!$B$22*Lookups!$H$48,-2)</f>
        <v>0</v>
      </c>
      <c r="BI84" s="7">
        <f>ROUND(((Wapato_Inventory[[#This Row],[land_extract]]*Lookups!$B$3) +(Lookups!$B$2*0.5))*Lookups!$H$48,-2)</f>
        <v>57800</v>
      </c>
      <c r="BJ84" s="7">
        <f>IF(Wapato_Inventory[[#This Row],[bldg_style]]="",0,Lookups!$B$2*0.5)</f>
        <v>53765.27</v>
      </c>
      <c r="BK84" s="7">
        <f>_xlfn.IFNA(VLOOKUP(Wapato_Inventory[[#This Row],[quality]],Lookups!$H$2:$J$14,3,FALSE),0)</f>
        <v>50405</v>
      </c>
      <c r="BL84" s="7">
        <f>_xlfn.IFNA(VLOOKUP(Wapato_Inventory[[#This Row],[condition]],Lookups!$H$17:$J$24,3,FALSE),0)</f>
        <v>52231</v>
      </c>
      <c r="BM84" s="7">
        <f>Wapato_Inventory[[#This Row],[Age]]*Lookups!$B$16</f>
        <v>-18904.4607</v>
      </c>
      <c r="BN84" s="7">
        <f>Wapato_Inventory[[#This Row],[Main Floor]]*Lookups!$B$17</f>
        <v>63955.130669999999</v>
      </c>
      <c r="BO84" s="7">
        <f>Wapato_Inventory[[#This Row],[Upper Floor]]*Lookups!$B$18</f>
        <v>0</v>
      </c>
      <c r="BP84" s="7">
        <f>Wapato_Inventory[[#This Row],[Fin BSMT]]*Lookups!$B$19</f>
        <v>0</v>
      </c>
      <c r="BQ84" s="7">
        <f>(Wapato_Inventory[[#This Row],[att_gar]]+Wapato_Inventory[[#This Row],[blt_gar]])*Lookups!$B$20</f>
        <v>0</v>
      </c>
      <c r="BR84" s="7">
        <f>Wapato_Inventory[[#This Row],[Patio]]*Lookups!$B$21</f>
        <v>0</v>
      </c>
      <c r="BS84" s="7">
        <f>SUM(Wapato_Inventory[[#This Row],[intercept]:[patio_value]])*Wapato_Inventory[[#This Row],[res_pct]]</f>
        <v>201451.93997000001</v>
      </c>
      <c r="BT84" s="7">
        <f>Wapato_Inventory[[#This Row],[land_value]]</f>
        <v>57800</v>
      </c>
      <c r="BU84" s="2">
        <f>_xlfn.IFNA(VLOOKUP(Wapato_Inventory[[#This Row],[quality]],Lookups!$A$28:$C$37,3,FALSE),1)</f>
        <v>0.97993206410140754</v>
      </c>
      <c r="BV84" s="2">
        <f>_xlfn.IFNA(VLOOKUP(Wapato_Inventory[[#This Row],[condition]],Lookups!$A$41:$C$48,3,FALSE),1)</f>
        <v>0.9832333997567807</v>
      </c>
      <c r="BW84" s="2">
        <f>IF(Wapato_Inventory[[#This Row],[decade]]="",1,_xlfn.IFNA(VLOOKUP(Wapato_Inventory[[#This Row],[decade]],Lookups!$F$28:$H$45,3,FALSE),1))</f>
        <v>1.035341704162583</v>
      </c>
      <c r="BX84" s="2">
        <f>_xlfn.IFNA(VLOOKUP(Wapato_Inventory[[#This Row],[living_area_range]],Lookups!$K$28:$M$37,3,FALSE),1)</f>
        <v>0.99330894324714125</v>
      </c>
      <c r="BY84" s="2">
        <f>AVERAGE(Wapato_Inventory[[#This Row],[qual_adj]:[range_adj]])</f>
        <v>0.99795402781697817</v>
      </c>
      <c r="BZ84" s="7">
        <f>(Wapato_Inventory[[#This Row],[sum_land]]-IF(Wapato_Inventory[[#This Row],[no_utilities]]=1,12000,0))/IF(Wapato_Inventory[[#This Row],[unbuildable]]=1,2,1)</f>
        <v>57800</v>
      </c>
      <c r="CA84" s="7">
        <f>Wapato_Inventory[[#This Row],[pre_res]]*Wapato_Inventory[[#This Row],[overall_adj]]</f>
        <v>201039.77490460561</v>
      </c>
      <c r="CB84" s="3">
        <f>IF(ROUND(Wapato_Inventory[[#This Row],[adj_land]]*Lookups!$H$48,-2)&lt;Wapato_Inventory[[#This Row],[min_land]],Wapato_Inventory[[#This Row],[min_land]],ROUND(Wapato_Inventory[[#This Row],[adj_land]]*Lookups!$H$48,-2))</f>
        <v>54900</v>
      </c>
      <c r="CC84" s="3">
        <f>IF(ROUND(Wapato_Inventory[[#This Row],[adj_res]]*Lookups!$H$48,-2)&lt;Wapato_Inventory[[#This Row],[min_res]],Wapato_Inventory[[#This Row],[min_res]],ROUND(Wapato_Inventory[[#This Row],[adj_res]]*Lookups!$H$48,-2))</f>
        <v>191000</v>
      </c>
      <c r="CD84" s="3">
        <f>ROUND(Wapato_Inventory[[#This Row],[det_value]]*Lookups!$H$48,-2)</f>
        <v>0</v>
      </c>
      <c r="CE84" s="3">
        <f>Wapato_Inventory[[#This Row],[final_res]]+Wapato_Inventory[[#This Row],[final_det]]</f>
        <v>191000</v>
      </c>
      <c r="CF84" s="3">
        <f>Wapato_Inventory[[#This Row],[crop_value]]+Wapato_Inventory[[#This Row],[final_land]]+Wapato_Inventory[[#This Row],[final_imp]]</f>
        <v>245900</v>
      </c>
      <c r="CH84" t="str">
        <f t="shared" si="1"/>
        <v>update valuation set market_land =54900, market_bldg=191000, market_total =245900, market_mdno =405, market_date ='9/10/2023' where link_id = (select link_id from parcel where parcel_year = '2024' and parcel_id = '19111013013');</v>
      </c>
    </row>
    <row r="85" spans="1:86" x14ac:dyDescent="0.25">
      <c r="A85">
        <v>19111014001</v>
      </c>
      <c r="B85">
        <v>1.45</v>
      </c>
      <c r="C85">
        <v>63343</v>
      </c>
      <c r="D85" t="s">
        <v>144</v>
      </c>
      <c r="E85" t="s">
        <v>54</v>
      </c>
      <c r="F85" t="s">
        <v>54</v>
      </c>
      <c r="G85">
        <v>3</v>
      </c>
      <c r="H85" t="s">
        <v>55</v>
      </c>
      <c r="I85">
        <v>126200</v>
      </c>
      <c r="J85">
        <v>48600</v>
      </c>
      <c r="K85">
        <v>1.45</v>
      </c>
      <c r="L85">
        <f>IF(Wapato_Inventory[[#This Row],[parcel_acres]]-Wapato_Inventory[[#This Row],[non_valued_acres]] =0,0,LN(Wapato_Inventory[[#This Row],[parcel_acres]]-Wapato_Inventory[[#This Row],[non_valued_acres]]))</f>
        <v>0.37156355643248301</v>
      </c>
      <c r="M85">
        <v>0</v>
      </c>
      <c r="N85">
        <v>0</v>
      </c>
      <c r="O85">
        <v>0</v>
      </c>
      <c r="P85">
        <v>27904.037</v>
      </c>
      <c r="Q85">
        <v>74398</v>
      </c>
      <c r="R85" s="3">
        <f>(Wapato_Inventory[[#This Row],[ln_acres]]*Wapato_Inventory[[#This Row],[coeff]])+Wapato_Inventory[[#This Row],[const]]</f>
        <v>84766.123226543597</v>
      </c>
      <c r="S85" t="s">
        <v>66</v>
      </c>
      <c r="T85">
        <v>1</v>
      </c>
      <c r="U85" t="s">
        <v>71</v>
      </c>
      <c r="V85" t="s">
        <v>69</v>
      </c>
      <c r="W85">
        <v>0</v>
      </c>
      <c r="X85">
        <v>0</v>
      </c>
      <c r="Y85">
        <v>27</v>
      </c>
      <c r="Z85">
        <v>113</v>
      </c>
      <c r="AA85">
        <v>120</v>
      </c>
      <c r="AB85">
        <v>1000</v>
      </c>
      <c r="AC85">
        <v>660</v>
      </c>
      <c r="AD85">
        <v>660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25</v>
      </c>
      <c r="AO85">
        <v>0</v>
      </c>
      <c r="AP85">
        <v>5</v>
      </c>
      <c r="AQ85">
        <v>0</v>
      </c>
      <c r="AR85">
        <v>0</v>
      </c>
      <c r="AS85" t="s">
        <v>59</v>
      </c>
      <c r="AT85">
        <v>1</v>
      </c>
      <c r="AU85" t="s">
        <v>64</v>
      </c>
      <c r="AV85" t="s">
        <v>61</v>
      </c>
      <c r="AW85">
        <v>0</v>
      </c>
      <c r="AX85">
        <v>2</v>
      </c>
      <c r="AY85">
        <v>0</v>
      </c>
      <c r="AZ85">
        <v>0</v>
      </c>
      <c r="BA85">
        <v>100</v>
      </c>
      <c r="BB85">
        <v>100</v>
      </c>
      <c r="BC85">
        <v>100</v>
      </c>
      <c r="BD85">
        <v>100</v>
      </c>
      <c r="BE85">
        <v>1</v>
      </c>
      <c r="BF85">
        <v>15000</v>
      </c>
      <c r="BG85">
        <v>1000</v>
      </c>
      <c r="BH85" s="7">
        <f>ROUND(Wapato_Inventory[[#This Row],[detatched_value]]*Lookups!$B$22*Lookups!$H$48,-2)</f>
        <v>0</v>
      </c>
      <c r="BI85" s="7">
        <f>ROUND(((Wapato_Inventory[[#This Row],[land_extract]]*Lookups!$B$3) +(Lookups!$B$2*0.5))*Lookups!$H$48,-2)</f>
        <v>59300</v>
      </c>
      <c r="BJ85" s="7">
        <f>IF(Wapato_Inventory[[#This Row],[bldg_style]]="",0,Lookups!$B$2*0.5)</f>
        <v>53765.27</v>
      </c>
      <c r="BK85" s="7">
        <f>_xlfn.IFNA(VLOOKUP(Wapato_Inventory[[#This Row],[quality]],Lookups!$H$2:$J$14,3,FALSE),0)</f>
        <v>28034</v>
      </c>
      <c r="BL85" s="7">
        <f>_xlfn.IFNA(VLOOKUP(Wapato_Inventory[[#This Row],[condition]],Lookups!$H$17:$J$24,3,FALSE),0)</f>
        <v>74543</v>
      </c>
      <c r="BM85" s="7">
        <f>Wapato_Inventory[[#This Row],[Age]]*Lookups!$B$16</f>
        <v>-41886.354100000004</v>
      </c>
      <c r="BN85" s="7">
        <f>Wapato_Inventory[[#This Row],[Main Floor]]*Lookups!$B$17</f>
        <v>27588.48774</v>
      </c>
      <c r="BO85" s="7">
        <f>Wapato_Inventory[[#This Row],[Upper Floor]]*Lookups!$B$18</f>
        <v>0</v>
      </c>
      <c r="BP85" s="7">
        <f>Wapato_Inventory[[#This Row],[Fin BSMT]]*Lookups!$B$19</f>
        <v>0</v>
      </c>
      <c r="BQ85" s="7">
        <f>(Wapato_Inventory[[#This Row],[att_gar]]+Wapato_Inventory[[#This Row],[blt_gar]])*Lookups!$B$20</f>
        <v>0</v>
      </c>
      <c r="BR85" s="7">
        <f>Wapato_Inventory[[#This Row],[Patio]]*Lookups!$B$21</f>
        <v>0</v>
      </c>
      <c r="BS85" s="7">
        <f>SUM(Wapato_Inventory[[#This Row],[intercept]:[patio_value]])*Wapato_Inventory[[#This Row],[res_pct]]</f>
        <v>142044.40364</v>
      </c>
      <c r="BT85" s="7">
        <f>Wapato_Inventory[[#This Row],[land_value]]</f>
        <v>59300</v>
      </c>
      <c r="BU85" s="2">
        <f>_xlfn.IFNA(VLOOKUP(Wapato_Inventory[[#This Row],[quality]],Lookups!$A$28:$C$37,3,FALSE),1)</f>
        <v>0.96265813922927435</v>
      </c>
      <c r="BV85" s="2">
        <f>_xlfn.IFNA(VLOOKUP(Wapato_Inventory[[#This Row],[condition]],Lookups!$A$41:$C$48,3,FALSE),1)</f>
        <v>0.98442438223270734</v>
      </c>
      <c r="BW85" s="2">
        <f>IF(Wapato_Inventory[[#This Row],[decade]]="",1,_xlfn.IFNA(VLOOKUP(Wapato_Inventory[[#This Row],[decade]],Lookups!$F$28:$H$45,3,FALSE),1))</f>
        <v>0.93664589651353292</v>
      </c>
      <c r="BX85" s="2">
        <f>_xlfn.IFNA(VLOOKUP(Wapato_Inventory[[#This Row],[living_area_range]],Lookups!$K$28:$M$37,3,FALSE),1)</f>
        <v>0.99022994770196116</v>
      </c>
      <c r="BY85" s="2">
        <f>AVERAGE(Wapato_Inventory[[#This Row],[qual_adj]:[range_adj]])</f>
        <v>0.96848959141936886</v>
      </c>
      <c r="BZ85" s="7">
        <f>(Wapato_Inventory[[#This Row],[sum_land]]-IF(Wapato_Inventory[[#This Row],[no_utilities]]=1,12000,0))/IF(Wapato_Inventory[[#This Row],[unbuildable]]=1,2,1)</f>
        <v>59300</v>
      </c>
      <c r="CA85" s="7">
        <f>Wapato_Inventory[[#This Row],[pre_res]]*Wapato_Inventory[[#This Row],[overall_adj]]</f>
        <v>137568.52644471152</v>
      </c>
      <c r="CB85" s="3">
        <f>IF(ROUND(Wapato_Inventory[[#This Row],[adj_land]]*Lookups!$H$48,-2)&lt;Wapato_Inventory[[#This Row],[min_land]],Wapato_Inventory[[#This Row],[min_land]],ROUND(Wapato_Inventory[[#This Row],[adj_land]]*Lookups!$H$48,-2))</f>
        <v>56300</v>
      </c>
      <c r="CC85" s="3">
        <f>IF(ROUND(Wapato_Inventory[[#This Row],[adj_res]]*Lookups!$H$48,-2)&lt;Wapato_Inventory[[#This Row],[min_res]],Wapato_Inventory[[#This Row],[min_res]],ROUND(Wapato_Inventory[[#This Row],[adj_res]]*Lookups!$H$48,-2))</f>
        <v>130700</v>
      </c>
      <c r="CD85" s="3">
        <f>ROUND(Wapato_Inventory[[#This Row],[det_value]]*Lookups!$H$48,-2)</f>
        <v>0</v>
      </c>
      <c r="CE85" s="3">
        <f>Wapato_Inventory[[#This Row],[final_res]]+Wapato_Inventory[[#This Row],[final_det]]</f>
        <v>130700</v>
      </c>
      <c r="CF85" s="3">
        <f>Wapato_Inventory[[#This Row],[crop_value]]+Wapato_Inventory[[#This Row],[final_land]]+Wapato_Inventory[[#This Row],[final_imp]]</f>
        <v>187000</v>
      </c>
      <c r="CH85" t="str">
        <f t="shared" si="1"/>
        <v>update valuation set market_land =56300, market_bldg=130700, market_total =187000, market_mdno =405, market_date ='9/10/2023' where link_id = (select link_id from parcel where parcel_year = '2024' and parcel_id = '19111014001');</v>
      </c>
    </row>
    <row r="86" spans="1:86" x14ac:dyDescent="0.25">
      <c r="A86">
        <v>19111014003</v>
      </c>
      <c r="B86">
        <v>0.33</v>
      </c>
      <c r="C86">
        <v>14369</v>
      </c>
      <c r="D86" t="s">
        <v>144</v>
      </c>
      <c r="E86" t="s">
        <v>54</v>
      </c>
      <c r="F86" t="s">
        <v>54</v>
      </c>
      <c r="G86">
        <v>3</v>
      </c>
      <c r="H86" t="s">
        <v>55</v>
      </c>
      <c r="I86">
        <v>145200</v>
      </c>
      <c r="J86">
        <v>38000</v>
      </c>
      <c r="K86">
        <v>0.33</v>
      </c>
      <c r="L86">
        <f>IF(Wapato_Inventory[[#This Row],[parcel_acres]]-Wapato_Inventory[[#This Row],[non_valued_acres]] =0,0,LN(Wapato_Inventory[[#This Row],[parcel_acres]]-Wapato_Inventory[[#This Row],[non_valued_acres]]))</f>
        <v>-1.1086626245216111</v>
      </c>
      <c r="M86">
        <v>0</v>
      </c>
      <c r="N86">
        <v>0</v>
      </c>
      <c r="O86">
        <v>0</v>
      </c>
      <c r="P86">
        <v>27904.037</v>
      </c>
      <c r="Q86">
        <v>74398</v>
      </c>
      <c r="R86" s="3">
        <f>(Wapato_Inventory[[#This Row],[ln_acres]]*Wapato_Inventory[[#This Row],[coeff]])+Wapato_Inventory[[#This Row],[const]]</f>
        <v>43461.837104831851</v>
      </c>
      <c r="S86" t="s">
        <v>66</v>
      </c>
      <c r="T86">
        <v>1</v>
      </c>
      <c r="U86" t="s">
        <v>71</v>
      </c>
      <c r="V86" t="s">
        <v>68</v>
      </c>
      <c r="W86">
        <v>0</v>
      </c>
      <c r="X86">
        <v>0</v>
      </c>
      <c r="Y86">
        <v>48</v>
      </c>
      <c r="Z86">
        <v>63</v>
      </c>
      <c r="AA86">
        <v>70</v>
      </c>
      <c r="AB86">
        <v>1500</v>
      </c>
      <c r="AC86">
        <v>1312</v>
      </c>
      <c r="AD86">
        <v>1312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5</v>
      </c>
      <c r="AQ86">
        <v>1</v>
      </c>
      <c r="AR86">
        <v>0</v>
      </c>
      <c r="AS86" t="s">
        <v>59</v>
      </c>
      <c r="AT86">
        <v>1</v>
      </c>
      <c r="AU86" t="s">
        <v>72</v>
      </c>
      <c r="AV86" t="s">
        <v>61</v>
      </c>
      <c r="AW86">
        <v>0</v>
      </c>
      <c r="AX86">
        <v>3</v>
      </c>
      <c r="AY86">
        <v>0</v>
      </c>
      <c r="AZ86">
        <v>0</v>
      </c>
      <c r="BA86">
        <v>100</v>
      </c>
      <c r="BB86">
        <v>100</v>
      </c>
      <c r="BC86">
        <v>100</v>
      </c>
      <c r="BD86">
        <v>100</v>
      </c>
      <c r="BE86">
        <v>1</v>
      </c>
      <c r="BF86">
        <v>15000</v>
      </c>
      <c r="BG86">
        <v>1000</v>
      </c>
      <c r="BH86" s="7">
        <f>ROUND(Wapato_Inventory[[#This Row],[detatched_value]]*Lookups!$B$22*Lookups!$H$48,-2)</f>
        <v>0</v>
      </c>
      <c r="BI86" s="7">
        <f>ROUND(((Wapato_Inventory[[#This Row],[land_extract]]*Lookups!$B$3) +(Lookups!$B$2*0.5))*Lookups!$H$48,-2)</f>
        <v>55300</v>
      </c>
      <c r="BJ86" s="7">
        <f>IF(Wapato_Inventory[[#This Row],[bldg_style]]="",0,Lookups!$B$2*0.5)</f>
        <v>53765.27</v>
      </c>
      <c r="BK86" s="7">
        <f>_xlfn.IFNA(VLOOKUP(Wapato_Inventory[[#This Row],[quality]],Lookups!$H$2:$J$14,3,FALSE),0)</f>
        <v>28034</v>
      </c>
      <c r="BL86" s="7">
        <f>_xlfn.IFNA(VLOOKUP(Wapato_Inventory[[#This Row],[condition]],Lookups!$H$17:$J$24,3,FALSE),0)</f>
        <v>52231</v>
      </c>
      <c r="BM86" s="7">
        <f>Wapato_Inventory[[#This Row],[Age]]*Lookups!$B$16</f>
        <v>-23352.569100000001</v>
      </c>
      <c r="BN86" s="7">
        <f>Wapato_Inventory[[#This Row],[Main Floor]]*Lookups!$B$17</f>
        <v>54842.569567999999</v>
      </c>
      <c r="BO86" s="7">
        <f>Wapato_Inventory[[#This Row],[Upper Floor]]*Lookups!$B$18</f>
        <v>0</v>
      </c>
      <c r="BP86" s="7">
        <f>Wapato_Inventory[[#This Row],[Fin BSMT]]*Lookups!$B$19</f>
        <v>0</v>
      </c>
      <c r="BQ86" s="7">
        <f>(Wapato_Inventory[[#This Row],[att_gar]]+Wapato_Inventory[[#This Row],[blt_gar]])*Lookups!$B$20</f>
        <v>0</v>
      </c>
      <c r="BR86" s="7">
        <f>Wapato_Inventory[[#This Row],[Patio]]*Lookups!$B$21</f>
        <v>0</v>
      </c>
      <c r="BS86" s="7">
        <f>SUM(Wapato_Inventory[[#This Row],[intercept]:[patio_value]])*Wapato_Inventory[[#This Row],[res_pct]]</f>
        <v>165520.270468</v>
      </c>
      <c r="BT86" s="7">
        <f>Wapato_Inventory[[#This Row],[land_value]]</f>
        <v>55300</v>
      </c>
      <c r="BU86" s="2">
        <f>_xlfn.IFNA(VLOOKUP(Wapato_Inventory[[#This Row],[quality]],Lookups!$A$28:$C$37,3,FALSE),1)</f>
        <v>0.96265813922927435</v>
      </c>
      <c r="BV86" s="2">
        <f>_xlfn.IFNA(VLOOKUP(Wapato_Inventory[[#This Row],[condition]],Lookups!$A$41:$C$48,3,FALSE),1)</f>
        <v>0.9832333997567807</v>
      </c>
      <c r="BW86" s="2">
        <f>IF(Wapato_Inventory[[#This Row],[decade]]="",1,_xlfn.IFNA(VLOOKUP(Wapato_Inventory[[#This Row],[decade]],Lookups!$F$28:$H$45,3,FALSE),1))</f>
        <v>1.0012715221492001</v>
      </c>
      <c r="BX86" s="2">
        <f>_xlfn.IFNA(VLOOKUP(Wapato_Inventory[[#This Row],[living_area_range]],Lookups!$K$28:$M$37,3,FALSE),1)</f>
        <v>1.0061411172456287</v>
      </c>
      <c r="BY86" s="2">
        <f>AVERAGE(Wapato_Inventory[[#This Row],[qual_adj]:[range_adj]])</f>
        <v>0.98832604459522089</v>
      </c>
      <c r="BZ86" s="7">
        <f>(Wapato_Inventory[[#This Row],[sum_land]]-IF(Wapato_Inventory[[#This Row],[no_utilities]]=1,12000,0))/IF(Wapato_Inventory[[#This Row],[unbuildable]]=1,2,1)</f>
        <v>55300</v>
      </c>
      <c r="CA86" s="7">
        <f>Wapato_Inventory[[#This Row],[pre_res]]*Wapato_Inventory[[#This Row],[overall_adj]]</f>
        <v>163587.99421196961</v>
      </c>
      <c r="CB86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86" s="3">
        <f>IF(ROUND(Wapato_Inventory[[#This Row],[adj_res]]*Lookups!$H$48,-2)&lt;Wapato_Inventory[[#This Row],[min_res]],Wapato_Inventory[[#This Row],[min_res]],ROUND(Wapato_Inventory[[#This Row],[adj_res]]*Lookups!$H$48,-2))</f>
        <v>155400</v>
      </c>
      <c r="CD86" s="3">
        <f>ROUND(Wapato_Inventory[[#This Row],[det_value]]*Lookups!$H$48,-2)</f>
        <v>0</v>
      </c>
      <c r="CE86" s="3">
        <f>Wapato_Inventory[[#This Row],[final_res]]+Wapato_Inventory[[#This Row],[final_det]]</f>
        <v>155400</v>
      </c>
      <c r="CF86" s="3">
        <f>Wapato_Inventory[[#This Row],[crop_value]]+Wapato_Inventory[[#This Row],[final_land]]+Wapato_Inventory[[#This Row],[final_imp]]</f>
        <v>207900</v>
      </c>
      <c r="CH86" t="str">
        <f t="shared" si="1"/>
        <v>update valuation set market_land =52500, market_bldg=155400, market_total =207900, market_mdno =405, market_date ='9/10/2023' where link_id = (select link_id from parcel where parcel_year = '2024' and parcel_id = '19111014003');</v>
      </c>
    </row>
    <row r="87" spans="1:86" x14ac:dyDescent="0.25">
      <c r="A87">
        <v>19111014004</v>
      </c>
      <c r="B87">
        <v>0.45</v>
      </c>
      <c r="C87">
        <v>19595</v>
      </c>
      <c r="D87" t="s">
        <v>144</v>
      </c>
      <c r="E87" t="s">
        <v>54</v>
      </c>
      <c r="F87" t="s">
        <v>54</v>
      </c>
      <c r="G87">
        <v>3</v>
      </c>
      <c r="H87" t="s">
        <v>55</v>
      </c>
      <c r="I87">
        <v>85200</v>
      </c>
      <c r="J87">
        <v>40200</v>
      </c>
      <c r="K87">
        <v>0.45</v>
      </c>
      <c r="L87">
        <f>IF(Wapato_Inventory[[#This Row],[parcel_acres]]-Wapato_Inventory[[#This Row],[non_valued_acres]] =0,0,LN(Wapato_Inventory[[#This Row],[parcel_acres]]-Wapato_Inventory[[#This Row],[non_valued_acres]]))</f>
        <v>-0.79850769621777162</v>
      </c>
      <c r="M87">
        <v>0</v>
      </c>
      <c r="N87">
        <v>0</v>
      </c>
      <c r="O87">
        <v>0</v>
      </c>
      <c r="P87">
        <v>27904.037</v>
      </c>
      <c r="Q87">
        <v>74398</v>
      </c>
      <c r="R87" s="3">
        <f>(Wapato_Inventory[[#This Row],[ln_acres]]*Wapato_Inventory[[#This Row],[coeff]])+Wapato_Inventory[[#This Row],[const]]</f>
        <v>52116.411699954537</v>
      </c>
      <c r="S87" t="s">
        <v>66</v>
      </c>
      <c r="T87">
        <v>1</v>
      </c>
      <c r="U87" t="s">
        <v>71</v>
      </c>
      <c r="V87" t="s">
        <v>73</v>
      </c>
      <c r="W87">
        <v>0</v>
      </c>
      <c r="X87">
        <v>0</v>
      </c>
      <c r="Y87">
        <v>53</v>
      </c>
      <c r="Z87">
        <v>93</v>
      </c>
      <c r="AA87">
        <v>100</v>
      </c>
      <c r="AB87">
        <v>1500</v>
      </c>
      <c r="AC87">
        <v>1176</v>
      </c>
      <c r="AD87">
        <v>1176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5</v>
      </c>
      <c r="AQ87">
        <v>0</v>
      </c>
      <c r="AR87">
        <v>0</v>
      </c>
      <c r="AS87" t="s">
        <v>59</v>
      </c>
      <c r="AT87">
        <v>1</v>
      </c>
      <c r="AU87" t="s">
        <v>64</v>
      </c>
      <c r="AV87" t="s">
        <v>65</v>
      </c>
      <c r="AW87">
        <v>0</v>
      </c>
      <c r="AX87">
        <v>3</v>
      </c>
      <c r="AY87">
        <v>0</v>
      </c>
      <c r="AZ87">
        <v>0</v>
      </c>
      <c r="BA87">
        <v>100</v>
      </c>
      <c r="BB87">
        <v>100</v>
      </c>
      <c r="BC87">
        <v>100</v>
      </c>
      <c r="BD87">
        <v>100</v>
      </c>
      <c r="BE87">
        <v>1</v>
      </c>
      <c r="BF87">
        <v>15000</v>
      </c>
      <c r="BG87">
        <v>1000</v>
      </c>
      <c r="BH87" s="7">
        <f>ROUND(Wapato_Inventory[[#This Row],[detatched_value]]*Lookups!$B$22*Lookups!$H$48,-2)</f>
        <v>0</v>
      </c>
      <c r="BI87" s="7">
        <f>ROUND(((Wapato_Inventory[[#This Row],[land_extract]]*Lookups!$B$3) +(Lookups!$B$2*0.5))*Lookups!$H$48,-2)</f>
        <v>56100</v>
      </c>
      <c r="BJ87" s="7">
        <f>IF(Wapato_Inventory[[#This Row],[bldg_style]]="",0,Lookups!$B$2*0.5)</f>
        <v>53765.27</v>
      </c>
      <c r="BK87" s="7">
        <f>_xlfn.IFNA(VLOOKUP(Wapato_Inventory[[#This Row],[quality]],Lookups!$H$2:$J$14,3,FALSE),0)</f>
        <v>28034</v>
      </c>
      <c r="BL87" s="7">
        <f>_xlfn.IFNA(VLOOKUP(Wapato_Inventory[[#This Row],[condition]],Lookups!$H$17:$J$24,3,FALSE),0)</f>
        <v>16276</v>
      </c>
      <c r="BM87" s="7">
        <f>Wapato_Inventory[[#This Row],[Age]]*Lookups!$B$16</f>
        <v>-34472.840100000001</v>
      </c>
      <c r="BN87" s="7">
        <f>Wapato_Inventory[[#This Row],[Main Floor]]*Lookups!$B$17</f>
        <v>49157.669064000002</v>
      </c>
      <c r="BO87" s="7">
        <f>Wapato_Inventory[[#This Row],[Upper Floor]]*Lookups!$B$18</f>
        <v>0</v>
      </c>
      <c r="BP87" s="7">
        <f>Wapato_Inventory[[#This Row],[Fin BSMT]]*Lookups!$B$19</f>
        <v>0</v>
      </c>
      <c r="BQ87" s="7">
        <f>(Wapato_Inventory[[#This Row],[att_gar]]+Wapato_Inventory[[#This Row],[blt_gar]])*Lookups!$B$20</f>
        <v>0</v>
      </c>
      <c r="BR87" s="7">
        <f>Wapato_Inventory[[#This Row],[Patio]]*Lookups!$B$21</f>
        <v>0</v>
      </c>
      <c r="BS87" s="7">
        <f>SUM(Wapato_Inventory[[#This Row],[intercept]:[patio_value]])*Wapato_Inventory[[#This Row],[res_pct]]</f>
        <v>112760.09896399999</v>
      </c>
      <c r="BT87" s="7">
        <f>Wapato_Inventory[[#This Row],[land_value]]</f>
        <v>56100</v>
      </c>
      <c r="BU87" s="2">
        <f>_xlfn.IFNA(VLOOKUP(Wapato_Inventory[[#This Row],[quality]],Lookups!$A$28:$C$37,3,FALSE),1)</f>
        <v>0.96265813922927435</v>
      </c>
      <c r="BV87" s="2">
        <f>_xlfn.IFNA(VLOOKUP(Wapato_Inventory[[#This Row],[condition]],Lookups!$A$41:$C$48,3,FALSE),1)</f>
        <v>0.93399385491337139</v>
      </c>
      <c r="BW87" s="2">
        <f>IF(Wapato_Inventory[[#This Row],[decade]]="",1,_xlfn.IFNA(VLOOKUP(Wapato_Inventory[[#This Row],[decade]],Lookups!$F$28:$H$45,3,FALSE),1))</f>
        <v>1.0114203040664467</v>
      </c>
      <c r="BX87" s="2">
        <f>_xlfn.IFNA(VLOOKUP(Wapato_Inventory[[#This Row],[living_area_range]],Lookups!$K$28:$M$37,3,FALSE),1)</f>
        <v>1.0061411172456287</v>
      </c>
      <c r="BY87" s="2">
        <f>AVERAGE(Wapato_Inventory[[#This Row],[qual_adj]:[range_adj]])</f>
        <v>0.97855335386368036</v>
      </c>
      <c r="BZ87" s="7">
        <f>(Wapato_Inventory[[#This Row],[sum_land]]-IF(Wapato_Inventory[[#This Row],[no_utilities]]=1,12000,0))/IF(Wapato_Inventory[[#This Row],[unbuildable]]=1,2,1)</f>
        <v>56100</v>
      </c>
      <c r="CA87" s="7">
        <f>Wapato_Inventory[[#This Row],[pre_res]]*Wapato_Inventory[[#This Row],[overall_adj]]</f>
        <v>110341.7730232227</v>
      </c>
      <c r="CB87" s="3">
        <f>IF(ROUND(Wapato_Inventory[[#This Row],[adj_land]]*Lookups!$H$48,-2)&lt;Wapato_Inventory[[#This Row],[min_land]],Wapato_Inventory[[#This Row],[min_land]],ROUND(Wapato_Inventory[[#This Row],[adj_land]]*Lookups!$H$48,-2))</f>
        <v>53300</v>
      </c>
      <c r="CC87" s="3">
        <f>IF(ROUND(Wapato_Inventory[[#This Row],[adj_res]]*Lookups!$H$48,-2)&lt;Wapato_Inventory[[#This Row],[min_res]],Wapato_Inventory[[#This Row],[min_res]],ROUND(Wapato_Inventory[[#This Row],[adj_res]]*Lookups!$H$48,-2))</f>
        <v>104800</v>
      </c>
      <c r="CD87" s="3">
        <f>ROUND(Wapato_Inventory[[#This Row],[det_value]]*Lookups!$H$48,-2)</f>
        <v>0</v>
      </c>
      <c r="CE87" s="3">
        <f>Wapato_Inventory[[#This Row],[final_res]]+Wapato_Inventory[[#This Row],[final_det]]</f>
        <v>104800</v>
      </c>
      <c r="CF87" s="3">
        <f>Wapato_Inventory[[#This Row],[crop_value]]+Wapato_Inventory[[#This Row],[final_land]]+Wapato_Inventory[[#This Row],[final_imp]]</f>
        <v>158100</v>
      </c>
      <c r="CH87" t="str">
        <f t="shared" si="1"/>
        <v>update valuation set market_land =53300, market_bldg=104800, market_total =158100, market_mdno =405, market_date ='9/10/2023' where link_id = (select link_id from parcel where parcel_year = '2024' and parcel_id = '19111014004');</v>
      </c>
    </row>
    <row r="88" spans="1:86" x14ac:dyDescent="0.25">
      <c r="A88">
        <v>19111014006</v>
      </c>
      <c r="B88">
        <v>0.21</v>
      </c>
      <c r="C88">
        <v>9174</v>
      </c>
      <c r="D88" t="s">
        <v>144</v>
      </c>
      <c r="E88" t="s">
        <v>54</v>
      </c>
      <c r="F88" t="s">
        <v>54</v>
      </c>
      <c r="G88">
        <v>3</v>
      </c>
      <c r="H88" t="s">
        <v>55</v>
      </c>
      <c r="I88">
        <v>79000</v>
      </c>
      <c r="J88">
        <v>34800</v>
      </c>
      <c r="K88">
        <v>0.21</v>
      </c>
      <c r="L88">
        <f>IF(Wapato_Inventory[[#This Row],[parcel_acres]]-Wapato_Inventory[[#This Row],[non_valued_acres]] =0,0,LN(Wapato_Inventory[[#This Row],[parcel_acres]]-Wapato_Inventory[[#This Row],[non_valued_acres]]))</f>
        <v>-1.5606477482646683</v>
      </c>
      <c r="M88">
        <v>0</v>
      </c>
      <c r="N88">
        <v>0</v>
      </c>
      <c r="O88">
        <v>0</v>
      </c>
      <c r="P88">
        <v>27904.037</v>
      </c>
      <c r="Q88">
        <v>74398</v>
      </c>
      <c r="R88" s="3">
        <f>(Wapato_Inventory[[#This Row],[ln_acres]]*Wapato_Inventory[[#This Row],[coeff]])+Wapato_Inventory[[#This Row],[const]]</f>
        <v>30849.627488456012</v>
      </c>
      <c r="S88" t="s">
        <v>66</v>
      </c>
      <c r="T88">
        <v>1</v>
      </c>
      <c r="U88" t="s">
        <v>71</v>
      </c>
      <c r="V88" t="s">
        <v>73</v>
      </c>
      <c r="W88">
        <v>0</v>
      </c>
      <c r="X88">
        <v>0</v>
      </c>
      <c r="Y88">
        <v>51</v>
      </c>
      <c r="Z88">
        <v>83</v>
      </c>
      <c r="AA88">
        <v>90</v>
      </c>
      <c r="AB88">
        <v>1000</v>
      </c>
      <c r="AC88">
        <v>890</v>
      </c>
      <c r="AD88">
        <v>890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120</v>
      </c>
      <c r="AN88">
        <v>0</v>
      </c>
      <c r="AO88">
        <v>120</v>
      </c>
      <c r="AP88">
        <v>5</v>
      </c>
      <c r="AQ88">
        <v>0</v>
      </c>
      <c r="AR88">
        <v>0</v>
      </c>
      <c r="AS88" t="s">
        <v>59</v>
      </c>
      <c r="AT88">
        <v>0</v>
      </c>
      <c r="AU88" t="s">
        <v>80</v>
      </c>
      <c r="AV88" t="s">
        <v>77</v>
      </c>
      <c r="AW88">
        <v>0</v>
      </c>
      <c r="AX88">
        <v>2</v>
      </c>
      <c r="AY88">
        <v>0</v>
      </c>
      <c r="AZ88">
        <v>7700</v>
      </c>
      <c r="BA88">
        <v>100</v>
      </c>
      <c r="BB88">
        <v>100</v>
      </c>
      <c r="BC88">
        <v>100</v>
      </c>
      <c r="BD88">
        <v>100</v>
      </c>
      <c r="BE88">
        <v>1</v>
      </c>
      <c r="BF88">
        <v>15000</v>
      </c>
      <c r="BG88">
        <v>1000</v>
      </c>
      <c r="BH88" s="7">
        <f>ROUND(Wapato_Inventory[[#This Row],[detatched_value]]*Lookups!$B$22*Lookups!$H$48,-2)</f>
        <v>6900</v>
      </c>
      <c r="BI88" s="7">
        <f>ROUND(((Wapato_Inventory[[#This Row],[land_extract]]*Lookups!$B$3) +(Lookups!$B$2*0.5))*Lookups!$H$48,-2)</f>
        <v>54100</v>
      </c>
      <c r="BJ88" s="7">
        <f>IF(Wapato_Inventory[[#This Row],[bldg_style]]="",0,Lookups!$B$2*0.5)</f>
        <v>53765.27</v>
      </c>
      <c r="BK88" s="7">
        <f>_xlfn.IFNA(VLOOKUP(Wapato_Inventory[[#This Row],[quality]],Lookups!$H$2:$J$14,3,FALSE),0)</f>
        <v>28034</v>
      </c>
      <c r="BL88" s="7">
        <f>_xlfn.IFNA(VLOOKUP(Wapato_Inventory[[#This Row],[condition]],Lookups!$H$17:$J$24,3,FALSE),0)</f>
        <v>16276</v>
      </c>
      <c r="BM88" s="7">
        <f>Wapato_Inventory[[#This Row],[Age]]*Lookups!$B$16</f>
        <v>-30766.0831</v>
      </c>
      <c r="BN88" s="7">
        <f>Wapato_Inventory[[#This Row],[Main Floor]]*Lookups!$B$17</f>
        <v>37202.657709999999</v>
      </c>
      <c r="BO88" s="7">
        <f>Wapato_Inventory[[#This Row],[Upper Floor]]*Lookups!$B$18</f>
        <v>0</v>
      </c>
      <c r="BP88" s="7">
        <f>Wapato_Inventory[[#This Row],[Fin BSMT]]*Lookups!$B$19</f>
        <v>0</v>
      </c>
      <c r="BQ88" s="7">
        <f>(Wapato_Inventory[[#This Row],[att_gar]]+Wapato_Inventory[[#This Row],[blt_gar]])*Lookups!$B$20</f>
        <v>0</v>
      </c>
      <c r="BR88" s="7">
        <f>Wapato_Inventory[[#This Row],[Patio]]*Lookups!$B$21</f>
        <v>5198.8774800000001</v>
      </c>
      <c r="BS88" s="7">
        <f>SUM(Wapato_Inventory[[#This Row],[intercept]:[patio_value]])*Wapato_Inventory[[#This Row],[res_pct]]</f>
        <v>109710.72208999998</v>
      </c>
      <c r="BT88" s="7">
        <f>Wapato_Inventory[[#This Row],[land_value]]</f>
        <v>54100</v>
      </c>
      <c r="BU88" s="2">
        <f>_xlfn.IFNA(VLOOKUP(Wapato_Inventory[[#This Row],[quality]],Lookups!$A$28:$C$37,3,FALSE),1)</f>
        <v>0.96265813922927435</v>
      </c>
      <c r="BV88" s="2">
        <f>_xlfn.IFNA(VLOOKUP(Wapato_Inventory[[#This Row],[condition]],Lookups!$A$41:$C$48,3,FALSE),1)</f>
        <v>0.93399385491337139</v>
      </c>
      <c r="BW88" s="2">
        <f>IF(Wapato_Inventory[[#This Row],[decade]]="",1,_xlfn.IFNA(VLOOKUP(Wapato_Inventory[[#This Row],[decade]],Lookups!$F$28:$H$45,3,FALSE),1))</f>
        <v>0.94742695999815718</v>
      </c>
      <c r="BX88" s="2">
        <f>_xlfn.IFNA(VLOOKUP(Wapato_Inventory[[#This Row],[living_area_range]],Lookups!$K$28:$M$37,3,FALSE),1)</f>
        <v>0.99022994770196116</v>
      </c>
      <c r="BY88" s="2">
        <f>AVERAGE(Wapato_Inventory[[#This Row],[qual_adj]:[range_adj]])</f>
        <v>0.95857722546069102</v>
      </c>
      <c r="BZ88" s="7">
        <f>(Wapato_Inventory[[#This Row],[sum_land]]-IF(Wapato_Inventory[[#This Row],[no_utilities]]=1,12000,0))/IF(Wapato_Inventory[[#This Row],[unbuildable]]=1,2,1)</f>
        <v>54100</v>
      </c>
      <c r="CA88" s="7">
        <f>Wapato_Inventory[[#This Row],[pre_res]]*Wapato_Inventory[[#This Row],[overall_adj]]</f>
        <v>105166.19958432113</v>
      </c>
      <c r="CB88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88" s="3">
        <f>IF(ROUND(Wapato_Inventory[[#This Row],[adj_res]]*Lookups!$H$48,-2)&lt;Wapato_Inventory[[#This Row],[min_res]],Wapato_Inventory[[#This Row],[min_res]],ROUND(Wapato_Inventory[[#This Row],[adj_res]]*Lookups!$H$48,-2))</f>
        <v>99900</v>
      </c>
      <c r="CD88" s="3">
        <f>ROUND(Wapato_Inventory[[#This Row],[det_value]]*Lookups!$H$48,-2)</f>
        <v>6600</v>
      </c>
      <c r="CE88" s="3">
        <f>Wapato_Inventory[[#This Row],[final_res]]+Wapato_Inventory[[#This Row],[final_det]]</f>
        <v>106500</v>
      </c>
      <c r="CF88" s="3">
        <f>Wapato_Inventory[[#This Row],[crop_value]]+Wapato_Inventory[[#This Row],[final_land]]+Wapato_Inventory[[#This Row],[final_imp]]</f>
        <v>157900</v>
      </c>
      <c r="CH88" t="str">
        <f t="shared" si="1"/>
        <v>update valuation set market_land =51400, market_bldg=106500, market_total =157900, market_mdno =405, market_date ='9/10/2023' where link_id = (select link_id from parcel where parcel_year = '2024' and parcel_id = '19111014006');</v>
      </c>
    </row>
    <row r="89" spans="1:86" x14ac:dyDescent="0.25">
      <c r="A89">
        <v>19111014007</v>
      </c>
      <c r="B89">
        <v>0.61</v>
      </c>
      <c r="C89">
        <v>26540</v>
      </c>
      <c r="D89" t="s">
        <v>144</v>
      </c>
      <c r="E89" t="s">
        <v>54</v>
      </c>
      <c r="F89" t="s">
        <v>54</v>
      </c>
      <c r="G89">
        <v>3</v>
      </c>
      <c r="H89" t="s">
        <v>55</v>
      </c>
      <c r="I89">
        <v>0</v>
      </c>
      <c r="J89">
        <v>42300</v>
      </c>
      <c r="K89">
        <v>0.61</v>
      </c>
      <c r="L89">
        <f>IF(Wapato_Inventory[[#This Row],[parcel_acres]]-Wapato_Inventory[[#This Row],[non_valued_acres]] =0,0,LN(Wapato_Inventory[[#This Row],[parcel_acres]]-Wapato_Inventory[[#This Row],[non_valued_acres]]))</f>
        <v>-0.49429632181478012</v>
      </c>
      <c r="M89">
        <v>0</v>
      </c>
      <c r="N89">
        <v>0</v>
      </c>
      <c r="O89">
        <v>0</v>
      </c>
      <c r="P89">
        <v>27904.037</v>
      </c>
      <c r="Q89">
        <v>74398</v>
      </c>
      <c r="R89" s="3">
        <f>(Wapato_Inventory[[#This Row],[ln_acres]]*Wapato_Inventory[[#This Row],[coeff]])+Wapato_Inventory[[#This Row],[const]]</f>
        <v>60605.137147116468</v>
      </c>
      <c r="S89" t="s">
        <v>83</v>
      </c>
      <c r="T89">
        <v>1</v>
      </c>
      <c r="U89" t="s">
        <v>86</v>
      </c>
      <c r="V89" t="s">
        <v>110</v>
      </c>
      <c r="W89">
        <v>0</v>
      </c>
      <c r="X89">
        <v>0</v>
      </c>
      <c r="Y89">
        <v>103</v>
      </c>
      <c r="Z89">
        <v>103</v>
      </c>
      <c r="AA89">
        <v>110</v>
      </c>
      <c r="AB89">
        <v>1000</v>
      </c>
      <c r="AC89">
        <v>831</v>
      </c>
      <c r="AD89">
        <v>831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5</v>
      </c>
      <c r="AQ89">
        <v>0</v>
      </c>
      <c r="AR89">
        <v>0</v>
      </c>
      <c r="AS89" t="s">
        <v>59</v>
      </c>
      <c r="AT89">
        <v>0</v>
      </c>
      <c r="AU89" t="s">
        <v>153</v>
      </c>
      <c r="AV89" t="s">
        <v>158</v>
      </c>
      <c r="AW89">
        <v>0</v>
      </c>
      <c r="AX89">
        <v>2</v>
      </c>
      <c r="AY89">
        <v>0</v>
      </c>
      <c r="AZ89">
        <v>0</v>
      </c>
      <c r="BA89">
        <v>100</v>
      </c>
      <c r="BB89">
        <v>100</v>
      </c>
      <c r="BC89">
        <v>100</v>
      </c>
      <c r="BD89">
        <v>100</v>
      </c>
      <c r="BE89">
        <v>0</v>
      </c>
      <c r="BF89">
        <v>15000</v>
      </c>
      <c r="BG89">
        <v>0</v>
      </c>
      <c r="BH89" s="7">
        <f>ROUND(Wapato_Inventory[[#This Row],[detatched_value]]*Lookups!$B$22*Lookups!$H$48,-2)</f>
        <v>0</v>
      </c>
      <c r="BI89" s="7">
        <f>ROUND(((Wapato_Inventory[[#This Row],[land_extract]]*Lookups!$B$3) +(Lookups!$B$2*0.5))*Lookups!$H$48,-2)</f>
        <v>56900</v>
      </c>
      <c r="BJ89" s="7">
        <f>IF(Wapato_Inventory[[#This Row],[bldg_style]]="",0,Lookups!$B$2*0.5)</f>
        <v>53765.27</v>
      </c>
      <c r="BK89" s="7">
        <f>_xlfn.IFNA(VLOOKUP(Wapato_Inventory[[#This Row],[quality]],Lookups!$H$2:$J$14,3,FALSE),0)</f>
        <v>0</v>
      </c>
      <c r="BL89" s="7">
        <f>_xlfn.IFNA(VLOOKUP(Wapato_Inventory[[#This Row],[condition]],Lookups!$H$17:$J$24,3,FALSE),0)</f>
        <v>-49363</v>
      </c>
      <c r="BM89" s="7">
        <f>Wapato_Inventory[[#This Row],[Age]]*Lookups!$B$16</f>
        <v>-38179.597099999999</v>
      </c>
      <c r="BN89" s="7">
        <f>Wapato_Inventory[[#This Row],[Main Floor]]*Lookups!$B$17</f>
        <v>34736.414108999998</v>
      </c>
      <c r="BO89" s="7">
        <f>Wapato_Inventory[[#This Row],[Upper Floor]]*Lookups!$B$18</f>
        <v>0</v>
      </c>
      <c r="BP89" s="7">
        <f>Wapato_Inventory[[#This Row],[Fin BSMT]]*Lookups!$B$19</f>
        <v>0</v>
      </c>
      <c r="BQ89" s="7">
        <f>(Wapato_Inventory[[#This Row],[att_gar]]+Wapato_Inventory[[#This Row],[blt_gar]])*Lookups!$B$20</f>
        <v>0</v>
      </c>
      <c r="BR89" s="7">
        <f>Wapato_Inventory[[#This Row],[Patio]]*Lookups!$B$21</f>
        <v>0</v>
      </c>
      <c r="BS89" s="7">
        <f>SUM(Wapato_Inventory[[#This Row],[intercept]:[patio_value]])*Wapato_Inventory[[#This Row],[res_pct]]</f>
        <v>0</v>
      </c>
      <c r="BT89" s="7">
        <f>Wapato_Inventory[[#This Row],[land_value]]</f>
        <v>56900</v>
      </c>
      <c r="BU89" s="2">
        <f>_xlfn.IFNA(VLOOKUP(Wapato_Inventory[[#This Row],[quality]],Lookups!$A$28:$C$37,3,FALSE),1)</f>
        <v>1.0000010866511106</v>
      </c>
      <c r="BV89" s="2">
        <f>_xlfn.IFNA(VLOOKUP(Wapato_Inventory[[#This Row],[condition]],Lookups!$A$41:$C$48,3,FALSE),1)</f>
        <v>0</v>
      </c>
      <c r="BW89" s="2">
        <f>IF(Wapato_Inventory[[#This Row],[decade]]="",1,_xlfn.IFNA(VLOOKUP(Wapato_Inventory[[#This Row],[decade]],Lookups!$F$28:$H$45,3,FALSE),1))</f>
        <v>0.93664589651353292</v>
      </c>
      <c r="BX89" s="2">
        <f>_xlfn.IFNA(VLOOKUP(Wapato_Inventory[[#This Row],[living_area_range]],Lookups!$K$28:$M$37,3,FALSE),1)</f>
        <v>0.99022994770196116</v>
      </c>
      <c r="BY89" s="2">
        <f>AVERAGE(Wapato_Inventory[[#This Row],[qual_adj]:[range_adj]])</f>
        <v>0.73171923271665118</v>
      </c>
      <c r="BZ89" s="7">
        <f>(Wapato_Inventory[[#This Row],[sum_land]]-IF(Wapato_Inventory[[#This Row],[no_utilities]]=1,12000,0))/IF(Wapato_Inventory[[#This Row],[unbuildable]]=1,2,1)</f>
        <v>56900</v>
      </c>
      <c r="CA89" s="7">
        <f>Wapato_Inventory[[#This Row],[pre_res]]*Wapato_Inventory[[#This Row],[overall_adj]]</f>
        <v>0</v>
      </c>
      <c r="CB89" s="3">
        <f>IF(ROUND(Wapato_Inventory[[#This Row],[adj_land]]*Lookups!$H$48,-2)&lt;Wapato_Inventory[[#This Row],[min_land]],Wapato_Inventory[[#This Row],[min_land]],ROUND(Wapato_Inventory[[#This Row],[adj_land]]*Lookups!$H$48,-2))</f>
        <v>54100</v>
      </c>
      <c r="CC8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89" s="3">
        <f>ROUND(Wapato_Inventory[[#This Row],[det_value]]*Lookups!$H$48,-2)</f>
        <v>0</v>
      </c>
      <c r="CE89" s="3">
        <f>Wapato_Inventory[[#This Row],[final_res]]+Wapato_Inventory[[#This Row],[final_det]]</f>
        <v>0</v>
      </c>
      <c r="CF89" s="3">
        <f>Wapato_Inventory[[#This Row],[crop_value]]+Wapato_Inventory[[#This Row],[final_land]]+Wapato_Inventory[[#This Row],[final_imp]]</f>
        <v>54100</v>
      </c>
      <c r="CH89" t="str">
        <f t="shared" si="1"/>
        <v>update valuation set market_land =54100, market_bldg=0, market_total =54100, market_mdno =405, market_date ='9/10/2023' where link_id = (select link_id from parcel where parcel_year = '2024' and parcel_id = '19111014007');</v>
      </c>
    </row>
    <row r="90" spans="1:86" x14ac:dyDescent="0.25">
      <c r="A90">
        <v>19111014009</v>
      </c>
      <c r="B90">
        <v>4.5</v>
      </c>
      <c r="C90">
        <v>195913</v>
      </c>
      <c r="D90" t="s">
        <v>144</v>
      </c>
      <c r="E90" t="s">
        <v>54</v>
      </c>
      <c r="F90" t="s">
        <v>54</v>
      </c>
      <c r="G90">
        <v>3</v>
      </c>
      <c r="H90" t="s">
        <v>55</v>
      </c>
      <c r="I90">
        <v>162200</v>
      </c>
      <c r="J90">
        <v>56600</v>
      </c>
      <c r="K90">
        <v>4.5</v>
      </c>
      <c r="L90">
        <f>IF(Wapato_Inventory[[#This Row],[parcel_acres]]-Wapato_Inventory[[#This Row],[non_valued_acres]] =0,0,LN(Wapato_Inventory[[#This Row],[parcel_acres]]-Wapato_Inventory[[#This Row],[non_valued_acres]]))</f>
        <v>1.5040773967762742</v>
      </c>
      <c r="M90">
        <v>0</v>
      </c>
      <c r="N90">
        <v>0</v>
      </c>
      <c r="O90">
        <v>0</v>
      </c>
      <c r="P90">
        <v>27904.037</v>
      </c>
      <c r="Q90">
        <v>74398</v>
      </c>
      <c r="R90" s="3">
        <f>(Wapato_Inventory[[#This Row],[ln_acres]]*Wapato_Inventory[[#This Row],[coeff]])+Wapato_Inventory[[#This Row],[const]]</f>
        <v>116367.83133050884</v>
      </c>
      <c r="S90" t="s">
        <v>62</v>
      </c>
      <c r="T90">
        <v>1</v>
      </c>
      <c r="U90" t="s">
        <v>67</v>
      </c>
      <c r="V90" t="s">
        <v>73</v>
      </c>
      <c r="W90">
        <v>0</v>
      </c>
      <c r="X90">
        <v>0</v>
      </c>
      <c r="Y90">
        <v>48</v>
      </c>
      <c r="Z90">
        <v>63</v>
      </c>
      <c r="AA90">
        <v>70</v>
      </c>
      <c r="AB90">
        <v>2000</v>
      </c>
      <c r="AC90">
        <v>1636</v>
      </c>
      <c r="AD90">
        <v>1636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11</v>
      </c>
      <c r="AQ90">
        <v>0</v>
      </c>
      <c r="AR90">
        <v>0</v>
      </c>
      <c r="AS90" t="s">
        <v>59</v>
      </c>
      <c r="AT90">
        <v>1</v>
      </c>
      <c r="AU90" t="s">
        <v>64</v>
      </c>
      <c r="AV90" t="s">
        <v>61</v>
      </c>
      <c r="AW90">
        <v>0</v>
      </c>
      <c r="AX90">
        <v>4</v>
      </c>
      <c r="AY90">
        <v>0</v>
      </c>
      <c r="AZ90">
        <v>7400</v>
      </c>
      <c r="BA90">
        <v>100</v>
      </c>
      <c r="BB90">
        <v>100</v>
      </c>
      <c r="BC90">
        <v>100</v>
      </c>
      <c r="BD90">
        <v>100</v>
      </c>
      <c r="BE90">
        <v>1</v>
      </c>
      <c r="BF90">
        <v>15000</v>
      </c>
      <c r="BG90">
        <v>1000</v>
      </c>
      <c r="BH90" s="7">
        <f>ROUND(Wapato_Inventory[[#This Row],[detatched_value]]*Lookups!$B$22*Lookups!$H$48,-2)</f>
        <v>6600</v>
      </c>
      <c r="BI90" s="7">
        <f>ROUND(((Wapato_Inventory[[#This Row],[land_extract]]*Lookups!$B$3) +(Lookups!$B$2*0.5))*Lookups!$H$48,-2)</f>
        <v>62300</v>
      </c>
      <c r="BJ90" s="7">
        <f>IF(Wapato_Inventory[[#This Row],[bldg_style]]="",0,Lookups!$B$2*0.5)</f>
        <v>53765.27</v>
      </c>
      <c r="BK90" s="7">
        <f>_xlfn.IFNA(VLOOKUP(Wapato_Inventory[[#This Row],[quality]],Lookups!$H$2:$J$14,3,FALSE),0)</f>
        <v>50405</v>
      </c>
      <c r="BL90" s="7">
        <f>_xlfn.IFNA(VLOOKUP(Wapato_Inventory[[#This Row],[condition]],Lookups!$H$17:$J$24,3,FALSE),0)</f>
        <v>16276</v>
      </c>
      <c r="BM90" s="7">
        <f>Wapato_Inventory[[#This Row],[Age]]*Lookups!$B$16</f>
        <v>-23352.569100000001</v>
      </c>
      <c r="BN90" s="7">
        <f>Wapato_Inventory[[#This Row],[Main Floor]]*Lookups!$B$17</f>
        <v>68386.009004000007</v>
      </c>
      <c r="BO90" s="7">
        <f>Wapato_Inventory[[#This Row],[Upper Floor]]*Lookups!$B$18</f>
        <v>0</v>
      </c>
      <c r="BP90" s="7">
        <f>Wapato_Inventory[[#This Row],[Fin BSMT]]*Lookups!$B$19</f>
        <v>0</v>
      </c>
      <c r="BQ90" s="7">
        <f>(Wapato_Inventory[[#This Row],[att_gar]]+Wapato_Inventory[[#This Row],[blt_gar]])*Lookups!$B$20</f>
        <v>0</v>
      </c>
      <c r="BR90" s="7">
        <f>Wapato_Inventory[[#This Row],[Patio]]*Lookups!$B$21</f>
        <v>0</v>
      </c>
      <c r="BS90" s="7">
        <f>SUM(Wapato_Inventory[[#This Row],[intercept]:[patio_value]])*Wapato_Inventory[[#This Row],[res_pct]]</f>
        <v>165479.70990399999</v>
      </c>
      <c r="BT90" s="7">
        <f>Wapato_Inventory[[#This Row],[land_value]]</f>
        <v>62300</v>
      </c>
      <c r="BU90" s="2">
        <f>_xlfn.IFNA(VLOOKUP(Wapato_Inventory[[#This Row],[quality]],Lookups!$A$28:$C$37,3,FALSE),1)</f>
        <v>0.97993206410140754</v>
      </c>
      <c r="BV90" s="2">
        <f>_xlfn.IFNA(VLOOKUP(Wapato_Inventory[[#This Row],[condition]],Lookups!$A$41:$C$48,3,FALSE),1)</f>
        <v>0.93399385491337139</v>
      </c>
      <c r="BW90" s="2">
        <f>IF(Wapato_Inventory[[#This Row],[decade]]="",1,_xlfn.IFNA(VLOOKUP(Wapato_Inventory[[#This Row],[decade]],Lookups!$F$28:$H$45,3,FALSE),1))</f>
        <v>1.0012715221492001</v>
      </c>
      <c r="BX90" s="2">
        <f>_xlfn.IFNA(VLOOKUP(Wapato_Inventory[[#This Row],[living_area_range]],Lookups!$K$28:$M$37,3,FALSE),1)</f>
        <v>0.99330894324714125</v>
      </c>
      <c r="BY90" s="2">
        <f>AVERAGE(Wapato_Inventory[[#This Row],[qual_adj]:[range_adj]])</f>
        <v>0.97712659610278008</v>
      </c>
      <c r="BZ90" s="7">
        <f>(Wapato_Inventory[[#This Row],[sum_land]]-IF(Wapato_Inventory[[#This Row],[no_utilities]]=1,12000,0))/IF(Wapato_Inventory[[#This Row],[unbuildable]]=1,2,1)</f>
        <v>62300</v>
      </c>
      <c r="CA90" s="7">
        <f>Wapato_Inventory[[#This Row],[pre_res]]*Wapato_Inventory[[#This Row],[overall_adj]]</f>
        <v>161694.62566257102</v>
      </c>
      <c r="CB90" s="3">
        <f>IF(ROUND(Wapato_Inventory[[#This Row],[adj_land]]*Lookups!$H$48,-2)&lt;Wapato_Inventory[[#This Row],[min_land]],Wapato_Inventory[[#This Row],[min_land]],ROUND(Wapato_Inventory[[#This Row],[adj_land]]*Lookups!$H$48,-2))</f>
        <v>59200</v>
      </c>
      <c r="CC90" s="3">
        <f>IF(ROUND(Wapato_Inventory[[#This Row],[adj_res]]*Lookups!$H$48,-2)&lt;Wapato_Inventory[[#This Row],[min_res]],Wapato_Inventory[[#This Row],[min_res]],ROUND(Wapato_Inventory[[#This Row],[adj_res]]*Lookups!$H$48,-2))</f>
        <v>153600</v>
      </c>
      <c r="CD90" s="3">
        <f>ROUND(Wapato_Inventory[[#This Row],[det_value]]*Lookups!$H$48,-2)</f>
        <v>6300</v>
      </c>
      <c r="CE90" s="3">
        <f>Wapato_Inventory[[#This Row],[final_res]]+Wapato_Inventory[[#This Row],[final_det]]</f>
        <v>159900</v>
      </c>
      <c r="CF90" s="3">
        <f>Wapato_Inventory[[#This Row],[crop_value]]+Wapato_Inventory[[#This Row],[final_land]]+Wapato_Inventory[[#This Row],[final_imp]]</f>
        <v>219100</v>
      </c>
      <c r="CH90" t="str">
        <f t="shared" si="1"/>
        <v>update valuation set market_land =59200, market_bldg=159900, market_total =219100, market_mdno =405, market_date ='9/10/2023' where link_id = (select link_id from parcel where parcel_year = '2024' and parcel_id = '19111014009');</v>
      </c>
    </row>
    <row r="91" spans="1:86" x14ac:dyDescent="0.25">
      <c r="A91">
        <v>19111014010</v>
      </c>
      <c r="B91">
        <v>5.0199999999999996</v>
      </c>
      <c r="C91">
        <v>218538</v>
      </c>
      <c r="D91" t="s">
        <v>144</v>
      </c>
      <c r="E91" t="s">
        <v>54</v>
      </c>
      <c r="F91" t="s">
        <v>54</v>
      </c>
      <c r="G91">
        <v>3</v>
      </c>
      <c r="H91" t="s">
        <v>55</v>
      </c>
      <c r="I91">
        <v>146400</v>
      </c>
      <c r="J91">
        <v>57400</v>
      </c>
      <c r="K91">
        <v>5.0199999999999996</v>
      </c>
      <c r="L91">
        <f>IF(Wapato_Inventory[[#This Row],[parcel_acres]]-Wapato_Inventory[[#This Row],[non_valued_acres]] =0,0,LN(Wapato_Inventory[[#This Row],[parcel_acres]]-Wapato_Inventory[[#This Row],[non_valued_acres]]))</f>
        <v>1.6134299337036377</v>
      </c>
      <c r="M91">
        <v>0</v>
      </c>
      <c r="N91">
        <v>0</v>
      </c>
      <c r="O91">
        <v>0</v>
      </c>
      <c r="P91">
        <v>27904.037</v>
      </c>
      <c r="Q91">
        <v>74398</v>
      </c>
      <c r="R91" s="3">
        <f>(Wapato_Inventory[[#This Row],[ln_acres]]*Wapato_Inventory[[#This Row],[coeff]])+Wapato_Inventory[[#This Row],[const]]</f>
        <v>119419.20856697386</v>
      </c>
      <c r="S91" t="s">
        <v>66</v>
      </c>
      <c r="T91">
        <v>1</v>
      </c>
      <c r="U91" t="s">
        <v>71</v>
      </c>
      <c r="V91" t="s">
        <v>73</v>
      </c>
      <c r="W91">
        <v>0</v>
      </c>
      <c r="X91">
        <v>0</v>
      </c>
      <c r="Y91">
        <v>52</v>
      </c>
      <c r="Z91">
        <v>88</v>
      </c>
      <c r="AA91">
        <v>90</v>
      </c>
      <c r="AB91">
        <v>2000</v>
      </c>
      <c r="AC91">
        <v>1748</v>
      </c>
      <c r="AD91">
        <v>1748</v>
      </c>
      <c r="AE91">
        <v>0</v>
      </c>
      <c r="AF91">
        <v>0</v>
      </c>
      <c r="AG91">
        <v>0</v>
      </c>
      <c r="AH91">
        <v>0</v>
      </c>
      <c r="AI91">
        <v>534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5</v>
      </c>
      <c r="AQ91">
        <v>0</v>
      </c>
      <c r="AR91">
        <v>0</v>
      </c>
      <c r="AS91" t="s">
        <v>59</v>
      </c>
      <c r="AT91">
        <v>1</v>
      </c>
      <c r="AU91" t="s">
        <v>76</v>
      </c>
      <c r="AV91" t="s">
        <v>61</v>
      </c>
      <c r="AW91">
        <v>0</v>
      </c>
      <c r="AX91">
        <v>3</v>
      </c>
      <c r="AY91">
        <v>0</v>
      </c>
      <c r="AZ91">
        <v>3500</v>
      </c>
      <c r="BA91">
        <v>100</v>
      </c>
      <c r="BB91">
        <v>100</v>
      </c>
      <c r="BC91">
        <v>100</v>
      </c>
      <c r="BD91">
        <v>100</v>
      </c>
      <c r="BE91">
        <v>1</v>
      </c>
      <c r="BF91">
        <v>15000</v>
      </c>
      <c r="BG91">
        <v>1000</v>
      </c>
      <c r="BH91" s="7">
        <f>ROUND(Wapato_Inventory[[#This Row],[detatched_value]]*Lookups!$B$22*Lookups!$H$48,-2)</f>
        <v>3100</v>
      </c>
      <c r="BI91" s="7">
        <f>ROUND(((Wapato_Inventory[[#This Row],[land_extract]]*Lookups!$B$3) +(Lookups!$B$2*0.5))*Lookups!$H$48,-2)</f>
        <v>62600</v>
      </c>
      <c r="BJ91" s="7">
        <f>IF(Wapato_Inventory[[#This Row],[bldg_style]]="",0,Lookups!$B$2*0.5)</f>
        <v>53765.27</v>
      </c>
      <c r="BK91" s="7">
        <f>_xlfn.IFNA(VLOOKUP(Wapato_Inventory[[#This Row],[quality]],Lookups!$H$2:$J$14,3,FALSE),0)</f>
        <v>28034</v>
      </c>
      <c r="BL91" s="7">
        <f>_xlfn.IFNA(VLOOKUP(Wapato_Inventory[[#This Row],[condition]],Lookups!$H$17:$J$24,3,FALSE),0)</f>
        <v>16276</v>
      </c>
      <c r="BM91" s="7">
        <f>Wapato_Inventory[[#This Row],[Age]]*Lookups!$B$16</f>
        <v>-32619.461600000002</v>
      </c>
      <c r="BN91" s="7">
        <f>Wapato_Inventory[[#This Row],[Main Floor]]*Lookups!$B$17</f>
        <v>73067.691772000006</v>
      </c>
      <c r="BO91" s="7">
        <f>Wapato_Inventory[[#This Row],[Upper Floor]]*Lookups!$B$18</f>
        <v>0</v>
      </c>
      <c r="BP91" s="7">
        <f>Wapato_Inventory[[#This Row],[Fin BSMT]]*Lookups!$B$19</f>
        <v>0</v>
      </c>
      <c r="BQ91" s="7">
        <f>(Wapato_Inventory[[#This Row],[att_gar]]+Wapato_Inventory[[#This Row],[blt_gar]])*Lookups!$B$20</f>
        <v>19762.673568000002</v>
      </c>
      <c r="BR91" s="7">
        <f>Wapato_Inventory[[#This Row],[Patio]]*Lookups!$B$21</f>
        <v>0</v>
      </c>
      <c r="BS91" s="7">
        <f>SUM(Wapato_Inventory[[#This Row],[intercept]:[patio_value]])*Wapato_Inventory[[#This Row],[res_pct]]</f>
        <v>158286.17374</v>
      </c>
      <c r="BT91" s="7">
        <f>Wapato_Inventory[[#This Row],[land_value]]</f>
        <v>62600</v>
      </c>
      <c r="BU91" s="2">
        <f>_xlfn.IFNA(VLOOKUP(Wapato_Inventory[[#This Row],[quality]],Lookups!$A$28:$C$37,3,FALSE),1)</f>
        <v>0.96265813922927435</v>
      </c>
      <c r="BV91" s="2">
        <f>_xlfn.IFNA(VLOOKUP(Wapato_Inventory[[#This Row],[condition]],Lookups!$A$41:$C$48,3,FALSE),1)</f>
        <v>0.93399385491337139</v>
      </c>
      <c r="BW91" s="2">
        <f>IF(Wapato_Inventory[[#This Row],[decade]]="",1,_xlfn.IFNA(VLOOKUP(Wapato_Inventory[[#This Row],[decade]],Lookups!$F$28:$H$45,3,FALSE),1))</f>
        <v>0.94742695999815718</v>
      </c>
      <c r="BX91" s="2">
        <f>_xlfn.IFNA(VLOOKUP(Wapato_Inventory[[#This Row],[living_area_range]],Lookups!$K$28:$M$37,3,FALSE),1)</f>
        <v>0.99330894324714125</v>
      </c>
      <c r="BY91" s="2">
        <f>AVERAGE(Wapato_Inventory[[#This Row],[qual_adj]:[range_adj]])</f>
        <v>0.95934697434698601</v>
      </c>
      <c r="BZ91" s="7">
        <f>(Wapato_Inventory[[#This Row],[sum_land]]-IF(Wapato_Inventory[[#This Row],[no_utilities]]=1,12000,0))/IF(Wapato_Inventory[[#This Row],[unbuildable]]=1,2,1)</f>
        <v>62600</v>
      </c>
      <c r="CA91" s="7">
        <f>Wapato_Inventory[[#This Row],[pre_res]]*Wapato_Inventory[[#This Row],[overall_adj]]</f>
        <v>151851.36185843035</v>
      </c>
      <c r="CB91" s="3">
        <f>IF(ROUND(Wapato_Inventory[[#This Row],[adj_land]]*Lookups!$H$48,-2)&lt;Wapato_Inventory[[#This Row],[min_land]],Wapato_Inventory[[#This Row],[min_land]],ROUND(Wapato_Inventory[[#This Row],[adj_land]]*Lookups!$H$48,-2))</f>
        <v>59500</v>
      </c>
      <c r="CC91" s="3">
        <f>IF(ROUND(Wapato_Inventory[[#This Row],[adj_res]]*Lookups!$H$48,-2)&lt;Wapato_Inventory[[#This Row],[min_res]],Wapato_Inventory[[#This Row],[min_res]],ROUND(Wapato_Inventory[[#This Row],[adj_res]]*Lookups!$H$48,-2))</f>
        <v>144300</v>
      </c>
      <c r="CD91" s="3">
        <f>ROUND(Wapato_Inventory[[#This Row],[det_value]]*Lookups!$H$48,-2)</f>
        <v>2900</v>
      </c>
      <c r="CE91" s="3">
        <f>Wapato_Inventory[[#This Row],[final_res]]+Wapato_Inventory[[#This Row],[final_det]]</f>
        <v>147200</v>
      </c>
      <c r="CF91" s="3">
        <f>Wapato_Inventory[[#This Row],[crop_value]]+Wapato_Inventory[[#This Row],[final_land]]+Wapato_Inventory[[#This Row],[final_imp]]</f>
        <v>206700</v>
      </c>
      <c r="CH91" t="str">
        <f t="shared" si="1"/>
        <v>update valuation set market_land =59500, market_bldg=147200, market_total =206700, market_mdno =405, market_date ='9/10/2023' where link_id = (select link_id from parcel where parcel_year = '2024' and parcel_id = '19111014010');</v>
      </c>
    </row>
    <row r="92" spans="1:86" x14ac:dyDescent="0.25">
      <c r="A92">
        <v>19111014015</v>
      </c>
      <c r="B92">
        <v>0.19</v>
      </c>
      <c r="C92">
        <v>8145</v>
      </c>
      <c r="D92" t="s">
        <v>144</v>
      </c>
      <c r="E92" t="s">
        <v>54</v>
      </c>
      <c r="F92" t="s">
        <v>54</v>
      </c>
      <c r="G92">
        <v>3</v>
      </c>
      <c r="H92" t="s">
        <v>55</v>
      </c>
      <c r="I92">
        <v>144600</v>
      </c>
      <c r="J92">
        <v>34100</v>
      </c>
      <c r="K92">
        <v>0.19</v>
      </c>
      <c r="L92">
        <f>IF(Wapato_Inventory[[#This Row],[parcel_acres]]-Wapato_Inventory[[#This Row],[non_valued_acres]] =0,0,LN(Wapato_Inventory[[#This Row],[parcel_acres]]-Wapato_Inventory[[#This Row],[non_valued_acres]]))</f>
        <v>-1.6607312068216509</v>
      </c>
      <c r="M92">
        <v>0</v>
      </c>
      <c r="N92">
        <v>0</v>
      </c>
      <c r="O92">
        <v>0</v>
      </c>
      <c r="P92">
        <v>27904.037</v>
      </c>
      <c r="Q92">
        <v>74398</v>
      </c>
      <c r="R92" s="3">
        <f>(Wapato_Inventory[[#This Row],[ln_acres]]*Wapato_Inventory[[#This Row],[coeff]])+Wapato_Inventory[[#This Row],[const]]</f>
        <v>28056.894957794</v>
      </c>
      <c r="S92" t="s">
        <v>66</v>
      </c>
      <c r="T92">
        <v>1</v>
      </c>
      <c r="U92" t="s">
        <v>75</v>
      </c>
      <c r="V92" t="s">
        <v>68</v>
      </c>
      <c r="W92">
        <v>0</v>
      </c>
      <c r="X92">
        <v>0</v>
      </c>
      <c r="Y92">
        <v>51</v>
      </c>
      <c r="Z92">
        <v>82</v>
      </c>
      <c r="AA92">
        <v>90</v>
      </c>
      <c r="AB92">
        <v>1500</v>
      </c>
      <c r="AC92">
        <v>1120</v>
      </c>
      <c r="AD92">
        <v>1120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192</v>
      </c>
      <c r="AN92">
        <v>0</v>
      </c>
      <c r="AO92">
        <v>0</v>
      </c>
      <c r="AP92">
        <v>5</v>
      </c>
      <c r="AQ92">
        <v>0</v>
      </c>
      <c r="AR92">
        <v>0</v>
      </c>
      <c r="AS92" t="s">
        <v>59</v>
      </c>
      <c r="AT92">
        <v>1</v>
      </c>
      <c r="AU92" t="s">
        <v>64</v>
      </c>
      <c r="AV92" t="s">
        <v>65</v>
      </c>
      <c r="AW92">
        <v>0</v>
      </c>
      <c r="AX92">
        <v>3</v>
      </c>
      <c r="AY92">
        <v>0</v>
      </c>
      <c r="AZ92">
        <v>0</v>
      </c>
      <c r="BA92">
        <v>100</v>
      </c>
      <c r="BB92">
        <v>100</v>
      </c>
      <c r="BC92">
        <v>100</v>
      </c>
      <c r="BD92">
        <v>100</v>
      </c>
      <c r="BE92">
        <v>1</v>
      </c>
      <c r="BF92">
        <v>15000</v>
      </c>
      <c r="BG92">
        <v>1000</v>
      </c>
      <c r="BH92" s="7">
        <f>ROUND(Wapato_Inventory[[#This Row],[detatched_value]]*Lookups!$B$22*Lookups!$H$48,-2)</f>
        <v>0</v>
      </c>
      <c r="BI92" s="7">
        <f>ROUND(((Wapato_Inventory[[#This Row],[land_extract]]*Lookups!$B$3) +(Lookups!$B$2*0.5))*Lookups!$H$48,-2)</f>
        <v>53800</v>
      </c>
      <c r="BJ92" s="7">
        <f>IF(Wapato_Inventory[[#This Row],[bldg_style]]="",0,Lookups!$B$2*0.5)</f>
        <v>53765.27</v>
      </c>
      <c r="BK92" s="7">
        <f>_xlfn.IFNA(VLOOKUP(Wapato_Inventory[[#This Row],[quality]],Lookups!$H$2:$J$14,3,FALSE),0)</f>
        <v>48043</v>
      </c>
      <c r="BL92" s="7">
        <f>_xlfn.IFNA(VLOOKUP(Wapato_Inventory[[#This Row],[condition]],Lookups!$H$17:$J$24,3,FALSE),0)</f>
        <v>52231</v>
      </c>
      <c r="BM92" s="7">
        <f>Wapato_Inventory[[#This Row],[Age]]*Lookups!$B$16</f>
        <v>-30395.4074</v>
      </c>
      <c r="BN92" s="7">
        <f>Wapato_Inventory[[#This Row],[Main Floor]]*Lookups!$B$17</f>
        <v>46816.827680000002</v>
      </c>
      <c r="BO92" s="7">
        <f>Wapato_Inventory[[#This Row],[Upper Floor]]*Lookups!$B$18</f>
        <v>0</v>
      </c>
      <c r="BP92" s="7">
        <f>Wapato_Inventory[[#This Row],[Fin BSMT]]*Lookups!$B$19</f>
        <v>0</v>
      </c>
      <c r="BQ92" s="7">
        <f>(Wapato_Inventory[[#This Row],[att_gar]]+Wapato_Inventory[[#This Row],[blt_gar]])*Lookups!$B$20</f>
        <v>0</v>
      </c>
      <c r="BR92" s="7">
        <f>Wapato_Inventory[[#This Row],[Patio]]*Lookups!$B$21</f>
        <v>8318.2039679999998</v>
      </c>
      <c r="BS92" s="7">
        <f>SUM(Wapato_Inventory[[#This Row],[intercept]:[patio_value]])*Wapato_Inventory[[#This Row],[res_pct]]</f>
        <v>178778.89424799997</v>
      </c>
      <c r="BT92" s="7">
        <f>Wapato_Inventory[[#This Row],[land_value]]</f>
        <v>53800</v>
      </c>
      <c r="BU92" s="2">
        <f>_xlfn.IFNA(VLOOKUP(Wapato_Inventory[[#This Row],[quality]],Lookups!$A$28:$C$37,3,FALSE),1)</f>
        <v>0.98196844879778955</v>
      </c>
      <c r="BV92" s="2">
        <f>_xlfn.IFNA(VLOOKUP(Wapato_Inventory[[#This Row],[condition]],Lookups!$A$41:$C$48,3,FALSE),1)</f>
        <v>0.9832333997567807</v>
      </c>
      <c r="BW92" s="2">
        <f>IF(Wapato_Inventory[[#This Row],[decade]]="",1,_xlfn.IFNA(VLOOKUP(Wapato_Inventory[[#This Row],[decade]],Lookups!$F$28:$H$45,3,FALSE),1))</f>
        <v>0.94742695999815718</v>
      </c>
      <c r="BX92" s="2">
        <f>_xlfn.IFNA(VLOOKUP(Wapato_Inventory[[#This Row],[living_area_range]],Lookups!$K$28:$M$37,3,FALSE),1)</f>
        <v>1.0061411172456287</v>
      </c>
      <c r="BY92" s="2">
        <f>AVERAGE(Wapato_Inventory[[#This Row],[qual_adj]:[range_adj]])</f>
        <v>0.97969248144958898</v>
      </c>
      <c r="BZ92" s="7">
        <f>(Wapato_Inventory[[#This Row],[sum_land]]-IF(Wapato_Inventory[[#This Row],[no_utilities]]=1,12000,0))/IF(Wapato_Inventory[[#This Row],[unbuildable]]=1,2,1)</f>
        <v>53800</v>
      </c>
      <c r="CA92" s="7">
        <f>Wapato_Inventory[[#This Row],[pre_res]]*Wapato_Inventory[[#This Row],[overall_adj]]</f>
        <v>175148.33853663673</v>
      </c>
      <c r="CB92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2" s="3">
        <f>IF(ROUND(Wapato_Inventory[[#This Row],[adj_res]]*Lookups!$H$48,-2)&lt;Wapato_Inventory[[#This Row],[min_res]],Wapato_Inventory[[#This Row],[min_res]],ROUND(Wapato_Inventory[[#This Row],[adj_res]]*Lookups!$H$48,-2))</f>
        <v>166400</v>
      </c>
      <c r="CD92" s="3">
        <f>ROUND(Wapato_Inventory[[#This Row],[det_value]]*Lookups!$H$48,-2)</f>
        <v>0</v>
      </c>
      <c r="CE92" s="3">
        <f>Wapato_Inventory[[#This Row],[final_res]]+Wapato_Inventory[[#This Row],[final_det]]</f>
        <v>166400</v>
      </c>
      <c r="CF92" s="3">
        <f>Wapato_Inventory[[#This Row],[crop_value]]+Wapato_Inventory[[#This Row],[final_land]]+Wapato_Inventory[[#This Row],[final_imp]]</f>
        <v>217500</v>
      </c>
      <c r="CH92" t="str">
        <f t="shared" si="1"/>
        <v>update valuation set market_land =51100, market_bldg=166400, market_total =217500, market_mdno =405, market_date ='9/10/2023' where link_id = (select link_id from parcel where parcel_year = '2024' and parcel_id = '19111014015');</v>
      </c>
    </row>
    <row r="93" spans="1:86" x14ac:dyDescent="0.25">
      <c r="A93">
        <v>19111014016</v>
      </c>
      <c r="B93">
        <v>0.21</v>
      </c>
      <c r="C93">
        <v>8970</v>
      </c>
      <c r="D93" t="s">
        <v>144</v>
      </c>
      <c r="E93" t="s">
        <v>54</v>
      </c>
      <c r="F93" t="s">
        <v>54</v>
      </c>
      <c r="G93">
        <v>3</v>
      </c>
      <c r="H93" t="s">
        <v>55</v>
      </c>
      <c r="I93">
        <v>142000</v>
      </c>
      <c r="J93">
        <v>34800</v>
      </c>
      <c r="K93">
        <v>0.21</v>
      </c>
      <c r="L93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">
        <v>0</v>
      </c>
      <c r="N93">
        <v>0</v>
      </c>
      <c r="O93">
        <v>0</v>
      </c>
      <c r="P93">
        <v>27904.037</v>
      </c>
      <c r="Q93">
        <v>74398</v>
      </c>
      <c r="R93" s="3">
        <f>(Wapato_Inventory[[#This Row],[ln_acres]]*Wapato_Inventory[[#This Row],[coeff]])+Wapato_Inventory[[#This Row],[const]]</f>
        <v>30849.627488456012</v>
      </c>
      <c r="S93" t="s">
        <v>66</v>
      </c>
      <c r="T93">
        <v>1</v>
      </c>
      <c r="U93" t="s">
        <v>71</v>
      </c>
      <c r="V93" t="s">
        <v>68</v>
      </c>
      <c r="W93">
        <v>0</v>
      </c>
      <c r="X93">
        <v>0</v>
      </c>
      <c r="Y93">
        <v>53</v>
      </c>
      <c r="Z93">
        <v>90</v>
      </c>
      <c r="AA93">
        <v>90</v>
      </c>
      <c r="AB93">
        <v>1000</v>
      </c>
      <c r="AC93">
        <v>886</v>
      </c>
      <c r="AD93">
        <v>886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294</v>
      </c>
      <c r="AL93">
        <v>0</v>
      </c>
      <c r="AM93">
        <v>170</v>
      </c>
      <c r="AN93">
        <v>0</v>
      </c>
      <c r="AO93">
        <v>0</v>
      </c>
      <c r="AP93">
        <v>5</v>
      </c>
      <c r="AQ93">
        <v>0</v>
      </c>
      <c r="AR93">
        <v>0</v>
      </c>
      <c r="AS93" t="s">
        <v>82</v>
      </c>
      <c r="AT93">
        <v>1</v>
      </c>
      <c r="AU93" t="s">
        <v>76</v>
      </c>
      <c r="AV93" t="s">
        <v>61</v>
      </c>
      <c r="AW93">
        <v>0</v>
      </c>
      <c r="AX93">
        <v>2</v>
      </c>
      <c r="AY93">
        <v>0</v>
      </c>
      <c r="AZ93">
        <v>16400</v>
      </c>
      <c r="BA93">
        <v>100</v>
      </c>
      <c r="BB93">
        <v>100</v>
      </c>
      <c r="BC93">
        <v>100</v>
      </c>
      <c r="BD93">
        <v>100</v>
      </c>
      <c r="BE93">
        <v>1</v>
      </c>
      <c r="BF93">
        <v>15000</v>
      </c>
      <c r="BG93">
        <v>1000</v>
      </c>
      <c r="BH93" s="7">
        <f>ROUND(Wapato_Inventory[[#This Row],[detatched_value]]*Lookups!$B$22*Lookups!$H$48,-2)</f>
        <v>14600</v>
      </c>
      <c r="BI93" s="7">
        <f>ROUND(((Wapato_Inventory[[#This Row],[land_extract]]*Lookups!$B$3) +(Lookups!$B$2*0.5))*Lookups!$H$48,-2)</f>
        <v>54100</v>
      </c>
      <c r="BJ93" s="7">
        <f>IF(Wapato_Inventory[[#This Row],[bldg_style]]="",0,Lookups!$B$2*0.5)</f>
        <v>53765.27</v>
      </c>
      <c r="BK93" s="7">
        <f>_xlfn.IFNA(VLOOKUP(Wapato_Inventory[[#This Row],[quality]],Lookups!$H$2:$J$14,3,FALSE),0)</f>
        <v>28034</v>
      </c>
      <c r="BL93" s="7">
        <f>_xlfn.IFNA(VLOOKUP(Wapato_Inventory[[#This Row],[condition]],Lookups!$H$17:$J$24,3,FALSE),0)</f>
        <v>52231</v>
      </c>
      <c r="BM93" s="7">
        <f>Wapato_Inventory[[#This Row],[Age]]*Lookups!$B$16</f>
        <v>-33360.813000000002</v>
      </c>
      <c r="BN93" s="7">
        <f>Wapato_Inventory[[#This Row],[Main Floor]]*Lookups!$B$17</f>
        <v>37035.454753999999</v>
      </c>
      <c r="BO93" s="7">
        <f>Wapato_Inventory[[#This Row],[Upper Floor]]*Lookups!$B$18</f>
        <v>0</v>
      </c>
      <c r="BP93" s="7">
        <f>Wapato_Inventory[[#This Row],[Fin BSMT]]*Lookups!$B$19</f>
        <v>0</v>
      </c>
      <c r="BQ93" s="7">
        <f>(Wapato_Inventory[[#This Row],[att_gar]]+Wapato_Inventory[[#This Row],[blt_gar]])*Lookups!$B$20</f>
        <v>0</v>
      </c>
      <c r="BR93" s="7">
        <f>Wapato_Inventory[[#This Row],[Patio]]*Lookups!$B$21</f>
        <v>7365.0764300000001</v>
      </c>
      <c r="BS93" s="7">
        <f>SUM(Wapato_Inventory[[#This Row],[intercept]:[patio_value]])*Wapato_Inventory[[#This Row],[res_pct]]</f>
        <v>145069.98818399999</v>
      </c>
      <c r="BT93" s="7">
        <f>Wapato_Inventory[[#This Row],[land_value]]</f>
        <v>54100</v>
      </c>
      <c r="BU93" s="2">
        <f>_xlfn.IFNA(VLOOKUP(Wapato_Inventory[[#This Row],[quality]],Lookups!$A$28:$C$37,3,FALSE),1)</f>
        <v>0.96265813922927435</v>
      </c>
      <c r="BV93" s="2">
        <f>_xlfn.IFNA(VLOOKUP(Wapato_Inventory[[#This Row],[condition]],Lookups!$A$41:$C$48,3,FALSE),1)</f>
        <v>0.9832333997567807</v>
      </c>
      <c r="BW93" s="2">
        <f>IF(Wapato_Inventory[[#This Row],[decade]]="",1,_xlfn.IFNA(VLOOKUP(Wapato_Inventory[[#This Row],[decade]],Lookups!$F$28:$H$45,3,FALSE),1))</f>
        <v>0.94742695999815718</v>
      </c>
      <c r="BX93" s="2">
        <f>_xlfn.IFNA(VLOOKUP(Wapato_Inventory[[#This Row],[living_area_range]],Lookups!$K$28:$M$37,3,FALSE),1)</f>
        <v>0.99022994770196116</v>
      </c>
      <c r="BY93" s="2">
        <f>AVERAGE(Wapato_Inventory[[#This Row],[qual_adj]:[range_adj]])</f>
        <v>0.97088711167154329</v>
      </c>
      <c r="BZ93" s="7">
        <f>(Wapato_Inventory[[#This Row],[sum_land]]-IF(Wapato_Inventory[[#This Row],[no_utilities]]=1,12000,0))/IF(Wapato_Inventory[[#This Row],[unbuildable]]=1,2,1)</f>
        <v>54100</v>
      </c>
      <c r="CA93" s="7">
        <f>Wapato_Inventory[[#This Row],[pre_res]]*Wapato_Inventory[[#This Row],[overall_adj]]</f>
        <v>140846.58181818866</v>
      </c>
      <c r="CB93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" s="3">
        <f>IF(ROUND(Wapato_Inventory[[#This Row],[adj_res]]*Lookups!$H$48,-2)&lt;Wapato_Inventory[[#This Row],[min_res]],Wapato_Inventory[[#This Row],[min_res]],ROUND(Wapato_Inventory[[#This Row],[adj_res]]*Lookups!$H$48,-2))</f>
        <v>133800</v>
      </c>
      <c r="CD93" s="3">
        <f>ROUND(Wapato_Inventory[[#This Row],[det_value]]*Lookups!$H$48,-2)</f>
        <v>13900</v>
      </c>
      <c r="CE93" s="3">
        <f>Wapato_Inventory[[#This Row],[final_res]]+Wapato_Inventory[[#This Row],[final_det]]</f>
        <v>147700</v>
      </c>
      <c r="CF93" s="3">
        <f>Wapato_Inventory[[#This Row],[crop_value]]+Wapato_Inventory[[#This Row],[final_land]]+Wapato_Inventory[[#This Row],[final_imp]]</f>
        <v>199100</v>
      </c>
      <c r="CH93" t="str">
        <f t="shared" si="1"/>
        <v>update valuation set market_land =51400, market_bldg=147700, market_total =199100, market_mdno =405, market_date ='9/10/2023' where link_id = (select link_id from parcel where parcel_year = '2024' and parcel_id = '19111014016');</v>
      </c>
    </row>
    <row r="94" spans="1:86" x14ac:dyDescent="0.25">
      <c r="A94">
        <v>19111014017</v>
      </c>
      <c r="B94">
        <v>0.16</v>
      </c>
      <c r="C94">
        <v>7000</v>
      </c>
      <c r="D94" t="s">
        <v>144</v>
      </c>
      <c r="E94" t="s">
        <v>54</v>
      </c>
      <c r="F94" t="s">
        <v>54</v>
      </c>
      <c r="G94">
        <v>3</v>
      </c>
      <c r="H94" t="s">
        <v>55</v>
      </c>
      <c r="I94">
        <v>103200</v>
      </c>
      <c r="J94">
        <v>32800</v>
      </c>
      <c r="K94">
        <v>0.16</v>
      </c>
      <c r="L94">
        <f>IF(Wapato_Inventory[[#This Row],[parcel_acres]]-Wapato_Inventory[[#This Row],[non_valued_acres]] =0,0,LN(Wapato_Inventory[[#This Row],[parcel_acres]]-Wapato_Inventory[[#This Row],[non_valued_acres]]))</f>
        <v>-1.8325814637483102</v>
      </c>
      <c r="M94">
        <v>0</v>
      </c>
      <c r="N94">
        <v>0</v>
      </c>
      <c r="O94">
        <v>0</v>
      </c>
      <c r="P94">
        <v>27904.037</v>
      </c>
      <c r="Q94">
        <v>74398</v>
      </c>
      <c r="R94" s="3">
        <f>(Wapato_Inventory[[#This Row],[ln_acres]]*Wapato_Inventory[[#This Row],[coeff]])+Wapato_Inventory[[#This Row],[const]]</f>
        <v>23261.579030052992</v>
      </c>
      <c r="S94" t="s">
        <v>66</v>
      </c>
      <c r="T94">
        <v>1</v>
      </c>
      <c r="U94" t="s">
        <v>71</v>
      </c>
      <c r="V94" t="s">
        <v>68</v>
      </c>
      <c r="W94">
        <v>0</v>
      </c>
      <c r="X94">
        <v>0</v>
      </c>
      <c r="Y94">
        <v>60</v>
      </c>
      <c r="Z94">
        <v>108</v>
      </c>
      <c r="AA94">
        <v>110</v>
      </c>
      <c r="AB94">
        <v>1000</v>
      </c>
      <c r="AC94">
        <v>784</v>
      </c>
      <c r="AD94">
        <v>784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112</v>
      </c>
      <c r="AM94">
        <v>0</v>
      </c>
      <c r="AN94">
        <v>0</v>
      </c>
      <c r="AO94">
        <v>112</v>
      </c>
      <c r="AP94">
        <v>5</v>
      </c>
      <c r="AQ94">
        <v>0</v>
      </c>
      <c r="AR94">
        <v>0</v>
      </c>
      <c r="AS94" t="s">
        <v>59</v>
      </c>
      <c r="AT94">
        <v>1</v>
      </c>
      <c r="AU94" t="s">
        <v>64</v>
      </c>
      <c r="AV94" t="s">
        <v>61</v>
      </c>
      <c r="AW94">
        <v>1</v>
      </c>
      <c r="AX94">
        <v>3</v>
      </c>
      <c r="AY94">
        <v>0</v>
      </c>
      <c r="AZ94">
        <v>0</v>
      </c>
      <c r="BA94">
        <v>100</v>
      </c>
      <c r="BB94">
        <v>100</v>
      </c>
      <c r="BC94">
        <v>100</v>
      </c>
      <c r="BD94">
        <v>100</v>
      </c>
      <c r="BE94">
        <v>1</v>
      </c>
      <c r="BF94">
        <v>15000</v>
      </c>
      <c r="BG94">
        <v>1000</v>
      </c>
      <c r="BH94" s="7">
        <f>ROUND(Wapato_Inventory[[#This Row],[detatched_value]]*Lookups!$B$22*Lookups!$H$48,-2)</f>
        <v>0</v>
      </c>
      <c r="BI94" s="7">
        <f>ROUND(((Wapato_Inventory[[#This Row],[land_extract]]*Lookups!$B$3) +(Lookups!$B$2*0.5))*Lookups!$H$48,-2)</f>
        <v>53300</v>
      </c>
      <c r="BJ94" s="7">
        <f>IF(Wapato_Inventory[[#This Row],[bldg_style]]="",0,Lookups!$B$2*0.5)</f>
        <v>53765.27</v>
      </c>
      <c r="BK94" s="7">
        <f>_xlfn.IFNA(VLOOKUP(Wapato_Inventory[[#This Row],[quality]],Lookups!$H$2:$J$14,3,FALSE),0)</f>
        <v>28034</v>
      </c>
      <c r="BL94" s="7">
        <f>_xlfn.IFNA(VLOOKUP(Wapato_Inventory[[#This Row],[condition]],Lookups!$H$17:$J$24,3,FALSE),0)</f>
        <v>52231</v>
      </c>
      <c r="BM94" s="7">
        <f>Wapato_Inventory[[#This Row],[Age]]*Lookups!$B$16</f>
        <v>-40032.975599999998</v>
      </c>
      <c r="BN94" s="7">
        <f>Wapato_Inventory[[#This Row],[Main Floor]]*Lookups!$B$17</f>
        <v>32771.779375999999</v>
      </c>
      <c r="BO94" s="7">
        <f>Wapato_Inventory[[#This Row],[Upper Floor]]*Lookups!$B$18</f>
        <v>0</v>
      </c>
      <c r="BP94" s="7">
        <f>Wapato_Inventory[[#This Row],[Fin BSMT]]*Lookups!$B$19</f>
        <v>0</v>
      </c>
      <c r="BQ94" s="7">
        <f>(Wapato_Inventory[[#This Row],[att_gar]]+Wapato_Inventory[[#This Row],[blt_gar]])*Lookups!$B$20</f>
        <v>0</v>
      </c>
      <c r="BR94" s="7">
        <f>Wapato_Inventory[[#This Row],[Patio]]*Lookups!$B$21</f>
        <v>0</v>
      </c>
      <c r="BS94" s="7">
        <f>SUM(Wapato_Inventory[[#This Row],[intercept]:[patio_value]])*Wapato_Inventory[[#This Row],[res_pct]]</f>
        <v>126769.07377599998</v>
      </c>
      <c r="BT94" s="7">
        <f>Wapato_Inventory[[#This Row],[land_value]]</f>
        <v>53300</v>
      </c>
      <c r="BU94" s="2">
        <f>_xlfn.IFNA(VLOOKUP(Wapato_Inventory[[#This Row],[quality]],Lookups!$A$28:$C$37,3,FALSE),1)</f>
        <v>0.96265813922927435</v>
      </c>
      <c r="BV94" s="2">
        <f>_xlfn.IFNA(VLOOKUP(Wapato_Inventory[[#This Row],[condition]],Lookups!$A$41:$C$48,3,FALSE),1)</f>
        <v>0.9832333997567807</v>
      </c>
      <c r="BW94" s="2">
        <f>IF(Wapato_Inventory[[#This Row],[decade]]="",1,_xlfn.IFNA(VLOOKUP(Wapato_Inventory[[#This Row],[decade]],Lookups!$F$28:$H$45,3,FALSE),1))</f>
        <v>0.93664589651353292</v>
      </c>
      <c r="BX94" s="2">
        <f>_xlfn.IFNA(VLOOKUP(Wapato_Inventory[[#This Row],[living_area_range]],Lookups!$K$28:$M$37,3,FALSE),1)</f>
        <v>0.99022994770196116</v>
      </c>
      <c r="BY94" s="2">
        <f>AVERAGE(Wapato_Inventory[[#This Row],[qual_adj]:[range_adj]])</f>
        <v>0.9681918458003872</v>
      </c>
      <c r="BZ94" s="7">
        <f>(Wapato_Inventory[[#This Row],[sum_land]]-IF(Wapato_Inventory[[#This Row],[no_utilities]]=1,12000,0))/IF(Wapato_Inventory[[#This Row],[unbuildable]]=1,2,1)</f>
        <v>53300</v>
      </c>
      <c r="CA94" s="7">
        <f>Wapato_Inventory[[#This Row],[pre_res]]*Wapato_Inventory[[#This Row],[overall_adj]]</f>
        <v>122736.78352959087</v>
      </c>
      <c r="CB94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94" s="3">
        <f>IF(ROUND(Wapato_Inventory[[#This Row],[adj_res]]*Lookups!$H$48,-2)&lt;Wapato_Inventory[[#This Row],[min_res]],Wapato_Inventory[[#This Row],[min_res]],ROUND(Wapato_Inventory[[#This Row],[adj_res]]*Lookups!$H$48,-2))</f>
        <v>116600</v>
      </c>
      <c r="CD94" s="3">
        <f>ROUND(Wapato_Inventory[[#This Row],[det_value]]*Lookups!$H$48,-2)</f>
        <v>0</v>
      </c>
      <c r="CE94" s="3">
        <f>Wapato_Inventory[[#This Row],[final_res]]+Wapato_Inventory[[#This Row],[final_det]]</f>
        <v>116600</v>
      </c>
      <c r="CF94" s="3">
        <f>Wapato_Inventory[[#This Row],[crop_value]]+Wapato_Inventory[[#This Row],[final_land]]+Wapato_Inventory[[#This Row],[final_imp]]</f>
        <v>167200</v>
      </c>
      <c r="CH94" t="str">
        <f t="shared" si="1"/>
        <v>update valuation set market_land =50600, market_bldg=116600, market_total =167200, market_mdno =405, market_date ='9/10/2023' where link_id = (select link_id from parcel where parcel_year = '2024' and parcel_id = '19111014017');</v>
      </c>
    </row>
    <row r="95" spans="1:86" x14ac:dyDescent="0.25">
      <c r="A95">
        <v>19111014019</v>
      </c>
      <c r="B95">
        <v>0.25</v>
      </c>
      <c r="C95">
        <v>11048</v>
      </c>
      <c r="D95" t="s">
        <v>144</v>
      </c>
      <c r="E95" t="s">
        <v>54</v>
      </c>
      <c r="F95" t="s">
        <v>54</v>
      </c>
      <c r="G95">
        <v>3</v>
      </c>
      <c r="H95" t="s">
        <v>55</v>
      </c>
      <c r="I95">
        <v>121500</v>
      </c>
      <c r="J95">
        <v>36000</v>
      </c>
      <c r="K95">
        <v>0.25</v>
      </c>
      <c r="L95">
        <f>IF(Wapato_Inventory[[#This Row],[parcel_acres]]-Wapato_Inventory[[#This Row],[non_valued_acres]] =0,0,LN(Wapato_Inventory[[#This Row],[parcel_acres]]-Wapato_Inventory[[#This Row],[non_valued_acres]]))</f>
        <v>-1.3862943611198906</v>
      </c>
      <c r="M95">
        <v>0</v>
      </c>
      <c r="N95">
        <v>0</v>
      </c>
      <c r="O95">
        <v>0</v>
      </c>
      <c r="P95">
        <v>27904.037</v>
      </c>
      <c r="Q95">
        <v>74398</v>
      </c>
      <c r="R95" s="3">
        <f>(Wapato_Inventory[[#This Row],[ln_acres]]*Wapato_Inventory[[#This Row],[coeff]])+Wapato_Inventory[[#This Row],[const]]</f>
        <v>35714.790854419211</v>
      </c>
      <c r="S95" t="s">
        <v>66</v>
      </c>
      <c r="T95">
        <v>1</v>
      </c>
      <c r="U95" t="s">
        <v>71</v>
      </c>
      <c r="V95" t="s">
        <v>73</v>
      </c>
      <c r="W95">
        <v>0</v>
      </c>
      <c r="X95">
        <v>0</v>
      </c>
      <c r="Y95">
        <v>52</v>
      </c>
      <c r="Z95">
        <v>85</v>
      </c>
      <c r="AA95">
        <v>90</v>
      </c>
      <c r="AB95">
        <v>1500</v>
      </c>
      <c r="AC95">
        <v>1200</v>
      </c>
      <c r="AD95">
        <v>1200</v>
      </c>
      <c r="AE95">
        <v>0</v>
      </c>
      <c r="AF95">
        <v>0</v>
      </c>
      <c r="AG95">
        <v>0</v>
      </c>
      <c r="AH95">
        <v>0</v>
      </c>
      <c r="AI95">
        <v>350</v>
      </c>
      <c r="AJ95">
        <v>0</v>
      </c>
      <c r="AK95">
        <v>0</v>
      </c>
      <c r="AL95">
        <v>0</v>
      </c>
      <c r="AM95">
        <v>0</v>
      </c>
      <c r="AN95">
        <v>150</v>
      </c>
      <c r="AO95">
        <v>0</v>
      </c>
      <c r="AP95">
        <v>5</v>
      </c>
      <c r="AQ95">
        <v>0</v>
      </c>
      <c r="AR95">
        <v>0</v>
      </c>
      <c r="AS95" t="s">
        <v>59</v>
      </c>
      <c r="AT95">
        <v>0</v>
      </c>
      <c r="AU95" t="s">
        <v>80</v>
      </c>
      <c r="AV95" t="s">
        <v>61</v>
      </c>
      <c r="AW95">
        <v>0</v>
      </c>
      <c r="AX95">
        <v>2</v>
      </c>
      <c r="AY95">
        <v>0</v>
      </c>
      <c r="AZ95">
        <v>3600</v>
      </c>
      <c r="BA95">
        <v>100</v>
      </c>
      <c r="BB95">
        <v>100</v>
      </c>
      <c r="BC95">
        <v>100</v>
      </c>
      <c r="BD95">
        <v>100</v>
      </c>
      <c r="BE95">
        <v>1</v>
      </c>
      <c r="BF95">
        <v>15000</v>
      </c>
      <c r="BG95">
        <v>1000</v>
      </c>
      <c r="BH95" s="7">
        <f>ROUND(Wapato_Inventory[[#This Row],[detatched_value]]*Lookups!$B$22*Lookups!$H$48,-2)</f>
        <v>3200</v>
      </c>
      <c r="BI95" s="7">
        <f>ROUND(((Wapato_Inventory[[#This Row],[land_extract]]*Lookups!$B$3) +(Lookups!$B$2*0.5))*Lookups!$H$48,-2)</f>
        <v>54500</v>
      </c>
      <c r="BJ95" s="7">
        <f>IF(Wapato_Inventory[[#This Row],[bldg_style]]="",0,Lookups!$B$2*0.5)</f>
        <v>53765.27</v>
      </c>
      <c r="BK95" s="7">
        <f>_xlfn.IFNA(VLOOKUP(Wapato_Inventory[[#This Row],[quality]],Lookups!$H$2:$J$14,3,FALSE),0)</f>
        <v>28034</v>
      </c>
      <c r="BL95" s="7">
        <f>_xlfn.IFNA(VLOOKUP(Wapato_Inventory[[#This Row],[condition]],Lookups!$H$17:$J$24,3,FALSE),0)</f>
        <v>16276</v>
      </c>
      <c r="BM95" s="7">
        <f>Wapato_Inventory[[#This Row],[Age]]*Lookups!$B$16</f>
        <v>-31507.434499999999</v>
      </c>
      <c r="BN95" s="7">
        <f>Wapato_Inventory[[#This Row],[Main Floor]]*Lookups!$B$17</f>
        <v>50160.8868</v>
      </c>
      <c r="BO95" s="7">
        <f>Wapato_Inventory[[#This Row],[Upper Floor]]*Lookups!$B$18</f>
        <v>0</v>
      </c>
      <c r="BP95" s="7">
        <f>Wapato_Inventory[[#This Row],[Fin BSMT]]*Lookups!$B$19</f>
        <v>0</v>
      </c>
      <c r="BQ95" s="7">
        <f>(Wapato_Inventory[[#This Row],[att_gar]]+Wapato_Inventory[[#This Row],[blt_gar]])*Lookups!$B$20</f>
        <v>12953.063200000001</v>
      </c>
      <c r="BR95" s="7">
        <f>Wapato_Inventory[[#This Row],[Patio]]*Lookups!$B$21</f>
        <v>0</v>
      </c>
      <c r="BS95" s="7">
        <f>SUM(Wapato_Inventory[[#This Row],[intercept]:[patio_value]])*Wapato_Inventory[[#This Row],[res_pct]]</f>
        <v>129681.7855</v>
      </c>
      <c r="BT95" s="7">
        <f>Wapato_Inventory[[#This Row],[land_value]]</f>
        <v>54500</v>
      </c>
      <c r="BU95" s="2">
        <f>_xlfn.IFNA(VLOOKUP(Wapato_Inventory[[#This Row],[quality]],Lookups!$A$28:$C$37,3,FALSE),1)</f>
        <v>0.96265813922927435</v>
      </c>
      <c r="BV95" s="2">
        <f>_xlfn.IFNA(VLOOKUP(Wapato_Inventory[[#This Row],[condition]],Lookups!$A$41:$C$48,3,FALSE),1)</f>
        <v>0.93399385491337139</v>
      </c>
      <c r="BW95" s="2">
        <f>IF(Wapato_Inventory[[#This Row],[decade]]="",1,_xlfn.IFNA(VLOOKUP(Wapato_Inventory[[#This Row],[decade]],Lookups!$F$28:$H$45,3,FALSE),1))</f>
        <v>0.94742695999815718</v>
      </c>
      <c r="BX95" s="2">
        <f>_xlfn.IFNA(VLOOKUP(Wapato_Inventory[[#This Row],[living_area_range]],Lookups!$K$28:$M$37,3,FALSE),1)</f>
        <v>1.0061411172456287</v>
      </c>
      <c r="BY95" s="2">
        <f>AVERAGE(Wapato_Inventory[[#This Row],[qual_adj]:[range_adj]])</f>
        <v>0.96255501784660791</v>
      </c>
      <c r="BZ95" s="7">
        <f>(Wapato_Inventory[[#This Row],[sum_land]]-IF(Wapato_Inventory[[#This Row],[no_utilities]]=1,12000,0))/IF(Wapato_Inventory[[#This Row],[unbuildable]]=1,2,1)</f>
        <v>54500</v>
      </c>
      <c r="CA95" s="7">
        <f>Wapato_Inventory[[#This Row],[pre_res]]*Wapato_Inventory[[#This Row],[overall_adj]]</f>
        <v>124825.85335633247</v>
      </c>
      <c r="CB95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95" s="3">
        <f>IF(ROUND(Wapato_Inventory[[#This Row],[adj_res]]*Lookups!$H$48,-2)&lt;Wapato_Inventory[[#This Row],[min_res]],Wapato_Inventory[[#This Row],[min_res]],ROUND(Wapato_Inventory[[#This Row],[adj_res]]*Lookups!$H$48,-2))</f>
        <v>118600</v>
      </c>
      <c r="CD95" s="3">
        <f>ROUND(Wapato_Inventory[[#This Row],[det_value]]*Lookups!$H$48,-2)</f>
        <v>3000</v>
      </c>
      <c r="CE95" s="3">
        <f>Wapato_Inventory[[#This Row],[final_res]]+Wapato_Inventory[[#This Row],[final_det]]</f>
        <v>121600</v>
      </c>
      <c r="CF95" s="3">
        <f>Wapato_Inventory[[#This Row],[crop_value]]+Wapato_Inventory[[#This Row],[final_land]]+Wapato_Inventory[[#This Row],[final_imp]]</f>
        <v>173400</v>
      </c>
      <c r="CH95" t="str">
        <f t="shared" si="1"/>
        <v>update valuation set market_land =51800, market_bldg=121600, market_total =173400, market_mdno =405, market_date ='9/10/2023' where link_id = (select link_id from parcel where parcel_year = '2024' and parcel_id = '19111014019');</v>
      </c>
    </row>
    <row r="96" spans="1:86" x14ac:dyDescent="0.25">
      <c r="A96">
        <v>19111014020</v>
      </c>
      <c r="B96">
        <v>0.22</v>
      </c>
      <c r="C96">
        <v>9455</v>
      </c>
      <c r="D96" t="s">
        <v>144</v>
      </c>
      <c r="E96" t="s">
        <v>54</v>
      </c>
      <c r="F96" t="s">
        <v>54</v>
      </c>
      <c r="G96">
        <v>3</v>
      </c>
      <c r="H96" t="s">
        <v>55</v>
      </c>
      <c r="I96">
        <v>102900</v>
      </c>
      <c r="J96">
        <v>35100</v>
      </c>
      <c r="K96">
        <v>0.22</v>
      </c>
      <c r="L96">
        <f>IF(Wapato_Inventory[[#This Row],[parcel_acres]]-Wapato_Inventory[[#This Row],[non_valued_acres]] =0,0,LN(Wapato_Inventory[[#This Row],[parcel_acres]]-Wapato_Inventory[[#This Row],[non_valued_acres]]))</f>
        <v>-1.5141277326297755</v>
      </c>
      <c r="M96">
        <v>0</v>
      </c>
      <c r="N96">
        <v>0</v>
      </c>
      <c r="O96">
        <v>0</v>
      </c>
      <c r="P96">
        <v>27904.037</v>
      </c>
      <c r="Q96">
        <v>74398</v>
      </c>
      <c r="R96" s="3">
        <f>(Wapato_Inventory[[#This Row],[ln_acres]]*Wapato_Inventory[[#This Row],[coeff]])+Wapato_Inventory[[#This Row],[const]]</f>
        <v>32147.723725972639</v>
      </c>
      <c r="S96" t="s">
        <v>66</v>
      </c>
      <c r="T96">
        <v>1</v>
      </c>
      <c r="U96" t="s">
        <v>71</v>
      </c>
      <c r="V96" t="s">
        <v>73</v>
      </c>
      <c r="W96">
        <v>0</v>
      </c>
      <c r="X96">
        <v>0</v>
      </c>
      <c r="Y96">
        <v>53</v>
      </c>
      <c r="Z96">
        <v>93</v>
      </c>
      <c r="AA96">
        <v>100</v>
      </c>
      <c r="AB96">
        <v>1500</v>
      </c>
      <c r="AC96">
        <v>1036</v>
      </c>
      <c r="AD96">
        <v>1036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196</v>
      </c>
      <c r="AN96">
        <v>144</v>
      </c>
      <c r="AO96">
        <v>196</v>
      </c>
      <c r="AP96">
        <v>5</v>
      </c>
      <c r="AQ96">
        <v>0</v>
      </c>
      <c r="AR96">
        <v>0</v>
      </c>
      <c r="AS96" t="s">
        <v>59</v>
      </c>
      <c r="AT96">
        <v>1</v>
      </c>
      <c r="AU96" t="s">
        <v>64</v>
      </c>
      <c r="AV96" t="s">
        <v>61</v>
      </c>
      <c r="AW96">
        <v>0</v>
      </c>
      <c r="AX96">
        <v>3</v>
      </c>
      <c r="AY96">
        <v>0</v>
      </c>
      <c r="AZ96">
        <v>16200</v>
      </c>
      <c r="BA96">
        <v>100</v>
      </c>
      <c r="BB96">
        <v>100</v>
      </c>
      <c r="BC96">
        <v>100</v>
      </c>
      <c r="BD96">
        <v>100</v>
      </c>
      <c r="BE96">
        <v>1</v>
      </c>
      <c r="BF96">
        <v>15000</v>
      </c>
      <c r="BG96">
        <v>1000</v>
      </c>
      <c r="BH96" s="7">
        <f>ROUND(Wapato_Inventory[[#This Row],[detatched_value]]*Lookups!$B$22*Lookups!$H$48,-2)</f>
        <v>14500</v>
      </c>
      <c r="BI96" s="7">
        <f>ROUND(((Wapato_Inventory[[#This Row],[land_extract]]*Lookups!$B$3) +(Lookups!$B$2*0.5))*Lookups!$H$48,-2)</f>
        <v>54200</v>
      </c>
      <c r="BJ96" s="7">
        <f>IF(Wapato_Inventory[[#This Row],[bldg_style]]="",0,Lookups!$B$2*0.5)</f>
        <v>53765.27</v>
      </c>
      <c r="BK96" s="7">
        <f>_xlfn.IFNA(VLOOKUP(Wapato_Inventory[[#This Row],[quality]],Lookups!$H$2:$J$14,3,FALSE),0)</f>
        <v>28034</v>
      </c>
      <c r="BL96" s="7">
        <f>_xlfn.IFNA(VLOOKUP(Wapato_Inventory[[#This Row],[condition]],Lookups!$H$17:$J$24,3,FALSE),0)</f>
        <v>16276</v>
      </c>
      <c r="BM96" s="7">
        <f>Wapato_Inventory[[#This Row],[Age]]*Lookups!$B$16</f>
        <v>-34472.840100000001</v>
      </c>
      <c r="BN96" s="7">
        <f>Wapato_Inventory[[#This Row],[Main Floor]]*Lookups!$B$17</f>
        <v>43305.565604000003</v>
      </c>
      <c r="BO96" s="7">
        <f>Wapato_Inventory[[#This Row],[Upper Floor]]*Lookups!$B$18</f>
        <v>0</v>
      </c>
      <c r="BP96" s="7">
        <f>Wapato_Inventory[[#This Row],[Fin BSMT]]*Lookups!$B$19</f>
        <v>0</v>
      </c>
      <c r="BQ96" s="7">
        <f>(Wapato_Inventory[[#This Row],[att_gar]]+Wapato_Inventory[[#This Row],[blt_gar]])*Lookups!$B$20</f>
        <v>0</v>
      </c>
      <c r="BR96" s="7">
        <f>Wapato_Inventory[[#This Row],[Patio]]*Lookups!$B$21</f>
        <v>8491.4998840000007</v>
      </c>
      <c r="BS96" s="7">
        <f>SUM(Wapato_Inventory[[#This Row],[intercept]:[patio_value]])*Wapato_Inventory[[#This Row],[res_pct]]</f>
        <v>115399.495388</v>
      </c>
      <c r="BT96" s="7">
        <f>Wapato_Inventory[[#This Row],[land_value]]</f>
        <v>54200</v>
      </c>
      <c r="BU96" s="2">
        <f>_xlfn.IFNA(VLOOKUP(Wapato_Inventory[[#This Row],[quality]],Lookups!$A$28:$C$37,3,FALSE),1)</f>
        <v>0.96265813922927435</v>
      </c>
      <c r="BV96" s="2">
        <f>_xlfn.IFNA(VLOOKUP(Wapato_Inventory[[#This Row],[condition]],Lookups!$A$41:$C$48,3,FALSE),1)</f>
        <v>0.93399385491337139</v>
      </c>
      <c r="BW96" s="2">
        <f>IF(Wapato_Inventory[[#This Row],[decade]]="",1,_xlfn.IFNA(VLOOKUP(Wapato_Inventory[[#This Row],[decade]],Lookups!$F$28:$H$45,3,FALSE),1))</f>
        <v>1.0114203040664467</v>
      </c>
      <c r="BX96" s="2">
        <f>_xlfn.IFNA(VLOOKUP(Wapato_Inventory[[#This Row],[living_area_range]],Lookups!$K$28:$M$37,3,FALSE),1)</f>
        <v>1.0061411172456287</v>
      </c>
      <c r="BY96" s="2">
        <f>AVERAGE(Wapato_Inventory[[#This Row],[qual_adj]:[range_adj]])</f>
        <v>0.97855335386368036</v>
      </c>
      <c r="BZ96" s="7">
        <f>(Wapato_Inventory[[#This Row],[sum_land]]-IF(Wapato_Inventory[[#This Row],[no_utilities]]=1,12000,0))/IF(Wapato_Inventory[[#This Row],[unbuildable]]=1,2,1)</f>
        <v>54200</v>
      </c>
      <c r="CA96" s="7">
        <f>Wapato_Inventory[[#This Row],[pre_res]]*Wapato_Inventory[[#This Row],[overall_adj]]</f>
        <v>112924.56324610372</v>
      </c>
      <c r="CB96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96" s="3">
        <f>IF(ROUND(Wapato_Inventory[[#This Row],[adj_res]]*Lookups!$H$48,-2)&lt;Wapato_Inventory[[#This Row],[min_res]],Wapato_Inventory[[#This Row],[min_res]],ROUND(Wapato_Inventory[[#This Row],[adj_res]]*Lookups!$H$48,-2))</f>
        <v>107300</v>
      </c>
      <c r="CD96" s="3">
        <f>ROUND(Wapato_Inventory[[#This Row],[det_value]]*Lookups!$H$48,-2)</f>
        <v>13800</v>
      </c>
      <c r="CE96" s="3">
        <f>Wapato_Inventory[[#This Row],[final_res]]+Wapato_Inventory[[#This Row],[final_det]]</f>
        <v>121100</v>
      </c>
      <c r="CF96" s="3">
        <f>Wapato_Inventory[[#This Row],[crop_value]]+Wapato_Inventory[[#This Row],[final_land]]+Wapato_Inventory[[#This Row],[final_imp]]</f>
        <v>172600</v>
      </c>
      <c r="CH96" t="str">
        <f t="shared" si="1"/>
        <v>update valuation set market_land =51500, market_bldg=121100, market_total =172600, market_mdno =405, market_date ='9/10/2023' where link_id = (select link_id from parcel where parcel_year = '2024' and parcel_id = '19111014020');</v>
      </c>
    </row>
    <row r="97" spans="1:86" x14ac:dyDescent="0.25">
      <c r="A97">
        <v>19111014021</v>
      </c>
      <c r="B97">
        <v>0.17</v>
      </c>
      <c r="C97">
        <v>7200</v>
      </c>
      <c r="D97" t="s">
        <v>144</v>
      </c>
      <c r="E97" t="s">
        <v>54</v>
      </c>
      <c r="F97" t="s">
        <v>54</v>
      </c>
      <c r="G97">
        <v>3</v>
      </c>
      <c r="H97" t="s">
        <v>55</v>
      </c>
      <c r="I97">
        <v>114000</v>
      </c>
      <c r="J97">
        <v>33200</v>
      </c>
      <c r="K97">
        <v>0.17</v>
      </c>
      <c r="L97">
        <f>IF(Wapato_Inventory[[#This Row],[parcel_acres]]-Wapato_Inventory[[#This Row],[non_valued_acres]] =0,0,LN(Wapato_Inventory[[#This Row],[parcel_acres]]-Wapato_Inventory[[#This Row],[non_valued_acres]]))</f>
        <v>-1.7719568419318752</v>
      </c>
      <c r="M97">
        <v>0</v>
      </c>
      <c r="N97">
        <v>0</v>
      </c>
      <c r="O97">
        <v>0</v>
      </c>
      <c r="P97">
        <v>27904.037</v>
      </c>
      <c r="Q97">
        <v>74398</v>
      </c>
      <c r="R97" s="3">
        <f>(Wapato_Inventory[[#This Row],[ln_acres]]*Wapato_Inventory[[#This Row],[coeff]])+Wapato_Inventory[[#This Row],[const]]</f>
        <v>24953.250720329801</v>
      </c>
      <c r="S97" t="s">
        <v>66</v>
      </c>
      <c r="T97">
        <v>1</v>
      </c>
      <c r="U97" t="s">
        <v>71</v>
      </c>
      <c r="V97" t="s">
        <v>73</v>
      </c>
      <c r="W97">
        <v>0</v>
      </c>
      <c r="X97">
        <v>0</v>
      </c>
      <c r="Y97">
        <v>51</v>
      </c>
      <c r="Z97">
        <v>78</v>
      </c>
      <c r="AA97">
        <v>80</v>
      </c>
      <c r="AB97">
        <v>1500</v>
      </c>
      <c r="AC97">
        <v>1086</v>
      </c>
      <c r="AD97">
        <v>1086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84</v>
      </c>
      <c r="AM97">
        <v>125</v>
      </c>
      <c r="AN97">
        <v>125</v>
      </c>
      <c r="AO97">
        <v>84</v>
      </c>
      <c r="AP97">
        <v>5</v>
      </c>
      <c r="AQ97">
        <v>0</v>
      </c>
      <c r="AR97">
        <v>0</v>
      </c>
      <c r="AS97" t="s">
        <v>59</v>
      </c>
      <c r="AT97">
        <v>1</v>
      </c>
      <c r="AU97" t="s">
        <v>72</v>
      </c>
      <c r="AV97" t="s">
        <v>61</v>
      </c>
      <c r="AW97">
        <v>0</v>
      </c>
      <c r="AX97">
        <v>3</v>
      </c>
      <c r="AY97">
        <v>0</v>
      </c>
      <c r="AZ97">
        <v>28100</v>
      </c>
      <c r="BA97">
        <v>100</v>
      </c>
      <c r="BB97">
        <v>100</v>
      </c>
      <c r="BC97">
        <v>100</v>
      </c>
      <c r="BD97">
        <v>100</v>
      </c>
      <c r="BE97">
        <v>1</v>
      </c>
      <c r="BF97">
        <v>15000</v>
      </c>
      <c r="BG97">
        <v>1000</v>
      </c>
      <c r="BH97" s="7">
        <f>ROUND(Wapato_Inventory[[#This Row],[detatched_value]]*Lookups!$B$22*Lookups!$H$48,-2)</f>
        <v>25100</v>
      </c>
      <c r="BI97" s="7">
        <f>ROUND(((Wapato_Inventory[[#This Row],[land_extract]]*Lookups!$B$3) +(Lookups!$B$2*0.5))*Lookups!$H$48,-2)</f>
        <v>53500</v>
      </c>
      <c r="BJ97" s="7">
        <f>IF(Wapato_Inventory[[#This Row],[bldg_style]]="",0,Lookups!$B$2*0.5)</f>
        <v>53765.27</v>
      </c>
      <c r="BK97" s="7">
        <f>_xlfn.IFNA(VLOOKUP(Wapato_Inventory[[#This Row],[quality]],Lookups!$H$2:$J$14,3,FALSE),0)</f>
        <v>28034</v>
      </c>
      <c r="BL97" s="7">
        <f>_xlfn.IFNA(VLOOKUP(Wapato_Inventory[[#This Row],[condition]],Lookups!$H$17:$J$24,3,FALSE),0)</f>
        <v>16276</v>
      </c>
      <c r="BM97" s="7">
        <f>Wapato_Inventory[[#This Row],[Age]]*Lookups!$B$16</f>
        <v>-28912.704600000001</v>
      </c>
      <c r="BN97" s="7">
        <f>Wapato_Inventory[[#This Row],[Main Floor]]*Lookups!$B$17</f>
        <v>45395.602553999997</v>
      </c>
      <c r="BO97" s="7">
        <f>Wapato_Inventory[[#This Row],[Upper Floor]]*Lookups!$B$18</f>
        <v>0</v>
      </c>
      <c r="BP97" s="7">
        <f>Wapato_Inventory[[#This Row],[Fin BSMT]]*Lookups!$B$19</f>
        <v>0</v>
      </c>
      <c r="BQ97" s="7">
        <f>(Wapato_Inventory[[#This Row],[att_gar]]+Wapato_Inventory[[#This Row],[blt_gar]])*Lookups!$B$20</f>
        <v>0</v>
      </c>
      <c r="BR97" s="7">
        <f>Wapato_Inventory[[#This Row],[Patio]]*Lookups!$B$21</f>
        <v>5415.4973749999999</v>
      </c>
      <c r="BS97" s="7">
        <f>SUM(Wapato_Inventory[[#This Row],[intercept]:[patio_value]])*Wapato_Inventory[[#This Row],[res_pct]]</f>
        <v>119973.665329</v>
      </c>
      <c r="BT97" s="7">
        <f>Wapato_Inventory[[#This Row],[land_value]]</f>
        <v>53500</v>
      </c>
      <c r="BU97" s="2">
        <f>_xlfn.IFNA(VLOOKUP(Wapato_Inventory[[#This Row],[quality]],Lookups!$A$28:$C$37,3,FALSE),1)</f>
        <v>0.96265813922927435</v>
      </c>
      <c r="BV97" s="2">
        <f>_xlfn.IFNA(VLOOKUP(Wapato_Inventory[[#This Row],[condition]],Lookups!$A$41:$C$48,3,FALSE),1)</f>
        <v>0.93399385491337139</v>
      </c>
      <c r="BW97" s="2">
        <f>IF(Wapato_Inventory[[#This Row],[decade]]="",1,_xlfn.IFNA(VLOOKUP(Wapato_Inventory[[#This Row],[decade]],Lookups!$F$28:$H$45,3,FALSE),1))</f>
        <v>0.8438929209510081</v>
      </c>
      <c r="BX97" s="2">
        <f>_xlfn.IFNA(VLOOKUP(Wapato_Inventory[[#This Row],[living_area_range]],Lookups!$K$28:$M$37,3,FALSE),1)</f>
        <v>1.0061411172456287</v>
      </c>
      <c r="BY97" s="2">
        <f>AVERAGE(Wapato_Inventory[[#This Row],[qual_adj]:[range_adj]])</f>
        <v>0.93667150808482069</v>
      </c>
      <c r="BZ97" s="7">
        <f>(Wapato_Inventory[[#This Row],[sum_land]]-IF(Wapato_Inventory[[#This Row],[no_utilities]]=1,12000,0))/IF(Wapato_Inventory[[#This Row],[unbuildable]]=1,2,1)</f>
        <v>53500</v>
      </c>
      <c r="CA97" s="7">
        <f>Wapato_Inventory[[#This Row],[pre_res]]*Wapato_Inventory[[#This Row],[overall_adj]]</f>
        <v>112375.91403417799</v>
      </c>
      <c r="CB97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97" s="3">
        <f>IF(ROUND(Wapato_Inventory[[#This Row],[adj_res]]*Lookups!$H$48,-2)&lt;Wapato_Inventory[[#This Row],[min_res]],Wapato_Inventory[[#This Row],[min_res]],ROUND(Wapato_Inventory[[#This Row],[adj_res]]*Lookups!$H$48,-2))</f>
        <v>106800</v>
      </c>
      <c r="CD97" s="3">
        <f>ROUND(Wapato_Inventory[[#This Row],[det_value]]*Lookups!$H$48,-2)</f>
        <v>23800</v>
      </c>
      <c r="CE97" s="3">
        <f>Wapato_Inventory[[#This Row],[final_res]]+Wapato_Inventory[[#This Row],[final_det]]</f>
        <v>130600</v>
      </c>
      <c r="CF97" s="3">
        <f>Wapato_Inventory[[#This Row],[crop_value]]+Wapato_Inventory[[#This Row],[final_land]]+Wapato_Inventory[[#This Row],[final_imp]]</f>
        <v>181400</v>
      </c>
      <c r="CH97" t="str">
        <f t="shared" si="1"/>
        <v>update valuation set market_land =50800, market_bldg=130600, market_total =181400, market_mdno =405, market_date ='9/10/2023' where link_id = (select link_id from parcel where parcel_year = '2024' and parcel_id = '19111014021');</v>
      </c>
    </row>
    <row r="98" spans="1:86" x14ac:dyDescent="0.25">
      <c r="A98">
        <v>19111014022</v>
      </c>
      <c r="B98">
        <v>0.17</v>
      </c>
      <c r="C98">
        <v>7200</v>
      </c>
      <c r="D98" t="s">
        <v>144</v>
      </c>
      <c r="E98" t="s">
        <v>54</v>
      </c>
      <c r="F98" t="s">
        <v>54</v>
      </c>
      <c r="G98">
        <v>3</v>
      </c>
      <c r="H98" t="s">
        <v>55</v>
      </c>
      <c r="I98">
        <v>12900</v>
      </c>
      <c r="J98">
        <v>33200</v>
      </c>
      <c r="K98">
        <v>0.17</v>
      </c>
      <c r="L98">
        <f>IF(Wapato_Inventory[[#This Row],[parcel_acres]]-Wapato_Inventory[[#This Row],[non_valued_acres]] =0,0,LN(Wapato_Inventory[[#This Row],[parcel_acres]]-Wapato_Inventory[[#This Row],[non_valued_acres]]))</f>
        <v>-1.7719568419318752</v>
      </c>
      <c r="M98">
        <v>0</v>
      </c>
      <c r="N98">
        <v>0</v>
      </c>
      <c r="O98">
        <v>0</v>
      </c>
      <c r="P98">
        <v>27904.037</v>
      </c>
      <c r="Q98">
        <v>74398</v>
      </c>
      <c r="R98" s="3">
        <f>(Wapato_Inventory[[#This Row],[ln_acres]]*Wapato_Inventory[[#This Row],[coeff]])+Wapato_Inventory[[#This Row],[const]]</f>
        <v>24953.250720329801</v>
      </c>
      <c r="S98" t="s">
        <v>83</v>
      </c>
      <c r="T98">
        <v>1</v>
      </c>
      <c r="U98" t="s">
        <v>86</v>
      </c>
      <c r="V98" t="s">
        <v>111</v>
      </c>
      <c r="W98">
        <v>0</v>
      </c>
      <c r="X98">
        <v>0</v>
      </c>
      <c r="Y98">
        <v>83</v>
      </c>
      <c r="Z98">
        <v>93</v>
      </c>
      <c r="AA98">
        <v>100</v>
      </c>
      <c r="AB98">
        <v>1000</v>
      </c>
      <c r="AC98">
        <v>900</v>
      </c>
      <c r="AD98">
        <v>900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5</v>
      </c>
      <c r="AQ98">
        <v>0</v>
      </c>
      <c r="AR98">
        <v>0</v>
      </c>
      <c r="AS98" t="s">
        <v>157</v>
      </c>
      <c r="AT98">
        <v>0</v>
      </c>
      <c r="AU98" t="s">
        <v>80</v>
      </c>
      <c r="AV98" t="s">
        <v>147</v>
      </c>
      <c r="AW98">
        <v>0</v>
      </c>
      <c r="AX98">
        <v>2</v>
      </c>
      <c r="AY98">
        <v>0</v>
      </c>
      <c r="AZ98">
        <v>0</v>
      </c>
      <c r="BA98">
        <v>100</v>
      </c>
      <c r="BB98">
        <v>100</v>
      </c>
      <c r="BC98">
        <v>100</v>
      </c>
      <c r="BD98">
        <v>100</v>
      </c>
      <c r="BE98">
        <v>1</v>
      </c>
      <c r="BF98">
        <v>15000</v>
      </c>
      <c r="BG98">
        <v>1000</v>
      </c>
      <c r="BH98" s="7">
        <f>ROUND(Wapato_Inventory[[#This Row],[detatched_value]]*Lookups!$B$22*Lookups!$H$48,-2)</f>
        <v>0</v>
      </c>
      <c r="BI98" s="7">
        <f>ROUND(((Wapato_Inventory[[#This Row],[land_extract]]*Lookups!$B$3) +(Lookups!$B$2*0.5))*Lookups!$H$48,-2)</f>
        <v>53500</v>
      </c>
      <c r="BJ98" s="7">
        <f>IF(Wapato_Inventory[[#This Row],[bldg_style]]="",0,Lookups!$B$2*0.5)</f>
        <v>53765.27</v>
      </c>
      <c r="BK98" s="7">
        <f>_xlfn.IFNA(VLOOKUP(Wapato_Inventory[[#This Row],[quality]],Lookups!$H$2:$J$14,3,FALSE),0)</f>
        <v>0</v>
      </c>
      <c r="BL98" s="7">
        <f>_xlfn.IFNA(VLOOKUP(Wapato_Inventory[[#This Row],[condition]],Lookups!$H$17:$J$24,3,FALSE),0)</f>
        <v>-25449</v>
      </c>
      <c r="BM98" s="7">
        <f>Wapato_Inventory[[#This Row],[Age]]*Lookups!$B$16</f>
        <v>-34472.840100000001</v>
      </c>
      <c r="BN98" s="7">
        <f>Wapato_Inventory[[#This Row],[Main Floor]]*Lookups!$B$17</f>
        <v>37620.665099999998</v>
      </c>
      <c r="BO98" s="7">
        <f>Wapato_Inventory[[#This Row],[Upper Floor]]*Lookups!$B$18</f>
        <v>0</v>
      </c>
      <c r="BP98" s="7">
        <f>Wapato_Inventory[[#This Row],[Fin BSMT]]*Lookups!$B$19</f>
        <v>0</v>
      </c>
      <c r="BQ98" s="7">
        <f>(Wapato_Inventory[[#This Row],[att_gar]]+Wapato_Inventory[[#This Row],[blt_gar]])*Lookups!$B$20</f>
        <v>0</v>
      </c>
      <c r="BR98" s="7">
        <f>Wapato_Inventory[[#This Row],[Patio]]*Lookups!$B$21</f>
        <v>0</v>
      </c>
      <c r="BS98" s="7">
        <f>SUM(Wapato_Inventory[[#This Row],[intercept]:[patio_value]])*Wapato_Inventory[[#This Row],[res_pct]]</f>
        <v>31464.094999999994</v>
      </c>
      <c r="BT98" s="7">
        <f>Wapato_Inventory[[#This Row],[land_value]]</f>
        <v>53500</v>
      </c>
      <c r="BU98" s="2">
        <f>_xlfn.IFNA(VLOOKUP(Wapato_Inventory[[#This Row],[quality]],Lookups!$A$28:$C$37,3,FALSE),1)</f>
        <v>1.0000010866511106</v>
      </c>
      <c r="BV98" s="2">
        <f>_xlfn.IFNA(VLOOKUP(Wapato_Inventory[[#This Row],[condition]],Lookups!$A$41:$C$48,3,FALSE),1)</f>
        <v>1.0000035546274355</v>
      </c>
      <c r="BW98" s="2">
        <f>IF(Wapato_Inventory[[#This Row],[decade]]="",1,_xlfn.IFNA(VLOOKUP(Wapato_Inventory[[#This Row],[decade]],Lookups!$F$28:$H$45,3,FALSE),1))</f>
        <v>1.0114203040664467</v>
      </c>
      <c r="BX98" s="2">
        <f>_xlfn.IFNA(VLOOKUP(Wapato_Inventory[[#This Row],[living_area_range]],Lookups!$K$28:$M$37,3,FALSE),1)</f>
        <v>0.99022994770196116</v>
      </c>
      <c r="BY98" s="2">
        <f>AVERAGE(Wapato_Inventory[[#This Row],[qual_adj]:[range_adj]])</f>
        <v>1.0004137232617385</v>
      </c>
      <c r="BZ98" s="7">
        <f>(Wapato_Inventory[[#This Row],[sum_land]]-IF(Wapato_Inventory[[#This Row],[no_utilities]]=1,12000,0))/IF(Wapato_Inventory[[#This Row],[unbuildable]]=1,2,1)</f>
        <v>53500</v>
      </c>
      <c r="CA98" s="7">
        <f>Wapato_Inventory[[#This Row],[pre_res]]*Wapato_Inventory[[#This Row],[overall_adj]]</f>
        <v>31477.112428011045</v>
      </c>
      <c r="CB98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98" s="3">
        <f>IF(ROUND(Wapato_Inventory[[#This Row],[adj_res]]*Lookups!$H$48,-2)&lt;Wapato_Inventory[[#This Row],[min_res]],Wapato_Inventory[[#This Row],[min_res]],ROUND(Wapato_Inventory[[#This Row],[adj_res]]*Lookups!$H$48,-2))</f>
        <v>29900</v>
      </c>
      <c r="CD98" s="3">
        <f>ROUND(Wapato_Inventory[[#This Row],[det_value]]*Lookups!$H$48,-2)</f>
        <v>0</v>
      </c>
      <c r="CE98" s="3">
        <f>Wapato_Inventory[[#This Row],[final_res]]+Wapato_Inventory[[#This Row],[final_det]]</f>
        <v>29900</v>
      </c>
      <c r="CF98" s="3">
        <f>Wapato_Inventory[[#This Row],[crop_value]]+Wapato_Inventory[[#This Row],[final_land]]+Wapato_Inventory[[#This Row],[final_imp]]</f>
        <v>80700</v>
      </c>
      <c r="CH98" t="str">
        <f t="shared" si="1"/>
        <v>update valuation set market_land =50800, market_bldg=29900, market_total =80700, market_mdno =405, market_date ='9/10/2023' where link_id = (select link_id from parcel where parcel_year = '2024' and parcel_id = '19111014022');</v>
      </c>
    </row>
    <row r="99" spans="1:86" x14ac:dyDescent="0.25">
      <c r="A99">
        <v>19111014023</v>
      </c>
      <c r="B99">
        <v>0.17</v>
      </c>
      <c r="C99">
        <v>7248</v>
      </c>
      <c r="D99" t="s">
        <v>144</v>
      </c>
      <c r="E99" t="s">
        <v>54</v>
      </c>
      <c r="F99" t="s">
        <v>54</v>
      </c>
      <c r="G99">
        <v>3</v>
      </c>
      <c r="H99" t="s">
        <v>55</v>
      </c>
      <c r="I99">
        <v>42500</v>
      </c>
      <c r="J99">
        <v>33200</v>
      </c>
      <c r="K99">
        <v>0.17</v>
      </c>
      <c r="L99">
        <f>IF(Wapato_Inventory[[#This Row],[parcel_acres]]-Wapato_Inventory[[#This Row],[non_valued_acres]] =0,0,LN(Wapato_Inventory[[#This Row],[parcel_acres]]-Wapato_Inventory[[#This Row],[non_valued_acres]]))</f>
        <v>-1.7719568419318752</v>
      </c>
      <c r="M99">
        <v>0</v>
      </c>
      <c r="N99">
        <v>0</v>
      </c>
      <c r="O99">
        <v>0</v>
      </c>
      <c r="P99">
        <v>27904.037</v>
      </c>
      <c r="Q99">
        <v>74398</v>
      </c>
      <c r="R99" s="3">
        <f>(Wapato_Inventory[[#This Row],[ln_acres]]*Wapato_Inventory[[#This Row],[coeff]])+Wapato_Inventory[[#This Row],[const]]</f>
        <v>24953.250720329801</v>
      </c>
      <c r="S99" t="s">
        <v>56</v>
      </c>
      <c r="T99">
        <v>1</v>
      </c>
      <c r="U99" t="s">
        <v>86</v>
      </c>
      <c r="V99" t="s">
        <v>84</v>
      </c>
      <c r="W99">
        <v>0</v>
      </c>
      <c r="X99">
        <v>0</v>
      </c>
      <c r="Y99">
        <v>55</v>
      </c>
      <c r="Z99">
        <v>98</v>
      </c>
      <c r="AA99">
        <v>100</v>
      </c>
      <c r="AB99">
        <v>1500</v>
      </c>
      <c r="AC99">
        <v>1088</v>
      </c>
      <c r="AD99">
        <v>1088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5</v>
      </c>
      <c r="AQ99">
        <v>0</v>
      </c>
      <c r="AR99">
        <v>0</v>
      </c>
      <c r="AS99" t="s">
        <v>157</v>
      </c>
      <c r="AT99">
        <v>0</v>
      </c>
      <c r="AU99" t="s">
        <v>80</v>
      </c>
      <c r="AV99" t="s">
        <v>77</v>
      </c>
      <c r="AW99">
        <v>0</v>
      </c>
      <c r="AX99">
        <v>1</v>
      </c>
      <c r="AY99">
        <v>0</v>
      </c>
      <c r="AZ99">
        <v>0</v>
      </c>
      <c r="BA99">
        <v>100</v>
      </c>
      <c r="BB99">
        <v>100</v>
      </c>
      <c r="BC99">
        <v>100</v>
      </c>
      <c r="BD99">
        <v>100</v>
      </c>
      <c r="BE99">
        <v>1</v>
      </c>
      <c r="BF99">
        <v>15000</v>
      </c>
      <c r="BG99">
        <v>1000</v>
      </c>
      <c r="BH99" s="7">
        <f>ROUND(Wapato_Inventory[[#This Row],[detatched_value]]*Lookups!$B$22*Lookups!$H$48,-2)</f>
        <v>0</v>
      </c>
      <c r="BI99" s="7">
        <f>ROUND(((Wapato_Inventory[[#This Row],[land_extract]]*Lookups!$B$3) +(Lookups!$B$2*0.5))*Lookups!$H$48,-2)</f>
        <v>53500</v>
      </c>
      <c r="BJ99" s="7">
        <f>IF(Wapato_Inventory[[#This Row],[bldg_style]]="",0,Lookups!$B$2*0.5)</f>
        <v>53765.27</v>
      </c>
      <c r="BK99" s="7">
        <f>_xlfn.IFNA(VLOOKUP(Wapato_Inventory[[#This Row],[quality]],Lookups!$H$2:$J$14,3,FALSE),0)</f>
        <v>0</v>
      </c>
      <c r="BL99" s="7">
        <f>_xlfn.IFNA(VLOOKUP(Wapato_Inventory[[#This Row],[condition]],Lookups!$H$17:$J$24,3,FALSE),0)</f>
        <v>0</v>
      </c>
      <c r="BM99" s="7">
        <f>Wapato_Inventory[[#This Row],[Age]]*Lookups!$B$16</f>
        <v>-36326.2186</v>
      </c>
      <c r="BN99" s="7">
        <f>Wapato_Inventory[[#This Row],[Main Floor]]*Lookups!$B$17</f>
        <v>45479.204032000001</v>
      </c>
      <c r="BO99" s="7">
        <f>Wapato_Inventory[[#This Row],[Upper Floor]]*Lookups!$B$18</f>
        <v>0</v>
      </c>
      <c r="BP99" s="7">
        <f>Wapato_Inventory[[#This Row],[Fin BSMT]]*Lookups!$B$19</f>
        <v>0</v>
      </c>
      <c r="BQ99" s="7">
        <f>(Wapato_Inventory[[#This Row],[att_gar]]+Wapato_Inventory[[#This Row],[blt_gar]])*Lookups!$B$20</f>
        <v>0</v>
      </c>
      <c r="BR99" s="7">
        <f>Wapato_Inventory[[#This Row],[Patio]]*Lookups!$B$21</f>
        <v>0</v>
      </c>
      <c r="BS99" s="7">
        <f>SUM(Wapato_Inventory[[#This Row],[intercept]:[patio_value]])*Wapato_Inventory[[#This Row],[res_pct]]</f>
        <v>62918.255431999998</v>
      </c>
      <c r="BT99" s="7">
        <f>Wapato_Inventory[[#This Row],[land_value]]</f>
        <v>53500</v>
      </c>
      <c r="BU99" s="2">
        <f>_xlfn.IFNA(VLOOKUP(Wapato_Inventory[[#This Row],[quality]],Lookups!$A$28:$C$37,3,FALSE),1)</f>
        <v>1.0000010866511106</v>
      </c>
      <c r="BV99" s="2">
        <f>_xlfn.IFNA(VLOOKUP(Wapato_Inventory[[#This Row],[condition]],Lookups!$A$41:$C$48,3,FALSE),1)</f>
        <v>1.0000035546274355</v>
      </c>
      <c r="BW99" s="2">
        <f>IF(Wapato_Inventory[[#This Row],[decade]]="",1,_xlfn.IFNA(VLOOKUP(Wapato_Inventory[[#This Row],[decade]],Lookups!$F$28:$H$45,3,FALSE),1))</f>
        <v>1.0114203040664467</v>
      </c>
      <c r="BX99" s="2">
        <f>_xlfn.IFNA(VLOOKUP(Wapato_Inventory[[#This Row],[living_area_range]],Lookups!$K$28:$M$37,3,FALSE),1)</f>
        <v>1.0061411172456287</v>
      </c>
      <c r="BY99" s="2">
        <f>AVERAGE(Wapato_Inventory[[#This Row],[qual_adj]:[range_adj]])</f>
        <v>1.0043915156476555</v>
      </c>
      <c r="BZ99" s="7">
        <f>(Wapato_Inventory[[#This Row],[sum_land]]-IF(Wapato_Inventory[[#This Row],[no_utilities]]=1,12000,0))/IF(Wapato_Inventory[[#This Row],[unbuildable]]=1,2,1)</f>
        <v>53500</v>
      </c>
      <c r="CA99" s="7">
        <f>Wapato_Inventory[[#This Row],[pre_res]]*Wapato_Inventory[[#This Row],[overall_adj]]</f>
        <v>63194.561935252808</v>
      </c>
      <c r="CB99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99" s="3">
        <f>IF(ROUND(Wapato_Inventory[[#This Row],[adj_res]]*Lookups!$H$48,-2)&lt;Wapato_Inventory[[#This Row],[min_res]],Wapato_Inventory[[#This Row],[min_res]],ROUND(Wapato_Inventory[[#This Row],[adj_res]]*Lookups!$H$48,-2))</f>
        <v>60000</v>
      </c>
      <c r="CD99" s="3">
        <f>ROUND(Wapato_Inventory[[#This Row],[det_value]]*Lookups!$H$48,-2)</f>
        <v>0</v>
      </c>
      <c r="CE99" s="3">
        <f>Wapato_Inventory[[#This Row],[final_res]]+Wapato_Inventory[[#This Row],[final_det]]</f>
        <v>60000</v>
      </c>
      <c r="CF99" s="3">
        <f>Wapato_Inventory[[#This Row],[crop_value]]+Wapato_Inventory[[#This Row],[final_land]]+Wapato_Inventory[[#This Row],[final_imp]]</f>
        <v>110800</v>
      </c>
      <c r="CH99" t="str">
        <f t="shared" si="1"/>
        <v>update valuation set market_land =50800, market_bldg=60000, market_total =110800, market_mdno =405, market_date ='9/10/2023' where link_id = (select link_id from parcel where parcel_year = '2024' and parcel_id = '19111014023');</v>
      </c>
    </row>
    <row r="100" spans="1:86" x14ac:dyDescent="0.25">
      <c r="A100">
        <v>19111014024</v>
      </c>
      <c r="B100">
        <v>0.21</v>
      </c>
      <c r="C100">
        <v>9351</v>
      </c>
      <c r="D100" t="s">
        <v>144</v>
      </c>
      <c r="E100" t="s">
        <v>54</v>
      </c>
      <c r="F100" t="s">
        <v>54</v>
      </c>
      <c r="G100">
        <v>3</v>
      </c>
      <c r="H100" t="s">
        <v>55</v>
      </c>
      <c r="I100">
        <v>122500</v>
      </c>
      <c r="J100">
        <v>34800</v>
      </c>
      <c r="K100">
        <v>0.21</v>
      </c>
      <c r="L100">
        <f>IF(Wapato_Inventory[[#This Row],[parcel_acres]]-Wapato_Inventory[[#This Row],[non_valued_acres]] =0,0,LN(Wapato_Inventory[[#This Row],[parcel_acres]]-Wapato_Inventory[[#This Row],[non_valued_acres]]))</f>
        <v>-1.5606477482646683</v>
      </c>
      <c r="M100">
        <v>0</v>
      </c>
      <c r="N100">
        <v>0</v>
      </c>
      <c r="O100">
        <v>0</v>
      </c>
      <c r="P100">
        <v>27904.037</v>
      </c>
      <c r="Q100">
        <v>74398</v>
      </c>
      <c r="R100" s="3">
        <f>(Wapato_Inventory[[#This Row],[ln_acres]]*Wapato_Inventory[[#This Row],[coeff]])+Wapato_Inventory[[#This Row],[const]]</f>
        <v>30849.627488456012</v>
      </c>
      <c r="S100" t="s">
        <v>66</v>
      </c>
      <c r="T100">
        <v>1</v>
      </c>
      <c r="U100" t="s">
        <v>71</v>
      </c>
      <c r="V100" t="s">
        <v>68</v>
      </c>
      <c r="W100">
        <v>0</v>
      </c>
      <c r="X100">
        <v>0</v>
      </c>
      <c r="Y100">
        <v>51</v>
      </c>
      <c r="Z100">
        <v>83</v>
      </c>
      <c r="AA100">
        <v>90</v>
      </c>
      <c r="AB100">
        <v>1500</v>
      </c>
      <c r="AC100">
        <v>1188</v>
      </c>
      <c r="AD100">
        <v>1188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276</v>
      </c>
      <c r="AO100">
        <v>0</v>
      </c>
      <c r="AP100">
        <v>5</v>
      </c>
      <c r="AQ100">
        <v>0</v>
      </c>
      <c r="AR100">
        <v>0</v>
      </c>
      <c r="AS100" t="s">
        <v>59</v>
      </c>
      <c r="AT100">
        <v>1</v>
      </c>
      <c r="AU100" t="s">
        <v>64</v>
      </c>
      <c r="AV100" t="s">
        <v>65</v>
      </c>
      <c r="AW100">
        <v>0</v>
      </c>
      <c r="AX100">
        <v>3</v>
      </c>
      <c r="AY100">
        <v>0</v>
      </c>
      <c r="AZ100">
        <v>0</v>
      </c>
      <c r="BA100">
        <v>100</v>
      </c>
      <c r="BB100">
        <v>100</v>
      </c>
      <c r="BC100">
        <v>100</v>
      </c>
      <c r="BD100">
        <v>100</v>
      </c>
      <c r="BE100">
        <v>1</v>
      </c>
      <c r="BF100">
        <v>15000</v>
      </c>
      <c r="BG100">
        <v>1000</v>
      </c>
      <c r="BH100" s="7">
        <f>ROUND(Wapato_Inventory[[#This Row],[detatched_value]]*Lookups!$B$22*Lookups!$H$48,-2)</f>
        <v>0</v>
      </c>
      <c r="BI100" s="7">
        <f>ROUND(((Wapato_Inventory[[#This Row],[land_extract]]*Lookups!$B$3) +(Lookups!$B$2*0.5))*Lookups!$H$48,-2)</f>
        <v>54100</v>
      </c>
      <c r="BJ100" s="7">
        <f>IF(Wapato_Inventory[[#This Row],[bldg_style]]="",0,Lookups!$B$2*0.5)</f>
        <v>53765.27</v>
      </c>
      <c r="BK100" s="7">
        <f>_xlfn.IFNA(VLOOKUP(Wapato_Inventory[[#This Row],[quality]],Lookups!$H$2:$J$14,3,FALSE),0)</f>
        <v>28034</v>
      </c>
      <c r="BL100" s="7">
        <f>_xlfn.IFNA(VLOOKUP(Wapato_Inventory[[#This Row],[condition]],Lookups!$H$17:$J$24,3,FALSE),0)</f>
        <v>52231</v>
      </c>
      <c r="BM100" s="7">
        <f>Wapato_Inventory[[#This Row],[Age]]*Lookups!$B$16</f>
        <v>-30766.0831</v>
      </c>
      <c r="BN100" s="7">
        <f>Wapato_Inventory[[#This Row],[Main Floor]]*Lookups!$B$17</f>
        <v>49659.277931999997</v>
      </c>
      <c r="BO100" s="7">
        <f>Wapato_Inventory[[#This Row],[Upper Floor]]*Lookups!$B$18</f>
        <v>0</v>
      </c>
      <c r="BP100" s="7">
        <f>Wapato_Inventory[[#This Row],[Fin BSMT]]*Lookups!$B$19</f>
        <v>0</v>
      </c>
      <c r="BQ100" s="7">
        <f>(Wapato_Inventory[[#This Row],[att_gar]]+Wapato_Inventory[[#This Row],[blt_gar]])*Lookups!$B$20</f>
        <v>0</v>
      </c>
      <c r="BR100" s="7">
        <f>Wapato_Inventory[[#This Row],[Patio]]*Lookups!$B$21</f>
        <v>0</v>
      </c>
      <c r="BS100" s="7">
        <f>SUM(Wapato_Inventory[[#This Row],[intercept]:[patio_value]])*Wapato_Inventory[[#This Row],[res_pct]]</f>
        <v>152923.46483199997</v>
      </c>
      <c r="BT100" s="7">
        <f>Wapato_Inventory[[#This Row],[land_value]]</f>
        <v>54100</v>
      </c>
      <c r="BU100" s="2">
        <f>_xlfn.IFNA(VLOOKUP(Wapato_Inventory[[#This Row],[quality]],Lookups!$A$28:$C$37,3,FALSE),1)</f>
        <v>0.96265813922927435</v>
      </c>
      <c r="BV100" s="2">
        <f>_xlfn.IFNA(VLOOKUP(Wapato_Inventory[[#This Row],[condition]],Lookups!$A$41:$C$48,3,FALSE),1)</f>
        <v>0.9832333997567807</v>
      </c>
      <c r="BW100" s="2">
        <f>IF(Wapato_Inventory[[#This Row],[decade]]="",1,_xlfn.IFNA(VLOOKUP(Wapato_Inventory[[#This Row],[decade]],Lookups!$F$28:$H$45,3,FALSE),1))</f>
        <v>0.94742695999815718</v>
      </c>
      <c r="BX100" s="2">
        <f>_xlfn.IFNA(VLOOKUP(Wapato_Inventory[[#This Row],[living_area_range]],Lookups!$K$28:$M$37,3,FALSE),1)</f>
        <v>1.0061411172456287</v>
      </c>
      <c r="BY100" s="2">
        <f>AVERAGE(Wapato_Inventory[[#This Row],[qual_adj]:[range_adj]])</f>
        <v>0.97486490405746018</v>
      </c>
      <c r="BZ100" s="7">
        <f>(Wapato_Inventory[[#This Row],[sum_land]]-IF(Wapato_Inventory[[#This Row],[no_utilities]]=1,12000,0))/IF(Wapato_Inventory[[#This Row],[unbuildable]]=1,2,1)</f>
        <v>54100</v>
      </c>
      <c r="CA100" s="7">
        <f>Wapato_Inventory[[#This Row],[pre_res]]*Wapato_Inventory[[#This Row],[overall_adj]]</f>
        <v>149079.71887158204</v>
      </c>
      <c r="CB100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00" s="3">
        <f>IF(ROUND(Wapato_Inventory[[#This Row],[adj_res]]*Lookups!$H$48,-2)&lt;Wapato_Inventory[[#This Row],[min_res]],Wapato_Inventory[[#This Row],[min_res]],ROUND(Wapato_Inventory[[#This Row],[adj_res]]*Lookups!$H$48,-2))</f>
        <v>141600</v>
      </c>
      <c r="CD100" s="3">
        <f>ROUND(Wapato_Inventory[[#This Row],[det_value]]*Lookups!$H$48,-2)</f>
        <v>0</v>
      </c>
      <c r="CE100" s="3">
        <f>Wapato_Inventory[[#This Row],[final_res]]+Wapato_Inventory[[#This Row],[final_det]]</f>
        <v>141600</v>
      </c>
      <c r="CF100" s="3">
        <f>Wapato_Inventory[[#This Row],[crop_value]]+Wapato_Inventory[[#This Row],[final_land]]+Wapato_Inventory[[#This Row],[final_imp]]</f>
        <v>193000</v>
      </c>
      <c r="CH100" t="str">
        <f t="shared" si="1"/>
        <v>update valuation set market_land =51400, market_bldg=141600, market_total =193000, market_mdno =405, market_date ='9/10/2023' where link_id = (select link_id from parcel where parcel_year = '2024' and parcel_id = '19111014024');</v>
      </c>
    </row>
    <row r="101" spans="1:86" x14ac:dyDescent="0.25">
      <c r="A101">
        <v>19111014026</v>
      </c>
      <c r="B101">
        <v>2.48</v>
      </c>
      <c r="C101">
        <v>107901</v>
      </c>
      <c r="D101" t="s">
        <v>144</v>
      </c>
      <c r="E101" t="s">
        <v>54</v>
      </c>
      <c r="F101" t="s">
        <v>54</v>
      </c>
      <c r="G101">
        <v>3</v>
      </c>
      <c r="H101" t="s">
        <v>55</v>
      </c>
      <c r="I101">
        <v>7000</v>
      </c>
      <c r="J101">
        <v>52300</v>
      </c>
      <c r="K101">
        <v>2.48</v>
      </c>
      <c r="L101">
        <f>IF(Wapato_Inventory[[#This Row],[parcel_acres]]-Wapato_Inventory[[#This Row],[non_valued_acres]] =0,0,LN(Wapato_Inventory[[#This Row],[parcel_acres]]-Wapato_Inventory[[#This Row],[non_valued_acres]]))</f>
        <v>0.90825856017689077</v>
      </c>
      <c r="M101">
        <v>0</v>
      </c>
      <c r="N101">
        <v>0</v>
      </c>
      <c r="O101">
        <v>0</v>
      </c>
      <c r="P101">
        <v>27904.037</v>
      </c>
      <c r="Q101">
        <v>74398</v>
      </c>
      <c r="R101" s="3">
        <f>(Wapato_Inventory[[#This Row],[ln_acres]]*Wapato_Inventory[[#This Row],[coeff]])+Wapato_Inventory[[#This Row],[const]]</f>
        <v>99742.080468742686</v>
      </c>
      <c r="S101" t="s">
        <v>83</v>
      </c>
      <c r="T101">
        <v>1</v>
      </c>
      <c r="U101" t="s">
        <v>86</v>
      </c>
      <c r="V101" t="s">
        <v>110</v>
      </c>
      <c r="W101">
        <v>0</v>
      </c>
      <c r="X101">
        <v>0</v>
      </c>
      <c r="Y101">
        <v>112</v>
      </c>
      <c r="Z101">
        <v>112</v>
      </c>
      <c r="AA101">
        <v>120</v>
      </c>
      <c r="AB101">
        <v>1000</v>
      </c>
      <c r="AC101">
        <v>891</v>
      </c>
      <c r="AD101">
        <v>891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5</v>
      </c>
      <c r="AQ101">
        <v>0</v>
      </c>
      <c r="AR101">
        <v>0</v>
      </c>
      <c r="AS101" t="s">
        <v>59</v>
      </c>
      <c r="AT101">
        <v>0</v>
      </c>
      <c r="AU101" t="s">
        <v>80</v>
      </c>
      <c r="AV101" t="s">
        <v>65</v>
      </c>
      <c r="AW101">
        <v>0</v>
      </c>
      <c r="AX101">
        <v>2</v>
      </c>
      <c r="AY101">
        <v>0</v>
      </c>
      <c r="AZ101">
        <v>8100</v>
      </c>
      <c r="BA101">
        <v>100</v>
      </c>
      <c r="BB101">
        <v>100</v>
      </c>
      <c r="BC101">
        <v>100</v>
      </c>
      <c r="BD101">
        <v>100</v>
      </c>
      <c r="BE101">
        <v>0</v>
      </c>
      <c r="BF101">
        <v>15000</v>
      </c>
      <c r="BG101">
        <v>0</v>
      </c>
      <c r="BH101" s="7">
        <f>ROUND(Wapato_Inventory[[#This Row],[detatched_value]]*Lookups!$B$22*Lookups!$H$48,-2)</f>
        <v>7200</v>
      </c>
      <c r="BI101" s="7">
        <f>ROUND(((Wapato_Inventory[[#This Row],[land_extract]]*Lookups!$B$3) +(Lookups!$B$2*0.5))*Lookups!$H$48,-2)</f>
        <v>60700</v>
      </c>
      <c r="BJ101" s="7">
        <f>IF(Wapato_Inventory[[#This Row],[bldg_style]]="",0,Lookups!$B$2*0.5)</f>
        <v>53765.27</v>
      </c>
      <c r="BK101" s="7">
        <f>_xlfn.IFNA(VLOOKUP(Wapato_Inventory[[#This Row],[quality]],Lookups!$H$2:$J$14,3,FALSE),0)</f>
        <v>0</v>
      </c>
      <c r="BL101" s="7">
        <f>_xlfn.IFNA(VLOOKUP(Wapato_Inventory[[#This Row],[condition]],Lookups!$H$17:$J$24,3,FALSE),0)</f>
        <v>-49363</v>
      </c>
      <c r="BM101" s="7">
        <f>Wapato_Inventory[[#This Row],[Age]]*Lookups!$B$16</f>
        <v>-41515.678400000004</v>
      </c>
      <c r="BN101" s="7">
        <f>Wapato_Inventory[[#This Row],[Main Floor]]*Lookups!$B$17</f>
        <v>37244.458448999998</v>
      </c>
      <c r="BO101" s="7">
        <f>Wapato_Inventory[[#This Row],[Upper Floor]]*Lookups!$B$18</f>
        <v>0</v>
      </c>
      <c r="BP101" s="7">
        <f>Wapato_Inventory[[#This Row],[Fin BSMT]]*Lookups!$B$19</f>
        <v>0</v>
      </c>
      <c r="BQ101" s="7">
        <f>(Wapato_Inventory[[#This Row],[att_gar]]+Wapato_Inventory[[#This Row],[blt_gar]])*Lookups!$B$20</f>
        <v>0</v>
      </c>
      <c r="BR101" s="7">
        <f>Wapato_Inventory[[#This Row],[Patio]]*Lookups!$B$21</f>
        <v>0</v>
      </c>
      <c r="BS101" s="7">
        <f>SUM(Wapato_Inventory[[#This Row],[intercept]:[patio_value]])*Wapato_Inventory[[#This Row],[res_pct]]</f>
        <v>0</v>
      </c>
      <c r="BT101" s="7">
        <f>Wapato_Inventory[[#This Row],[land_value]]</f>
        <v>60700</v>
      </c>
      <c r="BU101" s="2">
        <f>_xlfn.IFNA(VLOOKUP(Wapato_Inventory[[#This Row],[quality]],Lookups!$A$28:$C$37,3,FALSE),1)</f>
        <v>1.0000010866511106</v>
      </c>
      <c r="BV101" s="2">
        <f>_xlfn.IFNA(VLOOKUP(Wapato_Inventory[[#This Row],[condition]],Lookups!$A$41:$C$48,3,FALSE),1)</f>
        <v>0</v>
      </c>
      <c r="BW101" s="2">
        <f>IF(Wapato_Inventory[[#This Row],[decade]]="",1,_xlfn.IFNA(VLOOKUP(Wapato_Inventory[[#This Row],[decade]],Lookups!$F$28:$H$45,3,FALSE),1))</f>
        <v>0.93664589651353292</v>
      </c>
      <c r="BX101" s="2">
        <f>_xlfn.IFNA(VLOOKUP(Wapato_Inventory[[#This Row],[living_area_range]],Lookups!$K$28:$M$37,3,FALSE),1)</f>
        <v>0.99022994770196116</v>
      </c>
      <c r="BY101" s="2">
        <f>AVERAGE(Wapato_Inventory[[#This Row],[qual_adj]:[range_adj]])</f>
        <v>0.73171923271665118</v>
      </c>
      <c r="BZ101" s="7">
        <f>(Wapato_Inventory[[#This Row],[sum_land]]-IF(Wapato_Inventory[[#This Row],[no_utilities]]=1,12000,0))/IF(Wapato_Inventory[[#This Row],[unbuildable]]=1,2,1)</f>
        <v>60700</v>
      </c>
      <c r="CA101" s="7">
        <f>Wapato_Inventory[[#This Row],[pre_res]]*Wapato_Inventory[[#This Row],[overall_adj]]</f>
        <v>0</v>
      </c>
      <c r="CB101" s="3">
        <f>IF(ROUND(Wapato_Inventory[[#This Row],[adj_land]]*Lookups!$H$48,-2)&lt;Wapato_Inventory[[#This Row],[min_land]],Wapato_Inventory[[#This Row],[min_land]],ROUND(Wapato_Inventory[[#This Row],[adj_land]]*Lookups!$H$48,-2))</f>
        <v>57700</v>
      </c>
      <c r="CC10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01" s="3">
        <f>ROUND(Wapato_Inventory[[#This Row],[det_value]]*Lookups!$H$48,-2)</f>
        <v>6800</v>
      </c>
      <c r="CE101" s="3">
        <f>Wapato_Inventory[[#This Row],[final_res]]+Wapato_Inventory[[#This Row],[final_det]]</f>
        <v>6800</v>
      </c>
      <c r="CF101" s="3">
        <f>Wapato_Inventory[[#This Row],[crop_value]]+Wapato_Inventory[[#This Row],[final_land]]+Wapato_Inventory[[#This Row],[final_imp]]</f>
        <v>64500</v>
      </c>
      <c r="CH101" t="str">
        <f t="shared" si="1"/>
        <v>update valuation set market_land =57700, market_bldg=6800, market_total =64500, market_mdno =405, market_date ='9/10/2023' where link_id = (select link_id from parcel where parcel_year = '2024' and parcel_id = '19111014026');</v>
      </c>
    </row>
    <row r="102" spans="1:86" x14ac:dyDescent="0.25">
      <c r="A102">
        <v>19111014027</v>
      </c>
      <c r="B102">
        <v>1.02</v>
      </c>
      <c r="C102">
        <v>44290</v>
      </c>
      <c r="D102" t="s">
        <v>144</v>
      </c>
      <c r="E102" t="s">
        <v>54</v>
      </c>
      <c r="F102" t="s">
        <v>54</v>
      </c>
      <c r="G102">
        <v>3</v>
      </c>
      <c r="H102" t="s">
        <v>55</v>
      </c>
      <c r="I102">
        <v>148200</v>
      </c>
      <c r="J102">
        <v>46000</v>
      </c>
      <c r="K102">
        <v>1.02</v>
      </c>
      <c r="L102">
        <f>IF(Wapato_Inventory[[#This Row],[parcel_acres]]-Wapato_Inventory[[#This Row],[non_valued_acres]] =0,0,LN(Wapato_Inventory[[#This Row],[parcel_acres]]-Wapato_Inventory[[#This Row],[non_valued_acres]]))</f>
        <v>1.980262729617973E-2</v>
      </c>
      <c r="M102">
        <v>0</v>
      </c>
      <c r="N102">
        <v>0</v>
      </c>
      <c r="O102">
        <v>0</v>
      </c>
      <c r="P102">
        <v>27904.037</v>
      </c>
      <c r="Q102">
        <v>74398</v>
      </c>
      <c r="R102" s="3">
        <f>(Wapato_Inventory[[#This Row],[ln_acres]]*Wapato_Inventory[[#This Row],[coeff]])+Wapato_Inventory[[#This Row],[const]]</f>
        <v>74950.57324476981</v>
      </c>
      <c r="S102" t="s">
        <v>66</v>
      </c>
      <c r="T102">
        <v>1</v>
      </c>
      <c r="U102" t="s">
        <v>71</v>
      </c>
      <c r="V102" t="s">
        <v>68</v>
      </c>
      <c r="W102">
        <v>0</v>
      </c>
      <c r="X102">
        <v>0</v>
      </c>
      <c r="Y102">
        <v>53</v>
      </c>
      <c r="Z102">
        <v>93</v>
      </c>
      <c r="AA102">
        <v>100</v>
      </c>
      <c r="AB102">
        <v>1000</v>
      </c>
      <c r="AC102">
        <v>864</v>
      </c>
      <c r="AD102">
        <v>864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48</v>
      </c>
      <c r="AO102">
        <v>0</v>
      </c>
      <c r="AP102">
        <v>5</v>
      </c>
      <c r="AQ102">
        <v>0</v>
      </c>
      <c r="AR102">
        <v>0</v>
      </c>
      <c r="AS102" t="s">
        <v>59</v>
      </c>
      <c r="AT102">
        <v>1</v>
      </c>
      <c r="AU102" t="s">
        <v>64</v>
      </c>
      <c r="AV102" t="s">
        <v>61</v>
      </c>
      <c r="AW102">
        <v>0</v>
      </c>
      <c r="AX102">
        <v>3</v>
      </c>
      <c r="AY102">
        <v>0</v>
      </c>
      <c r="AZ102">
        <v>18100</v>
      </c>
      <c r="BA102">
        <v>100</v>
      </c>
      <c r="BB102">
        <v>100</v>
      </c>
      <c r="BC102">
        <v>100</v>
      </c>
      <c r="BD102">
        <v>100</v>
      </c>
      <c r="BE102">
        <v>1</v>
      </c>
      <c r="BF102">
        <v>15000</v>
      </c>
      <c r="BG102">
        <v>1000</v>
      </c>
      <c r="BH102" s="7">
        <f>ROUND(Wapato_Inventory[[#This Row],[detatched_value]]*Lookups!$B$22*Lookups!$H$48,-2)</f>
        <v>16200</v>
      </c>
      <c r="BI102" s="7">
        <f>ROUND(((Wapato_Inventory[[#This Row],[land_extract]]*Lookups!$B$3) +(Lookups!$B$2*0.5))*Lookups!$H$48,-2)</f>
        <v>58300</v>
      </c>
      <c r="BJ102" s="7">
        <f>IF(Wapato_Inventory[[#This Row],[bldg_style]]="",0,Lookups!$B$2*0.5)</f>
        <v>53765.27</v>
      </c>
      <c r="BK102" s="7">
        <f>_xlfn.IFNA(VLOOKUP(Wapato_Inventory[[#This Row],[quality]],Lookups!$H$2:$J$14,3,FALSE),0)</f>
        <v>28034</v>
      </c>
      <c r="BL102" s="7">
        <f>_xlfn.IFNA(VLOOKUP(Wapato_Inventory[[#This Row],[condition]],Lookups!$H$17:$J$24,3,FALSE),0)</f>
        <v>52231</v>
      </c>
      <c r="BM102" s="7">
        <f>Wapato_Inventory[[#This Row],[Age]]*Lookups!$B$16</f>
        <v>-34472.840100000001</v>
      </c>
      <c r="BN102" s="7">
        <f>Wapato_Inventory[[#This Row],[Main Floor]]*Lookups!$B$17</f>
        <v>36115.838495999997</v>
      </c>
      <c r="BO102" s="7">
        <f>Wapato_Inventory[[#This Row],[Upper Floor]]*Lookups!$B$18</f>
        <v>0</v>
      </c>
      <c r="BP102" s="7">
        <f>Wapato_Inventory[[#This Row],[Fin BSMT]]*Lookups!$B$19</f>
        <v>0</v>
      </c>
      <c r="BQ102" s="7">
        <f>(Wapato_Inventory[[#This Row],[att_gar]]+Wapato_Inventory[[#This Row],[blt_gar]])*Lookups!$B$20</f>
        <v>0</v>
      </c>
      <c r="BR102" s="7">
        <f>Wapato_Inventory[[#This Row],[Patio]]*Lookups!$B$21</f>
        <v>0</v>
      </c>
      <c r="BS102" s="7">
        <f>SUM(Wapato_Inventory[[#This Row],[intercept]:[patio_value]])*Wapato_Inventory[[#This Row],[res_pct]]</f>
        <v>135673.26839599997</v>
      </c>
      <c r="BT102" s="7">
        <f>Wapato_Inventory[[#This Row],[land_value]]</f>
        <v>58300</v>
      </c>
      <c r="BU102" s="2">
        <f>_xlfn.IFNA(VLOOKUP(Wapato_Inventory[[#This Row],[quality]],Lookups!$A$28:$C$37,3,FALSE),1)</f>
        <v>0.96265813922927435</v>
      </c>
      <c r="BV102" s="2">
        <f>_xlfn.IFNA(VLOOKUP(Wapato_Inventory[[#This Row],[condition]],Lookups!$A$41:$C$48,3,FALSE),1)</f>
        <v>0.9832333997567807</v>
      </c>
      <c r="BW102" s="2">
        <f>IF(Wapato_Inventory[[#This Row],[decade]]="",1,_xlfn.IFNA(VLOOKUP(Wapato_Inventory[[#This Row],[decade]],Lookups!$F$28:$H$45,3,FALSE),1))</f>
        <v>1.0114203040664467</v>
      </c>
      <c r="BX102" s="2">
        <f>_xlfn.IFNA(VLOOKUP(Wapato_Inventory[[#This Row],[living_area_range]],Lookups!$K$28:$M$37,3,FALSE),1)</f>
        <v>0.99022994770196116</v>
      </c>
      <c r="BY102" s="2">
        <f>AVERAGE(Wapato_Inventory[[#This Row],[qual_adj]:[range_adj]])</f>
        <v>0.98688544768861564</v>
      </c>
      <c r="BZ102" s="7">
        <f>(Wapato_Inventory[[#This Row],[sum_land]]-IF(Wapato_Inventory[[#This Row],[no_utilities]]=1,12000,0))/IF(Wapato_Inventory[[#This Row],[unbuildable]]=1,2,1)</f>
        <v>58300</v>
      </c>
      <c r="CA102" s="7">
        <f>Wapato_Inventory[[#This Row],[pre_res]]*Wapato_Inventory[[#This Row],[overall_adj]]</f>
        <v>133893.97422036415</v>
      </c>
      <c r="CB102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102" s="3">
        <f>IF(ROUND(Wapato_Inventory[[#This Row],[adj_res]]*Lookups!$H$48,-2)&lt;Wapato_Inventory[[#This Row],[min_res]],Wapato_Inventory[[#This Row],[min_res]],ROUND(Wapato_Inventory[[#This Row],[adj_res]]*Lookups!$H$48,-2))</f>
        <v>127200</v>
      </c>
      <c r="CD102" s="3">
        <f>ROUND(Wapato_Inventory[[#This Row],[det_value]]*Lookups!$H$48,-2)</f>
        <v>15400</v>
      </c>
      <c r="CE102" s="3">
        <f>Wapato_Inventory[[#This Row],[final_res]]+Wapato_Inventory[[#This Row],[final_det]]</f>
        <v>142600</v>
      </c>
      <c r="CF102" s="3">
        <f>Wapato_Inventory[[#This Row],[crop_value]]+Wapato_Inventory[[#This Row],[final_land]]+Wapato_Inventory[[#This Row],[final_imp]]</f>
        <v>198000</v>
      </c>
      <c r="CH102" t="str">
        <f t="shared" si="1"/>
        <v>update valuation set market_land =55400, market_bldg=142600, market_total =198000, market_mdno =405, market_date ='9/10/2023' where link_id = (select link_id from parcel where parcel_year = '2024' and parcel_id = '19111014027');</v>
      </c>
    </row>
    <row r="103" spans="1:86" x14ac:dyDescent="0.25">
      <c r="A103">
        <v>19111014401</v>
      </c>
      <c r="B103">
        <v>0.38</v>
      </c>
      <c r="C103">
        <v>16388</v>
      </c>
      <c r="D103" t="s">
        <v>144</v>
      </c>
      <c r="E103" t="s">
        <v>54</v>
      </c>
      <c r="F103" t="s">
        <v>54</v>
      </c>
      <c r="G103">
        <v>3</v>
      </c>
      <c r="H103" t="s">
        <v>55</v>
      </c>
      <c r="I103">
        <v>144300</v>
      </c>
      <c r="J103">
        <v>39000</v>
      </c>
      <c r="K103">
        <v>0.38</v>
      </c>
      <c r="L103">
        <f>IF(Wapato_Inventory[[#This Row],[parcel_acres]]-Wapato_Inventory[[#This Row],[non_valued_acres]] =0,0,LN(Wapato_Inventory[[#This Row],[parcel_acres]]-Wapato_Inventory[[#This Row],[non_valued_acres]]))</f>
        <v>-0.96758402626170559</v>
      </c>
      <c r="M103">
        <v>0</v>
      </c>
      <c r="N103">
        <v>0</v>
      </c>
      <c r="O103">
        <v>0</v>
      </c>
      <c r="P103">
        <v>27904.037</v>
      </c>
      <c r="Q103">
        <v>74398</v>
      </c>
      <c r="R103" s="3">
        <f>(Wapato_Inventory[[#This Row],[ln_acres]]*Wapato_Inventory[[#This Row],[coeff]])+Wapato_Inventory[[#This Row],[const]]</f>
        <v>47398.499530584391</v>
      </c>
      <c r="S103" t="s">
        <v>66</v>
      </c>
      <c r="T103">
        <v>1</v>
      </c>
      <c r="U103" t="s">
        <v>71</v>
      </c>
      <c r="V103" t="s">
        <v>68</v>
      </c>
      <c r="W103">
        <v>0</v>
      </c>
      <c r="X103">
        <v>0</v>
      </c>
      <c r="Y103">
        <v>55</v>
      </c>
      <c r="Z103">
        <v>98</v>
      </c>
      <c r="AA103">
        <v>100</v>
      </c>
      <c r="AB103">
        <v>1000</v>
      </c>
      <c r="AC103">
        <v>986</v>
      </c>
      <c r="AD103">
        <v>986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110</v>
      </c>
      <c r="AM103">
        <v>0</v>
      </c>
      <c r="AN103">
        <v>0</v>
      </c>
      <c r="AO103">
        <v>110</v>
      </c>
      <c r="AP103">
        <v>5</v>
      </c>
      <c r="AQ103">
        <v>1</v>
      </c>
      <c r="AR103">
        <v>0</v>
      </c>
      <c r="AS103" t="s">
        <v>59</v>
      </c>
      <c r="AT103">
        <v>1</v>
      </c>
      <c r="AU103" t="s">
        <v>60</v>
      </c>
      <c r="AV103" t="s">
        <v>61</v>
      </c>
      <c r="AW103">
        <v>1</v>
      </c>
      <c r="AX103">
        <v>2</v>
      </c>
      <c r="AY103">
        <v>0</v>
      </c>
      <c r="AZ103">
        <v>0</v>
      </c>
      <c r="BA103">
        <v>100</v>
      </c>
      <c r="BB103">
        <v>100</v>
      </c>
      <c r="BC103">
        <v>100</v>
      </c>
      <c r="BD103">
        <v>100</v>
      </c>
      <c r="BE103">
        <v>1</v>
      </c>
      <c r="BF103">
        <v>15000</v>
      </c>
      <c r="BG103">
        <v>1000</v>
      </c>
      <c r="BH103" s="7">
        <f>ROUND(Wapato_Inventory[[#This Row],[detatched_value]]*Lookups!$B$22*Lookups!$H$48,-2)</f>
        <v>0</v>
      </c>
      <c r="BI103" s="7">
        <f>ROUND(((Wapato_Inventory[[#This Row],[land_extract]]*Lookups!$B$3) +(Lookups!$B$2*0.5))*Lookups!$H$48,-2)</f>
        <v>55700</v>
      </c>
      <c r="BJ103" s="7">
        <f>IF(Wapato_Inventory[[#This Row],[bldg_style]]="",0,Lookups!$B$2*0.5)</f>
        <v>53765.27</v>
      </c>
      <c r="BK103" s="7">
        <f>_xlfn.IFNA(VLOOKUP(Wapato_Inventory[[#This Row],[quality]],Lookups!$H$2:$J$14,3,FALSE),0)</f>
        <v>28034</v>
      </c>
      <c r="BL103" s="7">
        <f>_xlfn.IFNA(VLOOKUP(Wapato_Inventory[[#This Row],[condition]],Lookups!$H$17:$J$24,3,FALSE),0)</f>
        <v>52231</v>
      </c>
      <c r="BM103" s="7">
        <f>Wapato_Inventory[[#This Row],[Age]]*Lookups!$B$16</f>
        <v>-36326.2186</v>
      </c>
      <c r="BN103" s="7">
        <f>Wapato_Inventory[[#This Row],[Main Floor]]*Lookups!$B$17</f>
        <v>41215.528654000002</v>
      </c>
      <c r="BO103" s="7">
        <f>Wapato_Inventory[[#This Row],[Upper Floor]]*Lookups!$B$18</f>
        <v>0</v>
      </c>
      <c r="BP103" s="7">
        <f>Wapato_Inventory[[#This Row],[Fin BSMT]]*Lookups!$B$19</f>
        <v>0</v>
      </c>
      <c r="BQ103" s="7">
        <f>(Wapato_Inventory[[#This Row],[att_gar]]+Wapato_Inventory[[#This Row],[blt_gar]])*Lookups!$B$20</f>
        <v>0</v>
      </c>
      <c r="BR103" s="7">
        <f>Wapato_Inventory[[#This Row],[Patio]]*Lookups!$B$21</f>
        <v>0</v>
      </c>
      <c r="BS103" s="7">
        <f>SUM(Wapato_Inventory[[#This Row],[intercept]:[patio_value]])*Wapato_Inventory[[#This Row],[res_pct]]</f>
        <v>138919.58005399999</v>
      </c>
      <c r="BT103" s="7">
        <f>Wapato_Inventory[[#This Row],[land_value]]</f>
        <v>55700</v>
      </c>
      <c r="BU103" s="2">
        <f>_xlfn.IFNA(VLOOKUP(Wapato_Inventory[[#This Row],[quality]],Lookups!$A$28:$C$37,3,FALSE),1)</f>
        <v>0.96265813922927435</v>
      </c>
      <c r="BV103" s="2">
        <f>_xlfn.IFNA(VLOOKUP(Wapato_Inventory[[#This Row],[condition]],Lookups!$A$41:$C$48,3,FALSE),1)</f>
        <v>0.9832333997567807</v>
      </c>
      <c r="BW103" s="2">
        <f>IF(Wapato_Inventory[[#This Row],[decade]]="",1,_xlfn.IFNA(VLOOKUP(Wapato_Inventory[[#This Row],[decade]],Lookups!$F$28:$H$45,3,FALSE),1))</f>
        <v>1.0114203040664467</v>
      </c>
      <c r="BX103" s="2">
        <f>_xlfn.IFNA(VLOOKUP(Wapato_Inventory[[#This Row],[living_area_range]],Lookups!$K$28:$M$37,3,FALSE),1)</f>
        <v>0.99022994770196116</v>
      </c>
      <c r="BY103" s="2">
        <f>AVERAGE(Wapato_Inventory[[#This Row],[qual_adj]:[range_adj]])</f>
        <v>0.98688544768861564</v>
      </c>
      <c r="BZ103" s="7">
        <f>(Wapato_Inventory[[#This Row],[sum_land]]-IF(Wapato_Inventory[[#This Row],[no_utilities]]=1,12000,0))/IF(Wapato_Inventory[[#This Row],[unbuildable]]=1,2,1)</f>
        <v>55700</v>
      </c>
      <c r="CA103" s="7">
        <f>Wapato_Inventory[[#This Row],[pre_res]]*Wapato_Inventory[[#This Row],[overall_adj]]</f>
        <v>137097.71195430626</v>
      </c>
      <c r="CB103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103" s="3">
        <f>IF(ROUND(Wapato_Inventory[[#This Row],[adj_res]]*Lookups!$H$48,-2)&lt;Wapato_Inventory[[#This Row],[min_res]],Wapato_Inventory[[#This Row],[min_res]],ROUND(Wapato_Inventory[[#This Row],[adj_res]]*Lookups!$H$48,-2))</f>
        <v>130200</v>
      </c>
      <c r="CD103" s="3">
        <f>ROUND(Wapato_Inventory[[#This Row],[det_value]]*Lookups!$H$48,-2)</f>
        <v>0</v>
      </c>
      <c r="CE103" s="3">
        <f>Wapato_Inventory[[#This Row],[final_res]]+Wapato_Inventory[[#This Row],[final_det]]</f>
        <v>130200</v>
      </c>
      <c r="CF103" s="3">
        <f>Wapato_Inventory[[#This Row],[crop_value]]+Wapato_Inventory[[#This Row],[final_land]]+Wapato_Inventory[[#This Row],[final_imp]]</f>
        <v>183100</v>
      </c>
      <c r="CH103" t="str">
        <f t="shared" si="1"/>
        <v>update valuation set market_land =52900, market_bldg=130200, market_total =183100, market_mdno =405, market_date ='9/10/2023' where link_id = (select link_id from parcel where parcel_year = '2024' and parcel_id = '19111014401');</v>
      </c>
    </row>
    <row r="104" spans="1:86" x14ac:dyDescent="0.25">
      <c r="A104">
        <v>19111014403</v>
      </c>
      <c r="B104">
        <v>2.3199999999999998</v>
      </c>
      <c r="C104" t="s">
        <v>144</v>
      </c>
      <c r="D104" t="s">
        <v>144</v>
      </c>
      <c r="E104" t="s">
        <v>54</v>
      </c>
      <c r="F104" t="s">
        <v>54</v>
      </c>
      <c r="G104">
        <v>3</v>
      </c>
      <c r="H104" t="s">
        <v>55</v>
      </c>
      <c r="I104">
        <v>265700</v>
      </c>
      <c r="J104">
        <v>51900</v>
      </c>
      <c r="K104">
        <v>2.3199999999999998</v>
      </c>
      <c r="L104">
        <f>IF(Wapato_Inventory[[#This Row],[parcel_acres]]-Wapato_Inventory[[#This Row],[non_valued_acres]] =0,0,LN(Wapato_Inventory[[#This Row],[parcel_acres]]-Wapato_Inventory[[#This Row],[non_valued_acres]]))</f>
        <v>0.84156718567821853</v>
      </c>
      <c r="M104">
        <v>0</v>
      </c>
      <c r="N104">
        <v>0</v>
      </c>
      <c r="O104">
        <v>0</v>
      </c>
      <c r="P104">
        <v>27904.037</v>
      </c>
      <c r="Q104">
        <v>74398</v>
      </c>
      <c r="R104" s="3">
        <f>(Wapato_Inventory[[#This Row],[ln_acres]]*Wapato_Inventory[[#This Row],[coeff]])+Wapato_Inventory[[#This Row],[const]]</f>
        <v>97881.121887150875</v>
      </c>
      <c r="S104" t="s">
        <v>56</v>
      </c>
      <c r="T104">
        <v>2</v>
      </c>
      <c r="U104" t="s">
        <v>67</v>
      </c>
      <c r="V104" t="s">
        <v>69</v>
      </c>
      <c r="W104">
        <v>0</v>
      </c>
      <c r="X104">
        <v>0</v>
      </c>
      <c r="Y104">
        <v>38</v>
      </c>
      <c r="Z104">
        <v>38</v>
      </c>
      <c r="AA104">
        <v>40</v>
      </c>
      <c r="AB104">
        <v>2500</v>
      </c>
      <c r="AC104">
        <v>2300</v>
      </c>
      <c r="AD104">
        <v>1800</v>
      </c>
      <c r="AE104">
        <v>500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1092</v>
      </c>
      <c r="AN104">
        <v>0</v>
      </c>
      <c r="AO104">
        <v>160</v>
      </c>
      <c r="AP104">
        <v>8</v>
      </c>
      <c r="AQ104">
        <v>0</v>
      </c>
      <c r="AR104">
        <v>0</v>
      </c>
      <c r="AS104" t="s">
        <v>59</v>
      </c>
      <c r="AT104">
        <v>1</v>
      </c>
      <c r="AU104" t="s">
        <v>72</v>
      </c>
      <c r="AV104" t="s">
        <v>61</v>
      </c>
      <c r="AW104">
        <v>0</v>
      </c>
      <c r="AX104">
        <v>4</v>
      </c>
      <c r="AY104">
        <v>0</v>
      </c>
      <c r="AZ104">
        <v>3600</v>
      </c>
      <c r="BA104">
        <v>100</v>
      </c>
      <c r="BB104">
        <v>100</v>
      </c>
      <c r="BC104">
        <v>100</v>
      </c>
      <c r="BD104">
        <v>100</v>
      </c>
      <c r="BE104">
        <v>1</v>
      </c>
      <c r="BF104">
        <v>15000</v>
      </c>
      <c r="BG104">
        <v>1000</v>
      </c>
      <c r="BH104" s="7">
        <f>ROUND(Wapato_Inventory[[#This Row],[detatched_value]]*Lookups!$B$22*Lookups!$H$48,-2)</f>
        <v>3200</v>
      </c>
      <c r="BI104" s="7">
        <f>ROUND(((Wapato_Inventory[[#This Row],[land_extract]]*Lookups!$B$3) +(Lookups!$B$2*0.5))*Lookups!$H$48,-2)</f>
        <v>60500</v>
      </c>
      <c r="BJ104" s="7">
        <f>IF(Wapato_Inventory[[#This Row],[bldg_style]]="",0,Lookups!$B$2*0.5)</f>
        <v>53765.27</v>
      </c>
      <c r="BK104" s="7">
        <f>_xlfn.IFNA(VLOOKUP(Wapato_Inventory[[#This Row],[quality]],Lookups!$H$2:$J$14,3,FALSE),0)</f>
        <v>50405</v>
      </c>
      <c r="BL104" s="7">
        <f>_xlfn.IFNA(VLOOKUP(Wapato_Inventory[[#This Row],[condition]],Lookups!$H$17:$J$24,3,FALSE),0)</f>
        <v>74543</v>
      </c>
      <c r="BM104" s="7">
        <f>Wapato_Inventory[[#This Row],[Age]]*Lookups!$B$16</f>
        <v>-14085.676600000001</v>
      </c>
      <c r="BN104" s="7">
        <f>Wapato_Inventory[[#This Row],[Main Floor]]*Lookups!$B$17</f>
        <v>75241.330199999997</v>
      </c>
      <c r="BO104" s="7">
        <f>Wapato_Inventory[[#This Row],[Upper Floor]]*Lookups!$B$18</f>
        <v>24800.569500000001</v>
      </c>
      <c r="BP104" s="7">
        <f>Wapato_Inventory[[#This Row],[Fin BSMT]]*Lookups!$B$19</f>
        <v>0</v>
      </c>
      <c r="BQ104" s="7">
        <f>(Wapato_Inventory[[#This Row],[att_gar]]+Wapato_Inventory[[#This Row],[blt_gar]])*Lookups!$B$20</f>
        <v>0</v>
      </c>
      <c r="BR104" s="7">
        <f>Wapato_Inventory[[#This Row],[Patio]]*Lookups!$B$21</f>
        <v>47309.785068000005</v>
      </c>
      <c r="BS104" s="7">
        <f>SUM(Wapato_Inventory[[#This Row],[intercept]:[patio_value]])*Wapato_Inventory[[#This Row],[res_pct]]</f>
        <v>311979.27816799999</v>
      </c>
      <c r="BT104" s="7">
        <f>Wapato_Inventory[[#This Row],[land_value]]</f>
        <v>60500</v>
      </c>
      <c r="BU104" s="2">
        <f>_xlfn.IFNA(VLOOKUP(Wapato_Inventory[[#This Row],[quality]],Lookups!$A$28:$C$37,3,FALSE),1)</f>
        <v>0.97993206410140754</v>
      </c>
      <c r="BV104" s="2">
        <f>_xlfn.IFNA(VLOOKUP(Wapato_Inventory[[#This Row],[condition]],Lookups!$A$41:$C$48,3,FALSE),1)</f>
        <v>0.98442438223270734</v>
      </c>
      <c r="BW104" s="2">
        <f>IF(Wapato_Inventory[[#This Row],[decade]]="",1,_xlfn.IFNA(VLOOKUP(Wapato_Inventory[[#This Row],[decade]],Lookups!$F$28:$H$45,3,FALSE),1))</f>
        <v>1.0327621624630683</v>
      </c>
      <c r="BX104" s="2">
        <f>_xlfn.IFNA(VLOOKUP(Wapato_Inventory[[#This Row],[living_area_range]],Lookups!$K$28:$M$37,3,FALSE),1)</f>
        <v>0.90813907160181651</v>
      </c>
      <c r="BY104" s="2">
        <f>AVERAGE(Wapato_Inventory[[#This Row],[qual_adj]:[range_adj]])</f>
        <v>0.97631442009975</v>
      </c>
      <c r="BZ104" s="7">
        <f>(Wapato_Inventory[[#This Row],[sum_land]]-IF(Wapato_Inventory[[#This Row],[no_utilities]]=1,12000,0))/IF(Wapato_Inventory[[#This Row],[unbuildable]]=1,2,1)</f>
        <v>60500</v>
      </c>
      <c r="CA104" s="7">
        <f>Wapato_Inventory[[#This Row],[pre_res]]*Wapato_Inventory[[#This Row],[overall_adj]]</f>
        <v>304589.86804772948</v>
      </c>
      <c r="CB104" s="3">
        <f>IF(ROUND(Wapato_Inventory[[#This Row],[adj_land]]*Lookups!$H$48,-2)&lt;Wapato_Inventory[[#This Row],[min_land]],Wapato_Inventory[[#This Row],[min_land]],ROUND(Wapato_Inventory[[#This Row],[adj_land]]*Lookups!$H$48,-2))</f>
        <v>57500</v>
      </c>
      <c r="CC104" s="3">
        <f>IF(ROUND(Wapato_Inventory[[#This Row],[adj_res]]*Lookups!$H$48,-2)&lt;Wapato_Inventory[[#This Row],[min_res]],Wapato_Inventory[[#This Row],[min_res]],ROUND(Wapato_Inventory[[#This Row],[adj_res]]*Lookups!$H$48,-2))</f>
        <v>289400</v>
      </c>
      <c r="CD104" s="3">
        <f>ROUND(Wapato_Inventory[[#This Row],[det_value]]*Lookups!$H$48,-2)</f>
        <v>3000</v>
      </c>
      <c r="CE104" s="3">
        <f>Wapato_Inventory[[#This Row],[final_res]]+Wapato_Inventory[[#This Row],[final_det]]</f>
        <v>292400</v>
      </c>
      <c r="CF104" s="3">
        <f>Wapato_Inventory[[#This Row],[crop_value]]+Wapato_Inventory[[#This Row],[final_land]]+Wapato_Inventory[[#This Row],[final_imp]]</f>
        <v>349900</v>
      </c>
      <c r="CH104" t="str">
        <f t="shared" si="1"/>
        <v>update valuation set market_land =57500, market_bldg=292400, market_total =349900, market_mdno =405, market_date ='9/10/2023' where link_id = (select link_id from parcel where parcel_year = '2024' and parcel_id = '19111014403');</v>
      </c>
    </row>
    <row r="105" spans="1:86" x14ac:dyDescent="0.25">
      <c r="A105">
        <v>19111014404</v>
      </c>
      <c r="B105">
        <v>0.87</v>
      </c>
      <c r="C105">
        <v>38051</v>
      </c>
      <c r="D105" t="s">
        <v>144</v>
      </c>
      <c r="E105" t="s">
        <v>54</v>
      </c>
      <c r="F105" t="s">
        <v>54</v>
      </c>
      <c r="G105">
        <v>3</v>
      </c>
      <c r="H105" t="s">
        <v>55</v>
      </c>
      <c r="I105">
        <v>289400</v>
      </c>
      <c r="J105">
        <v>44900</v>
      </c>
      <c r="K105">
        <v>0.87</v>
      </c>
      <c r="L105">
        <f>IF(Wapato_Inventory[[#This Row],[parcel_acres]]-Wapato_Inventory[[#This Row],[non_valued_acres]] =0,0,LN(Wapato_Inventory[[#This Row],[parcel_acres]]-Wapato_Inventory[[#This Row],[non_valued_acres]]))</f>
        <v>-0.13926206733350766</v>
      </c>
      <c r="M105">
        <v>0</v>
      </c>
      <c r="N105">
        <v>0</v>
      </c>
      <c r="O105">
        <v>0</v>
      </c>
      <c r="P105">
        <v>27904.037</v>
      </c>
      <c r="Q105">
        <v>74398</v>
      </c>
      <c r="R105" s="3">
        <f>(Wapato_Inventory[[#This Row],[ln_acres]]*Wapato_Inventory[[#This Row],[coeff]])+Wapato_Inventory[[#This Row],[const]]</f>
        <v>70512.026120429306</v>
      </c>
      <c r="S105" t="s">
        <v>62</v>
      </c>
      <c r="T105">
        <v>1</v>
      </c>
      <c r="U105" t="s">
        <v>75</v>
      </c>
      <c r="V105" t="s">
        <v>68</v>
      </c>
      <c r="W105">
        <v>0</v>
      </c>
      <c r="X105">
        <v>0</v>
      </c>
      <c r="Y105">
        <v>53</v>
      </c>
      <c r="Z105">
        <v>93</v>
      </c>
      <c r="AA105">
        <v>100</v>
      </c>
      <c r="AB105">
        <v>2500</v>
      </c>
      <c r="AC105">
        <v>2083</v>
      </c>
      <c r="AD105">
        <v>2083</v>
      </c>
      <c r="AE105">
        <v>0</v>
      </c>
      <c r="AF105">
        <v>0</v>
      </c>
      <c r="AG105">
        <v>0</v>
      </c>
      <c r="AH105">
        <v>409</v>
      </c>
      <c r="AI105">
        <v>768</v>
      </c>
      <c r="AJ105">
        <v>0</v>
      </c>
      <c r="AK105">
        <v>0</v>
      </c>
      <c r="AL105">
        <v>0</v>
      </c>
      <c r="AM105">
        <v>576</v>
      </c>
      <c r="AN105">
        <v>0</v>
      </c>
      <c r="AO105">
        <v>0</v>
      </c>
      <c r="AP105">
        <v>8</v>
      </c>
      <c r="AQ105">
        <v>1</v>
      </c>
      <c r="AR105">
        <v>0</v>
      </c>
      <c r="AS105" t="s">
        <v>59</v>
      </c>
      <c r="AT105">
        <v>1</v>
      </c>
      <c r="AU105" t="s">
        <v>60</v>
      </c>
      <c r="AV105" t="s">
        <v>61</v>
      </c>
      <c r="AW105">
        <v>1</v>
      </c>
      <c r="AX105">
        <v>4</v>
      </c>
      <c r="AY105">
        <v>0</v>
      </c>
      <c r="AZ105">
        <v>16400</v>
      </c>
      <c r="BA105">
        <v>100</v>
      </c>
      <c r="BB105">
        <v>100</v>
      </c>
      <c r="BC105">
        <v>100</v>
      </c>
      <c r="BD105">
        <v>100</v>
      </c>
      <c r="BE105">
        <v>1</v>
      </c>
      <c r="BF105">
        <v>15000</v>
      </c>
      <c r="BG105">
        <v>1000</v>
      </c>
      <c r="BH105" s="7">
        <f>ROUND(Wapato_Inventory[[#This Row],[detatched_value]]*Lookups!$B$22*Lookups!$H$48,-2)</f>
        <v>14600</v>
      </c>
      <c r="BI105" s="7">
        <f>ROUND(((Wapato_Inventory[[#This Row],[land_extract]]*Lookups!$B$3) +(Lookups!$B$2*0.5))*Lookups!$H$48,-2)</f>
        <v>57900</v>
      </c>
      <c r="BJ105" s="7">
        <f>IF(Wapato_Inventory[[#This Row],[bldg_style]]="",0,Lookups!$B$2*0.5)</f>
        <v>53765.27</v>
      </c>
      <c r="BK105" s="7">
        <f>_xlfn.IFNA(VLOOKUP(Wapato_Inventory[[#This Row],[quality]],Lookups!$H$2:$J$14,3,FALSE),0)</f>
        <v>48043</v>
      </c>
      <c r="BL105" s="7">
        <f>_xlfn.IFNA(VLOOKUP(Wapato_Inventory[[#This Row],[condition]],Lookups!$H$17:$J$24,3,FALSE),0)</f>
        <v>52231</v>
      </c>
      <c r="BM105" s="7">
        <f>Wapato_Inventory[[#This Row],[Age]]*Lookups!$B$16</f>
        <v>-34472.840100000001</v>
      </c>
      <c r="BN105" s="7">
        <f>Wapato_Inventory[[#This Row],[Main Floor]]*Lookups!$B$17</f>
        <v>87070.939337000003</v>
      </c>
      <c r="BO105" s="7">
        <f>Wapato_Inventory[[#This Row],[Upper Floor]]*Lookups!$B$18</f>
        <v>0</v>
      </c>
      <c r="BP105" s="7">
        <f>Wapato_Inventory[[#This Row],[Fin BSMT]]*Lookups!$B$19</f>
        <v>0</v>
      </c>
      <c r="BQ105" s="7">
        <f>(Wapato_Inventory[[#This Row],[att_gar]]+Wapato_Inventory[[#This Row],[blt_gar]])*Lookups!$B$20</f>
        <v>28422.721536000001</v>
      </c>
      <c r="BR105" s="7">
        <f>Wapato_Inventory[[#This Row],[Patio]]*Lookups!$B$21</f>
        <v>24954.611904000001</v>
      </c>
      <c r="BS105" s="7">
        <f>SUM(Wapato_Inventory[[#This Row],[intercept]:[patio_value]])*Wapato_Inventory[[#This Row],[res_pct]]</f>
        <v>260014.70267699999</v>
      </c>
      <c r="BT105" s="7">
        <f>Wapato_Inventory[[#This Row],[land_value]]</f>
        <v>57900</v>
      </c>
      <c r="BU105" s="2">
        <f>_xlfn.IFNA(VLOOKUP(Wapato_Inventory[[#This Row],[quality]],Lookups!$A$28:$C$37,3,FALSE),1)</f>
        <v>0.98196844879778955</v>
      </c>
      <c r="BV105" s="2">
        <f>_xlfn.IFNA(VLOOKUP(Wapato_Inventory[[#This Row],[condition]],Lookups!$A$41:$C$48,3,FALSE),1)</f>
        <v>0.9832333997567807</v>
      </c>
      <c r="BW105" s="2">
        <f>IF(Wapato_Inventory[[#This Row],[decade]]="",1,_xlfn.IFNA(VLOOKUP(Wapato_Inventory[[#This Row],[decade]],Lookups!$F$28:$H$45,3,FALSE),1))</f>
        <v>1.0114203040664467</v>
      </c>
      <c r="BX105" s="2">
        <f>_xlfn.IFNA(VLOOKUP(Wapato_Inventory[[#This Row],[living_area_range]],Lookups!$K$28:$M$37,3,FALSE),1)</f>
        <v>0.90813907160181651</v>
      </c>
      <c r="BY105" s="2">
        <f>AVERAGE(Wapato_Inventory[[#This Row],[qual_adj]:[range_adj]])</f>
        <v>0.97119030605570833</v>
      </c>
      <c r="BZ105" s="7">
        <f>(Wapato_Inventory[[#This Row],[sum_land]]-IF(Wapato_Inventory[[#This Row],[no_utilities]]=1,12000,0))/IF(Wapato_Inventory[[#This Row],[unbuildable]]=1,2,1)</f>
        <v>57900</v>
      </c>
      <c r="CA105" s="7">
        <f>Wapato_Inventory[[#This Row],[pre_res]]*Wapato_Inventory[[#This Row],[overall_adj]]</f>
        <v>252523.75867185963</v>
      </c>
      <c r="CB105" s="3">
        <f>IF(ROUND(Wapato_Inventory[[#This Row],[adj_land]]*Lookups!$H$48,-2)&lt;Wapato_Inventory[[#This Row],[min_land]],Wapato_Inventory[[#This Row],[min_land]],ROUND(Wapato_Inventory[[#This Row],[adj_land]]*Lookups!$H$48,-2))</f>
        <v>55000</v>
      </c>
      <c r="CC105" s="3">
        <f>IF(ROUND(Wapato_Inventory[[#This Row],[adj_res]]*Lookups!$H$48,-2)&lt;Wapato_Inventory[[#This Row],[min_res]],Wapato_Inventory[[#This Row],[min_res]],ROUND(Wapato_Inventory[[#This Row],[adj_res]]*Lookups!$H$48,-2))</f>
        <v>239900</v>
      </c>
      <c r="CD105" s="3">
        <f>ROUND(Wapato_Inventory[[#This Row],[det_value]]*Lookups!$H$48,-2)</f>
        <v>13900</v>
      </c>
      <c r="CE105" s="3">
        <f>Wapato_Inventory[[#This Row],[final_res]]+Wapato_Inventory[[#This Row],[final_det]]</f>
        <v>253800</v>
      </c>
      <c r="CF105" s="3">
        <f>Wapato_Inventory[[#This Row],[crop_value]]+Wapato_Inventory[[#This Row],[final_land]]+Wapato_Inventory[[#This Row],[final_imp]]</f>
        <v>308800</v>
      </c>
      <c r="CH105" t="str">
        <f t="shared" si="1"/>
        <v>update valuation set market_land =55000, market_bldg=253800, market_total =308800, market_mdno =405, market_date ='9/10/2023' where link_id = (select link_id from parcel where parcel_year = '2024' and parcel_id = '19111014404');</v>
      </c>
    </row>
    <row r="106" spans="1:86" x14ac:dyDescent="0.25">
      <c r="A106">
        <v>19111014414</v>
      </c>
      <c r="B106">
        <v>2.09</v>
      </c>
      <c r="C106">
        <v>91226</v>
      </c>
      <c r="D106" t="s">
        <v>144</v>
      </c>
      <c r="E106" t="s">
        <v>54</v>
      </c>
      <c r="F106" t="s">
        <v>54</v>
      </c>
      <c r="G106">
        <v>3</v>
      </c>
      <c r="H106" t="s">
        <v>55</v>
      </c>
      <c r="I106">
        <v>384500</v>
      </c>
      <c r="J106">
        <v>51200</v>
      </c>
      <c r="K106">
        <v>2.09</v>
      </c>
      <c r="L106">
        <f>IF(Wapato_Inventory[[#This Row],[parcel_acres]]-Wapato_Inventory[[#This Row],[non_valued_acres]] =0,0,LN(Wapato_Inventory[[#This Row],[parcel_acres]]-Wapato_Inventory[[#This Row],[non_valued_acres]]))</f>
        <v>0.73716406597671957</v>
      </c>
      <c r="M106">
        <v>0</v>
      </c>
      <c r="N106">
        <v>0</v>
      </c>
      <c r="O106">
        <v>0</v>
      </c>
      <c r="P106">
        <v>27904.037</v>
      </c>
      <c r="Q106">
        <v>74398</v>
      </c>
      <c r="R106" s="3">
        <f>(Wapato_Inventory[[#This Row],[ln_acres]]*Wapato_Inventory[[#This Row],[coeff]])+Wapato_Inventory[[#This Row],[const]]</f>
        <v>94967.853372084821</v>
      </c>
      <c r="S106" t="s">
        <v>62</v>
      </c>
      <c r="T106">
        <v>1</v>
      </c>
      <c r="U106" t="s">
        <v>63</v>
      </c>
      <c r="V106" t="s">
        <v>68</v>
      </c>
      <c r="W106">
        <v>0</v>
      </c>
      <c r="X106">
        <v>0</v>
      </c>
      <c r="Y106">
        <v>47</v>
      </c>
      <c r="Z106">
        <v>57</v>
      </c>
      <c r="AA106">
        <v>60</v>
      </c>
      <c r="AB106">
        <v>2500</v>
      </c>
      <c r="AC106">
        <v>2334</v>
      </c>
      <c r="AD106">
        <v>1844</v>
      </c>
      <c r="AE106">
        <v>0</v>
      </c>
      <c r="AF106">
        <v>0</v>
      </c>
      <c r="AG106">
        <v>490</v>
      </c>
      <c r="AH106">
        <v>994</v>
      </c>
      <c r="AI106">
        <v>550</v>
      </c>
      <c r="AJ106">
        <v>0</v>
      </c>
      <c r="AK106">
        <v>0</v>
      </c>
      <c r="AL106">
        <v>0</v>
      </c>
      <c r="AM106">
        <v>120</v>
      </c>
      <c r="AN106">
        <v>0</v>
      </c>
      <c r="AO106">
        <v>120</v>
      </c>
      <c r="AP106">
        <v>8</v>
      </c>
      <c r="AQ106">
        <v>0</v>
      </c>
      <c r="AR106">
        <v>1</v>
      </c>
      <c r="AS106" t="s">
        <v>79</v>
      </c>
      <c r="AT106">
        <v>1</v>
      </c>
      <c r="AU106" t="s">
        <v>64</v>
      </c>
      <c r="AV106" t="s">
        <v>61</v>
      </c>
      <c r="AW106">
        <v>1</v>
      </c>
      <c r="AX106">
        <v>2</v>
      </c>
      <c r="AY106">
        <v>0</v>
      </c>
      <c r="AZ106">
        <v>85000</v>
      </c>
      <c r="BA106">
        <v>100</v>
      </c>
      <c r="BB106">
        <v>100</v>
      </c>
      <c r="BC106">
        <v>100</v>
      </c>
      <c r="BD106">
        <v>100</v>
      </c>
      <c r="BE106">
        <v>1</v>
      </c>
      <c r="BF106">
        <v>15000</v>
      </c>
      <c r="BG106">
        <v>1000</v>
      </c>
      <c r="BH106" s="7">
        <f>ROUND(Wapato_Inventory[[#This Row],[detatched_value]]*Lookups!$B$22*Lookups!$H$48,-2)</f>
        <v>75900</v>
      </c>
      <c r="BI106" s="7">
        <f>ROUND(((Wapato_Inventory[[#This Row],[land_extract]]*Lookups!$B$3) +(Lookups!$B$2*0.5))*Lookups!$H$48,-2)</f>
        <v>60200</v>
      </c>
      <c r="BJ106" s="7">
        <f>IF(Wapato_Inventory[[#This Row],[bldg_style]]="",0,Lookups!$B$2*0.5)</f>
        <v>53765.27</v>
      </c>
      <c r="BK106" s="7">
        <f>_xlfn.IFNA(VLOOKUP(Wapato_Inventory[[#This Row],[quality]],Lookups!$H$2:$J$14,3,FALSE),0)</f>
        <v>50594</v>
      </c>
      <c r="BL106" s="7">
        <f>_xlfn.IFNA(VLOOKUP(Wapato_Inventory[[#This Row],[condition]],Lookups!$H$17:$J$24,3,FALSE),0)</f>
        <v>52231</v>
      </c>
      <c r="BM106" s="7">
        <f>Wapato_Inventory[[#This Row],[Age]]*Lookups!$B$16</f>
        <v>-21128.514900000002</v>
      </c>
      <c r="BN106" s="7">
        <f>Wapato_Inventory[[#This Row],[Main Floor]]*Lookups!$B$17</f>
        <v>77080.562716</v>
      </c>
      <c r="BO106" s="7">
        <f>Wapato_Inventory[[#This Row],[Upper Floor]]*Lookups!$B$18</f>
        <v>0</v>
      </c>
      <c r="BP106" s="7">
        <f>Wapato_Inventory[[#This Row],[Fin BSMT]]*Lookups!$B$19</f>
        <v>11939.702600000001</v>
      </c>
      <c r="BQ106" s="7">
        <f>(Wapato_Inventory[[#This Row],[att_gar]]+Wapato_Inventory[[#This Row],[blt_gar]])*Lookups!$B$20</f>
        <v>20354.813600000001</v>
      </c>
      <c r="BR106" s="7">
        <f>Wapato_Inventory[[#This Row],[Patio]]*Lookups!$B$21</f>
        <v>5198.8774800000001</v>
      </c>
      <c r="BS106" s="7">
        <f>SUM(Wapato_Inventory[[#This Row],[intercept]:[patio_value]])*Wapato_Inventory[[#This Row],[res_pct]]</f>
        <v>250035.71149599995</v>
      </c>
      <c r="BT106" s="7">
        <f>Wapato_Inventory[[#This Row],[land_value]]</f>
        <v>60200</v>
      </c>
      <c r="BU106" s="2">
        <f>_xlfn.IFNA(VLOOKUP(Wapato_Inventory[[#This Row],[quality]],Lookups!$A$28:$C$37,3,FALSE),1)</f>
        <v>0.99197423394367223</v>
      </c>
      <c r="BV106" s="2">
        <f>_xlfn.IFNA(VLOOKUP(Wapato_Inventory[[#This Row],[condition]],Lookups!$A$41:$C$48,3,FALSE),1)</f>
        <v>0.9832333997567807</v>
      </c>
      <c r="BW106" s="2">
        <f>IF(Wapato_Inventory[[#This Row],[decade]]="",1,_xlfn.IFNA(VLOOKUP(Wapato_Inventory[[#This Row],[decade]],Lookups!$F$28:$H$45,3,FALSE),1))</f>
        <v>1.035341704162583</v>
      </c>
      <c r="BX106" s="2">
        <f>_xlfn.IFNA(VLOOKUP(Wapato_Inventory[[#This Row],[living_area_range]],Lookups!$K$28:$M$37,3,FALSE),1)</f>
        <v>0.90813907160181651</v>
      </c>
      <c r="BY106" s="2">
        <f>AVERAGE(Wapato_Inventory[[#This Row],[qual_adj]:[range_adj]])</f>
        <v>0.97967210236621316</v>
      </c>
      <c r="BZ106" s="7">
        <f>(Wapato_Inventory[[#This Row],[sum_land]]-IF(Wapato_Inventory[[#This Row],[no_utilities]]=1,12000,0))/IF(Wapato_Inventory[[#This Row],[unbuildable]]=1,2,1)</f>
        <v>60200</v>
      </c>
      <c r="CA106" s="7">
        <f>Wapato_Inventory[[#This Row],[pre_res]]*Wapato_Inventory[[#This Row],[overall_adj]]</f>
        <v>244953.01114791821</v>
      </c>
      <c r="CB106" s="3">
        <f>IF(ROUND(Wapato_Inventory[[#This Row],[adj_land]]*Lookups!$H$48,-2)&lt;Wapato_Inventory[[#This Row],[min_land]],Wapato_Inventory[[#This Row],[min_land]],ROUND(Wapato_Inventory[[#This Row],[adj_land]]*Lookups!$H$48,-2))</f>
        <v>57200</v>
      </c>
      <c r="CC106" s="3">
        <f>IF(ROUND(Wapato_Inventory[[#This Row],[adj_res]]*Lookups!$H$48,-2)&lt;Wapato_Inventory[[#This Row],[min_res]],Wapato_Inventory[[#This Row],[min_res]],ROUND(Wapato_Inventory[[#This Row],[adj_res]]*Lookups!$H$48,-2))</f>
        <v>232700</v>
      </c>
      <c r="CD106" s="3">
        <f>ROUND(Wapato_Inventory[[#This Row],[det_value]]*Lookups!$H$48,-2)</f>
        <v>72100</v>
      </c>
      <c r="CE106" s="3">
        <f>Wapato_Inventory[[#This Row],[final_res]]+Wapato_Inventory[[#This Row],[final_det]]</f>
        <v>304800</v>
      </c>
      <c r="CF106" s="3">
        <f>Wapato_Inventory[[#This Row],[crop_value]]+Wapato_Inventory[[#This Row],[final_land]]+Wapato_Inventory[[#This Row],[final_imp]]</f>
        <v>362000</v>
      </c>
      <c r="CH106" t="str">
        <f t="shared" si="1"/>
        <v>update valuation set market_land =57200, market_bldg=304800, market_total =362000, market_mdno =405, market_date ='9/10/2023' where link_id = (select link_id from parcel where parcel_year = '2024' and parcel_id = '19111014414');</v>
      </c>
    </row>
    <row r="107" spans="1:86" x14ac:dyDescent="0.25">
      <c r="A107">
        <v>19111031007</v>
      </c>
      <c r="B107">
        <v>1.08</v>
      </c>
      <c r="C107">
        <v>47122</v>
      </c>
      <c r="D107" t="s">
        <v>144</v>
      </c>
      <c r="E107" t="s">
        <v>54</v>
      </c>
      <c r="F107" t="s">
        <v>54</v>
      </c>
      <c r="G107">
        <v>3</v>
      </c>
      <c r="H107" t="s">
        <v>55</v>
      </c>
      <c r="I107">
        <v>99900</v>
      </c>
      <c r="J107">
        <v>46400</v>
      </c>
      <c r="K107">
        <v>1.08</v>
      </c>
      <c r="L107">
        <f>IF(Wapato_Inventory[[#This Row],[parcel_acres]]-Wapato_Inventory[[#This Row],[non_valued_acres]] =0,0,LN(Wapato_Inventory[[#This Row],[parcel_acres]]-Wapato_Inventory[[#This Row],[non_valued_acres]]))</f>
        <v>7.6961041136128394E-2</v>
      </c>
      <c r="M107">
        <v>0</v>
      </c>
      <c r="N107">
        <v>0</v>
      </c>
      <c r="O107">
        <v>0</v>
      </c>
      <c r="P107">
        <v>27904.037</v>
      </c>
      <c r="Q107">
        <v>74398</v>
      </c>
      <c r="R107" s="3">
        <f>(Wapato_Inventory[[#This Row],[ln_acres]]*Wapato_Inventory[[#This Row],[coeff]])+Wapato_Inventory[[#This Row],[const]]</f>
        <v>76545.523739421042</v>
      </c>
      <c r="S107" t="s">
        <v>66</v>
      </c>
      <c r="T107">
        <v>1</v>
      </c>
      <c r="U107" t="s">
        <v>71</v>
      </c>
      <c r="V107" t="s">
        <v>68</v>
      </c>
      <c r="W107">
        <v>0</v>
      </c>
      <c r="X107">
        <v>0</v>
      </c>
      <c r="Y107">
        <v>51</v>
      </c>
      <c r="Z107">
        <v>83</v>
      </c>
      <c r="AA107">
        <v>90</v>
      </c>
      <c r="AB107">
        <v>1000</v>
      </c>
      <c r="AC107">
        <v>760</v>
      </c>
      <c r="AD107">
        <v>760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494</v>
      </c>
      <c r="AL107">
        <v>0</v>
      </c>
      <c r="AM107">
        <v>0</v>
      </c>
      <c r="AN107">
        <v>140</v>
      </c>
      <c r="AO107">
        <v>0</v>
      </c>
      <c r="AP107">
        <v>5</v>
      </c>
      <c r="AQ107">
        <v>0</v>
      </c>
      <c r="AR107">
        <v>0</v>
      </c>
      <c r="AS107" t="s">
        <v>59</v>
      </c>
      <c r="AT107">
        <v>1</v>
      </c>
      <c r="AU107" t="s">
        <v>72</v>
      </c>
      <c r="AV107" t="s">
        <v>61</v>
      </c>
      <c r="AW107">
        <v>0</v>
      </c>
      <c r="AX107">
        <v>2</v>
      </c>
      <c r="AY107">
        <v>0</v>
      </c>
      <c r="AZ107">
        <v>0</v>
      </c>
      <c r="BA107">
        <v>100</v>
      </c>
      <c r="BB107">
        <v>100</v>
      </c>
      <c r="BC107">
        <v>100</v>
      </c>
      <c r="BD107">
        <v>100</v>
      </c>
      <c r="BE107">
        <v>1</v>
      </c>
      <c r="BF107">
        <v>15000</v>
      </c>
      <c r="BG107">
        <v>1000</v>
      </c>
      <c r="BH107" s="7">
        <f>ROUND(Wapato_Inventory[[#This Row],[detatched_value]]*Lookups!$B$22*Lookups!$H$48,-2)</f>
        <v>0</v>
      </c>
      <c r="BI107" s="7">
        <f>ROUND(((Wapato_Inventory[[#This Row],[land_extract]]*Lookups!$B$3) +(Lookups!$B$2*0.5))*Lookups!$H$48,-2)</f>
        <v>58500</v>
      </c>
      <c r="BJ107" s="7">
        <f>IF(Wapato_Inventory[[#This Row],[bldg_style]]="",0,Lookups!$B$2*0.5)</f>
        <v>53765.27</v>
      </c>
      <c r="BK107" s="7">
        <f>_xlfn.IFNA(VLOOKUP(Wapato_Inventory[[#This Row],[quality]],Lookups!$H$2:$J$14,3,FALSE),0)</f>
        <v>28034</v>
      </c>
      <c r="BL107" s="7">
        <f>_xlfn.IFNA(VLOOKUP(Wapato_Inventory[[#This Row],[condition]],Lookups!$H$17:$J$24,3,FALSE),0)</f>
        <v>52231</v>
      </c>
      <c r="BM107" s="7">
        <f>Wapato_Inventory[[#This Row],[Age]]*Lookups!$B$16</f>
        <v>-30766.0831</v>
      </c>
      <c r="BN107" s="7">
        <f>Wapato_Inventory[[#This Row],[Main Floor]]*Lookups!$B$17</f>
        <v>31768.56164</v>
      </c>
      <c r="BO107" s="7">
        <f>Wapato_Inventory[[#This Row],[Upper Floor]]*Lookups!$B$18</f>
        <v>0</v>
      </c>
      <c r="BP107" s="7">
        <f>Wapato_Inventory[[#This Row],[Fin BSMT]]*Lookups!$B$19</f>
        <v>0</v>
      </c>
      <c r="BQ107" s="7">
        <f>(Wapato_Inventory[[#This Row],[att_gar]]+Wapato_Inventory[[#This Row],[blt_gar]])*Lookups!$B$20</f>
        <v>0</v>
      </c>
      <c r="BR107" s="7">
        <f>Wapato_Inventory[[#This Row],[Patio]]*Lookups!$B$21</f>
        <v>0</v>
      </c>
      <c r="BS107" s="7">
        <f>SUM(Wapato_Inventory[[#This Row],[intercept]:[patio_value]])*Wapato_Inventory[[#This Row],[res_pct]]</f>
        <v>135032.74854</v>
      </c>
      <c r="BT107" s="7">
        <f>Wapato_Inventory[[#This Row],[land_value]]</f>
        <v>58500</v>
      </c>
      <c r="BU107" s="2">
        <f>_xlfn.IFNA(VLOOKUP(Wapato_Inventory[[#This Row],[quality]],Lookups!$A$28:$C$37,3,FALSE),1)</f>
        <v>0.96265813922927435</v>
      </c>
      <c r="BV107" s="2">
        <f>_xlfn.IFNA(VLOOKUP(Wapato_Inventory[[#This Row],[condition]],Lookups!$A$41:$C$48,3,FALSE),1)</f>
        <v>0.9832333997567807</v>
      </c>
      <c r="BW107" s="2">
        <f>IF(Wapato_Inventory[[#This Row],[decade]]="",1,_xlfn.IFNA(VLOOKUP(Wapato_Inventory[[#This Row],[decade]],Lookups!$F$28:$H$45,3,FALSE),1))</f>
        <v>0.94742695999815718</v>
      </c>
      <c r="BX107" s="2">
        <f>_xlfn.IFNA(VLOOKUP(Wapato_Inventory[[#This Row],[living_area_range]],Lookups!$K$28:$M$37,3,FALSE),1)</f>
        <v>0.99022994770196116</v>
      </c>
      <c r="BY107" s="2">
        <f>AVERAGE(Wapato_Inventory[[#This Row],[qual_adj]:[range_adj]])</f>
        <v>0.97088711167154329</v>
      </c>
      <c r="BZ107" s="7">
        <f>(Wapato_Inventory[[#This Row],[sum_land]]-IF(Wapato_Inventory[[#This Row],[no_utilities]]=1,12000,0))/IF(Wapato_Inventory[[#This Row],[unbuildable]]=1,2,1)</f>
        <v>58500</v>
      </c>
      <c r="CA107" s="7">
        <f>Wapato_Inventory[[#This Row],[pre_res]]*Wapato_Inventory[[#This Row],[overall_adj]]</f>
        <v>131101.5552110704</v>
      </c>
      <c r="CB107" s="3">
        <f>IF(ROUND(Wapato_Inventory[[#This Row],[adj_land]]*Lookups!$H$48,-2)&lt;Wapato_Inventory[[#This Row],[min_land]],Wapato_Inventory[[#This Row],[min_land]],ROUND(Wapato_Inventory[[#This Row],[adj_land]]*Lookups!$H$48,-2))</f>
        <v>55600</v>
      </c>
      <c r="CC107" s="3">
        <f>IF(ROUND(Wapato_Inventory[[#This Row],[adj_res]]*Lookups!$H$48,-2)&lt;Wapato_Inventory[[#This Row],[min_res]],Wapato_Inventory[[#This Row],[min_res]],ROUND(Wapato_Inventory[[#This Row],[adj_res]]*Lookups!$H$48,-2))</f>
        <v>124500</v>
      </c>
      <c r="CD107" s="3">
        <f>ROUND(Wapato_Inventory[[#This Row],[det_value]]*Lookups!$H$48,-2)</f>
        <v>0</v>
      </c>
      <c r="CE107" s="3">
        <f>Wapato_Inventory[[#This Row],[final_res]]+Wapato_Inventory[[#This Row],[final_det]]</f>
        <v>124500</v>
      </c>
      <c r="CF107" s="3">
        <f>Wapato_Inventory[[#This Row],[crop_value]]+Wapato_Inventory[[#This Row],[final_land]]+Wapato_Inventory[[#This Row],[final_imp]]</f>
        <v>180100</v>
      </c>
      <c r="CH107" t="str">
        <f t="shared" si="1"/>
        <v>update valuation set market_land =55600, market_bldg=124500, market_total =180100, market_mdno =405, market_date ='9/10/2023' where link_id = (select link_id from parcel where parcel_year = '2024' and parcel_id = '19111031007');</v>
      </c>
    </row>
    <row r="108" spans="1:86" x14ac:dyDescent="0.25">
      <c r="A108">
        <v>19111031008</v>
      </c>
      <c r="B108">
        <v>0.53</v>
      </c>
      <c r="C108">
        <v>23170</v>
      </c>
      <c r="D108" t="s">
        <v>144</v>
      </c>
      <c r="E108" t="s">
        <v>54</v>
      </c>
      <c r="F108" t="s">
        <v>54</v>
      </c>
      <c r="G108">
        <v>3</v>
      </c>
      <c r="H108" t="s">
        <v>55</v>
      </c>
      <c r="I108">
        <v>117000</v>
      </c>
      <c r="J108">
        <v>41400</v>
      </c>
      <c r="K108">
        <v>0.53</v>
      </c>
      <c r="L108">
        <f>IF(Wapato_Inventory[[#This Row],[parcel_acres]]-Wapato_Inventory[[#This Row],[non_valued_acres]] =0,0,LN(Wapato_Inventory[[#This Row],[parcel_acres]]-Wapato_Inventory[[#This Row],[non_valued_acres]]))</f>
        <v>-0.6348782724359695</v>
      </c>
      <c r="M108">
        <v>0</v>
      </c>
      <c r="N108">
        <v>0</v>
      </c>
      <c r="O108">
        <v>0</v>
      </c>
      <c r="P108">
        <v>27904.037</v>
      </c>
      <c r="Q108">
        <v>74398</v>
      </c>
      <c r="R108" s="3">
        <f>(Wapato_Inventory[[#This Row],[ln_acres]]*Wapato_Inventory[[#This Row],[coeff]])+Wapato_Inventory[[#This Row],[const]]</f>
        <v>56682.333195450628</v>
      </c>
      <c r="S108" t="s">
        <v>66</v>
      </c>
      <c r="T108">
        <v>1</v>
      </c>
      <c r="U108" t="s">
        <v>78</v>
      </c>
      <c r="V108" t="s">
        <v>68</v>
      </c>
      <c r="W108">
        <v>0</v>
      </c>
      <c r="X108">
        <v>0</v>
      </c>
      <c r="Y108">
        <v>52</v>
      </c>
      <c r="Z108">
        <v>85</v>
      </c>
      <c r="AA108">
        <v>90</v>
      </c>
      <c r="AB108">
        <v>1000</v>
      </c>
      <c r="AC108">
        <v>950</v>
      </c>
      <c r="AD108">
        <v>950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5</v>
      </c>
      <c r="AQ108">
        <v>0</v>
      </c>
      <c r="AR108">
        <v>0</v>
      </c>
      <c r="AS108" t="s">
        <v>59</v>
      </c>
      <c r="AT108">
        <v>0</v>
      </c>
      <c r="AU108" t="s">
        <v>80</v>
      </c>
      <c r="AV108" t="s">
        <v>77</v>
      </c>
      <c r="AW108">
        <v>0</v>
      </c>
      <c r="AX108">
        <v>3</v>
      </c>
      <c r="AY108">
        <v>0</v>
      </c>
      <c r="AZ108">
        <v>0</v>
      </c>
      <c r="BA108">
        <v>100</v>
      </c>
      <c r="BB108">
        <v>100</v>
      </c>
      <c r="BC108">
        <v>100</v>
      </c>
      <c r="BD108">
        <v>100</v>
      </c>
      <c r="BE108">
        <v>1</v>
      </c>
      <c r="BF108">
        <v>15000</v>
      </c>
      <c r="BG108">
        <v>1000</v>
      </c>
      <c r="BH108" s="7">
        <f>ROUND(Wapato_Inventory[[#This Row],[detatched_value]]*Lookups!$B$22*Lookups!$H$48,-2)</f>
        <v>0</v>
      </c>
      <c r="BI108" s="7">
        <f>ROUND(((Wapato_Inventory[[#This Row],[land_extract]]*Lookups!$B$3) +(Lookups!$B$2*0.5))*Lookups!$H$48,-2)</f>
        <v>56500</v>
      </c>
      <c r="BJ108" s="7">
        <f>IF(Wapato_Inventory[[#This Row],[bldg_style]]="",0,Lookups!$B$2*0.5)</f>
        <v>53765.27</v>
      </c>
      <c r="BK108" s="7">
        <f>_xlfn.IFNA(VLOOKUP(Wapato_Inventory[[#This Row],[quality]],Lookups!$H$2:$J$14,3,FALSE),0)</f>
        <v>23424</v>
      </c>
      <c r="BL108" s="7">
        <f>_xlfn.IFNA(VLOOKUP(Wapato_Inventory[[#This Row],[condition]],Lookups!$H$17:$J$24,3,FALSE),0)</f>
        <v>52231</v>
      </c>
      <c r="BM108" s="7">
        <f>Wapato_Inventory[[#This Row],[Age]]*Lookups!$B$16</f>
        <v>-31507.434499999999</v>
      </c>
      <c r="BN108" s="7">
        <f>Wapato_Inventory[[#This Row],[Main Floor]]*Lookups!$B$17</f>
        <v>39710.70205</v>
      </c>
      <c r="BO108" s="7">
        <f>Wapato_Inventory[[#This Row],[Upper Floor]]*Lookups!$B$18</f>
        <v>0</v>
      </c>
      <c r="BP108" s="7">
        <f>Wapato_Inventory[[#This Row],[Fin BSMT]]*Lookups!$B$19</f>
        <v>0</v>
      </c>
      <c r="BQ108" s="7">
        <f>(Wapato_Inventory[[#This Row],[att_gar]]+Wapato_Inventory[[#This Row],[blt_gar]])*Lookups!$B$20</f>
        <v>0</v>
      </c>
      <c r="BR108" s="7">
        <f>Wapato_Inventory[[#This Row],[Patio]]*Lookups!$B$21</f>
        <v>0</v>
      </c>
      <c r="BS108" s="7">
        <f>SUM(Wapato_Inventory[[#This Row],[intercept]:[patio_value]])*Wapato_Inventory[[#This Row],[res_pct]]</f>
        <v>137623.53754999998</v>
      </c>
      <c r="BT108" s="7">
        <f>Wapato_Inventory[[#This Row],[land_value]]</f>
        <v>56500</v>
      </c>
      <c r="BU108" s="2">
        <f>_xlfn.IFNA(VLOOKUP(Wapato_Inventory[[#This Row],[quality]],Lookups!$A$28:$C$37,3,FALSE),1)</f>
        <v>1.0091195562373767</v>
      </c>
      <c r="BV108" s="2">
        <f>_xlfn.IFNA(VLOOKUP(Wapato_Inventory[[#This Row],[condition]],Lookups!$A$41:$C$48,3,FALSE),1)</f>
        <v>0.9832333997567807</v>
      </c>
      <c r="BW108" s="2">
        <f>IF(Wapato_Inventory[[#This Row],[decade]]="",1,_xlfn.IFNA(VLOOKUP(Wapato_Inventory[[#This Row],[decade]],Lookups!$F$28:$H$45,3,FALSE),1))</f>
        <v>0.94742695999815718</v>
      </c>
      <c r="BX108" s="2">
        <f>_xlfn.IFNA(VLOOKUP(Wapato_Inventory[[#This Row],[living_area_range]],Lookups!$K$28:$M$37,3,FALSE),1)</f>
        <v>0.99022994770196116</v>
      </c>
      <c r="BY108" s="2">
        <f>AVERAGE(Wapato_Inventory[[#This Row],[qual_adj]:[range_adj]])</f>
        <v>0.98250246592356894</v>
      </c>
      <c r="BZ108" s="7">
        <f>(Wapato_Inventory[[#This Row],[sum_land]]-IF(Wapato_Inventory[[#This Row],[no_utilities]]=1,12000,0))/IF(Wapato_Inventory[[#This Row],[unbuildable]]=1,2,1)</f>
        <v>56500</v>
      </c>
      <c r="CA108" s="7">
        <f>Wapato_Inventory[[#This Row],[pre_res]]*Wapato_Inventory[[#This Row],[overall_adj]]</f>
        <v>135215.46501199986</v>
      </c>
      <c r="CB108" s="3">
        <f>IF(ROUND(Wapato_Inventory[[#This Row],[adj_land]]*Lookups!$H$48,-2)&lt;Wapato_Inventory[[#This Row],[min_land]],Wapato_Inventory[[#This Row],[min_land]],ROUND(Wapato_Inventory[[#This Row],[adj_land]]*Lookups!$H$48,-2))</f>
        <v>53700</v>
      </c>
      <c r="CC108" s="3">
        <f>IF(ROUND(Wapato_Inventory[[#This Row],[adj_res]]*Lookups!$H$48,-2)&lt;Wapato_Inventory[[#This Row],[min_res]],Wapato_Inventory[[#This Row],[min_res]],ROUND(Wapato_Inventory[[#This Row],[adj_res]]*Lookups!$H$48,-2))</f>
        <v>128500</v>
      </c>
      <c r="CD108" s="3">
        <f>ROUND(Wapato_Inventory[[#This Row],[det_value]]*Lookups!$H$48,-2)</f>
        <v>0</v>
      </c>
      <c r="CE108" s="3">
        <f>Wapato_Inventory[[#This Row],[final_res]]+Wapato_Inventory[[#This Row],[final_det]]</f>
        <v>128500</v>
      </c>
      <c r="CF108" s="3">
        <f>Wapato_Inventory[[#This Row],[crop_value]]+Wapato_Inventory[[#This Row],[final_land]]+Wapato_Inventory[[#This Row],[final_imp]]</f>
        <v>182200</v>
      </c>
      <c r="CH108" t="str">
        <f t="shared" si="1"/>
        <v>update valuation set market_land =53700, market_bldg=128500, market_total =182200, market_mdno =405, market_date ='9/10/2023' where link_id = (select link_id from parcel where parcel_year = '2024' and parcel_id = '19111031008');</v>
      </c>
    </row>
    <row r="109" spans="1:86" x14ac:dyDescent="0.25">
      <c r="A109">
        <v>19111031009</v>
      </c>
      <c r="B109">
        <v>0.53</v>
      </c>
      <c r="C109">
        <v>23011</v>
      </c>
      <c r="D109" t="s">
        <v>144</v>
      </c>
      <c r="E109" t="s">
        <v>54</v>
      </c>
      <c r="F109" t="s">
        <v>54</v>
      </c>
      <c r="G109">
        <v>3</v>
      </c>
      <c r="H109" t="s">
        <v>55</v>
      </c>
      <c r="I109">
        <v>221600</v>
      </c>
      <c r="J109">
        <v>41400</v>
      </c>
      <c r="K109">
        <v>0.53</v>
      </c>
      <c r="L109">
        <f>IF(Wapato_Inventory[[#This Row],[parcel_acres]]-Wapato_Inventory[[#This Row],[non_valued_acres]] =0,0,LN(Wapato_Inventory[[#This Row],[parcel_acres]]-Wapato_Inventory[[#This Row],[non_valued_acres]]))</f>
        <v>-0.6348782724359695</v>
      </c>
      <c r="M109">
        <v>0</v>
      </c>
      <c r="N109">
        <v>0</v>
      </c>
      <c r="O109">
        <v>0</v>
      </c>
      <c r="P109">
        <v>27904.037</v>
      </c>
      <c r="Q109">
        <v>74398</v>
      </c>
      <c r="R109" s="3">
        <f>(Wapato_Inventory[[#This Row],[ln_acres]]*Wapato_Inventory[[#This Row],[coeff]])+Wapato_Inventory[[#This Row],[const]]</f>
        <v>56682.333195450628</v>
      </c>
      <c r="S109" t="s">
        <v>145</v>
      </c>
      <c r="T109">
        <v>1</v>
      </c>
      <c r="U109" t="s">
        <v>71</v>
      </c>
      <c r="V109" t="s">
        <v>70</v>
      </c>
      <c r="W109">
        <v>0</v>
      </c>
      <c r="X109">
        <v>0</v>
      </c>
      <c r="Y109">
        <v>23</v>
      </c>
      <c r="Z109">
        <v>93</v>
      </c>
      <c r="AA109">
        <v>100</v>
      </c>
      <c r="AB109">
        <v>2000</v>
      </c>
      <c r="AC109">
        <v>1672</v>
      </c>
      <c r="AD109">
        <v>1672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312</v>
      </c>
      <c r="AL109">
        <v>0</v>
      </c>
      <c r="AM109">
        <v>0</v>
      </c>
      <c r="AN109">
        <v>0</v>
      </c>
      <c r="AO109">
        <v>0</v>
      </c>
      <c r="AP109">
        <v>5</v>
      </c>
      <c r="AQ109">
        <v>0</v>
      </c>
      <c r="AR109">
        <v>0</v>
      </c>
      <c r="AS109" t="s">
        <v>59</v>
      </c>
      <c r="AT109">
        <v>0</v>
      </c>
      <c r="AU109" t="s">
        <v>80</v>
      </c>
      <c r="AV109" t="s">
        <v>61</v>
      </c>
      <c r="AW109">
        <v>0</v>
      </c>
      <c r="AX109">
        <v>2</v>
      </c>
      <c r="AY109">
        <v>0</v>
      </c>
      <c r="AZ109">
        <v>0</v>
      </c>
      <c r="BA109">
        <v>100</v>
      </c>
      <c r="BB109">
        <v>100</v>
      </c>
      <c r="BC109">
        <v>100</v>
      </c>
      <c r="BD109">
        <v>100</v>
      </c>
      <c r="BE109">
        <v>1</v>
      </c>
      <c r="BF109">
        <v>15000</v>
      </c>
      <c r="BG109">
        <v>1000</v>
      </c>
      <c r="BH109" s="7">
        <f>ROUND(Wapato_Inventory[[#This Row],[detatched_value]]*Lookups!$B$22*Lookups!$H$48,-2)</f>
        <v>0</v>
      </c>
      <c r="BI109" s="7">
        <f>ROUND(((Wapato_Inventory[[#This Row],[land_extract]]*Lookups!$B$3) +(Lookups!$B$2*0.5))*Lookups!$H$48,-2)</f>
        <v>56500</v>
      </c>
      <c r="BJ109" s="7">
        <f>IF(Wapato_Inventory[[#This Row],[bldg_style]]="",0,Lookups!$B$2*0.5)</f>
        <v>53765.27</v>
      </c>
      <c r="BK109" s="7">
        <f>_xlfn.IFNA(VLOOKUP(Wapato_Inventory[[#This Row],[quality]],Lookups!$H$2:$J$14,3,FALSE),0)</f>
        <v>28034</v>
      </c>
      <c r="BL109" s="7">
        <f>_xlfn.IFNA(VLOOKUP(Wapato_Inventory[[#This Row],[condition]],Lookups!$H$17:$J$24,3,FALSE),0)</f>
        <v>84338</v>
      </c>
      <c r="BM109" s="7">
        <f>Wapato_Inventory[[#This Row],[Age]]*Lookups!$B$16</f>
        <v>-34472.840100000001</v>
      </c>
      <c r="BN109" s="7">
        <f>Wapato_Inventory[[#This Row],[Main Floor]]*Lookups!$B$17</f>
        <v>69890.835607999994</v>
      </c>
      <c r="BO109" s="7">
        <f>Wapato_Inventory[[#This Row],[Upper Floor]]*Lookups!$B$18</f>
        <v>0</v>
      </c>
      <c r="BP109" s="7">
        <f>Wapato_Inventory[[#This Row],[Fin BSMT]]*Lookups!$B$19</f>
        <v>0</v>
      </c>
      <c r="BQ109" s="7">
        <f>(Wapato_Inventory[[#This Row],[att_gar]]+Wapato_Inventory[[#This Row],[blt_gar]])*Lookups!$B$20</f>
        <v>0</v>
      </c>
      <c r="BR109" s="7">
        <f>Wapato_Inventory[[#This Row],[Patio]]*Lookups!$B$21</f>
        <v>0</v>
      </c>
      <c r="BS109" s="7">
        <f>SUM(Wapato_Inventory[[#This Row],[intercept]:[patio_value]])*Wapato_Inventory[[#This Row],[res_pct]]</f>
        <v>201555.26550799998</v>
      </c>
      <c r="BT109" s="7">
        <f>Wapato_Inventory[[#This Row],[land_value]]</f>
        <v>56500</v>
      </c>
      <c r="BU109" s="2">
        <f>_xlfn.IFNA(VLOOKUP(Wapato_Inventory[[#This Row],[quality]],Lookups!$A$28:$C$37,3,FALSE),1)</f>
        <v>0.96265813922927435</v>
      </c>
      <c r="BV109" s="2">
        <f>_xlfn.IFNA(VLOOKUP(Wapato_Inventory[[#This Row],[condition]],Lookups!$A$41:$C$48,3,FALSE),1)</f>
        <v>0.99478075210508476</v>
      </c>
      <c r="BW109" s="2">
        <f>IF(Wapato_Inventory[[#This Row],[decade]]="",1,_xlfn.IFNA(VLOOKUP(Wapato_Inventory[[#This Row],[decade]],Lookups!$F$28:$H$45,3,FALSE),1))</f>
        <v>1.0114203040664467</v>
      </c>
      <c r="BX109" s="2">
        <f>_xlfn.IFNA(VLOOKUP(Wapato_Inventory[[#This Row],[living_area_range]],Lookups!$K$28:$M$37,3,FALSE),1)</f>
        <v>0.99330894324714125</v>
      </c>
      <c r="BY109" s="2">
        <f>AVERAGE(Wapato_Inventory[[#This Row],[qual_adj]:[range_adj]])</f>
        <v>0.99054203466198676</v>
      </c>
      <c r="BZ109" s="7">
        <f>(Wapato_Inventory[[#This Row],[sum_land]]-IF(Wapato_Inventory[[#This Row],[no_utilities]]=1,12000,0))/IF(Wapato_Inventory[[#This Row],[unbuildable]]=1,2,1)</f>
        <v>56500</v>
      </c>
      <c r="CA109" s="7">
        <f>Wapato_Inventory[[#This Row],[pre_res]]*Wapato_Inventory[[#This Row],[overall_adj]]</f>
        <v>199648.96279313127</v>
      </c>
      <c r="CB109" s="3">
        <f>IF(ROUND(Wapato_Inventory[[#This Row],[adj_land]]*Lookups!$H$48,-2)&lt;Wapato_Inventory[[#This Row],[min_land]],Wapato_Inventory[[#This Row],[min_land]],ROUND(Wapato_Inventory[[#This Row],[adj_land]]*Lookups!$H$48,-2))</f>
        <v>53700</v>
      </c>
      <c r="CC109" s="3">
        <f>IF(ROUND(Wapato_Inventory[[#This Row],[adj_res]]*Lookups!$H$48,-2)&lt;Wapato_Inventory[[#This Row],[min_res]],Wapato_Inventory[[#This Row],[min_res]],ROUND(Wapato_Inventory[[#This Row],[adj_res]]*Lookups!$H$48,-2))</f>
        <v>189700</v>
      </c>
      <c r="CD109" s="3">
        <f>ROUND(Wapato_Inventory[[#This Row],[det_value]]*Lookups!$H$48,-2)</f>
        <v>0</v>
      </c>
      <c r="CE109" s="3">
        <f>Wapato_Inventory[[#This Row],[final_res]]+Wapato_Inventory[[#This Row],[final_det]]</f>
        <v>189700</v>
      </c>
      <c r="CF109" s="3">
        <f>Wapato_Inventory[[#This Row],[crop_value]]+Wapato_Inventory[[#This Row],[final_land]]+Wapato_Inventory[[#This Row],[final_imp]]</f>
        <v>243400</v>
      </c>
      <c r="CH109" t="str">
        <f t="shared" si="1"/>
        <v>update valuation set market_land =53700, market_bldg=189700, market_total =243400, market_mdno =405, market_date ='9/10/2023' where link_id = (select link_id from parcel where parcel_year = '2024' and parcel_id = '19111031009');</v>
      </c>
    </row>
    <row r="110" spans="1:86" x14ac:dyDescent="0.25">
      <c r="A110">
        <v>19111031015</v>
      </c>
      <c r="B110">
        <v>0.46</v>
      </c>
      <c r="C110">
        <v>19895</v>
      </c>
      <c r="D110" t="s">
        <v>144</v>
      </c>
      <c r="E110" t="s">
        <v>54</v>
      </c>
      <c r="F110" t="s">
        <v>54</v>
      </c>
      <c r="G110">
        <v>3</v>
      </c>
      <c r="H110" t="s">
        <v>55</v>
      </c>
      <c r="I110">
        <v>55900</v>
      </c>
      <c r="J110">
        <v>40400</v>
      </c>
      <c r="K110">
        <v>0.46</v>
      </c>
      <c r="L110">
        <f>IF(Wapato_Inventory[[#This Row],[parcel_acres]]-Wapato_Inventory[[#This Row],[non_valued_acres]] =0,0,LN(Wapato_Inventory[[#This Row],[parcel_acres]]-Wapato_Inventory[[#This Row],[non_valued_acres]]))</f>
        <v>-0.77652878949899629</v>
      </c>
      <c r="M110">
        <v>0</v>
      </c>
      <c r="N110">
        <v>0</v>
      </c>
      <c r="O110">
        <v>0</v>
      </c>
      <c r="P110">
        <v>27904.037</v>
      </c>
      <c r="Q110">
        <v>74398</v>
      </c>
      <c r="R110" s="3">
        <f>(Wapato_Inventory[[#This Row],[ln_acres]]*Wapato_Inventory[[#This Row],[coeff]])+Wapato_Inventory[[#This Row],[const]]</f>
        <v>52729.711926254793</v>
      </c>
      <c r="S110" t="s">
        <v>83</v>
      </c>
      <c r="T110">
        <v>1</v>
      </c>
      <c r="U110" t="s">
        <v>86</v>
      </c>
      <c r="V110" t="s">
        <v>84</v>
      </c>
      <c r="W110">
        <v>0</v>
      </c>
      <c r="X110">
        <v>0</v>
      </c>
      <c r="Y110">
        <v>52</v>
      </c>
      <c r="Z110">
        <v>57</v>
      </c>
      <c r="AA110">
        <v>60</v>
      </c>
      <c r="AB110">
        <v>1500</v>
      </c>
      <c r="AC110">
        <v>1088</v>
      </c>
      <c r="AD110">
        <v>1088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5</v>
      </c>
      <c r="AQ110">
        <v>0</v>
      </c>
      <c r="AR110">
        <v>0</v>
      </c>
      <c r="AS110" t="s">
        <v>59</v>
      </c>
      <c r="AT110">
        <v>0</v>
      </c>
      <c r="AU110" t="s">
        <v>80</v>
      </c>
      <c r="AV110" t="s">
        <v>147</v>
      </c>
      <c r="AW110">
        <v>0</v>
      </c>
      <c r="AX110">
        <v>2</v>
      </c>
      <c r="AY110">
        <v>0</v>
      </c>
      <c r="AZ110">
        <v>0</v>
      </c>
      <c r="BA110">
        <v>100</v>
      </c>
      <c r="BB110">
        <v>100</v>
      </c>
      <c r="BC110">
        <v>100</v>
      </c>
      <c r="BD110">
        <v>100</v>
      </c>
      <c r="BE110">
        <v>1</v>
      </c>
      <c r="BF110">
        <v>15000</v>
      </c>
      <c r="BG110">
        <v>1000</v>
      </c>
      <c r="BH110" s="7">
        <f>ROUND(Wapato_Inventory[[#This Row],[detatched_value]]*Lookups!$B$22*Lookups!$H$48,-2)</f>
        <v>0</v>
      </c>
      <c r="BI110" s="7">
        <f>ROUND(((Wapato_Inventory[[#This Row],[land_extract]]*Lookups!$B$3) +(Lookups!$B$2*0.5))*Lookups!$H$48,-2)</f>
        <v>56200</v>
      </c>
      <c r="BJ110" s="7">
        <f>IF(Wapato_Inventory[[#This Row],[bldg_style]]="",0,Lookups!$B$2*0.5)</f>
        <v>53765.27</v>
      </c>
      <c r="BK110" s="7">
        <f>_xlfn.IFNA(VLOOKUP(Wapato_Inventory[[#This Row],[quality]],Lookups!$H$2:$J$14,3,FALSE),0)</f>
        <v>0</v>
      </c>
      <c r="BL110" s="7">
        <f>_xlfn.IFNA(VLOOKUP(Wapato_Inventory[[#This Row],[condition]],Lookups!$H$17:$J$24,3,FALSE),0)</f>
        <v>0</v>
      </c>
      <c r="BM110" s="7">
        <f>Wapato_Inventory[[#This Row],[Age]]*Lookups!$B$16</f>
        <v>-21128.514900000002</v>
      </c>
      <c r="BN110" s="7">
        <f>Wapato_Inventory[[#This Row],[Main Floor]]*Lookups!$B$17</f>
        <v>45479.204032000001</v>
      </c>
      <c r="BO110" s="7">
        <f>Wapato_Inventory[[#This Row],[Upper Floor]]*Lookups!$B$18</f>
        <v>0</v>
      </c>
      <c r="BP110" s="7">
        <f>Wapato_Inventory[[#This Row],[Fin BSMT]]*Lookups!$B$19</f>
        <v>0</v>
      </c>
      <c r="BQ110" s="7">
        <f>(Wapato_Inventory[[#This Row],[att_gar]]+Wapato_Inventory[[#This Row],[blt_gar]])*Lookups!$B$20</f>
        <v>0</v>
      </c>
      <c r="BR110" s="7">
        <f>Wapato_Inventory[[#This Row],[Patio]]*Lookups!$B$21</f>
        <v>0</v>
      </c>
      <c r="BS110" s="7">
        <f>SUM(Wapato_Inventory[[#This Row],[intercept]:[patio_value]])*Wapato_Inventory[[#This Row],[res_pct]]</f>
        <v>78115.959131999989</v>
      </c>
      <c r="BT110" s="7">
        <f>Wapato_Inventory[[#This Row],[land_value]]</f>
        <v>56200</v>
      </c>
      <c r="BU110" s="2">
        <f>_xlfn.IFNA(VLOOKUP(Wapato_Inventory[[#This Row],[quality]],Lookups!$A$28:$C$37,3,FALSE),1)</f>
        <v>1.0000010866511106</v>
      </c>
      <c r="BV110" s="2">
        <f>_xlfn.IFNA(VLOOKUP(Wapato_Inventory[[#This Row],[condition]],Lookups!$A$41:$C$48,3,FALSE),1)</f>
        <v>1.0000035546274355</v>
      </c>
      <c r="BW110" s="2">
        <f>IF(Wapato_Inventory[[#This Row],[decade]]="",1,_xlfn.IFNA(VLOOKUP(Wapato_Inventory[[#This Row],[decade]],Lookups!$F$28:$H$45,3,FALSE),1))</f>
        <v>1.035341704162583</v>
      </c>
      <c r="BX110" s="2">
        <f>_xlfn.IFNA(VLOOKUP(Wapato_Inventory[[#This Row],[living_area_range]],Lookups!$K$28:$M$37,3,FALSE),1)</f>
        <v>1.0061411172456287</v>
      </c>
      <c r="BY110" s="2">
        <f>AVERAGE(Wapato_Inventory[[#This Row],[qual_adj]:[range_adj]])</f>
        <v>1.0103718656716896</v>
      </c>
      <c r="BZ110" s="7">
        <f>(Wapato_Inventory[[#This Row],[sum_land]]-IF(Wapato_Inventory[[#This Row],[no_utilities]]=1,12000,0))/IF(Wapato_Inventory[[#This Row],[unbuildable]]=1,2,1)</f>
        <v>56200</v>
      </c>
      <c r="CA110" s="7">
        <f>Wapato_Inventory[[#This Row],[pre_res]]*Wapato_Inventory[[#This Row],[overall_adj]]</f>
        <v>78926.167366932292</v>
      </c>
      <c r="CB110" s="3">
        <f>IF(ROUND(Wapato_Inventory[[#This Row],[adj_land]]*Lookups!$H$48,-2)&lt;Wapato_Inventory[[#This Row],[min_land]],Wapato_Inventory[[#This Row],[min_land]],ROUND(Wapato_Inventory[[#This Row],[adj_land]]*Lookups!$H$48,-2))</f>
        <v>53400</v>
      </c>
      <c r="CC110" s="3">
        <f>IF(ROUND(Wapato_Inventory[[#This Row],[adj_res]]*Lookups!$H$48,-2)&lt;Wapato_Inventory[[#This Row],[min_res]],Wapato_Inventory[[#This Row],[min_res]],ROUND(Wapato_Inventory[[#This Row],[adj_res]]*Lookups!$H$48,-2))</f>
        <v>75000</v>
      </c>
      <c r="CD110" s="3">
        <f>ROUND(Wapato_Inventory[[#This Row],[det_value]]*Lookups!$H$48,-2)</f>
        <v>0</v>
      </c>
      <c r="CE110" s="3">
        <f>Wapato_Inventory[[#This Row],[final_res]]+Wapato_Inventory[[#This Row],[final_det]]</f>
        <v>75000</v>
      </c>
      <c r="CF110" s="3">
        <f>Wapato_Inventory[[#This Row],[crop_value]]+Wapato_Inventory[[#This Row],[final_land]]+Wapato_Inventory[[#This Row],[final_imp]]</f>
        <v>128400</v>
      </c>
      <c r="CH110" t="str">
        <f t="shared" si="1"/>
        <v>update valuation set market_land =53400, market_bldg=75000, market_total =128400, market_mdno =405, market_date ='9/10/2023' where link_id = (select link_id from parcel where parcel_year = '2024' and parcel_id = '19111031015');</v>
      </c>
    </row>
    <row r="111" spans="1:86" x14ac:dyDescent="0.25">
      <c r="A111">
        <v>19111031016</v>
      </c>
      <c r="B111">
        <v>0.62</v>
      </c>
      <c r="C111">
        <v>26868</v>
      </c>
      <c r="D111" t="s">
        <v>144</v>
      </c>
      <c r="E111" t="s">
        <v>54</v>
      </c>
      <c r="F111" t="s">
        <v>54</v>
      </c>
      <c r="G111">
        <v>3</v>
      </c>
      <c r="H111" t="s">
        <v>55</v>
      </c>
      <c r="I111">
        <v>207300</v>
      </c>
      <c r="J111">
        <v>42500</v>
      </c>
      <c r="K111">
        <v>0.62</v>
      </c>
      <c r="L111">
        <f>IF(Wapato_Inventory[[#This Row],[parcel_acres]]-Wapato_Inventory[[#This Row],[non_valued_acres]] =0,0,LN(Wapato_Inventory[[#This Row],[parcel_acres]]-Wapato_Inventory[[#This Row],[non_valued_acres]]))</f>
        <v>-0.4780358009429998</v>
      </c>
      <c r="M111">
        <v>0</v>
      </c>
      <c r="N111">
        <v>0</v>
      </c>
      <c r="O111">
        <v>0</v>
      </c>
      <c r="P111">
        <v>27904.037</v>
      </c>
      <c r="Q111">
        <v>74398</v>
      </c>
      <c r="R111" s="3">
        <f>(Wapato_Inventory[[#This Row],[ln_acres]]*Wapato_Inventory[[#This Row],[coeff]])+Wapato_Inventory[[#This Row],[const]]</f>
        <v>61058.871323161897</v>
      </c>
      <c r="S111" t="s">
        <v>62</v>
      </c>
      <c r="T111">
        <v>1</v>
      </c>
      <c r="U111" t="s">
        <v>67</v>
      </c>
      <c r="V111" t="s">
        <v>68</v>
      </c>
      <c r="W111">
        <v>0</v>
      </c>
      <c r="X111">
        <v>0</v>
      </c>
      <c r="Y111">
        <v>45</v>
      </c>
      <c r="Z111">
        <v>51</v>
      </c>
      <c r="AA111">
        <v>60</v>
      </c>
      <c r="AB111">
        <v>1500</v>
      </c>
      <c r="AC111">
        <v>1350</v>
      </c>
      <c r="AD111">
        <v>1350</v>
      </c>
      <c r="AE111">
        <v>0</v>
      </c>
      <c r="AF111">
        <v>0</v>
      </c>
      <c r="AG111">
        <v>0</v>
      </c>
      <c r="AH111">
        <v>0</v>
      </c>
      <c r="AI111">
        <v>630</v>
      </c>
      <c r="AJ111">
        <v>0</v>
      </c>
      <c r="AK111">
        <v>0</v>
      </c>
      <c r="AL111">
        <v>0</v>
      </c>
      <c r="AM111">
        <v>320</v>
      </c>
      <c r="AN111">
        <v>0</v>
      </c>
      <c r="AO111">
        <v>320</v>
      </c>
      <c r="AP111">
        <v>5</v>
      </c>
      <c r="AQ111">
        <v>0</v>
      </c>
      <c r="AR111">
        <v>0</v>
      </c>
      <c r="AS111" t="s">
        <v>59</v>
      </c>
      <c r="AT111">
        <v>1</v>
      </c>
      <c r="AU111" t="s">
        <v>64</v>
      </c>
      <c r="AV111" t="s">
        <v>61</v>
      </c>
      <c r="AW111">
        <v>0</v>
      </c>
      <c r="AX111">
        <v>3</v>
      </c>
      <c r="AY111">
        <v>0</v>
      </c>
      <c r="AZ111">
        <v>0</v>
      </c>
      <c r="BA111">
        <v>100</v>
      </c>
      <c r="BB111">
        <v>100</v>
      </c>
      <c r="BC111">
        <v>100</v>
      </c>
      <c r="BD111">
        <v>100</v>
      </c>
      <c r="BE111">
        <v>1</v>
      </c>
      <c r="BF111">
        <v>15000</v>
      </c>
      <c r="BG111">
        <v>1000</v>
      </c>
      <c r="BH111" s="7">
        <f>ROUND(Wapato_Inventory[[#This Row],[detatched_value]]*Lookups!$B$22*Lookups!$H$48,-2)</f>
        <v>0</v>
      </c>
      <c r="BI111" s="7">
        <f>ROUND(((Wapato_Inventory[[#This Row],[land_extract]]*Lookups!$B$3) +(Lookups!$B$2*0.5))*Lookups!$H$48,-2)</f>
        <v>57000</v>
      </c>
      <c r="BJ111" s="7">
        <f>IF(Wapato_Inventory[[#This Row],[bldg_style]]="",0,Lookups!$B$2*0.5)</f>
        <v>53765.27</v>
      </c>
      <c r="BK111" s="7">
        <f>_xlfn.IFNA(VLOOKUP(Wapato_Inventory[[#This Row],[quality]],Lookups!$H$2:$J$14,3,FALSE),0)</f>
        <v>50405</v>
      </c>
      <c r="BL111" s="7">
        <f>_xlfn.IFNA(VLOOKUP(Wapato_Inventory[[#This Row],[condition]],Lookups!$H$17:$J$24,3,FALSE),0)</f>
        <v>52231</v>
      </c>
      <c r="BM111" s="7">
        <f>Wapato_Inventory[[#This Row],[Age]]*Lookups!$B$16</f>
        <v>-18904.4607</v>
      </c>
      <c r="BN111" s="7">
        <f>Wapato_Inventory[[#This Row],[Main Floor]]*Lookups!$B$17</f>
        <v>56430.997649999998</v>
      </c>
      <c r="BO111" s="7">
        <f>Wapato_Inventory[[#This Row],[Upper Floor]]*Lookups!$B$18</f>
        <v>0</v>
      </c>
      <c r="BP111" s="7">
        <f>Wapato_Inventory[[#This Row],[Fin BSMT]]*Lookups!$B$19</f>
        <v>0</v>
      </c>
      <c r="BQ111" s="7">
        <f>(Wapato_Inventory[[#This Row],[att_gar]]+Wapato_Inventory[[#This Row],[blt_gar]])*Lookups!$B$20</f>
        <v>23315.513760000002</v>
      </c>
      <c r="BR111" s="7">
        <f>Wapato_Inventory[[#This Row],[Patio]]*Lookups!$B$21</f>
        <v>13863.673280000001</v>
      </c>
      <c r="BS111" s="7">
        <f>SUM(Wapato_Inventory[[#This Row],[intercept]:[patio_value]])*Wapato_Inventory[[#This Row],[res_pct]]</f>
        <v>231106.99398999999</v>
      </c>
      <c r="BT111" s="7">
        <f>Wapato_Inventory[[#This Row],[land_value]]</f>
        <v>57000</v>
      </c>
      <c r="BU111" s="2">
        <f>_xlfn.IFNA(VLOOKUP(Wapato_Inventory[[#This Row],[quality]],Lookups!$A$28:$C$37,3,FALSE),1)</f>
        <v>0.97993206410140754</v>
      </c>
      <c r="BV111" s="2">
        <f>_xlfn.IFNA(VLOOKUP(Wapato_Inventory[[#This Row],[condition]],Lookups!$A$41:$C$48,3,FALSE),1)</f>
        <v>0.9832333997567807</v>
      </c>
      <c r="BW111" s="2">
        <f>IF(Wapato_Inventory[[#This Row],[decade]]="",1,_xlfn.IFNA(VLOOKUP(Wapato_Inventory[[#This Row],[decade]],Lookups!$F$28:$H$45,3,FALSE),1))</f>
        <v>1.035341704162583</v>
      </c>
      <c r="BX111" s="2">
        <f>_xlfn.IFNA(VLOOKUP(Wapato_Inventory[[#This Row],[living_area_range]],Lookups!$K$28:$M$37,3,FALSE),1)</f>
        <v>1.0061411172456287</v>
      </c>
      <c r="BY111" s="2">
        <f>AVERAGE(Wapato_Inventory[[#This Row],[qual_adj]:[range_adj]])</f>
        <v>1.0011620713166001</v>
      </c>
      <c r="BZ111" s="7">
        <f>(Wapato_Inventory[[#This Row],[sum_land]]-IF(Wapato_Inventory[[#This Row],[no_utilities]]=1,12000,0))/IF(Wapato_Inventory[[#This Row],[unbuildable]]=1,2,1)</f>
        <v>57000</v>
      </c>
      <c r="CA111" s="7">
        <f>Wapato_Inventory[[#This Row],[pre_res]]*Wapato_Inventory[[#This Row],[overall_adj]]</f>
        <v>231375.55679878144</v>
      </c>
      <c r="CB111" s="3">
        <f>IF(ROUND(Wapato_Inventory[[#This Row],[adj_land]]*Lookups!$H$48,-2)&lt;Wapato_Inventory[[#This Row],[min_land]],Wapato_Inventory[[#This Row],[min_land]],ROUND(Wapato_Inventory[[#This Row],[adj_land]]*Lookups!$H$48,-2))</f>
        <v>54200</v>
      </c>
      <c r="CC111" s="3">
        <f>IF(ROUND(Wapato_Inventory[[#This Row],[adj_res]]*Lookups!$H$48,-2)&lt;Wapato_Inventory[[#This Row],[min_res]],Wapato_Inventory[[#This Row],[min_res]],ROUND(Wapato_Inventory[[#This Row],[adj_res]]*Lookups!$H$48,-2))</f>
        <v>219800</v>
      </c>
      <c r="CD111" s="3">
        <f>ROUND(Wapato_Inventory[[#This Row],[det_value]]*Lookups!$H$48,-2)</f>
        <v>0</v>
      </c>
      <c r="CE111" s="3">
        <f>Wapato_Inventory[[#This Row],[final_res]]+Wapato_Inventory[[#This Row],[final_det]]</f>
        <v>219800</v>
      </c>
      <c r="CF111" s="3">
        <f>Wapato_Inventory[[#This Row],[crop_value]]+Wapato_Inventory[[#This Row],[final_land]]+Wapato_Inventory[[#This Row],[final_imp]]</f>
        <v>274000</v>
      </c>
      <c r="CH111" t="str">
        <f t="shared" si="1"/>
        <v>update valuation set market_land =54200, market_bldg=219800, market_total =274000, market_mdno =405, market_date ='9/10/2023' where link_id = (select link_id from parcel where parcel_year = '2024' and parcel_id = '19111031016');</v>
      </c>
    </row>
    <row r="112" spans="1:86" x14ac:dyDescent="0.25">
      <c r="A112">
        <v>19111032003</v>
      </c>
      <c r="B112">
        <v>1.04</v>
      </c>
      <c r="C112">
        <v>45095</v>
      </c>
      <c r="D112" t="s">
        <v>144</v>
      </c>
      <c r="E112" t="s">
        <v>54</v>
      </c>
      <c r="F112" t="s">
        <v>54</v>
      </c>
      <c r="G112">
        <v>3</v>
      </c>
      <c r="H112" t="s">
        <v>55</v>
      </c>
      <c r="I112">
        <v>139400</v>
      </c>
      <c r="J112">
        <v>45600</v>
      </c>
      <c r="K112">
        <v>1.04</v>
      </c>
      <c r="L112">
        <f>IF(Wapato_Inventory[[#This Row],[parcel_acres]]-Wapato_Inventory[[#This Row],[non_valued_acres]] =0,0,LN(Wapato_Inventory[[#This Row],[parcel_acres]]-Wapato_Inventory[[#This Row],[non_valued_acres]]))</f>
        <v>3.9220713153281329E-2</v>
      </c>
      <c r="M112">
        <v>0</v>
      </c>
      <c r="N112">
        <v>0</v>
      </c>
      <c r="O112">
        <v>0</v>
      </c>
      <c r="P112">
        <v>27904.037</v>
      </c>
      <c r="Q112">
        <v>74398</v>
      </c>
      <c r="R112" s="3">
        <f>(Wapato_Inventory[[#This Row],[ln_acres]]*Wapato_Inventory[[#This Row],[coeff]])+Wapato_Inventory[[#This Row],[const]]</f>
        <v>75492.416230995543</v>
      </c>
      <c r="S112" t="s">
        <v>66</v>
      </c>
      <c r="T112">
        <v>1</v>
      </c>
      <c r="U112" t="s">
        <v>71</v>
      </c>
      <c r="V112" t="s">
        <v>68</v>
      </c>
      <c r="W112">
        <v>0</v>
      </c>
      <c r="X112">
        <v>0</v>
      </c>
      <c r="Y112">
        <v>47</v>
      </c>
      <c r="Z112">
        <v>58</v>
      </c>
      <c r="AA112">
        <v>60</v>
      </c>
      <c r="AB112">
        <v>1500</v>
      </c>
      <c r="AC112">
        <v>1056</v>
      </c>
      <c r="AD112">
        <v>1056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203</v>
      </c>
      <c r="AN112">
        <v>0</v>
      </c>
      <c r="AO112">
        <v>203</v>
      </c>
      <c r="AP112">
        <v>5</v>
      </c>
      <c r="AQ112">
        <v>0</v>
      </c>
      <c r="AR112">
        <v>0</v>
      </c>
      <c r="AS112" t="s">
        <v>59</v>
      </c>
      <c r="AT112">
        <v>1</v>
      </c>
      <c r="AU112" t="s">
        <v>76</v>
      </c>
      <c r="AV112" t="s">
        <v>61</v>
      </c>
      <c r="AW112">
        <v>0</v>
      </c>
      <c r="AX112">
        <v>3</v>
      </c>
      <c r="AY112">
        <v>0</v>
      </c>
      <c r="AZ112">
        <v>21500</v>
      </c>
      <c r="BA112">
        <v>100</v>
      </c>
      <c r="BB112">
        <v>100</v>
      </c>
      <c r="BC112">
        <v>100</v>
      </c>
      <c r="BD112">
        <v>100</v>
      </c>
      <c r="BE112">
        <v>1</v>
      </c>
      <c r="BF112">
        <v>15000</v>
      </c>
      <c r="BG112">
        <v>1000</v>
      </c>
      <c r="BH112" s="7">
        <f>ROUND(Wapato_Inventory[[#This Row],[detatched_value]]*Lookups!$B$22*Lookups!$H$48,-2)</f>
        <v>19200</v>
      </c>
      <c r="BI112" s="7">
        <f>ROUND(((Wapato_Inventory[[#This Row],[land_extract]]*Lookups!$B$3) +(Lookups!$B$2*0.5))*Lookups!$H$48,-2)</f>
        <v>58400</v>
      </c>
      <c r="BJ112" s="7">
        <f>IF(Wapato_Inventory[[#This Row],[bldg_style]]="",0,Lookups!$B$2*0.5)</f>
        <v>53765.27</v>
      </c>
      <c r="BK112" s="7">
        <f>_xlfn.IFNA(VLOOKUP(Wapato_Inventory[[#This Row],[quality]],Lookups!$H$2:$J$14,3,FALSE),0)</f>
        <v>28034</v>
      </c>
      <c r="BL112" s="7">
        <f>_xlfn.IFNA(VLOOKUP(Wapato_Inventory[[#This Row],[condition]],Lookups!$H$17:$J$24,3,FALSE),0)</f>
        <v>52231</v>
      </c>
      <c r="BM112" s="7">
        <f>Wapato_Inventory[[#This Row],[Age]]*Lookups!$B$16</f>
        <v>-21499.190600000002</v>
      </c>
      <c r="BN112" s="7">
        <f>Wapato_Inventory[[#This Row],[Main Floor]]*Lookups!$B$17</f>
        <v>44141.580384000001</v>
      </c>
      <c r="BO112" s="7">
        <f>Wapato_Inventory[[#This Row],[Upper Floor]]*Lookups!$B$18</f>
        <v>0</v>
      </c>
      <c r="BP112" s="7">
        <f>Wapato_Inventory[[#This Row],[Fin BSMT]]*Lookups!$B$19</f>
        <v>0</v>
      </c>
      <c r="BQ112" s="7">
        <f>(Wapato_Inventory[[#This Row],[att_gar]]+Wapato_Inventory[[#This Row],[blt_gar]])*Lookups!$B$20</f>
        <v>0</v>
      </c>
      <c r="BR112" s="7">
        <f>Wapato_Inventory[[#This Row],[Patio]]*Lookups!$B$21</f>
        <v>8794.7677370000001</v>
      </c>
      <c r="BS112" s="7">
        <f>SUM(Wapato_Inventory[[#This Row],[intercept]:[patio_value]])*Wapato_Inventory[[#This Row],[res_pct]]</f>
        <v>165467.42752099998</v>
      </c>
      <c r="BT112" s="7">
        <f>Wapato_Inventory[[#This Row],[land_value]]</f>
        <v>58400</v>
      </c>
      <c r="BU112" s="2">
        <f>_xlfn.IFNA(VLOOKUP(Wapato_Inventory[[#This Row],[quality]],Lookups!$A$28:$C$37,3,FALSE),1)</f>
        <v>0.96265813922927435</v>
      </c>
      <c r="BV112" s="2">
        <f>_xlfn.IFNA(VLOOKUP(Wapato_Inventory[[#This Row],[condition]],Lookups!$A$41:$C$48,3,FALSE),1)</f>
        <v>0.9832333997567807</v>
      </c>
      <c r="BW112" s="2">
        <f>IF(Wapato_Inventory[[#This Row],[decade]]="",1,_xlfn.IFNA(VLOOKUP(Wapato_Inventory[[#This Row],[decade]],Lookups!$F$28:$H$45,3,FALSE),1))</f>
        <v>1.035341704162583</v>
      </c>
      <c r="BX112" s="2">
        <f>_xlfn.IFNA(VLOOKUP(Wapato_Inventory[[#This Row],[living_area_range]],Lookups!$K$28:$M$37,3,FALSE),1)</f>
        <v>1.0061411172456287</v>
      </c>
      <c r="BY112" s="2">
        <f>AVERAGE(Wapato_Inventory[[#This Row],[qual_adj]:[range_adj]])</f>
        <v>0.9968435900985666</v>
      </c>
      <c r="BZ112" s="7">
        <f>(Wapato_Inventory[[#This Row],[sum_land]]-IF(Wapato_Inventory[[#This Row],[no_utilities]]=1,12000,0))/IF(Wapato_Inventory[[#This Row],[unbuildable]]=1,2,1)</f>
        <v>58400</v>
      </c>
      <c r="CA112" s="7">
        <f>Wapato_Inventory[[#This Row],[pre_res]]*Wapato_Inventory[[#This Row],[overall_adj]]</f>
        <v>164945.14449440798</v>
      </c>
      <c r="CB112" s="3">
        <f>IF(ROUND(Wapato_Inventory[[#This Row],[adj_land]]*Lookups!$H$48,-2)&lt;Wapato_Inventory[[#This Row],[min_land]],Wapato_Inventory[[#This Row],[min_land]],ROUND(Wapato_Inventory[[#This Row],[adj_land]]*Lookups!$H$48,-2))</f>
        <v>55500</v>
      </c>
      <c r="CC112" s="3">
        <f>IF(ROUND(Wapato_Inventory[[#This Row],[adj_res]]*Lookups!$H$48,-2)&lt;Wapato_Inventory[[#This Row],[min_res]],Wapato_Inventory[[#This Row],[min_res]],ROUND(Wapato_Inventory[[#This Row],[adj_res]]*Lookups!$H$48,-2))</f>
        <v>156700</v>
      </c>
      <c r="CD112" s="3">
        <f>ROUND(Wapato_Inventory[[#This Row],[det_value]]*Lookups!$H$48,-2)</f>
        <v>18200</v>
      </c>
      <c r="CE112" s="3">
        <f>Wapato_Inventory[[#This Row],[final_res]]+Wapato_Inventory[[#This Row],[final_det]]</f>
        <v>174900</v>
      </c>
      <c r="CF112" s="3">
        <f>Wapato_Inventory[[#This Row],[crop_value]]+Wapato_Inventory[[#This Row],[final_land]]+Wapato_Inventory[[#This Row],[final_imp]]</f>
        <v>230400</v>
      </c>
      <c r="CH112" t="str">
        <f t="shared" si="1"/>
        <v>update valuation set market_land =55500, market_bldg=174900, market_total =230400, market_mdno =405, market_date ='9/10/2023' where link_id = (select link_id from parcel where parcel_year = '2024' and parcel_id = '19111032003');</v>
      </c>
    </row>
    <row r="113" spans="1:86" x14ac:dyDescent="0.25">
      <c r="A113">
        <v>19111032004</v>
      </c>
      <c r="B113">
        <v>3.34</v>
      </c>
      <c r="C113">
        <v>145453</v>
      </c>
      <c r="D113" t="s">
        <v>144</v>
      </c>
      <c r="E113" t="s">
        <v>54</v>
      </c>
      <c r="F113" t="s">
        <v>54</v>
      </c>
      <c r="G113">
        <v>3</v>
      </c>
      <c r="H113" t="s">
        <v>55</v>
      </c>
      <c r="I113">
        <v>56300</v>
      </c>
      <c r="J113">
        <v>53700</v>
      </c>
      <c r="K113">
        <v>3.34</v>
      </c>
      <c r="L113">
        <f>IF(Wapato_Inventory[[#This Row],[parcel_acres]]-Wapato_Inventory[[#This Row],[non_valued_acres]] =0,0,LN(Wapato_Inventory[[#This Row],[parcel_acres]]-Wapato_Inventory[[#This Row],[non_valued_acres]]))</f>
        <v>1.205970806988609</v>
      </c>
      <c r="M113">
        <v>0</v>
      </c>
      <c r="N113">
        <v>0</v>
      </c>
      <c r="O113">
        <v>0</v>
      </c>
      <c r="P113">
        <v>27904.037</v>
      </c>
      <c r="Q113">
        <v>74398</v>
      </c>
      <c r="R113" s="3">
        <f>(Wapato_Inventory[[#This Row],[ln_acres]]*Wapato_Inventory[[#This Row],[coeff]])+Wapato_Inventory[[#This Row],[const]]</f>
        <v>108049.45401913</v>
      </c>
      <c r="S113" t="s">
        <v>62</v>
      </c>
      <c r="T113">
        <v>1</v>
      </c>
      <c r="U113" t="s">
        <v>71</v>
      </c>
      <c r="V113" t="s">
        <v>84</v>
      </c>
      <c r="W113">
        <v>0</v>
      </c>
      <c r="X113">
        <v>0</v>
      </c>
      <c r="Y113">
        <v>48</v>
      </c>
      <c r="Z113">
        <v>59</v>
      </c>
      <c r="AA113">
        <v>60</v>
      </c>
      <c r="AB113">
        <v>1000</v>
      </c>
      <c r="AC113">
        <v>720</v>
      </c>
      <c r="AD113">
        <v>720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240</v>
      </c>
      <c r="AL113">
        <v>0</v>
      </c>
      <c r="AM113">
        <v>0</v>
      </c>
      <c r="AN113">
        <v>120</v>
      </c>
      <c r="AO113">
        <v>0</v>
      </c>
      <c r="AP113">
        <v>5</v>
      </c>
      <c r="AQ113">
        <v>0</v>
      </c>
      <c r="AR113">
        <v>0</v>
      </c>
      <c r="AS113" t="s">
        <v>59</v>
      </c>
      <c r="AT113">
        <v>1</v>
      </c>
      <c r="AU113" t="s">
        <v>72</v>
      </c>
      <c r="AV113" t="s">
        <v>61</v>
      </c>
      <c r="AW113">
        <v>0</v>
      </c>
      <c r="AX113">
        <v>2</v>
      </c>
      <c r="AY113">
        <v>0</v>
      </c>
      <c r="AZ113">
        <v>0</v>
      </c>
      <c r="BA113">
        <v>100</v>
      </c>
      <c r="BB113">
        <v>100</v>
      </c>
      <c r="BC113">
        <v>100</v>
      </c>
      <c r="BD113">
        <v>100</v>
      </c>
      <c r="BE113">
        <v>1</v>
      </c>
      <c r="BF113">
        <v>15000</v>
      </c>
      <c r="BG113">
        <v>1000</v>
      </c>
      <c r="BH113" s="7">
        <f>ROUND(Wapato_Inventory[[#This Row],[detatched_value]]*Lookups!$B$22*Lookups!$H$48,-2)</f>
        <v>0</v>
      </c>
      <c r="BI113" s="7">
        <f>ROUND(((Wapato_Inventory[[#This Row],[land_extract]]*Lookups!$B$3) +(Lookups!$B$2*0.5))*Lookups!$H$48,-2)</f>
        <v>61500</v>
      </c>
      <c r="BJ113" s="7">
        <f>IF(Wapato_Inventory[[#This Row],[bldg_style]]="",0,Lookups!$B$2*0.5)</f>
        <v>53765.27</v>
      </c>
      <c r="BK113" s="7">
        <f>_xlfn.IFNA(VLOOKUP(Wapato_Inventory[[#This Row],[quality]],Lookups!$H$2:$J$14,3,FALSE),0)</f>
        <v>28034</v>
      </c>
      <c r="BL113" s="7">
        <f>_xlfn.IFNA(VLOOKUP(Wapato_Inventory[[#This Row],[condition]],Lookups!$H$17:$J$24,3,FALSE),0)</f>
        <v>0</v>
      </c>
      <c r="BM113" s="7">
        <f>Wapato_Inventory[[#This Row],[Age]]*Lookups!$B$16</f>
        <v>-21869.866300000002</v>
      </c>
      <c r="BN113" s="7">
        <f>Wapato_Inventory[[#This Row],[Main Floor]]*Lookups!$B$17</f>
        <v>30096.532080000001</v>
      </c>
      <c r="BO113" s="7">
        <f>Wapato_Inventory[[#This Row],[Upper Floor]]*Lookups!$B$18</f>
        <v>0</v>
      </c>
      <c r="BP113" s="7">
        <f>Wapato_Inventory[[#This Row],[Fin BSMT]]*Lookups!$B$19</f>
        <v>0</v>
      </c>
      <c r="BQ113" s="7">
        <f>(Wapato_Inventory[[#This Row],[att_gar]]+Wapato_Inventory[[#This Row],[blt_gar]])*Lookups!$B$20</f>
        <v>0</v>
      </c>
      <c r="BR113" s="7">
        <f>Wapato_Inventory[[#This Row],[Patio]]*Lookups!$B$21</f>
        <v>0</v>
      </c>
      <c r="BS113" s="7">
        <f>SUM(Wapato_Inventory[[#This Row],[intercept]:[patio_value]])*Wapato_Inventory[[#This Row],[res_pct]]</f>
        <v>90025.935779999985</v>
      </c>
      <c r="BT113" s="7">
        <f>Wapato_Inventory[[#This Row],[land_value]]</f>
        <v>61500</v>
      </c>
      <c r="BU113" s="2">
        <f>_xlfn.IFNA(VLOOKUP(Wapato_Inventory[[#This Row],[quality]],Lookups!$A$28:$C$37,3,FALSE),1)</f>
        <v>0.96265813922927435</v>
      </c>
      <c r="BV113" s="2">
        <f>_xlfn.IFNA(VLOOKUP(Wapato_Inventory[[#This Row],[condition]],Lookups!$A$41:$C$48,3,FALSE),1)</f>
        <v>1.0000035546274355</v>
      </c>
      <c r="BW113" s="2">
        <f>IF(Wapato_Inventory[[#This Row],[decade]]="",1,_xlfn.IFNA(VLOOKUP(Wapato_Inventory[[#This Row],[decade]],Lookups!$F$28:$H$45,3,FALSE),1))</f>
        <v>1.035341704162583</v>
      </c>
      <c r="BX113" s="2">
        <f>_xlfn.IFNA(VLOOKUP(Wapato_Inventory[[#This Row],[living_area_range]],Lookups!$K$28:$M$37,3,FALSE),1)</f>
        <v>0.99022994770196116</v>
      </c>
      <c r="BY113" s="2">
        <f>AVERAGE(Wapato_Inventory[[#This Row],[qual_adj]:[range_adj]])</f>
        <v>0.9970583364303135</v>
      </c>
      <c r="BZ113" s="7">
        <f>(Wapato_Inventory[[#This Row],[sum_land]]-IF(Wapato_Inventory[[#This Row],[no_utilities]]=1,12000,0))/IF(Wapato_Inventory[[#This Row],[unbuildable]]=1,2,1)</f>
        <v>61500</v>
      </c>
      <c r="CA113" s="7">
        <f>Wapato_Inventory[[#This Row],[pre_res]]*Wapato_Inventory[[#This Row],[overall_adj]]</f>
        <v>89761.109764389024</v>
      </c>
      <c r="CB113" s="3">
        <f>IF(ROUND(Wapato_Inventory[[#This Row],[adj_land]]*Lookups!$H$48,-2)&lt;Wapato_Inventory[[#This Row],[min_land]],Wapato_Inventory[[#This Row],[min_land]],ROUND(Wapato_Inventory[[#This Row],[adj_land]]*Lookups!$H$48,-2))</f>
        <v>58400</v>
      </c>
      <c r="CC113" s="3">
        <f>IF(ROUND(Wapato_Inventory[[#This Row],[adj_res]]*Lookups!$H$48,-2)&lt;Wapato_Inventory[[#This Row],[min_res]],Wapato_Inventory[[#This Row],[min_res]],ROUND(Wapato_Inventory[[#This Row],[adj_res]]*Lookups!$H$48,-2))</f>
        <v>85300</v>
      </c>
      <c r="CD113" s="3">
        <f>ROUND(Wapato_Inventory[[#This Row],[det_value]]*Lookups!$H$48,-2)</f>
        <v>0</v>
      </c>
      <c r="CE113" s="3">
        <f>Wapato_Inventory[[#This Row],[final_res]]+Wapato_Inventory[[#This Row],[final_det]]</f>
        <v>85300</v>
      </c>
      <c r="CF113" s="3">
        <f>Wapato_Inventory[[#This Row],[crop_value]]+Wapato_Inventory[[#This Row],[final_land]]+Wapato_Inventory[[#This Row],[final_imp]]</f>
        <v>143700</v>
      </c>
      <c r="CH113" t="str">
        <f t="shared" si="1"/>
        <v>update valuation set market_land =58400, market_bldg=85300, market_total =143700, market_mdno =405, market_date ='9/10/2023' where link_id = (select link_id from parcel where parcel_year = '2024' and parcel_id = '19111032004');</v>
      </c>
    </row>
    <row r="114" spans="1:86" x14ac:dyDescent="0.25">
      <c r="A114">
        <v>19111032011</v>
      </c>
      <c r="B114">
        <v>0.72</v>
      </c>
      <c r="C114">
        <v>31265</v>
      </c>
      <c r="D114" t="s">
        <v>144</v>
      </c>
      <c r="E114" t="s">
        <v>54</v>
      </c>
      <c r="F114" t="s">
        <v>54</v>
      </c>
      <c r="G114">
        <v>3</v>
      </c>
      <c r="H114" t="s">
        <v>55</v>
      </c>
      <c r="I114">
        <v>242200</v>
      </c>
      <c r="J114">
        <v>43000</v>
      </c>
      <c r="K114">
        <v>0.72</v>
      </c>
      <c r="L114">
        <f>IF(Wapato_Inventory[[#This Row],[parcel_acres]]-Wapato_Inventory[[#This Row],[non_valued_acres]] =0,0,LN(Wapato_Inventory[[#This Row],[parcel_acres]]-Wapato_Inventory[[#This Row],[non_valued_acres]]))</f>
        <v>-0.3285040669720361</v>
      </c>
      <c r="M114">
        <v>0</v>
      </c>
      <c r="N114">
        <v>0</v>
      </c>
      <c r="O114">
        <v>0</v>
      </c>
      <c r="P114">
        <v>27904.037</v>
      </c>
      <c r="Q114">
        <v>74398</v>
      </c>
      <c r="R114" s="3">
        <f>(Wapato_Inventory[[#This Row],[ln_acres]]*Wapato_Inventory[[#This Row],[coeff]])+Wapato_Inventory[[#This Row],[const]]</f>
        <v>65231.410360561829</v>
      </c>
      <c r="S114" t="s">
        <v>56</v>
      </c>
      <c r="T114">
        <v>1</v>
      </c>
      <c r="U114" t="s">
        <v>78</v>
      </c>
      <c r="V114" t="s">
        <v>68</v>
      </c>
      <c r="W114">
        <v>0</v>
      </c>
      <c r="X114">
        <v>0</v>
      </c>
      <c r="Y114">
        <v>50</v>
      </c>
      <c r="Z114">
        <v>73</v>
      </c>
      <c r="AA114">
        <v>80</v>
      </c>
      <c r="AB114">
        <v>1500</v>
      </c>
      <c r="AC114">
        <v>1290</v>
      </c>
      <c r="AD114">
        <v>1290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270</v>
      </c>
      <c r="AN114">
        <v>48</v>
      </c>
      <c r="AO114">
        <v>0</v>
      </c>
      <c r="AP114">
        <v>5</v>
      </c>
      <c r="AQ114">
        <v>0</v>
      </c>
      <c r="AR114">
        <v>0</v>
      </c>
      <c r="AS114" t="s">
        <v>59</v>
      </c>
      <c r="AT114">
        <v>0</v>
      </c>
      <c r="AU114" t="s">
        <v>80</v>
      </c>
      <c r="AV114" t="s">
        <v>61</v>
      </c>
      <c r="AW114">
        <v>0</v>
      </c>
      <c r="AX114">
        <v>2</v>
      </c>
      <c r="AY114">
        <v>0</v>
      </c>
      <c r="AZ114">
        <v>70700</v>
      </c>
      <c r="BA114">
        <v>100</v>
      </c>
      <c r="BB114">
        <v>100</v>
      </c>
      <c r="BC114">
        <v>100</v>
      </c>
      <c r="BD114">
        <v>100</v>
      </c>
      <c r="BE114">
        <v>1</v>
      </c>
      <c r="BF114">
        <v>15000</v>
      </c>
      <c r="BG114">
        <v>1000</v>
      </c>
      <c r="BH114" s="7">
        <f>ROUND(Wapato_Inventory[[#This Row],[detatched_value]]*Lookups!$B$22*Lookups!$H$48,-2)</f>
        <v>63200</v>
      </c>
      <c r="BI114" s="7">
        <f>ROUND(((Wapato_Inventory[[#This Row],[land_extract]]*Lookups!$B$3) +(Lookups!$B$2*0.5))*Lookups!$H$48,-2)</f>
        <v>57400</v>
      </c>
      <c r="BJ114" s="7">
        <f>IF(Wapato_Inventory[[#This Row],[bldg_style]]="",0,Lookups!$B$2*0.5)</f>
        <v>53765.27</v>
      </c>
      <c r="BK114" s="7">
        <f>_xlfn.IFNA(VLOOKUP(Wapato_Inventory[[#This Row],[quality]],Lookups!$H$2:$J$14,3,FALSE),0)</f>
        <v>23424</v>
      </c>
      <c r="BL114" s="7">
        <f>_xlfn.IFNA(VLOOKUP(Wapato_Inventory[[#This Row],[condition]],Lookups!$H$17:$J$24,3,FALSE),0)</f>
        <v>52231</v>
      </c>
      <c r="BM114" s="7">
        <f>Wapato_Inventory[[#This Row],[Age]]*Lookups!$B$16</f>
        <v>-27059.326100000002</v>
      </c>
      <c r="BN114" s="7">
        <f>Wapato_Inventory[[#This Row],[Main Floor]]*Lookups!$B$17</f>
        <v>53922.953309999997</v>
      </c>
      <c r="BO114" s="7">
        <f>Wapato_Inventory[[#This Row],[Upper Floor]]*Lookups!$B$18</f>
        <v>0</v>
      </c>
      <c r="BP114" s="7">
        <f>Wapato_Inventory[[#This Row],[Fin BSMT]]*Lookups!$B$19</f>
        <v>0</v>
      </c>
      <c r="BQ114" s="7">
        <f>(Wapato_Inventory[[#This Row],[att_gar]]+Wapato_Inventory[[#This Row],[blt_gar]])*Lookups!$B$20</f>
        <v>0</v>
      </c>
      <c r="BR114" s="7">
        <f>Wapato_Inventory[[#This Row],[Patio]]*Lookups!$B$21</f>
        <v>11697.474330000001</v>
      </c>
      <c r="BS114" s="7">
        <f>SUM(Wapato_Inventory[[#This Row],[intercept]:[patio_value]])*Wapato_Inventory[[#This Row],[res_pct]]</f>
        <v>167981.37153999996</v>
      </c>
      <c r="BT114" s="7">
        <f>Wapato_Inventory[[#This Row],[land_value]]</f>
        <v>57400</v>
      </c>
      <c r="BU114" s="2">
        <f>_xlfn.IFNA(VLOOKUP(Wapato_Inventory[[#This Row],[quality]],Lookups!$A$28:$C$37,3,FALSE),1)</f>
        <v>1.0091195562373767</v>
      </c>
      <c r="BV114" s="2">
        <f>_xlfn.IFNA(VLOOKUP(Wapato_Inventory[[#This Row],[condition]],Lookups!$A$41:$C$48,3,FALSE),1)</f>
        <v>0.9832333997567807</v>
      </c>
      <c r="BW114" s="2">
        <f>IF(Wapato_Inventory[[#This Row],[decade]]="",1,_xlfn.IFNA(VLOOKUP(Wapato_Inventory[[#This Row],[decade]],Lookups!$F$28:$H$45,3,FALSE),1))</f>
        <v>0.8438929209510081</v>
      </c>
      <c r="BX114" s="2">
        <f>_xlfn.IFNA(VLOOKUP(Wapato_Inventory[[#This Row],[living_area_range]],Lookups!$K$28:$M$37,3,FALSE),1)</f>
        <v>1.0061411172456287</v>
      </c>
      <c r="BY114" s="2">
        <f>AVERAGE(Wapato_Inventory[[#This Row],[qual_adj]:[range_adj]])</f>
        <v>0.96059674854769861</v>
      </c>
      <c r="BZ114" s="7">
        <f>(Wapato_Inventory[[#This Row],[sum_land]]-IF(Wapato_Inventory[[#This Row],[no_utilities]]=1,12000,0))/IF(Wapato_Inventory[[#This Row],[unbuildable]]=1,2,1)</f>
        <v>57400</v>
      </c>
      <c r="CA114" s="7">
        <f>Wapato_Inventory[[#This Row],[pre_res]]*Wapato_Inventory[[#This Row],[overall_adj]]</f>
        <v>161362.35931790687</v>
      </c>
      <c r="CB114" s="3">
        <f>IF(ROUND(Wapato_Inventory[[#This Row],[adj_land]]*Lookups!$H$48,-2)&lt;Wapato_Inventory[[#This Row],[min_land]],Wapato_Inventory[[#This Row],[min_land]],ROUND(Wapato_Inventory[[#This Row],[adj_land]]*Lookups!$H$48,-2))</f>
        <v>54500</v>
      </c>
      <c r="CC114" s="3">
        <f>IF(ROUND(Wapato_Inventory[[#This Row],[adj_res]]*Lookups!$H$48,-2)&lt;Wapato_Inventory[[#This Row],[min_res]],Wapato_Inventory[[#This Row],[min_res]],ROUND(Wapato_Inventory[[#This Row],[adj_res]]*Lookups!$H$48,-2))</f>
        <v>153300</v>
      </c>
      <c r="CD114" s="3">
        <f>ROUND(Wapato_Inventory[[#This Row],[det_value]]*Lookups!$H$48,-2)</f>
        <v>60000</v>
      </c>
      <c r="CE114" s="3">
        <f>Wapato_Inventory[[#This Row],[final_res]]+Wapato_Inventory[[#This Row],[final_det]]</f>
        <v>213300</v>
      </c>
      <c r="CF114" s="3">
        <f>Wapato_Inventory[[#This Row],[crop_value]]+Wapato_Inventory[[#This Row],[final_land]]+Wapato_Inventory[[#This Row],[final_imp]]</f>
        <v>267800</v>
      </c>
      <c r="CH114" t="str">
        <f t="shared" si="1"/>
        <v>update valuation set market_land =54500, market_bldg=213300, market_total =267800, market_mdno =405, market_date ='9/10/2023' where link_id = (select link_id from parcel where parcel_year = '2024' and parcel_id = '19111032011');</v>
      </c>
    </row>
    <row r="115" spans="1:86" x14ac:dyDescent="0.25">
      <c r="A115">
        <v>19111032012</v>
      </c>
      <c r="B115">
        <v>3.18</v>
      </c>
      <c r="C115">
        <v>138710</v>
      </c>
      <c r="D115" t="s">
        <v>144</v>
      </c>
      <c r="E115" t="s">
        <v>54</v>
      </c>
      <c r="F115" t="s">
        <v>54</v>
      </c>
      <c r="G115">
        <v>3</v>
      </c>
      <c r="H115" t="s">
        <v>55</v>
      </c>
      <c r="I115">
        <v>543700</v>
      </c>
      <c r="J115">
        <v>53400</v>
      </c>
      <c r="K115">
        <v>3.18</v>
      </c>
      <c r="L115">
        <f>IF(Wapato_Inventory[[#This Row],[parcel_acres]]-Wapato_Inventory[[#This Row],[non_valued_acres]] =0,0,LN(Wapato_Inventory[[#This Row],[parcel_acres]]-Wapato_Inventory[[#This Row],[non_valued_acres]]))</f>
        <v>1.1568811967920856</v>
      </c>
      <c r="M115">
        <v>0</v>
      </c>
      <c r="N115">
        <v>0</v>
      </c>
      <c r="O115">
        <v>0</v>
      </c>
      <c r="P115">
        <v>27904.037</v>
      </c>
      <c r="Q115">
        <v>74398</v>
      </c>
      <c r="R115" s="3">
        <f>(Wapato_Inventory[[#This Row],[ln_acres]]*Wapato_Inventory[[#This Row],[coeff]])+Wapato_Inventory[[#This Row],[const]]</f>
        <v>106679.65571989064</v>
      </c>
      <c r="S115" t="s">
        <v>62</v>
      </c>
      <c r="T115">
        <v>1</v>
      </c>
      <c r="U115" t="s">
        <v>67</v>
      </c>
      <c r="V115" t="s">
        <v>69</v>
      </c>
      <c r="W115">
        <v>0</v>
      </c>
      <c r="X115">
        <v>0</v>
      </c>
      <c r="Y115">
        <v>43</v>
      </c>
      <c r="Z115">
        <v>44</v>
      </c>
      <c r="AA115">
        <v>50</v>
      </c>
      <c r="AB115">
        <v>3000</v>
      </c>
      <c r="AC115">
        <v>2966</v>
      </c>
      <c r="AD115">
        <v>2966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334</v>
      </c>
      <c r="AM115">
        <v>676</v>
      </c>
      <c r="AN115">
        <v>112</v>
      </c>
      <c r="AO115">
        <v>0</v>
      </c>
      <c r="AP115">
        <v>10</v>
      </c>
      <c r="AQ115">
        <v>0</v>
      </c>
      <c r="AR115">
        <v>0</v>
      </c>
      <c r="AS115" t="s">
        <v>59</v>
      </c>
      <c r="AT115">
        <v>1</v>
      </c>
      <c r="AU115" t="s">
        <v>60</v>
      </c>
      <c r="AV115" t="s">
        <v>61</v>
      </c>
      <c r="AW115">
        <v>1</v>
      </c>
      <c r="AX115">
        <v>3</v>
      </c>
      <c r="AY115">
        <v>0</v>
      </c>
      <c r="AZ115">
        <v>188200</v>
      </c>
      <c r="BA115">
        <v>100</v>
      </c>
      <c r="BB115">
        <v>100</v>
      </c>
      <c r="BC115">
        <v>100</v>
      </c>
      <c r="BD115">
        <v>100</v>
      </c>
      <c r="BE115">
        <v>1</v>
      </c>
      <c r="BF115">
        <v>15000</v>
      </c>
      <c r="BG115">
        <v>1000</v>
      </c>
      <c r="BH115" s="7">
        <f>ROUND(Wapato_Inventory[[#This Row],[detatched_value]]*Lookups!$B$22*Lookups!$H$48,-2)</f>
        <v>168100</v>
      </c>
      <c r="BI115" s="7">
        <f>ROUND(((Wapato_Inventory[[#This Row],[land_extract]]*Lookups!$B$3) +(Lookups!$B$2*0.5))*Lookups!$H$48,-2)</f>
        <v>61400</v>
      </c>
      <c r="BJ115" s="7">
        <f>IF(Wapato_Inventory[[#This Row],[bldg_style]]="",0,Lookups!$B$2*0.5)</f>
        <v>53765.27</v>
      </c>
      <c r="BK115" s="7">
        <f>_xlfn.IFNA(VLOOKUP(Wapato_Inventory[[#This Row],[quality]],Lookups!$H$2:$J$14,3,FALSE),0)</f>
        <v>50405</v>
      </c>
      <c r="BL115" s="7">
        <f>_xlfn.IFNA(VLOOKUP(Wapato_Inventory[[#This Row],[condition]],Lookups!$H$17:$J$24,3,FALSE),0)</f>
        <v>74543</v>
      </c>
      <c r="BM115" s="7">
        <f>Wapato_Inventory[[#This Row],[Age]]*Lookups!$B$16</f>
        <v>-16309.730800000001</v>
      </c>
      <c r="BN115" s="7">
        <f>Wapato_Inventory[[#This Row],[Main Floor]]*Lookups!$B$17</f>
        <v>123980.991874</v>
      </c>
      <c r="BO115" s="7">
        <f>Wapato_Inventory[[#This Row],[Upper Floor]]*Lookups!$B$18</f>
        <v>0</v>
      </c>
      <c r="BP115" s="7">
        <f>Wapato_Inventory[[#This Row],[Fin BSMT]]*Lookups!$B$19</f>
        <v>0</v>
      </c>
      <c r="BQ115" s="7">
        <f>(Wapato_Inventory[[#This Row],[att_gar]]+Wapato_Inventory[[#This Row],[blt_gar]])*Lookups!$B$20</f>
        <v>0</v>
      </c>
      <c r="BR115" s="7">
        <f>Wapato_Inventory[[#This Row],[Patio]]*Lookups!$B$21</f>
        <v>29287.009804000001</v>
      </c>
      <c r="BS115" s="7">
        <f>SUM(Wapato_Inventory[[#This Row],[intercept]:[patio_value]])*Wapato_Inventory[[#This Row],[res_pct]]</f>
        <v>315671.54087799997</v>
      </c>
      <c r="BT115" s="7">
        <f>Wapato_Inventory[[#This Row],[land_value]]</f>
        <v>61400</v>
      </c>
      <c r="BU115" s="2">
        <f>_xlfn.IFNA(VLOOKUP(Wapato_Inventory[[#This Row],[quality]],Lookups!$A$28:$C$37,3,FALSE),1)</f>
        <v>0.97993206410140754</v>
      </c>
      <c r="BV115" s="2">
        <f>_xlfn.IFNA(VLOOKUP(Wapato_Inventory[[#This Row],[condition]],Lookups!$A$41:$C$48,3,FALSE),1)</f>
        <v>0.98442438223270734</v>
      </c>
      <c r="BW115" s="2">
        <f>IF(Wapato_Inventory[[#This Row],[decade]]="",1,_xlfn.IFNA(VLOOKUP(Wapato_Inventory[[#This Row],[decade]],Lookups!$F$28:$H$45,3,FALSE),1))</f>
        <v>0.96240333884358298</v>
      </c>
      <c r="BX115" s="2">
        <f>_xlfn.IFNA(VLOOKUP(Wapato_Inventory[[#This Row],[living_area_range]],Lookups!$K$28:$M$37,3,FALSE),1)</f>
        <v>1.0155869662067822</v>
      </c>
      <c r="BY115" s="2">
        <f>AVERAGE(Wapato_Inventory[[#This Row],[qual_adj]:[range_adj]])</f>
        <v>0.98558668784612014</v>
      </c>
      <c r="BZ115" s="7">
        <f>(Wapato_Inventory[[#This Row],[sum_land]]-IF(Wapato_Inventory[[#This Row],[no_utilities]]=1,12000,0))/IF(Wapato_Inventory[[#This Row],[unbuildable]]=1,2,1)</f>
        <v>61400</v>
      </c>
      <c r="CA115" s="7">
        <f>Wapato_Inventory[[#This Row],[pre_res]]*Wapato_Inventory[[#This Row],[overall_adj]]</f>
        <v>311121.66842122911</v>
      </c>
      <c r="CB115" s="3">
        <f>IF(ROUND(Wapato_Inventory[[#This Row],[adj_land]]*Lookups!$H$48,-2)&lt;Wapato_Inventory[[#This Row],[min_land]],Wapato_Inventory[[#This Row],[min_land]],ROUND(Wapato_Inventory[[#This Row],[adj_land]]*Lookups!$H$48,-2))</f>
        <v>58300</v>
      </c>
      <c r="CC115" s="3">
        <f>IF(ROUND(Wapato_Inventory[[#This Row],[adj_res]]*Lookups!$H$48,-2)&lt;Wapato_Inventory[[#This Row],[min_res]],Wapato_Inventory[[#This Row],[min_res]],ROUND(Wapato_Inventory[[#This Row],[adj_res]]*Lookups!$H$48,-2))</f>
        <v>295600</v>
      </c>
      <c r="CD115" s="3">
        <f>ROUND(Wapato_Inventory[[#This Row],[det_value]]*Lookups!$H$48,-2)</f>
        <v>159700</v>
      </c>
      <c r="CE115" s="3">
        <f>Wapato_Inventory[[#This Row],[final_res]]+Wapato_Inventory[[#This Row],[final_det]]</f>
        <v>455300</v>
      </c>
      <c r="CF115" s="3">
        <f>Wapato_Inventory[[#This Row],[crop_value]]+Wapato_Inventory[[#This Row],[final_land]]+Wapato_Inventory[[#This Row],[final_imp]]</f>
        <v>513600</v>
      </c>
      <c r="CH115" t="str">
        <f t="shared" si="1"/>
        <v>update valuation set market_land =58300, market_bldg=455300, market_total =513600, market_mdno =405, market_date ='9/10/2023' where link_id = (select link_id from parcel where parcel_year = '2024' and parcel_id = '19111032012');</v>
      </c>
    </row>
    <row r="116" spans="1:86" x14ac:dyDescent="0.25">
      <c r="A116">
        <v>19111032401</v>
      </c>
      <c r="B116">
        <v>0.51</v>
      </c>
      <c r="C116" t="s">
        <v>144</v>
      </c>
      <c r="D116" t="s">
        <v>144</v>
      </c>
      <c r="E116" t="s">
        <v>54</v>
      </c>
      <c r="F116" t="s">
        <v>54</v>
      </c>
      <c r="G116">
        <v>3</v>
      </c>
      <c r="H116" t="s">
        <v>55</v>
      </c>
      <c r="I116">
        <v>120900</v>
      </c>
      <c r="J116">
        <v>40500</v>
      </c>
      <c r="K116">
        <v>0.51</v>
      </c>
      <c r="L116">
        <f>IF(Wapato_Inventory[[#This Row],[parcel_acres]]-Wapato_Inventory[[#This Row],[non_valued_acres]] =0,0,LN(Wapato_Inventory[[#This Row],[parcel_acres]]-Wapato_Inventory[[#This Row],[non_valued_acres]]))</f>
        <v>-0.67334455326376563</v>
      </c>
      <c r="M116">
        <v>0</v>
      </c>
      <c r="N116">
        <v>0</v>
      </c>
      <c r="O116">
        <v>0</v>
      </c>
      <c r="P116">
        <v>27904.037</v>
      </c>
      <c r="Q116">
        <v>74398</v>
      </c>
      <c r="R116" s="3">
        <f>(Wapato_Inventory[[#This Row],[ln_acres]]*Wapato_Inventory[[#This Row],[coeff]])+Wapato_Inventory[[#This Row],[const]]</f>
        <v>55608.968671979412</v>
      </c>
      <c r="S116" t="s">
        <v>66</v>
      </c>
      <c r="T116">
        <v>1</v>
      </c>
      <c r="U116" t="s">
        <v>71</v>
      </c>
      <c r="V116" t="s">
        <v>68</v>
      </c>
      <c r="W116">
        <v>0</v>
      </c>
      <c r="X116">
        <v>0</v>
      </c>
      <c r="Y116">
        <v>51</v>
      </c>
      <c r="Z116">
        <v>77</v>
      </c>
      <c r="AA116">
        <v>80</v>
      </c>
      <c r="AB116">
        <v>1500</v>
      </c>
      <c r="AC116">
        <v>1152</v>
      </c>
      <c r="AD116">
        <v>1152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288</v>
      </c>
      <c r="AL116">
        <v>0</v>
      </c>
      <c r="AM116">
        <v>350</v>
      </c>
      <c r="AN116">
        <v>0</v>
      </c>
      <c r="AO116">
        <v>350</v>
      </c>
      <c r="AP116">
        <v>8</v>
      </c>
      <c r="AQ116">
        <v>0</v>
      </c>
      <c r="AR116">
        <v>0</v>
      </c>
      <c r="AS116" t="s">
        <v>59</v>
      </c>
      <c r="AT116">
        <v>0</v>
      </c>
      <c r="AU116" t="s">
        <v>80</v>
      </c>
      <c r="AV116" t="s">
        <v>77</v>
      </c>
      <c r="AW116">
        <v>0</v>
      </c>
      <c r="AX116">
        <v>4</v>
      </c>
      <c r="AY116">
        <v>0</v>
      </c>
      <c r="AZ116">
        <v>0</v>
      </c>
      <c r="BA116">
        <v>100</v>
      </c>
      <c r="BB116">
        <v>100</v>
      </c>
      <c r="BC116">
        <v>100</v>
      </c>
      <c r="BD116">
        <v>100</v>
      </c>
      <c r="BE116">
        <v>1</v>
      </c>
      <c r="BF116">
        <v>15000</v>
      </c>
      <c r="BG116">
        <v>1000</v>
      </c>
      <c r="BH116" s="7">
        <f>ROUND(Wapato_Inventory[[#This Row],[detatched_value]]*Lookups!$B$22*Lookups!$H$48,-2)</f>
        <v>0</v>
      </c>
      <c r="BI116" s="7">
        <f>ROUND(((Wapato_Inventory[[#This Row],[land_extract]]*Lookups!$B$3) +(Lookups!$B$2*0.5))*Lookups!$H$48,-2)</f>
        <v>56400</v>
      </c>
      <c r="BJ116" s="7">
        <f>IF(Wapato_Inventory[[#This Row],[bldg_style]]="",0,Lookups!$B$2*0.5)</f>
        <v>53765.27</v>
      </c>
      <c r="BK116" s="7">
        <f>_xlfn.IFNA(VLOOKUP(Wapato_Inventory[[#This Row],[quality]],Lookups!$H$2:$J$14,3,FALSE),0)</f>
        <v>28034</v>
      </c>
      <c r="BL116" s="7">
        <f>_xlfn.IFNA(VLOOKUP(Wapato_Inventory[[#This Row],[condition]],Lookups!$H$17:$J$24,3,FALSE),0)</f>
        <v>52231</v>
      </c>
      <c r="BM116" s="7">
        <f>Wapato_Inventory[[#This Row],[Age]]*Lookups!$B$16</f>
        <v>-28542.028900000001</v>
      </c>
      <c r="BN116" s="7">
        <f>Wapato_Inventory[[#This Row],[Main Floor]]*Lookups!$B$17</f>
        <v>48154.451328000003</v>
      </c>
      <c r="BO116" s="7">
        <f>Wapato_Inventory[[#This Row],[Upper Floor]]*Lookups!$B$18</f>
        <v>0</v>
      </c>
      <c r="BP116" s="7">
        <f>Wapato_Inventory[[#This Row],[Fin BSMT]]*Lookups!$B$19</f>
        <v>0</v>
      </c>
      <c r="BQ116" s="7">
        <f>(Wapato_Inventory[[#This Row],[att_gar]]+Wapato_Inventory[[#This Row],[blt_gar]])*Lookups!$B$20</f>
        <v>0</v>
      </c>
      <c r="BR116" s="7">
        <f>Wapato_Inventory[[#This Row],[Patio]]*Lookups!$B$21</f>
        <v>15163.39265</v>
      </c>
      <c r="BS116" s="7">
        <f>SUM(Wapato_Inventory[[#This Row],[intercept]:[patio_value]])*Wapato_Inventory[[#This Row],[res_pct]]</f>
        <v>168806.08507799997</v>
      </c>
      <c r="BT116" s="7">
        <f>Wapato_Inventory[[#This Row],[land_value]]</f>
        <v>56400</v>
      </c>
      <c r="BU116" s="2">
        <f>_xlfn.IFNA(VLOOKUP(Wapato_Inventory[[#This Row],[quality]],Lookups!$A$28:$C$37,3,FALSE),1)</f>
        <v>0.96265813922927435</v>
      </c>
      <c r="BV116" s="2">
        <f>_xlfn.IFNA(VLOOKUP(Wapato_Inventory[[#This Row],[condition]],Lookups!$A$41:$C$48,3,FALSE),1)</f>
        <v>0.9832333997567807</v>
      </c>
      <c r="BW116" s="2">
        <f>IF(Wapato_Inventory[[#This Row],[decade]]="",1,_xlfn.IFNA(VLOOKUP(Wapato_Inventory[[#This Row],[decade]],Lookups!$F$28:$H$45,3,FALSE),1))</f>
        <v>0.8438929209510081</v>
      </c>
      <c r="BX116" s="2">
        <f>_xlfn.IFNA(VLOOKUP(Wapato_Inventory[[#This Row],[living_area_range]],Lookups!$K$28:$M$37,3,FALSE),1)</f>
        <v>1.0061411172456287</v>
      </c>
      <c r="BY116" s="2">
        <f>AVERAGE(Wapato_Inventory[[#This Row],[qual_adj]:[range_adj]])</f>
        <v>0.94898139429567296</v>
      </c>
      <c r="BZ116" s="7">
        <f>(Wapato_Inventory[[#This Row],[sum_land]]-IF(Wapato_Inventory[[#This Row],[no_utilities]]=1,12000,0))/IF(Wapato_Inventory[[#This Row],[unbuildable]]=1,2,1)</f>
        <v>56400</v>
      </c>
      <c r="CA116" s="7">
        <f>Wapato_Inventory[[#This Row],[pre_res]]*Wapato_Inventory[[#This Row],[overall_adj]]</f>
        <v>160193.83398291442</v>
      </c>
      <c r="CB116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116" s="3">
        <f>IF(ROUND(Wapato_Inventory[[#This Row],[adj_res]]*Lookups!$H$48,-2)&lt;Wapato_Inventory[[#This Row],[min_res]],Wapato_Inventory[[#This Row],[min_res]],ROUND(Wapato_Inventory[[#This Row],[adj_res]]*Lookups!$H$48,-2))</f>
        <v>152200</v>
      </c>
      <c r="CD116" s="3">
        <f>ROUND(Wapato_Inventory[[#This Row],[det_value]]*Lookups!$H$48,-2)</f>
        <v>0</v>
      </c>
      <c r="CE116" s="3">
        <f>Wapato_Inventory[[#This Row],[final_res]]+Wapato_Inventory[[#This Row],[final_det]]</f>
        <v>152200</v>
      </c>
      <c r="CF116" s="3">
        <f>Wapato_Inventory[[#This Row],[crop_value]]+Wapato_Inventory[[#This Row],[final_land]]+Wapato_Inventory[[#This Row],[final_imp]]</f>
        <v>205800</v>
      </c>
      <c r="CH116" t="str">
        <f t="shared" si="1"/>
        <v>update valuation set market_land =53600, market_bldg=152200, market_total =205800, market_mdno =405, market_date ='9/10/2023' where link_id = (select link_id from parcel where parcel_year = '2024' and parcel_id = '19111032401');</v>
      </c>
    </row>
    <row r="117" spans="1:86" x14ac:dyDescent="0.25">
      <c r="A117">
        <v>19111032402</v>
      </c>
      <c r="B117">
        <v>0.51</v>
      </c>
      <c r="C117">
        <v>22391</v>
      </c>
      <c r="D117" t="s">
        <v>144</v>
      </c>
      <c r="E117" t="s">
        <v>54</v>
      </c>
      <c r="F117" t="s">
        <v>54</v>
      </c>
      <c r="G117">
        <v>3</v>
      </c>
      <c r="H117" t="s">
        <v>55</v>
      </c>
      <c r="I117">
        <v>395000</v>
      </c>
      <c r="J117">
        <v>40500</v>
      </c>
      <c r="K117">
        <v>0.51</v>
      </c>
      <c r="L117">
        <f>IF(Wapato_Inventory[[#This Row],[parcel_acres]]-Wapato_Inventory[[#This Row],[non_valued_acres]] =0,0,LN(Wapato_Inventory[[#This Row],[parcel_acres]]-Wapato_Inventory[[#This Row],[non_valued_acres]]))</f>
        <v>-0.67334455326376563</v>
      </c>
      <c r="M117">
        <v>0</v>
      </c>
      <c r="N117">
        <v>0</v>
      </c>
      <c r="O117">
        <v>0</v>
      </c>
      <c r="P117">
        <v>27904.037</v>
      </c>
      <c r="Q117">
        <v>74398</v>
      </c>
      <c r="R117" s="3">
        <f>(Wapato_Inventory[[#This Row],[ln_acres]]*Wapato_Inventory[[#This Row],[coeff]])+Wapato_Inventory[[#This Row],[const]]</f>
        <v>55608.968671979412</v>
      </c>
      <c r="S117" t="s">
        <v>56</v>
      </c>
      <c r="T117">
        <v>1</v>
      </c>
      <c r="U117" t="s">
        <v>57</v>
      </c>
      <c r="V117" t="s">
        <v>58</v>
      </c>
      <c r="W117">
        <v>30700</v>
      </c>
      <c r="X117">
        <v>0</v>
      </c>
      <c r="Y117">
        <v>1</v>
      </c>
      <c r="Z117">
        <v>1</v>
      </c>
      <c r="AA117">
        <v>10</v>
      </c>
      <c r="AB117">
        <v>2500</v>
      </c>
      <c r="AC117">
        <v>2402</v>
      </c>
      <c r="AD117">
        <v>2402</v>
      </c>
      <c r="AE117">
        <v>0</v>
      </c>
      <c r="AF117">
        <v>0</v>
      </c>
      <c r="AG117">
        <v>0</v>
      </c>
      <c r="AH117">
        <v>0</v>
      </c>
      <c r="AI117">
        <v>576</v>
      </c>
      <c r="AJ117">
        <v>0</v>
      </c>
      <c r="AK117">
        <v>0</v>
      </c>
      <c r="AL117">
        <v>0</v>
      </c>
      <c r="AM117">
        <v>208</v>
      </c>
      <c r="AN117">
        <v>96</v>
      </c>
      <c r="AO117">
        <v>0</v>
      </c>
      <c r="AP117">
        <v>15</v>
      </c>
      <c r="AQ117">
        <v>0</v>
      </c>
      <c r="AR117">
        <v>0</v>
      </c>
      <c r="AS117" t="s">
        <v>59</v>
      </c>
      <c r="AT117">
        <v>1</v>
      </c>
      <c r="AU117" t="s">
        <v>60</v>
      </c>
      <c r="AV117" t="s">
        <v>61</v>
      </c>
      <c r="AW117">
        <v>1</v>
      </c>
      <c r="AX117">
        <v>3</v>
      </c>
      <c r="AY117">
        <v>0</v>
      </c>
      <c r="AZ117">
        <v>0</v>
      </c>
      <c r="BA117">
        <v>100</v>
      </c>
      <c r="BB117">
        <v>100</v>
      </c>
      <c r="BC117">
        <v>100</v>
      </c>
      <c r="BD117">
        <v>100</v>
      </c>
      <c r="BE117">
        <v>1</v>
      </c>
      <c r="BF117">
        <v>15000</v>
      </c>
      <c r="BG117">
        <v>1000</v>
      </c>
      <c r="BH117" s="7">
        <f>ROUND(Wapato_Inventory[[#This Row],[detatched_value]]*Lookups!$B$22*Lookups!$H$48,-2)</f>
        <v>0</v>
      </c>
      <c r="BI117" s="7">
        <f>ROUND(((Wapato_Inventory[[#This Row],[land_extract]]*Lookups!$B$3) +(Lookups!$B$2*0.5))*Lookups!$H$48,-2)</f>
        <v>56400</v>
      </c>
      <c r="BJ117" s="7">
        <f>IF(Wapato_Inventory[[#This Row],[bldg_style]]="",0,Lookups!$B$2*0.5)</f>
        <v>53765.27</v>
      </c>
      <c r="BK117" s="7">
        <f>_xlfn.IFNA(VLOOKUP(Wapato_Inventory[[#This Row],[quality]],Lookups!$H$2:$J$14,3,FALSE),0)</f>
        <v>152073</v>
      </c>
      <c r="BL117" s="7">
        <f>_xlfn.IFNA(VLOOKUP(Wapato_Inventory[[#This Row],[condition]],Lookups!$H$17:$J$24,3,FALSE),0)</f>
        <v>122095</v>
      </c>
      <c r="BM117" s="7">
        <f>Wapato_Inventory[[#This Row],[Age]]*Lookups!$B$16</f>
        <v>-370.67570000000001</v>
      </c>
      <c r="BN117" s="7">
        <f>Wapato_Inventory[[#This Row],[Main Floor]]*Lookups!$B$17</f>
        <v>100405.375078</v>
      </c>
      <c r="BO117" s="7">
        <f>Wapato_Inventory[[#This Row],[Upper Floor]]*Lookups!$B$18</f>
        <v>0</v>
      </c>
      <c r="BP117" s="7">
        <f>Wapato_Inventory[[#This Row],[Fin BSMT]]*Lookups!$B$19</f>
        <v>0</v>
      </c>
      <c r="BQ117" s="7">
        <f>(Wapato_Inventory[[#This Row],[att_gar]]+Wapato_Inventory[[#This Row],[blt_gar]])*Lookups!$B$20</f>
        <v>21317.041152000002</v>
      </c>
      <c r="BR117" s="7">
        <f>Wapato_Inventory[[#This Row],[Patio]]*Lookups!$B$21</f>
        <v>9011.3876319999999</v>
      </c>
      <c r="BS117" s="7">
        <f>SUM(Wapato_Inventory[[#This Row],[intercept]:[patio_value]])*Wapato_Inventory[[#This Row],[res_pct]]</f>
        <v>458296.39816200006</v>
      </c>
      <c r="BT117" s="7">
        <f>Wapato_Inventory[[#This Row],[land_value]]</f>
        <v>56400</v>
      </c>
      <c r="BU117" s="2">
        <f>_xlfn.IFNA(VLOOKUP(Wapato_Inventory[[#This Row],[quality]],Lookups!$A$28:$C$37,3,FALSE),1)</f>
        <v>1.0000008715458084</v>
      </c>
      <c r="BV117" s="2">
        <f>_xlfn.IFNA(VLOOKUP(Wapato_Inventory[[#This Row],[condition]],Lookups!$A$41:$C$48,3,FALSE),1)</f>
        <v>1.00041560026225</v>
      </c>
      <c r="BW117" s="2">
        <f>IF(Wapato_Inventory[[#This Row],[decade]]="",1,_xlfn.IFNA(VLOOKUP(Wapato_Inventory[[#This Row],[decade]],Lookups!$F$28:$H$45,3,FALSE),1))</f>
        <v>1.0321018519633791</v>
      </c>
      <c r="BX117" s="2">
        <f>_xlfn.IFNA(VLOOKUP(Wapato_Inventory[[#This Row],[living_area_range]],Lookups!$K$28:$M$37,3,FALSE),1)</f>
        <v>0.90813907160181651</v>
      </c>
      <c r="BY117" s="2">
        <f>AVERAGE(Wapato_Inventory[[#This Row],[qual_adj]:[range_adj]])</f>
        <v>0.9851643488433135</v>
      </c>
      <c r="BZ117" s="7">
        <f>(Wapato_Inventory[[#This Row],[sum_land]]-IF(Wapato_Inventory[[#This Row],[no_utilities]]=1,12000,0))/IF(Wapato_Inventory[[#This Row],[unbuildable]]=1,2,1)</f>
        <v>56400</v>
      </c>
      <c r="CA117" s="7">
        <f>Wapato_Inventory[[#This Row],[pre_res]]*Wapato_Inventory[[#This Row],[overall_adj]]</f>
        <v>451497.27267250273</v>
      </c>
      <c r="CB117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117" s="3">
        <f>IF(ROUND(Wapato_Inventory[[#This Row],[adj_res]]*Lookups!$H$48,-2)&lt;Wapato_Inventory[[#This Row],[min_res]],Wapato_Inventory[[#This Row],[min_res]],ROUND(Wapato_Inventory[[#This Row],[adj_res]]*Lookups!$H$48,-2))</f>
        <v>428900</v>
      </c>
      <c r="CD117" s="3">
        <f>ROUND(Wapato_Inventory[[#This Row],[det_value]]*Lookups!$H$48,-2)</f>
        <v>0</v>
      </c>
      <c r="CE117" s="3">
        <f>Wapato_Inventory[[#This Row],[final_res]]+Wapato_Inventory[[#This Row],[final_det]]</f>
        <v>428900</v>
      </c>
      <c r="CF117" s="3">
        <f>Wapato_Inventory[[#This Row],[crop_value]]+Wapato_Inventory[[#This Row],[final_land]]+Wapato_Inventory[[#This Row],[final_imp]]</f>
        <v>482500</v>
      </c>
      <c r="CH117" t="str">
        <f t="shared" si="1"/>
        <v>update valuation set market_land =53600, market_bldg=428900, market_total =482500, market_mdno =405, market_date ='9/10/2023' where link_id = (select link_id from parcel where parcel_year = '2024' and parcel_id = '19111032402');</v>
      </c>
    </row>
    <row r="118" spans="1:86" x14ac:dyDescent="0.25">
      <c r="A118">
        <v>19111032406</v>
      </c>
      <c r="B118">
        <v>0.51</v>
      </c>
      <c r="C118">
        <v>22391</v>
      </c>
      <c r="D118" t="s">
        <v>144</v>
      </c>
      <c r="E118" t="s">
        <v>54</v>
      </c>
      <c r="F118" t="s">
        <v>54</v>
      </c>
      <c r="G118">
        <v>3</v>
      </c>
      <c r="H118" t="s">
        <v>55</v>
      </c>
      <c r="I118">
        <v>318300</v>
      </c>
      <c r="J118">
        <v>40500</v>
      </c>
      <c r="K118">
        <v>0.51</v>
      </c>
      <c r="L118">
        <f>IF(Wapato_Inventory[[#This Row],[parcel_acres]]-Wapato_Inventory[[#This Row],[non_valued_acres]] =0,0,LN(Wapato_Inventory[[#This Row],[parcel_acres]]-Wapato_Inventory[[#This Row],[non_valued_acres]]))</f>
        <v>-0.67334455326376563</v>
      </c>
      <c r="M118">
        <v>0</v>
      </c>
      <c r="N118">
        <v>0</v>
      </c>
      <c r="O118">
        <v>0</v>
      </c>
      <c r="P118">
        <v>27904.037</v>
      </c>
      <c r="Q118">
        <v>74398</v>
      </c>
      <c r="R118" s="3">
        <f>(Wapato_Inventory[[#This Row],[ln_acres]]*Wapato_Inventory[[#This Row],[coeff]])+Wapato_Inventory[[#This Row],[const]]</f>
        <v>55608.968671979412</v>
      </c>
      <c r="S118" t="s">
        <v>62</v>
      </c>
      <c r="T118">
        <v>1</v>
      </c>
      <c r="U118" t="s">
        <v>67</v>
      </c>
      <c r="V118" t="s">
        <v>70</v>
      </c>
      <c r="W118">
        <v>0</v>
      </c>
      <c r="X118">
        <v>0</v>
      </c>
      <c r="Y118">
        <v>17</v>
      </c>
      <c r="Z118">
        <v>17</v>
      </c>
      <c r="AA118">
        <v>20</v>
      </c>
      <c r="AB118">
        <v>2500</v>
      </c>
      <c r="AC118">
        <v>2376</v>
      </c>
      <c r="AD118">
        <v>2376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391</v>
      </c>
      <c r="AO118">
        <v>0</v>
      </c>
      <c r="AP118">
        <v>10</v>
      </c>
      <c r="AQ118">
        <v>0</v>
      </c>
      <c r="AR118">
        <v>0</v>
      </c>
      <c r="AS118" t="s">
        <v>59</v>
      </c>
      <c r="AT118">
        <v>1</v>
      </c>
      <c r="AU118" t="s">
        <v>64</v>
      </c>
      <c r="AV118" t="s">
        <v>61</v>
      </c>
      <c r="AW118">
        <v>1</v>
      </c>
      <c r="AX118">
        <v>4</v>
      </c>
      <c r="AY118">
        <v>0</v>
      </c>
      <c r="AZ118">
        <v>0</v>
      </c>
      <c r="BA118">
        <v>100</v>
      </c>
      <c r="BB118">
        <v>100</v>
      </c>
      <c r="BC118">
        <v>100</v>
      </c>
      <c r="BD118">
        <v>100</v>
      </c>
      <c r="BE118">
        <v>1</v>
      </c>
      <c r="BF118">
        <v>15000</v>
      </c>
      <c r="BG118">
        <v>1000</v>
      </c>
      <c r="BH118" s="7">
        <f>ROUND(Wapato_Inventory[[#This Row],[detatched_value]]*Lookups!$B$22*Lookups!$H$48,-2)</f>
        <v>0</v>
      </c>
      <c r="BI118" s="7">
        <f>ROUND(((Wapato_Inventory[[#This Row],[land_extract]]*Lookups!$B$3) +(Lookups!$B$2*0.5))*Lookups!$H$48,-2)</f>
        <v>56400</v>
      </c>
      <c r="BJ118" s="7">
        <f>IF(Wapato_Inventory[[#This Row],[bldg_style]]="",0,Lookups!$B$2*0.5)</f>
        <v>53765.27</v>
      </c>
      <c r="BK118" s="7">
        <f>_xlfn.IFNA(VLOOKUP(Wapato_Inventory[[#This Row],[quality]],Lookups!$H$2:$J$14,3,FALSE),0)</f>
        <v>50405</v>
      </c>
      <c r="BL118" s="7">
        <f>_xlfn.IFNA(VLOOKUP(Wapato_Inventory[[#This Row],[condition]],Lookups!$H$17:$J$24,3,FALSE),0)</f>
        <v>84338</v>
      </c>
      <c r="BM118" s="7">
        <f>Wapato_Inventory[[#This Row],[Age]]*Lookups!$B$16</f>
        <v>-6301.4868999999999</v>
      </c>
      <c r="BN118" s="7">
        <f>Wapato_Inventory[[#This Row],[Main Floor]]*Lookups!$B$17</f>
        <v>99318.555863999994</v>
      </c>
      <c r="BO118" s="7">
        <f>Wapato_Inventory[[#This Row],[Upper Floor]]*Lookups!$B$18</f>
        <v>0</v>
      </c>
      <c r="BP118" s="7">
        <f>Wapato_Inventory[[#This Row],[Fin BSMT]]*Lookups!$B$19</f>
        <v>0</v>
      </c>
      <c r="BQ118" s="7">
        <f>(Wapato_Inventory[[#This Row],[att_gar]]+Wapato_Inventory[[#This Row],[blt_gar]])*Lookups!$B$20</f>
        <v>0</v>
      </c>
      <c r="BR118" s="7">
        <f>Wapato_Inventory[[#This Row],[Patio]]*Lookups!$B$21</f>
        <v>0</v>
      </c>
      <c r="BS118" s="7">
        <f>SUM(Wapato_Inventory[[#This Row],[intercept]:[patio_value]])*Wapato_Inventory[[#This Row],[res_pct]]</f>
        <v>281525.338964</v>
      </c>
      <c r="BT118" s="7">
        <f>Wapato_Inventory[[#This Row],[land_value]]</f>
        <v>56400</v>
      </c>
      <c r="BU118" s="2">
        <f>_xlfn.IFNA(VLOOKUP(Wapato_Inventory[[#This Row],[quality]],Lookups!$A$28:$C$37,3,FALSE),1)</f>
        <v>0.97993206410140754</v>
      </c>
      <c r="BV118" s="2">
        <f>_xlfn.IFNA(VLOOKUP(Wapato_Inventory[[#This Row],[condition]],Lookups!$A$41:$C$48,3,FALSE),1)</f>
        <v>0.99478075210508476</v>
      </c>
      <c r="BW118" s="2">
        <f>IF(Wapato_Inventory[[#This Row],[decade]]="",1,_xlfn.IFNA(VLOOKUP(Wapato_Inventory[[#This Row],[decade]],Lookups!$F$28:$H$45,3,FALSE),1))</f>
        <v>1.0658609603367226</v>
      </c>
      <c r="BX118" s="2">
        <f>_xlfn.IFNA(VLOOKUP(Wapato_Inventory[[#This Row],[living_area_range]],Lookups!$K$28:$M$37,3,FALSE),1)</f>
        <v>0.90813907160181651</v>
      </c>
      <c r="BY118" s="2">
        <f>AVERAGE(Wapato_Inventory[[#This Row],[qual_adj]:[range_adj]])</f>
        <v>0.98717821203625777</v>
      </c>
      <c r="BZ118" s="7">
        <f>(Wapato_Inventory[[#This Row],[sum_land]]-IF(Wapato_Inventory[[#This Row],[no_utilities]]=1,12000,0))/IF(Wapato_Inventory[[#This Row],[unbuildable]]=1,2,1)</f>
        <v>56400</v>
      </c>
      <c r="CA118" s="7">
        <f>Wapato_Inventory[[#This Row],[pre_res]]*Wapato_Inventory[[#This Row],[overall_adj]]</f>
        <v>277915.68076138292</v>
      </c>
      <c r="CB118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118" s="3">
        <f>IF(ROUND(Wapato_Inventory[[#This Row],[adj_res]]*Lookups!$H$48,-2)&lt;Wapato_Inventory[[#This Row],[min_res]],Wapato_Inventory[[#This Row],[min_res]],ROUND(Wapato_Inventory[[#This Row],[adj_res]]*Lookups!$H$48,-2))</f>
        <v>264000</v>
      </c>
      <c r="CD118" s="3">
        <f>ROUND(Wapato_Inventory[[#This Row],[det_value]]*Lookups!$H$48,-2)</f>
        <v>0</v>
      </c>
      <c r="CE118" s="3">
        <f>Wapato_Inventory[[#This Row],[final_res]]+Wapato_Inventory[[#This Row],[final_det]]</f>
        <v>264000</v>
      </c>
      <c r="CF118" s="3">
        <f>Wapato_Inventory[[#This Row],[crop_value]]+Wapato_Inventory[[#This Row],[final_land]]+Wapato_Inventory[[#This Row],[final_imp]]</f>
        <v>317600</v>
      </c>
      <c r="CH118" t="str">
        <f t="shared" si="1"/>
        <v>update valuation set market_land =53600, market_bldg=264000, market_total =317600, market_mdno =405, market_date ='9/10/2023' where link_id = (select link_id from parcel where parcel_year = '2024' and parcel_id = '19111032406');</v>
      </c>
    </row>
    <row r="119" spans="1:86" x14ac:dyDescent="0.25">
      <c r="A119">
        <v>19111033002</v>
      </c>
      <c r="B119">
        <v>0.95</v>
      </c>
      <c r="C119">
        <v>41245</v>
      </c>
      <c r="D119" t="s">
        <v>144</v>
      </c>
      <c r="E119" t="s">
        <v>54</v>
      </c>
      <c r="F119" t="s">
        <v>54</v>
      </c>
      <c r="G119">
        <v>3</v>
      </c>
      <c r="H119" t="s">
        <v>55</v>
      </c>
      <c r="I119">
        <v>326100</v>
      </c>
      <c r="J119">
        <v>44900</v>
      </c>
      <c r="K119">
        <v>0.95</v>
      </c>
      <c r="L119">
        <f>IF(Wapato_Inventory[[#This Row],[parcel_acres]]-Wapato_Inventory[[#This Row],[non_valued_acres]] =0,0,LN(Wapato_Inventory[[#This Row],[parcel_acres]]-Wapato_Inventory[[#This Row],[non_valued_acres]]))</f>
        <v>-5.1293294387550578E-2</v>
      </c>
      <c r="M119">
        <v>0</v>
      </c>
      <c r="N119">
        <v>0</v>
      </c>
      <c r="O119">
        <v>0</v>
      </c>
      <c r="P119">
        <v>27904.037</v>
      </c>
      <c r="Q119">
        <v>74398</v>
      </c>
      <c r="R119" s="3">
        <f>(Wapato_Inventory[[#This Row],[ln_acres]]*Wapato_Inventory[[#This Row],[coeff]])+Wapato_Inventory[[#This Row],[const]]</f>
        <v>72966.710015557896</v>
      </c>
      <c r="S119" t="s">
        <v>66</v>
      </c>
      <c r="T119">
        <v>1</v>
      </c>
      <c r="U119" t="s">
        <v>63</v>
      </c>
      <c r="V119" t="s">
        <v>70</v>
      </c>
      <c r="W119">
        <v>0</v>
      </c>
      <c r="X119">
        <v>0</v>
      </c>
      <c r="Y119">
        <v>16</v>
      </c>
      <c r="Z119">
        <v>16</v>
      </c>
      <c r="AA119">
        <v>20</v>
      </c>
      <c r="AB119">
        <v>2500</v>
      </c>
      <c r="AC119">
        <v>2123</v>
      </c>
      <c r="AD119">
        <v>2123</v>
      </c>
      <c r="AE119">
        <v>0</v>
      </c>
      <c r="AF119">
        <v>0</v>
      </c>
      <c r="AG119">
        <v>0</v>
      </c>
      <c r="AH119">
        <v>0</v>
      </c>
      <c r="AI119">
        <v>528</v>
      </c>
      <c r="AJ119">
        <v>0</v>
      </c>
      <c r="AK119">
        <v>0</v>
      </c>
      <c r="AL119">
        <v>0</v>
      </c>
      <c r="AM119">
        <v>100</v>
      </c>
      <c r="AN119">
        <v>0</v>
      </c>
      <c r="AO119">
        <v>0</v>
      </c>
      <c r="AP119">
        <v>9</v>
      </c>
      <c r="AQ119">
        <v>0</v>
      </c>
      <c r="AR119">
        <v>0</v>
      </c>
      <c r="AS119" t="s">
        <v>59</v>
      </c>
      <c r="AT119">
        <v>1</v>
      </c>
      <c r="AU119" t="s">
        <v>64</v>
      </c>
      <c r="AV119" t="s">
        <v>61</v>
      </c>
      <c r="AW119">
        <v>1</v>
      </c>
      <c r="AX119">
        <v>3</v>
      </c>
      <c r="AY119">
        <v>0</v>
      </c>
      <c r="AZ119">
        <v>0</v>
      </c>
      <c r="BA119">
        <v>100</v>
      </c>
      <c r="BB119">
        <v>100</v>
      </c>
      <c r="BC119">
        <v>100</v>
      </c>
      <c r="BD119">
        <v>100</v>
      </c>
      <c r="BE119">
        <v>1</v>
      </c>
      <c r="BF119">
        <v>15000</v>
      </c>
      <c r="BG119">
        <v>1000</v>
      </c>
      <c r="BH119" s="7">
        <f>ROUND(Wapato_Inventory[[#This Row],[detatched_value]]*Lookups!$B$22*Lookups!$H$48,-2)</f>
        <v>0</v>
      </c>
      <c r="BI119" s="7">
        <f>ROUND(((Wapato_Inventory[[#This Row],[land_extract]]*Lookups!$B$3) +(Lookups!$B$2*0.5))*Lookups!$H$48,-2)</f>
        <v>58100</v>
      </c>
      <c r="BJ119" s="7">
        <f>IF(Wapato_Inventory[[#This Row],[bldg_style]]="",0,Lookups!$B$2*0.5)</f>
        <v>53765.27</v>
      </c>
      <c r="BK119" s="7">
        <f>_xlfn.IFNA(VLOOKUP(Wapato_Inventory[[#This Row],[quality]],Lookups!$H$2:$J$14,3,FALSE),0)</f>
        <v>50594</v>
      </c>
      <c r="BL119" s="7">
        <f>_xlfn.IFNA(VLOOKUP(Wapato_Inventory[[#This Row],[condition]],Lookups!$H$17:$J$24,3,FALSE),0)</f>
        <v>84338</v>
      </c>
      <c r="BM119" s="7">
        <f>Wapato_Inventory[[#This Row],[Age]]*Lookups!$B$16</f>
        <v>-5930.8112000000001</v>
      </c>
      <c r="BN119" s="7">
        <f>Wapato_Inventory[[#This Row],[Main Floor]]*Lookups!$B$17</f>
        <v>88742.968896999999</v>
      </c>
      <c r="BO119" s="7">
        <f>Wapato_Inventory[[#This Row],[Upper Floor]]*Lookups!$B$18</f>
        <v>0</v>
      </c>
      <c r="BP119" s="7">
        <f>Wapato_Inventory[[#This Row],[Fin BSMT]]*Lookups!$B$19</f>
        <v>0</v>
      </c>
      <c r="BQ119" s="7">
        <f>(Wapato_Inventory[[#This Row],[att_gar]]+Wapato_Inventory[[#This Row],[blt_gar]])*Lookups!$B$20</f>
        <v>19540.621056</v>
      </c>
      <c r="BR119" s="7">
        <f>Wapato_Inventory[[#This Row],[Patio]]*Lookups!$B$21</f>
        <v>4332.3978999999999</v>
      </c>
      <c r="BS119" s="7">
        <f>SUM(Wapato_Inventory[[#This Row],[intercept]:[patio_value]])*Wapato_Inventory[[#This Row],[res_pct]]</f>
        <v>295382.44665299996</v>
      </c>
      <c r="BT119" s="7">
        <f>Wapato_Inventory[[#This Row],[land_value]]</f>
        <v>58100</v>
      </c>
      <c r="BU119" s="2">
        <f>_xlfn.IFNA(VLOOKUP(Wapato_Inventory[[#This Row],[quality]],Lookups!$A$28:$C$37,3,FALSE),1)</f>
        <v>0.99197423394367223</v>
      </c>
      <c r="BV119" s="2">
        <f>_xlfn.IFNA(VLOOKUP(Wapato_Inventory[[#This Row],[condition]],Lookups!$A$41:$C$48,3,FALSE),1)</f>
        <v>0.99478075210508476</v>
      </c>
      <c r="BW119" s="2">
        <f>IF(Wapato_Inventory[[#This Row],[decade]]="",1,_xlfn.IFNA(VLOOKUP(Wapato_Inventory[[#This Row],[decade]],Lookups!$F$28:$H$45,3,FALSE),1))</f>
        <v>1.0658609603367226</v>
      </c>
      <c r="BX119" s="2">
        <f>_xlfn.IFNA(VLOOKUP(Wapato_Inventory[[#This Row],[living_area_range]],Lookups!$K$28:$M$37,3,FALSE),1)</f>
        <v>0.90813907160181651</v>
      </c>
      <c r="BY119" s="2">
        <f>AVERAGE(Wapato_Inventory[[#This Row],[qual_adj]:[range_adj]])</f>
        <v>0.99018875449682398</v>
      </c>
      <c r="BZ119" s="7">
        <f>(Wapato_Inventory[[#This Row],[sum_land]]-IF(Wapato_Inventory[[#This Row],[no_utilities]]=1,12000,0))/IF(Wapato_Inventory[[#This Row],[unbuildable]]=1,2,1)</f>
        <v>58100</v>
      </c>
      <c r="CA119" s="7">
        <f>Wapato_Inventory[[#This Row],[pre_res]]*Wapato_Inventory[[#This Row],[overall_adj]]</f>
        <v>292484.37695155857</v>
      </c>
      <c r="CB119" s="3">
        <f>IF(ROUND(Wapato_Inventory[[#This Row],[adj_land]]*Lookups!$H$48,-2)&lt;Wapato_Inventory[[#This Row],[min_land]],Wapato_Inventory[[#This Row],[min_land]],ROUND(Wapato_Inventory[[#This Row],[adj_land]]*Lookups!$H$48,-2))</f>
        <v>55200</v>
      </c>
      <c r="CC119" s="3">
        <f>IF(ROUND(Wapato_Inventory[[#This Row],[adj_res]]*Lookups!$H$48,-2)&lt;Wapato_Inventory[[#This Row],[min_res]],Wapato_Inventory[[#This Row],[min_res]],ROUND(Wapato_Inventory[[#This Row],[adj_res]]*Lookups!$H$48,-2))</f>
        <v>277900</v>
      </c>
      <c r="CD119" s="3">
        <f>ROUND(Wapato_Inventory[[#This Row],[det_value]]*Lookups!$H$48,-2)</f>
        <v>0</v>
      </c>
      <c r="CE119" s="3">
        <f>Wapato_Inventory[[#This Row],[final_res]]+Wapato_Inventory[[#This Row],[final_det]]</f>
        <v>277900</v>
      </c>
      <c r="CF119" s="3">
        <f>Wapato_Inventory[[#This Row],[crop_value]]+Wapato_Inventory[[#This Row],[final_land]]+Wapato_Inventory[[#This Row],[final_imp]]</f>
        <v>333100</v>
      </c>
      <c r="CH119" t="str">
        <f t="shared" si="1"/>
        <v>update valuation set market_land =55200, market_bldg=277900, market_total =333100, market_mdno =405, market_date ='9/10/2023' where link_id = (select link_id from parcel where parcel_year = '2024' and parcel_id = '19111033002');</v>
      </c>
    </row>
    <row r="120" spans="1:86" x14ac:dyDescent="0.25">
      <c r="A120">
        <v>19111033003</v>
      </c>
      <c r="B120">
        <v>1.2</v>
      </c>
      <c r="C120" t="s">
        <v>144</v>
      </c>
      <c r="D120" t="s">
        <v>144</v>
      </c>
      <c r="E120" t="s">
        <v>54</v>
      </c>
      <c r="F120" t="s">
        <v>54</v>
      </c>
      <c r="G120">
        <v>3</v>
      </c>
      <c r="H120" t="s">
        <v>55</v>
      </c>
      <c r="I120">
        <v>89100</v>
      </c>
      <c r="J120">
        <v>46500</v>
      </c>
      <c r="K120">
        <v>1.2</v>
      </c>
      <c r="L120">
        <f>IF(Wapato_Inventory[[#This Row],[parcel_acres]]-Wapato_Inventory[[#This Row],[non_valued_acres]] =0,0,LN(Wapato_Inventory[[#This Row],[parcel_acres]]-Wapato_Inventory[[#This Row],[non_valued_acres]]))</f>
        <v>0.18232155679395459</v>
      </c>
      <c r="M120">
        <v>0</v>
      </c>
      <c r="N120">
        <v>0</v>
      </c>
      <c r="O120">
        <v>0</v>
      </c>
      <c r="P120">
        <v>27904.037</v>
      </c>
      <c r="Q120">
        <v>74398</v>
      </c>
      <c r="R120" s="3">
        <f>(Wapato_Inventory[[#This Row],[ln_acres]]*Wapato_Inventory[[#This Row],[coeff]])+Wapato_Inventory[[#This Row],[const]]</f>
        <v>79485.507466676107</v>
      </c>
      <c r="S120" t="s">
        <v>56</v>
      </c>
      <c r="T120">
        <v>1</v>
      </c>
      <c r="U120" t="s">
        <v>57</v>
      </c>
      <c r="V120" t="s">
        <v>58</v>
      </c>
      <c r="W120">
        <v>30700</v>
      </c>
      <c r="X120">
        <v>0</v>
      </c>
      <c r="Y120">
        <v>1</v>
      </c>
      <c r="Z120">
        <v>1</v>
      </c>
      <c r="AA120">
        <v>10</v>
      </c>
      <c r="AB120">
        <v>2500</v>
      </c>
      <c r="AC120">
        <v>2462</v>
      </c>
      <c r="AD120">
        <v>2462</v>
      </c>
      <c r="AE120">
        <v>0</v>
      </c>
      <c r="AF120">
        <v>0</v>
      </c>
      <c r="AG120">
        <v>0</v>
      </c>
      <c r="AH120">
        <v>0</v>
      </c>
      <c r="AI120">
        <v>986</v>
      </c>
      <c r="AJ120">
        <v>0</v>
      </c>
      <c r="AK120">
        <v>0</v>
      </c>
      <c r="AL120">
        <v>0</v>
      </c>
      <c r="AM120">
        <v>330</v>
      </c>
      <c r="AN120">
        <v>420</v>
      </c>
      <c r="AO120">
        <v>0</v>
      </c>
      <c r="AP120">
        <v>14</v>
      </c>
      <c r="AQ120">
        <v>0</v>
      </c>
      <c r="AR120">
        <v>0</v>
      </c>
      <c r="AS120" t="s">
        <v>59</v>
      </c>
      <c r="AT120">
        <v>1</v>
      </c>
      <c r="AU120" t="s">
        <v>60</v>
      </c>
      <c r="AV120" t="s">
        <v>61</v>
      </c>
      <c r="AW120">
        <v>1</v>
      </c>
      <c r="AX120">
        <v>4</v>
      </c>
      <c r="AY120">
        <v>0</v>
      </c>
      <c r="AZ120">
        <v>5600</v>
      </c>
      <c r="BA120">
        <v>100</v>
      </c>
      <c r="BB120">
        <v>100</v>
      </c>
      <c r="BC120">
        <v>100</v>
      </c>
      <c r="BD120">
        <v>100</v>
      </c>
      <c r="BE120">
        <v>1</v>
      </c>
      <c r="BF120">
        <v>15000</v>
      </c>
      <c r="BG120">
        <v>1000</v>
      </c>
      <c r="BH120" s="7">
        <f>ROUND(Wapato_Inventory[[#This Row],[detatched_value]]*Lookups!$B$22*Lookups!$H$48,-2)</f>
        <v>5000</v>
      </c>
      <c r="BI120" s="7">
        <f>ROUND(((Wapato_Inventory[[#This Row],[land_extract]]*Lookups!$B$3) +(Lookups!$B$2*0.5))*Lookups!$H$48,-2)</f>
        <v>58700</v>
      </c>
      <c r="BJ120" s="7">
        <f>IF(Wapato_Inventory[[#This Row],[bldg_style]]="",0,Lookups!$B$2*0.5)</f>
        <v>53765.27</v>
      </c>
      <c r="BK120" s="7">
        <f>_xlfn.IFNA(VLOOKUP(Wapato_Inventory[[#This Row],[quality]],Lookups!$H$2:$J$14,3,FALSE),0)</f>
        <v>152073</v>
      </c>
      <c r="BL120" s="7">
        <f>_xlfn.IFNA(VLOOKUP(Wapato_Inventory[[#This Row],[condition]],Lookups!$H$17:$J$24,3,FALSE),0)</f>
        <v>122095</v>
      </c>
      <c r="BM120" s="7">
        <f>Wapato_Inventory[[#This Row],[Age]]*Lookups!$B$16</f>
        <v>-370.67570000000001</v>
      </c>
      <c r="BN120" s="7">
        <f>Wapato_Inventory[[#This Row],[Main Floor]]*Lookups!$B$17</f>
        <v>102913.419418</v>
      </c>
      <c r="BO120" s="7">
        <f>Wapato_Inventory[[#This Row],[Upper Floor]]*Lookups!$B$18</f>
        <v>0</v>
      </c>
      <c r="BP120" s="7">
        <f>Wapato_Inventory[[#This Row],[Fin BSMT]]*Lookups!$B$19</f>
        <v>0</v>
      </c>
      <c r="BQ120" s="7">
        <f>(Wapato_Inventory[[#This Row],[att_gar]]+Wapato_Inventory[[#This Row],[blt_gar]])*Lookups!$B$20</f>
        <v>36490.629472000001</v>
      </c>
      <c r="BR120" s="7">
        <f>Wapato_Inventory[[#This Row],[Patio]]*Lookups!$B$21</f>
        <v>14296.913070000001</v>
      </c>
      <c r="BS120" s="7">
        <f>SUM(Wapato_Inventory[[#This Row],[intercept]:[patio_value]])*Wapato_Inventory[[#This Row],[res_pct]]</f>
        <v>481263.55626000004</v>
      </c>
      <c r="BT120" s="7">
        <f>Wapato_Inventory[[#This Row],[land_value]]</f>
        <v>58700</v>
      </c>
      <c r="BU120" s="2">
        <f>_xlfn.IFNA(VLOOKUP(Wapato_Inventory[[#This Row],[quality]],Lookups!$A$28:$C$37,3,FALSE),1)</f>
        <v>1.0000008715458084</v>
      </c>
      <c r="BV120" s="2">
        <f>_xlfn.IFNA(VLOOKUP(Wapato_Inventory[[#This Row],[condition]],Lookups!$A$41:$C$48,3,FALSE),1)</f>
        <v>1.00041560026225</v>
      </c>
      <c r="BW120" s="2">
        <f>IF(Wapato_Inventory[[#This Row],[decade]]="",1,_xlfn.IFNA(VLOOKUP(Wapato_Inventory[[#This Row],[decade]],Lookups!$F$28:$H$45,3,FALSE),1))</f>
        <v>1.0321018519633791</v>
      </c>
      <c r="BX120" s="2">
        <f>_xlfn.IFNA(VLOOKUP(Wapato_Inventory[[#This Row],[living_area_range]],Lookups!$K$28:$M$37,3,FALSE),1)</f>
        <v>0.90813907160181651</v>
      </c>
      <c r="BY120" s="2">
        <f>AVERAGE(Wapato_Inventory[[#This Row],[qual_adj]:[range_adj]])</f>
        <v>0.9851643488433135</v>
      </c>
      <c r="BZ120" s="7">
        <f>(Wapato_Inventory[[#This Row],[sum_land]]-IF(Wapato_Inventory[[#This Row],[no_utilities]]=1,12000,0))/IF(Wapato_Inventory[[#This Row],[unbuildable]]=1,2,1)</f>
        <v>58700</v>
      </c>
      <c r="CA120" s="7">
        <f>Wapato_Inventory[[#This Row],[pre_res]]*Wapato_Inventory[[#This Row],[overall_adj]]</f>
        <v>474123.69802490034</v>
      </c>
      <c r="CB120" s="3">
        <f>IF(ROUND(Wapato_Inventory[[#This Row],[adj_land]]*Lookups!$H$48,-2)&lt;Wapato_Inventory[[#This Row],[min_land]],Wapato_Inventory[[#This Row],[min_land]],ROUND(Wapato_Inventory[[#This Row],[adj_land]]*Lookups!$H$48,-2))</f>
        <v>55800</v>
      </c>
      <c r="CC120" s="3">
        <f>IF(ROUND(Wapato_Inventory[[#This Row],[adj_res]]*Lookups!$H$48,-2)&lt;Wapato_Inventory[[#This Row],[min_res]],Wapato_Inventory[[#This Row],[min_res]],ROUND(Wapato_Inventory[[#This Row],[adj_res]]*Lookups!$H$48,-2))</f>
        <v>450400</v>
      </c>
      <c r="CD120" s="3">
        <f>ROUND(Wapato_Inventory[[#This Row],[det_value]]*Lookups!$H$48,-2)</f>
        <v>4800</v>
      </c>
      <c r="CE120" s="3">
        <f>Wapato_Inventory[[#This Row],[final_res]]+Wapato_Inventory[[#This Row],[final_det]]</f>
        <v>455200</v>
      </c>
      <c r="CF120" s="3">
        <f>Wapato_Inventory[[#This Row],[crop_value]]+Wapato_Inventory[[#This Row],[final_land]]+Wapato_Inventory[[#This Row],[final_imp]]</f>
        <v>511000</v>
      </c>
      <c r="CH120" t="str">
        <f t="shared" si="1"/>
        <v>update valuation set market_land =55800, market_bldg=455200, market_total =511000, market_mdno =405, market_date ='9/10/2023' where link_id = (select link_id from parcel where parcel_year = '2024' and parcel_id = '19111033003');</v>
      </c>
    </row>
    <row r="121" spans="1:86" x14ac:dyDescent="0.25">
      <c r="A121">
        <v>19111033006</v>
      </c>
      <c r="B121">
        <v>0.6</v>
      </c>
      <c r="C121">
        <v>26059</v>
      </c>
      <c r="D121" t="s">
        <v>144</v>
      </c>
      <c r="E121" t="s">
        <v>54</v>
      </c>
      <c r="F121" t="s">
        <v>54</v>
      </c>
      <c r="G121">
        <v>3</v>
      </c>
      <c r="H121" t="s">
        <v>55</v>
      </c>
      <c r="I121">
        <v>239400</v>
      </c>
      <c r="J121">
        <v>41600</v>
      </c>
      <c r="K121">
        <v>0.6</v>
      </c>
      <c r="L121">
        <f>IF(Wapato_Inventory[[#This Row],[parcel_acres]]-Wapato_Inventory[[#This Row],[non_valued_acres]] =0,0,LN(Wapato_Inventory[[#This Row],[parcel_acres]]-Wapato_Inventory[[#This Row],[non_valued_acres]]))</f>
        <v>-0.51082562376599072</v>
      </c>
      <c r="M121">
        <v>0</v>
      </c>
      <c r="N121">
        <v>0</v>
      </c>
      <c r="O121">
        <v>0</v>
      </c>
      <c r="P121">
        <v>27904.037</v>
      </c>
      <c r="Q121">
        <v>74398</v>
      </c>
      <c r="R121" s="3">
        <f>(Wapato_Inventory[[#This Row],[ln_acres]]*Wapato_Inventory[[#This Row],[coeff]])+Wapato_Inventory[[#This Row],[const]]</f>
        <v>60143.902893885715</v>
      </c>
      <c r="S121" t="s">
        <v>62</v>
      </c>
      <c r="T121">
        <v>1</v>
      </c>
      <c r="U121" t="s">
        <v>75</v>
      </c>
      <c r="V121" t="s">
        <v>69</v>
      </c>
      <c r="W121">
        <v>0</v>
      </c>
      <c r="X121">
        <v>0</v>
      </c>
      <c r="Y121">
        <v>48</v>
      </c>
      <c r="Z121">
        <v>62</v>
      </c>
      <c r="AA121">
        <v>70</v>
      </c>
      <c r="AB121">
        <v>1500</v>
      </c>
      <c r="AC121">
        <v>1456</v>
      </c>
      <c r="AD121">
        <v>1456</v>
      </c>
      <c r="AE121">
        <v>0</v>
      </c>
      <c r="AF121">
        <v>0</v>
      </c>
      <c r="AG121">
        <v>0</v>
      </c>
      <c r="AH121">
        <v>292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8</v>
      </c>
      <c r="AQ121">
        <v>0</v>
      </c>
      <c r="AR121">
        <v>0</v>
      </c>
      <c r="AS121" t="s">
        <v>59</v>
      </c>
      <c r="AT121">
        <v>1</v>
      </c>
      <c r="AU121" t="s">
        <v>64</v>
      </c>
      <c r="AV121" t="s">
        <v>65</v>
      </c>
      <c r="AW121">
        <v>0</v>
      </c>
      <c r="AX121">
        <v>3</v>
      </c>
      <c r="AY121">
        <v>0</v>
      </c>
      <c r="AZ121">
        <v>33900</v>
      </c>
      <c r="BA121">
        <v>100</v>
      </c>
      <c r="BB121">
        <v>100</v>
      </c>
      <c r="BC121">
        <v>100</v>
      </c>
      <c r="BD121">
        <v>100</v>
      </c>
      <c r="BE121">
        <v>1</v>
      </c>
      <c r="BF121">
        <v>15000</v>
      </c>
      <c r="BG121">
        <v>1000</v>
      </c>
      <c r="BH121" s="7">
        <f>ROUND(Wapato_Inventory[[#This Row],[detatched_value]]*Lookups!$B$22*Lookups!$H$48,-2)</f>
        <v>30300</v>
      </c>
      <c r="BI121" s="7">
        <f>ROUND(((Wapato_Inventory[[#This Row],[land_extract]]*Lookups!$B$3) +(Lookups!$B$2*0.5))*Lookups!$H$48,-2)</f>
        <v>56900</v>
      </c>
      <c r="BJ121" s="7">
        <f>IF(Wapato_Inventory[[#This Row],[bldg_style]]="",0,Lookups!$B$2*0.5)</f>
        <v>53765.27</v>
      </c>
      <c r="BK121" s="7">
        <f>_xlfn.IFNA(VLOOKUP(Wapato_Inventory[[#This Row],[quality]],Lookups!$H$2:$J$14,3,FALSE),0)</f>
        <v>48043</v>
      </c>
      <c r="BL121" s="7">
        <f>_xlfn.IFNA(VLOOKUP(Wapato_Inventory[[#This Row],[condition]],Lookups!$H$17:$J$24,3,FALSE),0)</f>
        <v>74543</v>
      </c>
      <c r="BM121" s="7">
        <f>Wapato_Inventory[[#This Row],[Age]]*Lookups!$B$16</f>
        <v>-22981.893400000001</v>
      </c>
      <c r="BN121" s="7">
        <f>Wapato_Inventory[[#This Row],[Main Floor]]*Lookups!$B$17</f>
        <v>60861.875983999998</v>
      </c>
      <c r="BO121" s="7">
        <f>Wapato_Inventory[[#This Row],[Upper Floor]]*Lookups!$B$18</f>
        <v>0</v>
      </c>
      <c r="BP121" s="7">
        <f>Wapato_Inventory[[#This Row],[Fin BSMT]]*Lookups!$B$19</f>
        <v>0</v>
      </c>
      <c r="BQ121" s="7">
        <f>(Wapato_Inventory[[#This Row],[att_gar]]+Wapato_Inventory[[#This Row],[blt_gar]])*Lookups!$B$20</f>
        <v>0</v>
      </c>
      <c r="BR121" s="7">
        <f>Wapato_Inventory[[#This Row],[Patio]]*Lookups!$B$21</f>
        <v>0</v>
      </c>
      <c r="BS121" s="7">
        <f>SUM(Wapato_Inventory[[#This Row],[intercept]:[patio_value]])*Wapato_Inventory[[#This Row],[res_pct]]</f>
        <v>214231.252584</v>
      </c>
      <c r="BT121" s="7">
        <f>Wapato_Inventory[[#This Row],[land_value]]</f>
        <v>56900</v>
      </c>
      <c r="BU121" s="2">
        <f>_xlfn.IFNA(VLOOKUP(Wapato_Inventory[[#This Row],[quality]],Lookups!$A$28:$C$37,3,FALSE),1)</f>
        <v>0.98196844879778955</v>
      </c>
      <c r="BV121" s="2">
        <f>_xlfn.IFNA(VLOOKUP(Wapato_Inventory[[#This Row],[condition]],Lookups!$A$41:$C$48,3,FALSE),1)</f>
        <v>0.98442438223270734</v>
      </c>
      <c r="BW121" s="2">
        <f>IF(Wapato_Inventory[[#This Row],[decade]]="",1,_xlfn.IFNA(VLOOKUP(Wapato_Inventory[[#This Row],[decade]],Lookups!$F$28:$H$45,3,FALSE),1))</f>
        <v>1.0012715221492001</v>
      </c>
      <c r="BX121" s="2">
        <f>_xlfn.IFNA(VLOOKUP(Wapato_Inventory[[#This Row],[living_area_range]],Lookups!$K$28:$M$37,3,FALSE),1)</f>
        <v>1.0061411172456287</v>
      </c>
      <c r="BY121" s="2">
        <f>AVERAGE(Wapato_Inventory[[#This Row],[qual_adj]:[range_adj]])</f>
        <v>0.99345136760633146</v>
      </c>
      <c r="BZ121" s="7">
        <f>(Wapato_Inventory[[#This Row],[sum_land]]-IF(Wapato_Inventory[[#This Row],[no_utilities]]=1,12000,0))/IF(Wapato_Inventory[[#This Row],[unbuildable]]=1,2,1)</f>
        <v>56900</v>
      </c>
      <c r="CA121" s="7">
        <f>Wapato_Inventory[[#This Row],[pre_res]]*Wapato_Inventory[[#This Row],[overall_adj]]</f>
        <v>212828.33086359224</v>
      </c>
      <c r="CB121" s="3">
        <f>IF(ROUND(Wapato_Inventory[[#This Row],[adj_land]]*Lookups!$H$48,-2)&lt;Wapato_Inventory[[#This Row],[min_land]],Wapato_Inventory[[#This Row],[min_land]],ROUND(Wapato_Inventory[[#This Row],[adj_land]]*Lookups!$H$48,-2))</f>
        <v>54100</v>
      </c>
      <c r="CC121" s="3">
        <f>IF(ROUND(Wapato_Inventory[[#This Row],[adj_res]]*Lookups!$H$48,-2)&lt;Wapato_Inventory[[#This Row],[min_res]],Wapato_Inventory[[#This Row],[min_res]],ROUND(Wapato_Inventory[[#This Row],[adj_res]]*Lookups!$H$48,-2))</f>
        <v>202200</v>
      </c>
      <c r="CD121" s="3">
        <f>ROUND(Wapato_Inventory[[#This Row],[det_value]]*Lookups!$H$48,-2)</f>
        <v>28800</v>
      </c>
      <c r="CE121" s="3">
        <f>Wapato_Inventory[[#This Row],[final_res]]+Wapato_Inventory[[#This Row],[final_det]]</f>
        <v>231000</v>
      </c>
      <c r="CF121" s="3">
        <f>Wapato_Inventory[[#This Row],[crop_value]]+Wapato_Inventory[[#This Row],[final_land]]+Wapato_Inventory[[#This Row],[final_imp]]</f>
        <v>285100</v>
      </c>
      <c r="CH121" t="str">
        <f t="shared" si="1"/>
        <v>update valuation set market_land =54100, market_bldg=231000, market_total =285100, market_mdno =405, market_date ='9/10/2023' where link_id = (select link_id from parcel where parcel_year = '2024' and parcel_id = '19111033006');</v>
      </c>
    </row>
    <row r="122" spans="1:86" x14ac:dyDescent="0.25">
      <c r="A122">
        <v>19111033007</v>
      </c>
      <c r="B122">
        <v>0.84</v>
      </c>
      <c r="C122">
        <v>36664</v>
      </c>
      <c r="D122" t="s">
        <v>144</v>
      </c>
      <c r="E122" t="s">
        <v>54</v>
      </c>
      <c r="F122" t="s">
        <v>54</v>
      </c>
      <c r="G122">
        <v>3</v>
      </c>
      <c r="H122" t="s">
        <v>55</v>
      </c>
      <c r="I122">
        <v>88200</v>
      </c>
      <c r="J122">
        <v>44000</v>
      </c>
      <c r="K122">
        <v>0.84</v>
      </c>
      <c r="L122">
        <f>IF(Wapato_Inventory[[#This Row],[parcel_acres]]-Wapato_Inventory[[#This Row],[non_valued_acres]] =0,0,LN(Wapato_Inventory[[#This Row],[parcel_acres]]-Wapato_Inventory[[#This Row],[non_valued_acres]]))</f>
        <v>-0.1743533871447778</v>
      </c>
      <c r="M122">
        <v>0</v>
      </c>
      <c r="N122">
        <v>0</v>
      </c>
      <c r="O122">
        <v>0</v>
      </c>
      <c r="P122">
        <v>27904.037</v>
      </c>
      <c r="Q122">
        <v>74398</v>
      </c>
      <c r="R122" s="3">
        <f>(Wapato_Inventory[[#This Row],[ln_acres]]*Wapato_Inventory[[#This Row],[coeff]])+Wapato_Inventory[[#This Row],[const]]</f>
        <v>69532.836634036794</v>
      </c>
      <c r="S122" t="s">
        <v>66</v>
      </c>
      <c r="T122">
        <v>1</v>
      </c>
      <c r="U122" t="s">
        <v>78</v>
      </c>
      <c r="V122" t="s">
        <v>73</v>
      </c>
      <c r="W122">
        <v>0</v>
      </c>
      <c r="X122">
        <v>0</v>
      </c>
      <c r="Y122">
        <v>53</v>
      </c>
      <c r="Z122">
        <v>92</v>
      </c>
      <c r="AA122">
        <v>100</v>
      </c>
      <c r="AB122">
        <v>1500</v>
      </c>
      <c r="AC122">
        <v>1014</v>
      </c>
      <c r="AD122">
        <v>1014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527</v>
      </c>
      <c r="AL122">
        <v>0</v>
      </c>
      <c r="AM122">
        <v>0</v>
      </c>
      <c r="AN122">
        <v>0</v>
      </c>
      <c r="AO122">
        <v>0</v>
      </c>
      <c r="AP122">
        <v>5</v>
      </c>
      <c r="AQ122">
        <v>1</v>
      </c>
      <c r="AR122">
        <v>0</v>
      </c>
      <c r="AS122" t="s">
        <v>82</v>
      </c>
      <c r="AT122">
        <v>1</v>
      </c>
      <c r="AU122" t="s">
        <v>76</v>
      </c>
      <c r="AV122" t="s">
        <v>61</v>
      </c>
      <c r="AW122">
        <v>0</v>
      </c>
      <c r="AX122">
        <v>3</v>
      </c>
      <c r="AY122">
        <v>0</v>
      </c>
      <c r="AZ122">
        <v>0</v>
      </c>
      <c r="BA122">
        <v>100</v>
      </c>
      <c r="BB122">
        <v>100</v>
      </c>
      <c r="BC122">
        <v>100</v>
      </c>
      <c r="BD122">
        <v>100</v>
      </c>
      <c r="BE122">
        <v>1</v>
      </c>
      <c r="BF122">
        <v>15000</v>
      </c>
      <c r="BG122">
        <v>1000</v>
      </c>
      <c r="BH122" s="7">
        <f>ROUND(Wapato_Inventory[[#This Row],[detatched_value]]*Lookups!$B$22*Lookups!$H$48,-2)</f>
        <v>0</v>
      </c>
      <c r="BI122" s="7">
        <f>ROUND(((Wapato_Inventory[[#This Row],[land_extract]]*Lookups!$B$3) +(Lookups!$B$2*0.5))*Lookups!$H$48,-2)</f>
        <v>57800</v>
      </c>
      <c r="BJ122" s="7">
        <f>IF(Wapato_Inventory[[#This Row],[bldg_style]]="",0,Lookups!$B$2*0.5)</f>
        <v>53765.27</v>
      </c>
      <c r="BK122" s="7">
        <f>_xlfn.IFNA(VLOOKUP(Wapato_Inventory[[#This Row],[quality]],Lookups!$H$2:$J$14,3,FALSE),0)</f>
        <v>23424</v>
      </c>
      <c r="BL122" s="7">
        <f>_xlfn.IFNA(VLOOKUP(Wapato_Inventory[[#This Row],[condition]],Lookups!$H$17:$J$24,3,FALSE),0)</f>
        <v>16276</v>
      </c>
      <c r="BM122" s="7">
        <f>Wapato_Inventory[[#This Row],[Age]]*Lookups!$B$16</f>
        <v>-34102.164400000001</v>
      </c>
      <c r="BN122" s="7">
        <f>Wapato_Inventory[[#This Row],[Main Floor]]*Lookups!$B$17</f>
        <v>42385.949346000001</v>
      </c>
      <c r="BO122" s="7">
        <f>Wapato_Inventory[[#This Row],[Upper Floor]]*Lookups!$B$18</f>
        <v>0</v>
      </c>
      <c r="BP122" s="7">
        <f>Wapato_Inventory[[#This Row],[Fin BSMT]]*Lookups!$B$19</f>
        <v>0</v>
      </c>
      <c r="BQ122" s="7">
        <f>(Wapato_Inventory[[#This Row],[att_gar]]+Wapato_Inventory[[#This Row],[blt_gar]])*Lookups!$B$20</f>
        <v>0</v>
      </c>
      <c r="BR122" s="7">
        <f>Wapato_Inventory[[#This Row],[Patio]]*Lookups!$B$21</f>
        <v>0</v>
      </c>
      <c r="BS122" s="7">
        <f>SUM(Wapato_Inventory[[#This Row],[intercept]:[patio_value]])*Wapato_Inventory[[#This Row],[res_pct]]</f>
        <v>101749.05494599999</v>
      </c>
      <c r="BT122" s="7">
        <f>Wapato_Inventory[[#This Row],[land_value]]</f>
        <v>57800</v>
      </c>
      <c r="BU122" s="2">
        <f>_xlfn.IFNA(VLOOKUP(Wapato_Inventory[[#This Row],[quality]],Lookups!$A$28:$C$37,3,FALSE),1)</f>
        <v>1.0091195562373767</v>
      </c>
      <c r="BV122" s="2">
        <f>_xlfn.IFNA(VLOOKUP(Wapato_Inventory[[#This Row],[condition]],Lookups!$A$41:$C$48,3,FALSE),1)</f>
        <v>0.93399385491337139</v>
      </c>
      <c r="BW122" s="2">
        <f>IF(Wapato_Inventory[[#This Row],[decade]]="",1,_xlfn.IFNA(VLOOKUP(Wapato_Inventory[[#This Row],[decade]],Lookups!$F$28:$H$45,3,FALSE),1))</f>
        <v>1.0114203040664467</v>
      </c>
      <c r="BX122" s="2">
        <f>_xlfn.IFNA(VLOOKUP(Wapato_Inventory[[#This Row],[living_area_range]],Lookups!$K$28:$M$37,3,FALSE),1)</f>
        <v>1.0061411172456287</v>
      </c>
      <c r="BY122" s="2">
        <f>AVERAGE(Wapato_Inventory[[#This Row],[qual_adj]:[range_adj]])</f>
        <v>0.99016870811570579</v>
      </c>
      <c r="BZ122" s="7">
        <f>(Wapato_Inventory[[#This Row],[sum_land]]-IF(Wapato_Inventory[[#This Row],[no_utilities]]=1,12000,0))/IF(Wapato_Inventory[[#This Row],[unbuildable]]=1,2,1)</f>
        <v>57800</v>
      </c>
      <c r="CA122" s="7">
        <f>Wapato_Inventory[[#This Row],[pre_res]]*Wapato_Inventory[[#This Row],[overall_adj]]</f>
        <v>100748.73028787477</v>
      </c>
      <c r="CB122" s="3">
        <f>IF(ROUND(Wapato_Inventory[[#This Row],[adj_land]]*Lookups!$H$48,-2)&lt;Wapato_Inventory[[#This Row],[min_land]],Wapato_Inventory[[#This Row],[min_land]],ROUND(Wapato_Inventory[[#This Row],[adj_land]]*Lookups!$H$48,-2))</f>
        <v>54900</v>
      </c>
      <c r="CC122" s="3">
        <f>IF(ROUND(Wapato_Inventory[[#This Row],[adj_res]]*Lookups!$H$48,-2)&lt;Wapato_Inventory[[#This Row],[min_res]],Wapato_Inventory[[#This Row],[min_res]],ROUND(Wapato_Inventory[[#This Row],[adj_res]]*Lookups!$H$48,-2))</f>
        <v>95700</v>
      </c>
      <c r="CD122" s="3">
        <f>ROUND(Wapato_Inventory[[#This Row],[det_value]]*Lookups!$H$48,-2)</f>
        <v>0</v>
      </c>
      <c r="CE122" s="3">
        <f>Wapato_Inventory[[#This Row],[final_res]]+Wapato_Inventory[[#This Row],[final_det]]</f>
        <v>95700</v>
      </c>
      <c r="CF122" s="3">
        <f>Wapato_Inventory[[#This Row],[crop_value]]+Wapato_Inventory[[#This Row],[final_land]]+Wapato_Inventory[[#This Row],[final_imp]]</f>
        <v>150600</v>
      </c>
      <c r="CH122" t="str">
        <f t="shared" si="1"/>
        <v>update valuation set market_land =54900, market_bldg=95700, market_total =150600, market_mdno =405, market_date ='9/10/2023' where link_id = (select link_id from parcel where parcel_year = '2024' and parcel_id = '19111033007');</v>
      </c>
    </row>
    <row r="123" spans="1:86" x14ac:dyDescent="0.25">
      <c r="A123">
        <v>19111033008</v>
      </c>
      <c r="B123">
        <v>0.26</v>
      </c>
      <c r="C123">
        <v>11346</v>
      </c>
      <c r="D123" t="s">
        <v>144</v>
      </c>
      <c r="E123" t="s">
        <v>54</v>
      </c>
      <c r="F123" t="s">
        <v>54</v>
      </c>
      <c r="G123">
        <v>3</v>
      </c>
      <c r="H123" t="s">
        <v>55</v>
      </c>
      <c r="I123">
        <v>184600</v>
      </c>
      <c r="J123">
        <v>35800</v>
      </c>
      <c r="K123">
        <v>0.26</v>
      </c>
      <c r="L123">
        <f>IF(Wapato_Inventory[[#This Row],[parcel_acres]]-Wapato_Inventory[[#This Row],[non_valued_acres]] =0,0,LN(Wapato_Inventory[[#This Row],[parcel_acres]]-Wapato_Inventory[[#This Row],[non_valued_acres]]))</f>
        <v>-1.3470736479666092</v>
      </c>
      <c r="M123">
        <v>0</v>
      </c>
      <c r="N123">
        <v>0</v>
      </c>
      <c r="O123">
        <v>0</v>
      </c>
      <c r="P123">
        <v>27904.037</v>
      </c>
      <c r="Q123">
        <v>74398</v>
      </c>
      <c r="R123" s="3">
        <f>(Wapato_Inventory[[#This Row],[ln_acres]]*Wapato_Inventory[[#This Row],[coeff]])+Wapato_Inventory[[#This Row],[const]]</f>
        <v>36809.207085414761</v>
      </c>
      <c r="S123" t="s">
        <v>62</v>
      </c>
      <c r="T123">
        <v>1</v>
      </c>
      <c r="U123" t="s">
        <v>75</v>
      </c>
      <c r="V123" t="s">
        <v>68</v>
      </c>
      <c r="W123">
        <v>0</v>
      </c>
      <c r="X123">
        <v>0</v>
      </c>
      <c r="Y123">
        <v>45</v>
      </c>
      <c r="Z123">
        <v>52</v>
      </c>
      <c r="AA123">
        <v>60</v>
      </c>
      <c r="AB123">
        <v>1500</v>
      </c>
      <c r="AC123">
        <v>1300</v>
      </c>
      <c r="AD123">
        <v>1300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256</v>
      </c>
      <c r="AN123">
        <v>0</v>
      </c>
      <c r="AO123">
        <v>240</v>
      </c>
      <c r="AP123">
        <v>5</v>
      </c>
      <c r="AQ123">
        <v>0</v>
      </c>
      <c r="AR123">
        <v>0</v>
      </c>
      <c r="AS123" t="s">
        <v>59</v>
      </c>
      <c r="AT123">
        <v>1</v>
      </c>
      <c r="AU123" t="s">
        <v>64</v>
      </c>
      <c r="AV123" t="s">
        <v>61</v>
      </c>
      <c r="AW123">
        <v>0</v>
      </c>
      <c r="AX123">
        <v>3</v>
      </c>
      <c r="AY123">
        <v>0</v>
      </c>
      <c r="AZ123">
        <v>7900</v>
      </c>
      <c r="BA123">
        <v>100</v>
      </c>
      <c r="BB123">
        <v>100</v>
      </c>
      <c r="BC123">
        <v>100</v>
      </c>
      <c r="BD123">
        <v>100</v>
      </c>
      <c r="BE123">
        <v>1</v>
      </c>
      <c r="BF123">
        <v>15000</v>
      </c>
      <c r="BG123">
        <v>1000</v>
      </c>
      <c r="BH123" s="7">
        <f>ROUND(Wapato_Inventory[[#This Row],[detatched_value]]*Lookups!$B$22*Lookups!$H$48,-2)</f>
        <v>7100</v>
      </c>
      <c r="BI123" s="7">
        <f>ROUND(((Wapato_Inventory[[#This Row],[land_extract]]*Lookups!$B$3) +(Lookups!$B$2*0.5))*Lookups!$H$48,-2)</f>
        <v>54600</v>
      </c>
      <c r="BJ123" s="7">
        <f>IF(Wapato_Inventory[[#This Row],[bldg_style]]="",0,Lookups!$B$2*0.5)</f>
        <v>53765.27</v>
      </c>
      <c r="BK123" s="7">
        <f>_xlfn.IFNA(VLOOKUP(Wapato_Inventory[[#This Row],[quality]],Lookups!$H$2:$J$14,3,FALSE),0)</f>
        <v>48043</v>
      </c>
      <c r="BL123" s="7">
        <f>_xlfn.IFNA(VLOOKUP(Wapato_Inventory[[#This Row],[condition]],Lookups!$H$17:$J$24,3,FALSE),0)</f>
        <v>52231</v>
      </c>
      <c r="BM123" s="7">
        <f>Wapato_Inventory[[#This Row],[Age]]*Lookups!$B$16</f>
        <v>-19275.136399999999</v>
      </c>
      <c r="BN123" s="7">
        <f>Wapato_Inventory[[#This Row],[Main Floor]]*Lookups!$B$17</f>
        <v>54340.960700000003</v>
      </c>
      <c r="BO123" s="7">
        <f>Wapato_Inventory[[#This Row],[Upper Floor]]*Lookups!$B$18</f>
        <v>0</v>
      </c>
      <c r="BP123" s="7">
        <f>Wapato_Inventory[[#This Row],[Fin BSMT]]*Lookups!$B$19</f>
        <v>0</v>
      </c>
      <c r="BQ123" s="7">
        <f>(Wapato_Inventory[[#This Row],[att_gar]]+Wapato_Inventory[[#This Row],[blt_gar]])*Lookups!$B$20</f>
        <v>0</v>
      </c>
      <c r="BR123" s="7">
        <f>Wapato_Inventory[[#This Row],[Patio]]*Lookups!$B$21</f>
        <v>11090.938624</v>
      </c>
      <c r="BS123" s="7">
        <f>SUM(Wapato_Inventory[[#This Row],[intercept]:[patio_value]])*Wapato_Inventory[[#This Row],[res_pct]]</f>
        <v>200196.032924</v>
      </c>
      <c r="BT123" s="7">
        <f>Wapato_Inventory[[#This Row],[land_value]]</f>
        <v>54600</v>
      </c>
      <c r="BU123" s="2">
        <f>_xlfn.IFNA(VLOOKUP(Wapato_Inventory[[#This Row],[quality]],Lookups!$A$28:$C$37,3,FALSE),1)</f>
        <v>0.98196844879778955</v>
      </c>
      <c r="BV123" s="2">
        <f>_xlfn.IFNA(VLOOKUP(Wapato_Inventory[[#This Row],[condition]],Lookups!$A$41:$C$48,3,FALSE),1)</f>
        <v>0.9832333997567807</v>
      </c>
      <c r="BW123" s="2">
        <f>IF(Wapato_Inventory[[#This Row],[decade]]="",1,_xlfn.IFNA(VLOOKUP(Wapato_Inventory[[#This Row],[decade]],Lookups!$F$28:$H$45,3,FALSE),1))</f>
        <v>1.035341704162583</v>
      </c>
      <c r="BX123" s="2">
        <f>_xlfn.IFNA(VLOOKUP(Wapato_Inventory[[#This Row],[living_area_range]],Lookups!$K$28:$M$37,3,FALSE),1)</f>
        <v>1.0061411172456287</v>
      </c>
      <c r="BY123" s="2">
        <f>AVERAGE(Wapato_Inventory[[#This Row],[qual_adj]:[range_adj]])</f>
        <v>1.0016711674906955</v>
      </c>
      <c r="BZ123" s="7">
        <f>(Wapato_Inventory[[#This Row],[sum_land]]-IF(Wapato_Inventory[[#This Row],[no_utilities]]=1,12000,0))/IF(Wapato_Inventory[[#This Row],[unbuildable]]=1,2,1)</f>
        <v>54600</v>
      </c>
      <c r="CA123" s="7">
        <f>Wapato_Inventory[[#This Row],[pre_res]]*Wapato_Inventory[[#This Row],[overall_adj]]</f>
        <v>200530.5940259888</v>
      </c>
      <c r="CB123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23" s="3">
        <f>IF(ROUND(Wapato_Inventory[[#This Row],[adj_res]]*Lookups!$H$48,-2)&lt;Wapato_Inventory[[#This Row],[min_res]],Wapato_Inventory[[#This Row],[min_res]],ROUND(Wapato_Inventory[[#This Row],[adj_res]]*Lookups!$H$48,-2))</f>
        <v>190500</v>
      </c>
      <c r="CD123" s="3">
        <f>ROUND(Wapato_Inventory[[#This Row],[det_value]]*Lookups!$H$48,-2)</f>
        <v>6700</v>
      </c>
      <c r="CE123" s="3">
        <f>Wapato_Inventory[[#This Row],[final_res]]+Wapato_Inventory[[#This Row],[final_det]]</f>
        <v>197200</v>
      </c>
      <c r="CF123" s="3">
        <f>Wapato_Inventory[[#This Row],[crop_value]]+Wapato_Inventory[[#This Row],[final_land]]+Wapato_Inventory[[#This Row],[final_imp]]</f>
        <v>249100</v>
      </c>
      <c r="CH123" t="str">
        <f t="shared" si="1"/>
        <v>update valuation set market_land =51900, market_bldg=197200, market_total =249100, market_mdno =405, market_date ='9/10/2023' where link_id = (select link_id from parcel where parcel_year = '2024' and parcel_id = '19111033008');</v>
      </c>
    </row>
    <row r="124" spans="1:86" x14ac:dyDescent="0.25">
      <c r="A124">
        <v>19111033009</v>
      </c>
      <c r="B124">
        <v>0.32</v>
      </c>
      <c r="C124">
        <v>13908</v>
      </c>
      <c r="D124" t="s">
        <v>144</v>
      </c>
      <c r="E124" t="s">
        <v>54</v>
      </c>
      <c r="F124" t="s">
        <v>54</v>
      </c>
      <c r="G124">
        <v>3</v>
      </c>
      <c r="H124" t="s">
        <v>55</v>
      </c>
      <c r="I124">
        <v>206900</v>
      </c>
      <c r="J124">
        <v>37200</v>
      </c>
      <c r="K124">
        <v>0.32</v>
      </c>
      <c r="L124">
        <f>IF(Wapato_Inventory[[#This Row],[parcel_acres]]-Wapato_Inventory[[#This Row],[non_valued_acres]] =0,0,LN(Wapato_Inventory[[#This Row],[parcel_acres]]-Wapato_Inventory[[#This Row],[non_valued_acres]]))</f>
        <v>-1.1394342831883648</v>
      </c>
      <c r="M124">
        <v>0</v>
      </c>
      <c r="N124">
        <v>0</v>
      </c>
      <c r="O124">
        <v>0</v>
      </c>
      <c r="P124">
        <v>27904.037</v>
      </c>
      <c r="Q124">
        <v>74398</v>
      </c>
      <c r="R124" s="3">
        <f>(Wapato_Inventory[[#This Row],[ln_acres]]*Wapato_Inventory[[#This Row],[coeff]])+Wapato_Inventory[[#This Row],[const]]</f>
        <v>42603.18360284339</v>
      </c>
      <c r="S124" t="s">
        <v>62</v>
      </c>
      <c r="T124">
        <v>1</v>
      </c>
      <c r="U124" t="s">
        <v>75</v>
      </c>
      <c r="V124" t="s">
        <v>69</v>
      </c>
      <c r="W124">
        <v>0</v>
      </c>
      <c r="X124">
        <v>0</v>
      </c>
      <c r="Y124">
        <v>45</v>
      </c>
      <c r="Z124">
        <v>52</v>
      </c>
      <c r="AA124">
        <v>60</v>
      </c>
      <c r="AB124">
        <v>1500</v>
      </c>
      <c r="AC124">
        <v>1300</v>
      </c>
      <c r="AD124">
        <v>1300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304</v>
      </c>
      <c r="AN124">
        <v>0</v>
      </c>
      <c r="AO124">
        <v>0</v>
      </c>
      <c r="AP124">
        <v>8</v>
      </c>
      <c r="AQ124">
        <v>1</v>
      </c>
      <c r="AR124">
        <v>0</v>
      </c>
      <c r="AS124" t="s">
        <v>59</v>
      </c>
      <c r="AT124">
        <v>1</v>
      </c>
      <c r="AU124" t="s">
        <v>76</v>
      </c>
      <c r="AV124" t="s">
        <v>61</v>
      </c>
      <c r="AW124">
        <v>0</v>
      </c>
      <c r="AX124">
        <v>4</v>
      </c>
      <c r="AY124">
        <v>0</v>
      </c>
      <c r="AZ124">
        <v>0</v>
      </c>
      <c r="BA124">
        <v>100</v>
      </c>
      <c r="BB124">
        <v>100</v>
      </c>
      <c r="BC124">
        <v>100</v>
      </c>
      <c r="BD124">
        <v>100</v>
      </c>
      <c r="BE124">
        <v>1</v>
      </c>
      <c r="BF124">
        <v>15000</v>
      </c>
      <c r="BG124">
        <v>1000</v>
      </c>
      <c r="BH124" s="7">
        <f>ROUND(Wapato_Inventory[[#This Row],[detatched_value]]*Lookups!$B$22*Lookups!$H$48,-2)</f>
        <v>0</v>
      </c>
      <c r="BI124" s="7">
        <f>ROUND(((Wapato_Inventory[[#This Row],[land_extract]]*Lookups!$B$3) +(Lookups!$B$2*0.5))*Lookups!$H$48,-2)</f>
        <v>55200</v>
      </c>
      <c r="BJ124" s="7">
        <f>IF(Wapato_Inventory[[#This Row],[bldg_style]]="",0,Lookups!$B$2*0.5)</f>
        <v>53765.27</v>
      </c>
      <c r="BK124" s="7">
        <f>_xlfn.IFNA(VLOOKUP(Wapato_Inventory[[#This Row],[quality]],Lookups!$H$2:$J$14,3,FALSE),0)</f>
        <v>48043</v>
      </c>
      <c r="BL124" s="7">
        <f>_xlfn.IFNA(VLOOKUP(Wapato_Inventory[[#This Row],[condition]],Lookups!$H$17:$J$24,3,FALSE),0)</f>
        <v>74543</v>
      </c>
      <c r="BM124" s="7">
        <f>Wapato_Inventory[[#This Row],[Age]]*Lookups!$B$16</f>
        <v>-19275.136399999999</v>
      </c>
      <c r="BN124" s="7">
        <f>Wapato_Inventory[[#This Row],[Main Floor]]*Lookups!$B$17</f>
        <v>54340.960700000003</v>
      </c>
      <c r="BO124" s="7">
        <f>Wapato_Inventory[[#This Row],[Upper Floor]]*Lookups!$B$18</f>
        <v>0</v>
      </c>
      <c r="BP124" s="7">
        <f>Wapato_Inventory[[#This Row],[Fin BSMT]]*Lookups!$B$19</f>
        <v>0</v>
      </c>
      <c r="BQ124" s="7">
        <f>(Wapato_Inventory[[#This Row],[att_gar]]+Wapato_Inventory[[#This Row],[blt_gar]])*Lookups!$B$20</f>
        <v>0</v>
      </c>
      <c r="BR124" s="7">
        <f>Wapato_Inventory[[#This Row],[Patio]]*Lookups!$B$21</f>
        <v>13170.489616000001</v>
      </c>
      <c r="BS124" s="7">
        <f>SUM(Wapato_Inventory[[#This Row],[intercept]:[patio_value]])*Wapato_Inventory[[#This Row],[res_pct]]</f>
        <v>224587.583916</v>
      </c>
      <c r="BT124" s="7">
        <f>Wapato_Inventory[[#This Row],[land_value]]</f>
        <v>55200</v>
      </c>
      <c r="BU124" s="2">
        <f>_xlfn.IFNA(VLOOKUP(Wapato_Inventory[[#This Row],[quality]],Lookups!$A$28:$C$37,3,FALSE),1)</f>
        <v>0.98196844879778955</v>
      </c>
      <c r="BV124" s="2">
        <f>_xlfn.IFNA(VLOOKUP(Wapato_Inventory[[#This Row],[condition]],Lookups!$A$41:$C$48,3,FALSE),1)</f>
        <v>0.98442438223270734</v>
      </c>
      <c r="BW124" s="2">
        <f>IF(Wapato_Inventory[[#This Row],[decade]]="",1,_xlfn.IFNA(VLOOKUP(Wapato_Inventory[[#This Row],[decade]],Lookups!$F$28:$H$45,3,FALSE),1))</f>
        <v>1.035341704162583</v>
      </c>
      <c r="BX124" s="2">
        <f>_xlfn.IFNA(VLOOKUP(Wapato_Inventory[[#This Row],[living_area_range]],Lookups!$K$28:$M$37,3,FALSE),1)</f>
        <v>1.0061411172456287</v>
      </c>
      <c r="BY124" s="2">
        <f>AVERAGE(Wapato_Inventory[[#This Row],[qual_adj]:[range_adj]])</f>
        <v>1.0019689131096772</v>
      </c>
      <c r="BZ124" s="7">
        <f>(Wapato_Inventory[[#This Row],[sum_land]]-IF(Wapato_Inventory[[#This Row],[no_utilities]]=1,12000,0))/IF(Wapato_Inventory[[#This Row],[unbuildable]]=1,2,1)</f>
        <v>55200</v>
      </c>
      <c r="CA124" s="7">
        <f>Wapato_Inventory[[#This Row],[pre_res]]*Wapato_Inventory[[#This Row],[overall_adj]]</f>
        <v>225029.77735424295</v>
      </c>
      <c r="CB124" s="3">
        <f>IF(ROUND(Wapato_Inventory[[#This Row],[adj_land]]*Lookups!$H$48,-2)&lt;Wapato_Inventory[[#This Row],[min_land]],Wapato_Inventory[[#This Row],[min_land]],ROUND(Wapato_Inventory[[#This Row],[adj_land]]*Lookups!$H$48,-2))</f>
        <v>52400</v>
      </c>
      <c r="CC124" s="3">
        <f>IF(ROUND(Wapato_Inventory[[#This Row],[adj_res]]*Lookups!$H$48,-2)&lt;Wapato_Inventory[[#This Row],[min_res]],Wapato_Inventory[[#This Row],[min_res]],ROUND(Wapato_Inventory[[#This Row],[adj_res]]*Lookups!$H$48,-2))</f>
        <v>213800</v>
      </c>
      <c r="CD124" s="3">
        <f>ROUND(Wapato_Inventory[[#This Row],[det_value]]*Lookups!$H$48,-2)</f>
        <v>0</v>
      </c>
      <c r="CE124" s="3">
        <f>Wapato_Inventory[[#This Row],[final_res]]+Wapato_Inventory[[#This Row],[final_det]]</f>
        <v>213800</v>
      </c>
      <c r="CF124" s="3">
        <f>Wapato_Inventory[[#This Row],[crop_value]]+Wapato_Inventory[[#This Row],[final_land]]+Wapato_Inventory[[#This Row],[final_imp]]</f>
        <v>266200</v>
      </c>
      <c r="CH124" t="str">
        <f t="shared" si="1"/>
        <v>update valuation set market_land =52400, market_bldg=213800, market_total =266200, market_mdno =405, market_date ='9/10/2023' where link_id = (select link_id from parcel where parcel_year = '2024' and parcel_id = '19111033009');</v>
      </c>
    </row>
    <row r="125" spans="1:86" x14ac:dyDescent="0.25">
      <c r="A125">
        <v>19111033010</v>
      </c>
      <c r="B125">
        <v>0.26</v>
      </c>
      <c r="C125">
        <v>11346</v>
      </c>
      <c r="D125" t="s">
        <v>144</v>
      </c>
      <c r="E125" t="s">
        <v>54</v>
      </c>
      <c r="F125" t="s">
        <v>54</v>
      </c>
      <c r="G125">
        <v>3</v>
      </c>
      <c r="H125" t="s">
        <v>55</v>
      </c>
      <c r="I125">
        <v>145400</v>
      </c>
      <c r="J125">
        <v>35800</v>
      </c>
      <c r="K125">
        <v>0.26</v>
      </c>
      <c r="L125">
        <f>IF(Wapato_Inventory[[#This Row],[parcel_acres]]-Wapato_Inventory[[#This Row],[non_valued_acres]] =0,0,LN(Wapato_Inventory[[#This Row],[parcel_acres]]-Wapato_Inventory[[#This Row],[non_valued_acres]]))</f>
        <v>-1.3470736479666092</v>
      </c>
      <c r="M125">
        <v>0</v>
      </c>
      <c r="N125">
        <v>0</v>
      </c>
      <c r="O125">
        <v>0</v>
      </c>
      <c r="P125">
        <v>27904.037</v>
      </c>
      <c r="Q125">
        <v>74398</v>
      </c>
      <c r="R125" s="3">
        <f>(Wapato_Inventory[[#This Row],[ln_acres]]*Wapato_Inventory[[#This Row],[coeff]])+Wapato_Inventory[[#This Row],[const]]</f>
        <v>36809.207085414761</v>
      </c>
      <c r="S125" t="s">
        <v>62</v>
      </c>
      <c r="T125">
        <v>1</v>
      </c>
      <c r="U125" t="s">
        <v>75</v>
      </c>
      <c r="V125" t="s">
        <v>68</v>
      </c>
      <c r="W125">
        <v>0</v>
      </c>
      <c r="X125">
        <v>0</v>
      </c>
      <c r="Y125">
        <v>45</v>
      </c>
      <c r="Z125">
        <v>52</v>
      </c>
      <c r="AA125">
        <v>60</v>
      </c>
      <c r="AB125">
        <v>1000</v>
      </c>
      <c r="AC125">
        <v>1000</v>
      </c>
      <c r="AD125">
        <v>1000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600</v>
      </c>
      <c r="AO125">
        <v>0</v>
      </c>
      <c r="AP125">
        <v>8</v>
      </c>
      <c r="AQ125">
        <v>0</v>
      </c>
      <c r="AR125">
        <v>0</v>
      </c>
      <c r="AS125" t="s">
        <v>59</v>
      </c>
      <c r="AT125">
        <v>1</v>
      </c>
      <c r="AU125" t="s">
        <v>76</v>
      </c>
      <c r="AV125" t="s">
        <v>61</v>
      </c>
      <c r="AW125">
        <v>0</v>
      </c>
      <c r="AX125">
        <v>3</v>
      </c>
      <c r="AY125">
        <v>0</v>
      </c>
      <c r="AZ125">
        <v>0</v>
      </c>
      <c r="BA125">
        <v>100</v>
      </c>
      <c r="BB125">
        <v>100</v>
      </c>
      <c r="BC125">
        <v>100</v>
      </c>
      <c r="BD125">
        <v>100</v>
      </c>
      <c r="BE125">
        <v>1</v>
      </c>
      <c r="BF125">
        <v>15000</v>
      </c>
      <c r="BG125">
        <v>1000</v>
      </c>
      <c r="BH125" s="7">
        <f>ROUND(Wapato_Inventory[[#This Row],[detatched_value]]*Lookups!$B$22*Lookups!$H$48,-2)</f>
        <v>0</v>
      </c>
      <c r="BI125" s="7">
        <f>ROUND(((Wapato_Inventory[[#This Row],[land_extract]]*Lookups!$B$3) +(Lookups!$B$2*0.5))*Lookups!$H$48,-2)</f>
        <v>54600</v>
      </c>
      <c r="BJ125" s="7">
        <f>IF(Wapato_Inventory[[#This Row],[bldg_style]]="",0,Lookups!$B$2*0.5)</f>
        <v>53765.27</v>
      </c>
      <c r="BK125" s="7">
        <f>_xlfn.IFNA(VLOOKUP(Wapato_Inventory[[#This Row],[quality]],Lookups!$H$2:$J$14,3,FALSE),0)</f>
        <v>48043</v>
      </c>
      <c r="BL125" s="7">
        <f>_xlfn.IFNA(VLOOKUP(Wapato_Inventory[[#This Row],[condition]],Lookups!$H$17:$J$24,3,FALSE),0)</f>
        <v>52231</v>
      </c>
      <c r="BM125" s="7">
        <f>Wapato_Inventory[[#This Row],[Age]]*Lookups!$B$16</f>
        <v>-19275.136399999999</v>
      </c>
      <c r="BN125" s="7">
        <f>Wapato_Inventory[[#This Row],[Main Floor]]*Lookups!$B$17</f>
        <v>41800.739000000001</v>
      </c>
      <c r="BO125" s="7">
        <f>Wapato_Inventory[[#This Row],[Upper Floor]]*Lookups!$B$18</f>
        <v>0</v>
      </c>
      <c r="BP125" s="7">
        <f>Wapato_Inventory[[#This Row],[Fin BSMT]]*Lookups!$B$19</f>
        <v>0</v>
      </c>
      <c r="BQ125" s="7">
        <f>(Wapato_Inventory[[#This Row],[att_gar]]+Wapato_Inventory[[#This Row],[blt_gar]])*Lookups!$B$20</f>
        <v>0</v>
      </c>
      <c r="BR125" s="7">
        <f>Wapato_Inventory[[#This Row],[Patio]]*Lookups!$B$21</f>
        <v>0</v>
      </c>
      <c r="BS125" s="7">
        <f>SUM(Wapato_Inventory[[#This Row],[intercept]:[patio_value]])*Wapato_Inventory[[#This Row],[res_pct]]</f>
        <v>176564.8726</v>
      </c>
      <c r="BT125" s="7">
        <f>Wapato_Inventory[[#This Row],[land_value]]</f>
        <v>54600</v>
      </c>
      <c r="BU125" s="2">
        <f>_xlfn.IFNA(VLOOKUP(Wapato_Inventory[[#This Row],[quality]],Lookups!$A$28:$C$37,3,FALSE),1)</f>
        <v>0.98196844879778955</v>
      </c>
      <c r="BV125" s="2">
        <f>_xlfn.IFNA(VLOOKUP(Wapato_Inventory[[#This Row],[condition]],Lookups!$A$41:$C$48,3,FALSE),1)</f>
        <v>0.9832333997567807</v>
      </c>
      <c r="BW125" s="2">
        <f>IF(Wapato_Inventory[[#This Row],[decade]]="",1,_xlfn.IFNA(VLOOKUP(Wapato_Inventory[[#This Row],[decade]],Lookups!$F$28:$H$45,3,FALSE),1))</f>
        <v>1.035341704162583</v>
      </c>
      <c r="BX125" s="2">
        <f>_xlfn.IFNA(VLOOKUP(Wapato_Inventory[[#This Row],[living_area_range]],Lookups!$K$28:$M$37,3,FALSE),1)</f>
        <v>0.99022994770196116</v>
      </c>
      <c r="BY125" s="2">
        <f>AVERAGE(Wapato_Inventory[[#This Row],[qual_adj]:[range_adj]])</f>
        <v>0.99769337510477862</v>
      </c>
      <c r="BZ125" s="7">
        <f>(Wapato_Inventory[[#This Row],[sum_land]]-IF(Wapato_Inventory[[#This Row],[no_utilities]]=1,12000,0))/IF(Wapato_Inventory[[#This Row],[unbuildable]]=1,2,1)</f>
        <v>54600</v>
      </c>
      <c r="CA125" s="7">
        <f>Wapato_Inventory[[#This Row],[pre_res]]*Wapato_Inventory[[#This Row],[overall_adj]]</f>
        <v>176157.60366923924</v>
      </c>
      <c r="CB125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25" s="3">
        <f>IF(ROUND(Wapato_Inventory[[#This Row],[adj_res]]*Lookups!$H$48,-2)&lt;Wapato_Inventory[[#This Row],[min_res]],Wapato_Inventory[[#This Row],[min_res]],ROUND(Wapato_Inventory[[#This Row],[adj_res]]*Lookups!$H$48,-2))</f>
        <v>167300</v>
      </c>
      <c r="CD125" s="3">
        <f>ROUND(Wapato_Inventory[[#This Row],[det_value]]*Lookups!$H$48,-2)</f>
        <v>0</v>
      </c>
      <c r="CE125" s="3">
        <f>Wapato_Inventory[[#This Row],[final_res]]+Wapato_Inventory[[#This Row],[final_det]]</f>
        <v>167300</v>
      </c>
      <c r="CF125" s="3">
        <f>Wapato_Inventory[[#This Row],[crop_value]]+Wapato_Inventory[[#This Row],[final_land]]+Wapato_Inventory[[#This Row],[final_imp]]</f>
        <v>219200</v>
      </c>
      <c r="CH125" t="str">
        <f t="shared" si="1"/>
        <v>update valuation set market_land =51900, market_bldg=167300, market_total =219200, market_mdno =405, market_date ='9/10/2023' where link_id = (select link_id from parcel where parcel_year = '2024' and parcel_id = '19111033010');</v>
      </c>
    </row>
    <row r="126" spans="1:86" x14ac:dyDescent="0.25">
      <c r="A126">
        <v>19111034402</v>
      </c>
      <c r="B126">
        <v>0.26</v>
      </c>
      <c r="C126">
        <v>11404</v>
      </c>
      <c r="D126" t="s">
        <v>144</v>
      </c>
      <c r="E126" t="s">
        <v>54</v>
      </c>
      <c r="F126" t="s">
        <v>54</v>
      </c>
      <c r="G126">
        <v>3</v>
      </c>
      <c r="H126" t="s">
        <v>55</v>
      </c>
      <c r="I126">
        <v>270600</v>
      </c>
      <c r="J126">
        <v>35800</v>
      </c>
      <c r="K126">
        <v>0.26</v>
      </c>
      <c r="L126">
        <f>IF(Wapato_Inventory[[#This Row],[parcel_acres]]-Wapato_Inventory[[#This Row],[non_valued_acres]] =0,0,LN(Wapato_Inventory[[#This Row],[parcel_acres]]-Wapato_Inventory[[#This Row],[non_valued_acres]]))</f>
        <v>-1.3470736479666092</v>
      </c>
      <c r="M126">
        <v>0</v>
      </c>
      <c r="N126">
        <v>0</v>
      </c>
      <c r="O126">
        <v>0</v>
      </c>
      <c r="P126">
        <v>27904.037</v>
      </c>
      <c r="Q126">
        <v>74398</v>
      </c>
      <c r="R126" s="3">
        <f>(Wapato_Inventory[[#This Row],[ln_acres]]*Wapato_Inventory[[#This Row],[coeff]])+Wapato_Inventory[[#This Row],[const]]</f>
        <v>36809.207085414761</v>
      </c>
      <c r="S126" t="s">
        <v>59</v>
      </c>
      <c r="T126">
        <v>1</v>
      </c>
      <c r="U126" t="s">
        <v>63</v>
      </c>
      <c r="V126" t="s">
        <v>70</v>
      </c>
      <c r="W126">
        <v>0</v>
      </c>
      <c r="X126">
        <v>0</v>
      </c>
      <c r="Y126">
        <v>16</v>
      </c>
      <c r="Z126">
        <v>16</v>
      </c>
      <c r="AA126">
        <v>20</v>
      </c>
      <c r="AB126">
        <v>1500</v>
      </c>
      <c r="AC126">
        <v>1289</v>
      </c>
      <c r="AD126">
        <v>1289</v>
      </c>
      <c r="AE126">
        <v>0</v>
      </c>
      <c r="AF126">
        <v>0</v>
      </c>
      <c r="AG126">
        <v>0</v>
      </c>
      <c r="AH126">
        <v>0</v>
      </c>
      <c r="AI126">
        <v>396</v>
      </c>
      <c r="AJ126">
        <v>0</v>
      </c>
      <c r="AK126">
        <v>0</v>
      </c>
      <c r="AL126">
        <v>144</v>
      </c>
      <c r="AM126">
        <v>0</v>
      </c>
      <c r="AN126">
        <v>30</v>
      </c>
      <c r="AO126">
        <v>0</v>
      </c>
      <c r="AP126">
        <v>8</v>
      </c>
      <c r="AQ126">
        <v>0</v>
      </c>
      <c r="AR126">
        <v>0</v>
      </c>
      <c r="AS126" t="s">
        <v>59</v>
      </c>
      <c r="AT126">
        <v>1</v>
      </c>
      <c r="AU126" t="s">
        <v>64</v>
      </c>
      <c r="AV126" t="s">
        <v>61</v>
      </c>
      <c r="AW126">
        <v>1</v>
      </c>
      <c r="AX126">
        <v>3</v>
      </c>
      <c r="AY126">
        <v>0</v>
      </c>
      <c r="AZ126">
        <v>0</v>
      </c>
      <c r="BA126">
        <v>100</v>
      </c>
      <c r="BB126">
        <v>100</v>
      </c>
      <c r="BC126">
        <v>100</v>
      </c>
      <c r="BD126">
        <v>100</v>
      </c>
      <c r="BE126">
        <v>1</v>
      </c>
      <c r="BF126">
        <v>15000</v>
      </c>
      <c r="BG126">
        <v>1000</v>
      </c>
      <c r="BH126" s="7">
        <f>ROUND(Wapato_Inventory[[#This Row],[detatched_value]]*Lookups!$B$22*Lookups!$H$48,-2)</f>
        <v>0</v>
      </c>
      <c r="BI126" s="7">
        <f>ROUND(((Wapato_Inventory[[#This Row],[land_extract]]*Lookups!$B$3) +(Lookups!$B$2*0.5))*Lookups!$H$48,-2)</f>
        <v>54600</v>
      </c>
      <c r="BJ126" s="7">
        <f>IF(Wapato_Inventory[[#This Row],[bldg_style]]="",0,Lookups!$B$2*0.5)</f>
        <v>53765.27</v>
      </c>
      <c r="BK126" s="7">
        <f>_xlfn.IFNA(VLOOKUP(Wapato_Inventory[[#This Row],[quality]],Lookups!$H$2:$J$14,3,FALSE),0)</f>
        <v>50594</v>
      </c>
      <c r="BL126" s="7">
        <f>_xlfn.IFNA(VLOOKUP(Wapato_Inventory[[#This Row],[condition]],Lookups!$H$17:$J$24,3,FALSE),0)</f>
        <v>84338</v>
      </c>
      <c r="BM126" s="7">
        <f>Wapato_Inventory[[#This Row],[Age]]*Lookups!$B$16</f>
        <v>-5930.8112000000001</v>
      </c>
      <c r="BN126" s="7">
        <f>Wapato_Inventory[[#This Row],[Main Floor]]*Lookups!$B$17</f>
        <v>53881.152570999999</v>
      </c>
      <c r="BO126" s="7">
        <f>Wapato_Inventory[[#This Row],[Upper Floor]]*Lookups!$B$18</f>
        <v>0</v>
      </c>
      <c r="BP126" s="7">
        <f>Wapato_Inventory[[#This Row],[Fin BSMT]]*Lookups!$B$19</f>
        <v>0</v>
      </c>
      <c r="BQ126" s="7">
        <f>(Wapato_Inventory[[#This Row],[att_gar]]+Wapato_Inventory[[#This Row],[blt_gar]])*Lookups!$B$20</f>
        <v>14655.465792000001</v>
      </c>
      <c r="BR126" s="7">
        <f>Wapato_Inventory[[#This Row],[Patio]]*Lookups!$B$21</f>
        <v>0</v>
      </c>
      <c r="BS126" s="7">
        <f>SUM(Wapato_Inventory[[#This Row],[intercept]:[patio_value]])*Wapato_Inventory[[#This Row],[res_pct]]</f>
        <v>251303.07716300001</v>
      </c>
      <c r="BT126" s="7">
        <f>Wapato_Inventory[[#This Row],[land_value]]</f>
        <v>54600</v>
      </c>
      <c r="BU126" s="2">
        <f>_xlfn.IFNA(VLOOKUP(Wapato_Inventory[[#This Row],[quality]],Lookups!$A$28:$C$37,3,FALSE),1)</f>
        <v>0.99197423394367223</v>
      </c>
      <c r="BV126" s="2">
        <f>_xlfn.IFNA(VLOOKUP(Wapato_Inventory[[#This Row],[condition]],Lookups!$A$41:$C$48,3,FALSE),1)</f>
        <v>0.99478075210508476</v>
      </c>
      <c r="BW126" s="2">
        <f>IF(Wapato_Inventory[[#This Row],[decade]]="",1,_xlfn.IFNA(VLOOKUP(Wapato_Inventory[[#This Row],[decade]],Lookups!$F$28:$H$45,3,FALSE),1))</f>
        <v>1.0658609603367226</v>
      </c>
      <c r="BX126" s="2">
        <f>_xlfn.IFNA(VLOOKUP(Wapato_Inventory[[#This Row],[living_area_range]],Lookups!$K$28:$M$37,3,FALSE),1)</f>
        <v>1.0061411172456287</v>
      </c>
      <c r="BY126" s="2">
        <f>AVERAGE(Wapato_Inventory[[#This Row],[qual_adj]:[range_adj]])</f>
        <v>1.0146892659077771</v>
      </c>
      <c r="BZ126" s="7">
        <f>(Wapato_Inventory[[#This Row],[sum_land]]-IF(Wapato_Inventory[[#This Row],[no_utilities]]=1,12000,0))/IF(Wapato_Inventory[[#This Row],[unbuildable]]=1,2,1)</f>
        <v>54600</v>
      </c>
      <c r="CA126" s="7">
        <f>Wapato_Inventory[[#This Row],[pre_res]]*Wapato_Inventory[[#This Row],[overall_adj]]</f>
        <v>254994.53488688995</v>
      </c>
      <c r="CB126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26" s="3">
        <f>IF(ROUND(Wapato_Inventory[[#This Row],[adj_res]]*Lookups!$H$48,-2)&lt;Wapato_Inventory[[#This Row],[min_res]],Wapato_Inventory[[#This Row],[min_res]],ROUND(Wapato_Inventory[[#This Row],[adj_res]]*Lookups!$H$48,-2))</f>
        <v>242200</v>
      </c>
      <c r="CD126" s="3">
        <f>ROUND(Wapato_Inventory[[#This Row],[det_value]]*Lookups!$H$48,-2)</f>
        <v>0</v>
      </c>
      <c r="CE126" s="3">
        <f>Wapato_Inventory[[#This Row],[final_res]]+Wapato_Inventory[[#This Row],[final_det]]</f>
        <v>242200</v>
      </c>
      <c r="CF126" s="3">
        <f>Wapato_Inventory[[#This Row],[crop_value]]+Wapato_Inventory[[#This Row],[final_land]]+Wapato_Inventory[[#This Row],[final_imp]]</f>
        <v>294100</v>
      </c>
      <c r="CH126" t="str">
        <f t="shared" si="1"/>
        <v>update valuation set market_land =51900, market_bldg=242200, market_total =294100, market_mdno =405, market_date ='9/10/2023' where link_id = (select link_id from parcel where parcel_year = '2024' and parcel_id = '19111034402');</v>
      </c>
    </row>
    <row r="127" spans="1:86" x14ac:dyDescent="0.25">
      <c r="A127">
        <v>19111034403</v>
      </c>
      <c r="B127">
        <v>0.26</v>
      </c>
      <c r="C127">
        <v>11407</v>
      </c>
      <c r="D127" t="s">
        <v>144</v>
      </c>
      <c r="E127" t="s">
        <v>54</v>
      </c>
      <c r="F127" t="s">
        <v>54</v>
      </c>
      <c r="G127">
        <v>3</v>
      </c>
      <c r="H127" t="s">
        <v>55</v>
      </c>
      <c r="I127">
        <v>266800</v>
      </c>
      <c r="J127">
        <v>35800</v>
      </c>
      <c r="K127">
        <v>0.26</v>
      </c>
      <c r="L127">
        <f>IF(Wapato_Inventory[[#This Row],[parcel_acres]]-Wapato_Inventory[[#This Row],[non_valued_acres]] =0,0,LN(Wapato_Inventory[[#This Row],[parcel_acres]]-Wapato_Inventory[[#This Row],[non_valued_acres]]))</f>
        <v>-1.3470736479666092</v>
      </c>
      <c r="M127">
        <v>0</v>
      </c>
      <c r="N127">
        <v>0</v>
      </c>
      <c r="O127">
        <v>0</v>
      </c>
      <c r="P127">
        <v>27904.037</v>
      </c>
      <c r="Q127">
        <v>74398</v>
      </c>
      <c r="R127" s="3">
        <f>(Wapato_Inventory[[#This Row],[ln_acres]]*Wapato_Inventory[[#This Row],[coeff]])+Wapato_Inventory[[#This Row],[const]]</f>
        <v>36809.207085414761</v>
      </c>
      <c r="S127" t="s">
        <v>59</v>
      </c>
      <c r="T127">
        <v>1</v>
      </c>
      <c r="U127" t="s">
        <v>63</v>
      </c>
      <c r="V127" t="s">
        <v>58</v>
      </c>
      <c r="W127">
        <v>0</v>
      </c>
      <c r="X127">
        <v>0</v>
      </c>
      <c r="Y127">
        <v>14</v>
      </c>
      <c r="Z127">
        <v>14</v>
      </c>
      <c r="AA127">
        <v>20</v>
      </c>
      <c r="AB127">
        <v>1500</v>
      </c>
      <c r="AC127">
        <v>1432</v>
      </c>
      <c r="AD127">
        <v>1432</v>
      </c>
      <c r="AE127">
        <v>0</v>
      </c>
      <c r="AF127">
        <v>0</v>
      </c>
      <c r="AG127">
        <v>0</v>
      </c>
      <c r="AH127">
        <v>0</v>
      </c>
      <c r="AI127">
        <v>418</v>
      </c>
      <c r="AJ127">
        <v>0</v>
      </c>
      <c r="AK127">
        <v>0</v>
      </c>
      <c r="AL127">
        <v>0</v>
      </c>
      <c r="AM127">
        <v>0</v>
      </c>
      <c r="AN127">
        <v>230</v>
      </c>
      <c r="AO127">
        <v>0</v>
      </c>
      <c r="AP127">
        <v>9</v>
      </c>
      <c r="AQ127">
        <v>0</v>
      </c>
      <c r="AR127">
        <v>0</v>
      </c>
      <c r="AS127" t="s">
        <v>59</v>
      </c>
      <c r="AT127">
        <v>1</v>
      </c>
      <c r="AU127" t="s">
        <v>64</v>
      </c>
      <c r="AV127" t="s">
        <v>61</v>
      </c>
      <c r="AW127">
        <v>1</v>
      </c>
      <c r="AX127">
        <v>3</v>
      </c>
      <c r="AY127">
        <v>0</v>
      </c>
      <c r="AZ127">
        <v>0</v>
      </c>
      <c r="BA127">
        <v>100</v>
      </c>
      <c r="BB127">
        <v>100</v>
      </c>
      <c r="BC127">
        <v>100</v>
      </c>
      <c r="BD127">
        <v>100</v>
      </c>
      <c r="BE127">
        <v>1</v>
      </c>
      <c r="BF127">
        <v>15000</v>
      </c>
      <c r="BG127">
        <v>1000</v>
      </c>
      <c r="BH127" s="7">
        <f>ROUND(Wapato_Inventory[[#This Row],[detatched_value]]*Lookups!$B$22*Lookups!$H$48,-2)</f>
        <v>0</v>
      </c>
      <c r="BI127" s="7">
        <f>ROUND(((Wapato_Inventory[[#This Row],[land_extract]]*Lookups!$B$3) +(Lookups!$B$2*0.5))*Lookups!$H$48,-2)</f>
        <v>54600</v>
      </c>
      <c r="BJ127" s="7">
        <f>IF(Wapato_Inventory[[#This Row],[bldg_style]]="",0,Lookups!$B$2*0.5)</f>
        <v>53765.27</v>
      </c>
      <c r="BK127" s="7">
        <f>_xlfn.IFNA(VLOOKUP(Wapato_Inventory[[#This Row],[quality]],Lookups!$H$2:$J$14,3,FALSE),0)</f>
        <v>50594</v>
      </c>
      <c r="BL127" s="7">
        <f>_xlfn.IFNA(VLOOKUP(Wapato_Inventory[[#This Row],[condition]],Lookups!$H$17:$J$24,3,FALSE),0)</f>
        <v>122095</v>
      </c>
      <c r="BM127" s="7">
        <f>Wapato_Inventory[[#This Row],[Age]]*Lookups!$B$16</f>
        <v>-5189.4598000000005</v>
      </c>
      <c r="BN127" s="7">
        <f>Wapato_Inventory[[#This Row],[Main Floor]]*Lookups!$B$17</f>
        <v>59858.658248</v>
      </c>
      <c r="BO127" s="7">
        <f>Wapato_Inventory[[#This Row],[Upper Floor]]*Lookups!$B$18</f>
        <v>0</v>
      </c>
      <c r="BP127" s="7">
        <f>Wapato_Inventory[[#This Row],[Fin BSMT]]*Lookups!$B$19</f>
        <v>0</v>
      </c>
      <c r="BQ127" s="7">
        <f>(Wapato_Inventory[[#This Row],[att_gar]]+Wapato_Inventory[[#This Row],[blt_gar]])*Lookups!$B$20</f>
        <v>15469.658336</v>
      </c>
      <c r="BR127" s="7">
        <f>Wapato_Inventory[[#This Row],[Patio]]*Lookups!$B$21</f>
        <v>0</v>
      </c>
      <c r="BS127" s="7">
        <f>SUM(Wapato_Inventory[[#This Row],[intercept]:[patio_value]])*Wapato_Inventory[[#This Row],[res_pct]]</f>
        <v>296593.12678399996</v>
      </c>
      <c r="BT127" s="7">
        <f>Wapato_Inventory[[#This Row],[land_value]]</f>
        <v>54600</v>
      </c>
      <c r="BU127" s="2">
        <f>_xlfn.IFNA(VLOOKUP(Wapato_Inventory[[#This Row],[quality]],Lookups!$A$28:$C$37,3,FALSE),1)</f>
        <v>0.99197423394367223</v>
      </c>
      <c r="BV127" s="2">
        <f>_xlfn.IFNA(VLOOKUP(Wapato_Inventory[[#This Row],[condition]],Lookups!$A$41:$C$48,3,FALSE),1)</f>
        <v>1.00041560026225</v>
      </c>
      <c r="BW127" s="2">
        <f>IF(Wapato_Inventory[[#This Row],[decade]]="",1,_xlfn.IFNA(VLOOKUP(Wapato_Inventory[[#This Row],[decade]],Lookups!$F$28:$H$45,3,FALSE),1))</f>
        <v>1.0658609603367226</v>
      </c>
      <c r="BX127" s="2">
        <f>_xlfn.IFNA(VLOOKUP(Wapato_Inventory[[#This Row],[living_area_range]],Lookups!$K$28:$M$37,3,FALSE),1)</f>
        <v>1.0061411172456287</v>
      </c>
      <c r="BY127" s="2">
        <f>AVERAGE(Wapato_Inventory[[#This Row],[qual_adj]:[range_adj]])</f>
        <v>1.0160979779470685</v>
      </c>
      <c r="BZ127" s="7">
        <f>(Wapato_Inventory[[#This Row],[sum_land]]-IF(Wapato_Inventory[[#This Row],[no_utilities]]=1,12000,0))/IF(Wapato_Inventory[[#This Row],[unbuildable]]=1,2,1)</f>
        <v>54600</v>
      </c>
      <c r="CA127" s="7">
        <f>Wapato_Inventory[[#This Row],[pre_res]]*Wapato_Inventory[[#This Row],[overall_adj]]</f>
        <v>301367.67639822088</v>
      </c>
      <c r="CB127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27" s="3">
        <f>IF(ROUND(Wapato_Inventory[[#This Row],[adj_res]]*Lookups!$H$48,-2)&lt;Wapato_Inventory[[#This Row],[min_res]],Wapato_Inventory[[#This Row],[min_res]],ROUND(Wapato_Inventory[[#This Row],[adj_res]]*Lookups!$H$48,-2))</f>
        <v>286300</v>
      </c>
      <c r="CD127" s="3">
        <f>ROUND(Wapato_Inventory[[#This Row],[det_value]]*Lookups!$H$48,-2)</f>
        <v>0</v>
      </c>
      <c r="CE127" s="3">
        <f>Wapato_Inventory[[#This Row],[final_res]]+Wapato_Inventory[[#This Row],[final_det]]</f>
        <v>286300</v>
      </c>
      <c r="CF127" s="3">
        <f>Wapato_Inventory[[#This Row],[crop_value]]+Wapato_Inventory[[#This Row],[final_land]]+Wapato_Inventory[[#This Row],[final_imp]]</f>
        <v>338200</v>
      </c>
      <c r="CH127" t="str">
        <f t="shared" si="1"/>
        <v>update valuation set market_land =51900, market_bldg=286300, market_total =338200, market_mdno =405, market_date ='9/10/2023' where link_id = (select link_id from parcel where parcel_year = '2024' and parcel_id = '19111034403');</v>
      </c>
    </row>
    <row r="128" spans="1:86" x14ac:dyDescent="0.25">
      <c r="A128">
        <v>19111034404</v>
      </c>
      <c r="B128">
        <v>0.26</v>
      </c>
      <c r="C128">
        <v>11407</v>
      </c>
      <c r="D128" t="s">
        <v>144</v>
      </c>
      <c r="E128" t="s">
        <v>54</v>
      </c>
      <c r="F128" t="s">
        <v>54</v>
      </c>
      <c r="G128">
        <v>3</v>
      </c>
      <c r="H128" t="s">
        <v>55</v>
      </c>
      <c r="I128">
        <v>285800</v>
      </c>
      <c r="J128">
        <v>35800</v>
      </c>
      <c r="K128">
        <v>0.26</v>
      </c>
      <c r="L128">
        <f>IF(Wapato_Inventory[[#This Row],[parcel_acres]]-Wapato_Inventory[[#This Row],[non_valued_acres]] =0,0,LN(Wapato_Inventory[[#This Row],[parcel_acres]]-Wapato_Inventory[[#This Row],[non_valued_acres]]))</f>
        <v>-1.3470736479666092</v>
      </c>
      <c r="M128">
        <v>0</v>
      </c>
      <c r="N128">
        <v>0</v>
      </c>
      <c r="O128">
        <v>0</v>
      </c>
      <c r="P128">
        <v>27904.037</v>
      </c>
      <c r="Q128">
        <v>74398</v>
      </c>
      <c r="R128" s="3">
        <f>(Wapato_Inventory[[#This Row],[ln_acres]]*Wapato_Inventory[[#This Row],[coeff]])+Wapato_Inventory[[#This Row],[const]]</f>
        <v>36809.207085414761</v>
      </c>
      <c r="S128" t="s">
        <v>59</v>
      </c>
      <c r="T128">
        <v>1</v>
      </c>
      <c r="U128" t="s">
        <v>63</v>
      </c>
      <c r="V128" t="s">
        <v>70</v>
      </c>
      <c r="W128">
        <v>0</v>
      </c>
      <c r="X128">
        <v>0</v>
      </c>
      <c r="Y128">
        <v>17</v>
      </c>
      <c r="Z128">
        <v>17</v>
      </c>
      <c r="AA128">
        <v>20</v>
      </c>
      <c r="AB128">
        <v>2000</v>
      </c>
      <c r="AC128">
        <v>1528</v>
      </c>
      <c r="AD128">
        <v>1528</v>
      </c>
      <c r="AE128">
        <v>0</v>
      </c>
      <c r="AF128">
        <v>0</v>
      </c>
      <c r="AG128">
        <v>0</v>
      </c>
      <c r="AH128">
        <v>0</v>
      </c>
      <c r="AI128">
        <v>480</v>
      </c>
      <c r="AJ128">
        <v>0</v>
      </c>
      <c r="AK128">
        <v>0</v>
      </c>
      <c r="AL128">
        <v>0</v>
      </c>
      <c r="AM128">
        <v>0</v>
      </c>
      <c r="AN128">
        <v>216</v>
      </c>
      <c r="AO128">
        <v>0</v>
      </c>
      <c r="AP128">
        <v>10</v>
      </c>
      <c r="AQ128">
        <v>0</v>
      </c>
      <c r="AR128">
        <v>0</v>
      </c>
      <c r="AS128" t="s">
        <v>59</v>
      </c>
      <c r="AT128">
        <v>1</v>
      </c>
      <c r="AU128" t="s">
        <v>64</v>
      </c>
      <c r="AV128" t="s">
        <v>61</v>
      </c>
      <c r="AW128">
        <v>1</v>
      </c>
      <c r="AX128">
        <v>3</v>
      </c>
      <c r="AY128">
        <v>0</v>
      </c>
      <c r="AZ128">
        <v>0</v>
      </c>
      <c r="BA128">
        <v>100</v>
      </c>
      <c r="BB128">
        <v>100</v>
      </c>
      <c r="BC128">
        <v>100</v>
      </c>
      <c r="BD128">
        <v>100</v>
      </c>
      <c r="BE128">
        <v>1</v>
      </c>
      <c r="BF128">
        <v>15000</v>
      </c>
      <c r="BG128">
        <v>1000</v>
      </c>
      <c r="BH128" s="7">
        <f>ROUND(Wapato_Inventory[[#This Row],[detatched_value]]*Lookups!$B$22*Lookups!$H$48,-2)</f>
        <v>0</v>
      </c>
      <c r="BI128" s="7">
        <f>ROUND(((Wapato_Inventory[[#This Row],[land_extract]]*Lookups!$B$3) +(Lookups!$B$2*0.5))*Lookups!$H$48,-2)</f>
        <v>54600</v>
      </c>
      <c r="BJ128" s="7">
        <f>IF(Wapato_Inventory[[#This Row],[bldg_style]]="",0,Lookups!$B$2*0.5)</f>
        <v>53765.27</v>
      </c>
      <c r="BK128" s="7">
        <f>_xlfn.IFNA(VLOOKUP(Wapato_Inventory[[#This Row],[quality]],Lookups!$H$2:$J$14,3,FALSE),0)</f>
        <v>50594</v>
      </c>
      <c r="BL128" s="7">
        <f>_xlfn.IFNA(VLOOKUP(Wapato_Inventory[[#This Row],[condition]],Lookups!$H$17:$J$24,3,FALSE),0)</f>
        <v>84338</v>
      </c>
      <c r="BM128" s="7">
        <f>Wapato_Inventory[[#This Row],[Age]]*Lookups!$B$16</f>
        <v>-6301.4868999999999</v>
      </c>
      <c r="BN128" s="7">
        <f>Wapato_Inventory[[#This Row],[Main Floor]]*Lookups!$B$17</f>
        <v>63871.529192000002</v>
      </c>
      <c r="BO128" s="7">
        <f>Wapato_Inventory[[#This Row],[Upper Floor]]*Lookups!$B$18</f>
        <v>0</v>
      </c>
      <c r="BP128" s="7">
        <f>Wapato_Inventory[[#This Row],[Fin BSMT]]*Lookups!$B$19</f>
        <v>0</v>
      </c>
      <c r="BQ128" s="7">
        <f>(Wapato_Inventory[[#This Row],[att_gar]]+Wapato_Inventory[[#This Row],[blt_gar]])*Lookups!$B$20</f>
        <v>17764.200960000002</v>
      </c>
      <c r="BR128" s="7">
        <f>Wapato_Inventory[[#This Row],[Patio]]*Lookups!$B$21</f>
        <v>0</v>
      </c>
      <c r="BS128" s="7">
        <f>SUM(Wapato_Inventory[[#This Row],[intercept]:[patio_value]])*Wapato_Inventory[[#This Row],[res_pct]]</f>
        <v>264031.51325199998</v>
      </c>
      <c r="BT128" s="7">
        <f>Wapato_Inventory[[#This Row],[land_value]]</f>
        <v>54600</v>
      </c>
      <c r="BU128" s="2">
        <f>_xlfn.IFNA(VLOOKUP(Wapato_Inventory[[#This Row],[quality]],Lookups!$A$28:$C$37,3,FALSE),1)</f>
        <v>0.99197423394367223</v>
      </c>
      <c r="BV128" s="2">
        <f>_xlfn.IFNA(VLOOKUP(Wapato_Inventory[[#This Row],[condition]],Lookups!$A$41:$C$48,3,FALSE),1)</f>
        <v>0.99478075210508476</v>
      </c>
      <c r="BW128" s="2">
        <f>IF(Wapato_Inventory[[#This Row],[decade]]="",1,_xlfn.IFNA(VLOOKUP(Wapato_Inventory[[#This Row],[decade]],Lookups!$F$28:$H$45,3,FALSE),1))</f>
        <v>1.0658609603367226</v>
      </c>
      <c r="BX128" s="2">
        <f>_xlfn.IFNA(VLOOKUP(Wapato_Inventory[[#This Row],[living_area_range]],Lookups!$K$28:$M$37,3,FALSE),1)</f>
        <v>0.99330894324714125</v>
      </c>
      <c r="BY128" s="2">
        <f>AVERAGE(Wapato_Inventory[[#This Row],[qual_adj]:[range_adj]])</f>
        <v>1.0114812224081553</v>
      </c>
      <c r="BZ128" s="7">
        <f>(Wapato_Inventory[[#This Row],[sum_land]]-IF(Wapato_Inventory[[#This Row],[no_utilities]]=1,12000,0))/IF(Wapato_Inventory[[#This Row],[unbuildable]]=1,2,1)</f>
        <v>54600</v>
      </c>
      <c r="CA128" s="7">
        <f>Wapato_Inventory[[#This Row],[pre_res]]*Wapato_Inventory[[#This Row],[overall_adj]]</f>
        <v>267062.91777840798</v>
      </c>
      <c r="CB128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28" s="3">
        <f>IF(ROUND(Wapato_Inventory[[#This Row],[adj_res]]*Lookups!$H$48,-2)&lt;Wapato_Inventory[[#This Row],[min_res]],Wapato_Inventory[[#This Row],[min_res]],ROUND(Wapato_Inventory[[#This Row],[adj_res]]*Lookups!$H$48,-2))</f>
        <v>253700</v>
      </c>
      <c r="CD128" s="3">
        <f>ROUND(Wapato_Inventory[[#This Row],[det_value]]*Lookups!$H$48,-2)</f>
        <v>0</v>
      </c>
      <c r="CE128" s="3">
        <f>Wapato_Inventory[[#This Row],[final_res]]+Wapato_Inventory[[#This Row],[final_det]]</f>
        <v>253700</v>
      </c>
      <c r="CF128" s="3">
        <f>Wapato_Inventory[[#This Row],[crop_value]]+Wapato_Inventory[[#This Row],[final_land]]+Wapato_Inventory[[#This Row],[final_imp]]</f>
        <v>305600</v>
      </c>
      <c r="CH128" t="str">
        <f t="shared" si="1"/>
        <v>update valuation set market_land =51900, market_bldg=253700, market_total =305600, market_mdno =405, market_date ='9/10/2023' where link_id = (select link_id from parcel where parcel_year = '2024' and parcel_id = '19111034404');</v>
      </c>
    </row>
    <row r="129" spans="1:86" x14ac:dyDescent="0.25">
      <c r="A129">
        <v>19111034405</v>
      </c>
      <c r="B129">
        <v>0.26</v>
      </c>
      <c r="C129">
        <v>11407</v>
      </c>
      <c r="D129" t="s">
        <v>144</v>
      </c>
      <c r="E129" t="s">
        <v>54</v>
      </c>
      <c r="F129" t="s">
        <v>54</v>
      </c>
      <c r="G129">
        <v>3</v>
      </c>
      <c r="H129" t="s">
        <v>55</v>
      </c>
      <c r="I129">
        <v>323400</v>
      </c>
      <c r="J129">
        <v>35800</v>
      </c>
      <c r="K129">
        <v>0.26</v>
      </c>
      <c r="L129">
        <f>IF(Wapato_Inventory[[#This Row],[parcel_acres]]-Wapato_Inventory[[#This Row],[non_valued_acres]] =0,0,LN(Wapato_Inventory[[#This Row],[parcel_acres]]-Wapato_Inventory[[#This Row],[non_valued_acres]]))</f>
        <v>-1.3470736479666092</v>
      </c>
      <c r="M129">
        <v>0</v>
      </c>
      <c r="N129">
        <v>0</v>
      </c>
      <c r="O129">
        <v>0</v>
      </c>
      <c r="P129">
        <v>27904.037</v>
      </c>
      <c r="Q129">
        <v>74398</v>
      </c>
      <c r="R129" s="3">
        <f>(Wapato_Inventory[[#This Row],[ln_acres]]*Wapato_Inventory[[#This Row],[coeff]])+Wapato_Inventory[[#This Row],[const]]</f>
        <v>36809.207085414761</v>
      </c>
      <c r="S129" t="s">
        <v>56</v>
      </c>
      <c r="T129">
        <v>2</v>
      </c>
      <c r="U129" t="s">
        <v>65</v>
      </c>
      <c r="V129" t="s">
        <v>69</v>
      </c>
      <c r="W129">
        <v>0</v>
      </c>
      <c r="X129">
        <v>0</v>
      </c>
      <c r="Y129">
        <v>17</v>
      </c>
      <c r="Z129">
        <v>17</v>
      </c>
      <c r="AA129">
        <v>20</v>
      </c>
      <c r="AB129">
        <v>2000</v>
      </c>
      <c r="AC129">
        <v>1966</v>
      </c>
      <c r="AD129">
        <v>974</v>
      </c>
      <c r="AE129">
        <v>992</v>
      </c>
      <c r="AF129">
        <v>0</v>
      </c>
      <c r="AG129">
        <v>0</v>
      </c>
      <c r="AH129">
        <v>0</v>
      </c>
      <c r="AI129">
        <v>0</v>
      </c>
      <c r="AJ129">
        <v>440</v>
      </c>
      <c r="AK129">
        <v>0</v>
      </c>
      <c r="AL129">
        <v>0</v>
      </c>
      <c r="AM129">
        <v>136</v>
      </c>
      <c r="AN129">
        <v>680</v>
      </c>
      <c r="AO129">
        <v>0</v>
      </c>
      <c r="AP129">
        <v>12</v>
      </c>
      <c r="AQ129">
        <v>0</v>
      </c>
      <c r="AR129">
        <v>0</v>
      </c>
      <c r="AS129" t="s">
        <v>59</v>
      </c>
      <c r="AT129">
        <v>1</v>
      </c>
      <c r="AU129" t="s">
        <v>60</v>
      </c>
      <c r="AV129" t="s">
        <v>61</v>
      </c>
      <c r="AW129">
        <v>1</v>
      </c>
      <c r="AX129">
        <v>3</v>
      </c>
      <c r="AY129">
        <v>0</v>
      </c>
      <c r="AZ129">
        <v>0</v>
      </c>
      <c r="BA129">
        <v>100</v>
      </c>
      <c r="BB129">
        <v>100</v>
      </c>
      <c r="BC129">
        <v>100</v>
      </c>
      <c r="BD129">
        <v>100</v>
      </c>
      <c r="BE129">
        <v>1</v>
      </c>
      <c r="BF129">
        <v>15000</v>
      </c>
      <c r="BG129">
        <v>1000</v>
      </c>
      <c r="BH129" s="7">
        <f>ROUND(Wapato_Inventory[[#This Row],[detatched_value]]*Lookups!$B$22*Lookups!$H$48,-2)</f>
        <v>0</v>
      </c>
      <c r="BI129" s="7">
        <f>ROUND(((Wapato_Inventory[[#This Row],[land_extract]]*Lookups!$B$3) +(Lookups!$B$2*0.5))*Lookups!$H$48,-2)</f>
        <v>54600</v>
      </c>
      <c r="BJ129" s="7">
        <f>IF(Wapato_Inventory[[#This Row],[bldg_style]]="",0,Lookups!$B$2*0.5)</f>
        <v>53765.27</v>
      </c>
      <c r="BK129" s="7">
        <f>_xlfn.IFNA(VLOOKUP(Wapato_Inventory[[#This Row],[quality]],Lookups!$H$2:$J$14,3,FALSE),0)</f>
        <v>92307</v>
      </c>
      <c r="BL129" s="7">
        <f>_xlfn.IFNA(VLOOKUP(Wapato_Inventory[[#This Row],[condition]],Lookups!$H$17:$J$24,3,FALSE),0)</f>
        <v>74543</v>
      </c>
      <c r="BM129" s="7">
        <f>Wapato_Inventory[[#This Row],[Age]]*Lookups!$B$16</f>
        <v>-6301.4868999999999</v>
      </c>
      <c r="BN129" s="7">
        <f>Wapato_Inventory[[#This Row],[Main Floor]]*Lookups!$B$17</f>
        <v>40713.919785999999</v>
      </c>
      <c r="BO129" s="7">
        <f>Wapato_Inventory[[#This Row],[Upper Floor]]*Lookups!$B$18</f>
        <v>49204.329888</v>
      </c>
      <c r="BP129" s="7">
        <f>Wapato_Inventory[[#This Row],[Fin BSMT]]*Lookups!$B$19</f>
        <v>0</v>
      </c>
      <c r="BQ129" s="7">
        <f>(Wapato_Inventory[[#This Row],[att_gar]]+Wapato_Inventory[[#This Row],[blt_gar]])*Lookups!$B$20</f>
        <v>16283.85088</v>
      </c>
      <c r="BR129" s="7">
        <f>Wapato_Inventory[[#This Row],[Patio]]*Lookups!$B$21</f>
        <v>5892.0611440000002</v>
      </c>
      <c r="BS129" s="7">
        <f>SUM(Wapato_Inventory[[#This Row],[intercept]:[patio_value]])*Wapato_Inventory[[#This Row],[res_pct]]</f>
        <v>326407.94479799992</v>
      </c>
      <c r="BT129" s="7">
        <f>Wapato_Inventory[[#This Row],[land_value]]</f>
        <v>54600</v>
      </c>
      <c r="BU129" s="2">
        <f>_xlfn.IFNA(VLOOKUP(Wapato_Inventory[[#This Row],[quality]],Lookups!$A$28:$C$37,3,FALSE),1)</f>
        <v>1.0013727718490204</v>
      </c>
      <c r="BV129" s="2">
        <f>_xlfn.IFNA(VLOOKUP(Wapato_Inventory[[#This Row],[condition]],Lookups!$A$41:$C$48,3,FALSE),1)</f>
        <v>0.98442438223270734</v>
      </c>
      <c r="BW129" s="2">
        <f>IF(Wapato_Inventory[[#This Row],[decade]]="",1,_xlfn.IFNA(VLOOKUP(Wapato_Inventory[[#This Row],[decade]],Lookups!$F$28:$H$45,3,FALSE),1))</f>
        <v>1.0658609603367226</v>
      </c>
      <c r="BX129" s="2">
        <f>_xlfn.IFNA(VLOOKUP(Wapato_Inventory[[#This Row],[living_area_range]],Lookups!$K$28:$M$37,3,FALSE),1)</f>
        <v>0.99330894324714125</v>
      </c>
      <c r="BY129" s="2">
        <f>AVERAGE(Wapato_Inventory[[#This Row],[qual_adj]:[range_adj]])</f>
        <v>1.011241764416398</v>
      </c>
      <c r="BZ129" s="7">
        <f>(Wapato_Inventory[[#This Row],[sum_land]]-IF(Wapato_Inventory[[#This Row],[no_utilities]]=1,12000,0))/IF(Wapato_Inventory[[#This Row],[unbuildable]]=1,2,1)</f>
        <v>54600</v>
      </c>
      <c r="CA129" s="7">
        <f>Wapato_Inventory[[#This Row],[pre_res]]*Wapato_Inventory[[#This Row],[overall_adj]]</f>
        <v>330077.3460170597</v>
      </c>
      <c r="CB129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29" s="3">
        <f>IF(ROUND(Wapato_Inventory[[#This Row],[adj_res]]*Lookups!$H$48,-2)&lt;Wapato_Inventory[[#This Row],[min_res]],Wapato_Inventory[[#This Row],[min_res]],ROUND(Wapato_Inventory[[#This Row],[adj_res]]*Lookups!$H$48,-2))</f>
        <v>313600</v>
      </c>
      <c r="CD129" s="3">
        <f>ROUND(Wapato_Inventory[[#This Row],[det_value]]*Lookups!$H$48,-2)</f>
        <v>0</v>
      </c>
      <c r="CE129" s="3">
        <f>Wapato_Inventory[[#This Row],[final_res]]+Wapato_Inventory[[#This Row],[final_det]]</f>
        <v>313600</v>
      </c>
      <c r="CF129" s="3">
        <f>Wapato_Inventory[[#This Row],[crop_value]]+Wapato_Inventory[[#This Row],[final_land]]+Wapato_Inventory[[#This Row],[final_imp]]</f>
        <v>365500</v>
      </c>
      <c r="CH129" t="str">
        <f t="shared" si="1"/>
        <v>update valuation set market_land =51900, market_bldg=313600, market_total =365500, market_mdno =405, market_date ='9/10/2023' where link_id = (select link_id from parcel where parcel_year = '2024' and parcel_id = '19111034405');</v>
      </c>
    </row>
    <row r="130" spans="1:86" x14ac:dyDescent="0.25">
      <c r="A130">
        <v>19111034406</v>
      </c>
      <c r="B130">
        <v>0.26</v>
      </c>
      <c r="C130">
        <v>11218</v>
      </c>
      <c r="D130" t="s">
        <v>144</v>
      </c>
      <c r="E130" t="s">
        <v>54</v>
      </c>
      <c r="F130" t="s">
        <v>54</v>
      </c>
      <c r="G130">
        <v>3</v>
      </c>
      <c r="H130" t="s">
        <v>55</v>
      </c>
      <c r="I130">
        <v>341000</v>
      </c>
      <c r="J130">
        <v>35800</v>
      </c>
      <c r="K130">
        <v>0.26</v>
      </c>
      <c r="L130">
        <f>IF(Wapato_Inventory[[#This Row],[parcel_acres]]-Wapato_Inventory[[#This Row],[non_valued_acres]] =0,0,LN(Wapato_Inventory[[#This Row],[parcel_acres]]-Wapato_Inventory[[#This Row],[non_valued_acres]]))</f>
        <v>-1.3470736479666092</v>
      </c>
      <c r="M130">
        <v>0</v>
      </c>
      <c r="N130">
        <v>0</v>
      </c>
      <c r="O130">
        <v>0</v>
      </c>
      <c r="P130">
        <v>27904.037</v>
      </c>
      <c r="Q130">
        <v>74398</v>
      </c>
      <c r="R130" s="3">
        <f>(Wapato_Inventory[[#This Row],[ln_acres]]*Wapato_Inventory[[#This Row],[coeff]])+Wapato_Inventory[[#This Row],[const]]</f>
        <v>36809.207085414761</v>
      </c>
      <c r="S130" t="s">
        <v>56</v>
      </c>
      <c r="T130">
        <v>1</v>
      </c>
      <c r="U130" t="s">
        <v>65</v>
      </c>
      <c r="V130" t="s">
        <v>58</v>
      </c>
      <c r="W130">
        <v>0</v>
      </c>
      <c r="X130">
        <v>0</v>
      </c>
      <c r="Y130">
        <v>2</v>
      </c>
      <c r="Z130">
        <v>2</v>
      </c>
      <c r="AA130">
        <v>10</v>
      </c>
      <c r="AB130">
        <v>2000</v>
      </c>
      <c r="AC130">
        <v>1584</v>
      </c>
      <c r="AD130">
        <v>1584</v>
      </c>
      <c r="AE130">
        <v>0</v>
      </c>
      <c r="AF130">
        <v>0</v>
      </c>
      <c r="AG130">
        <v>0</v>
      </c>
      <c r="AH130">
        <v>0</v>
      </c>
      <c r="AI130">
        <v>506</v>
      </c>
      <c r="AJ130">
        <v>0</v>
      </c>
      <c r="AK130">
        <v>0</v>
      </c>
      <c r="AL130">
        <v>0</v>
      </c>
      <c r="AM130">
        <v>0</v>
      </c>
      <c r="AN130">
        <v>318</v>
      </c>
      <c r="AO130">
        <v>0</v>
      </c>
      <c r="AP130">
        <v>10</v>
      </c>
      <c r="AQ130">
        <v>0</v>
      </c>
      <c r="AR130">
        <v>0</v>
      </c>
      <c r="AS130" t="s">
        <v>59</v>
      </c>
      <c r="AT130">
        <v>1</v>
      </c>
      <c r="AU130" t="s">
        <v>60</v>
      </c>
      <c r="AV130" t="s">
        <v>61</v>
      </c>
      <c r="AW130">
        <v>1</v>
      </c>
      <c r="AX130">
        <v>3</v>
      </c>
      <c r="AY130">
        <v>0</v>
      </c>
      <c r="AZ130">
        <v>0</v>
      </c>
      <c r="BA130">
        <v>100</v>
      </c>
      <c r="BB130">
        <v>100</v>
      </c>
      <c r="BC130">
        <v>100</v>
      </c>
      <c r="BD130">
        <v>100</v>
      </c>
      <c r="BE130">
        <v>1</v>
      </c>
      <c r="BF130">
        <v>15000</v>
      </c>
      <c r="BG130">
        <v>1000</v>
      </c>
      <c r="BH130" s="7">
        <f>ROUND(Wapato_Inventory[[#This Row],[detatched_value]]*Lookups!$B$22*Lookups!$H$48,-2)</f>
        <v>0</v>
      </c>
      <c r="BI130" s="7">
        <f>ROUND(((Wapato_Inventory[[#This Row],[land_extract]]*Lookups!$B$3) +(Lookups!$B$2*0.5))*Lookups!$H$48,-2)</f>
        <v>54600</v>
      </c>
      <c r="BJ130" s="7">
        <f>IF(Wapato_Inventory[[#This Row],[bldg_style]]="",0,Lookups!$B$2*0.5)</f>
        <v>53765.27</v>
      </c>
      <c r="BK130" s="7">
        <f>_xlfn.IFNA(VLOOKUP(Wapato_Inventory[[#This Row],[quality]],Lookups!$H$2:$J$14,3,FALSE),0)</f>
        <v>92307</v>
      </c>
      <c r="BL130" s="7">
        <f>_xlfn.IFNA(VLOOKUP(Wapato_Inventory[[#This Row],[condition]],Lookups!$H$17:$J$24,3,FALSE),0)</f>
        <v>122095</v>
      </c>
      <c r="BM130" s="7">
        <f>Wapato_Inventory[[#This Row],[Age]]*Lookups!$B$16</f>
        <v>-741.35140000000001</v>
      </c>
      <c r="BN130" s="7">
        <f>Wapato_Inventory[[#This Row],[Main Floor]]*Lookups!$B$17</f>
        <v>66212.370576000001</v>
      </c>
      <c r="BO130" s="7">
        <f>Wapato_Inventory[[#This Row],[Upper Floor]]*Lookups!$B$18</f>
        <v>0</v>
      </c>
      <c r="BP130" s="7">
        <f>Wapato_Inventory[[#This Row],[Fin BSMT]]*Lookups!$B$19</f>
        <v>0</v>
      </c>
      <c r="BQ130" s="7">
        <f>(Wapato_Inventory[[#This Row],[att_gar]]+Wapato_Inventory[[#This Row],[blt_gar]])*Lookups!$B$20</f>
        <v>18726.428512000002</v>
      </c>
      <c r="BR130" s="7">
        <f>Wapato_Inventory[[#This Row],[Patio]]*Lookups!$B$21</f>
        <v>0</v>
      </c>
      <c r="BS130" s="7">
        <f>SUM(Wapato_Inventory[[#This Row],[intercept]:[patio_value]])*Wapato_Inventory[[#This Row],[res_pct]]</f>
        <v>352364.71768800006</v>
      </c>
      <c r="BT130" s="7">
        <f>Wapato_Inventory[[#This Row],[land_value]]</f>
        <v>54600</v>
      </c>
      <c r="BU130" s="2">
        <f>_xlfn.IFNA(VLOOKUP(Wapato_Inventory[[#This Row],[quality]],Lookups!$A$28:$C$37,3,FALSE),1)</f>
        <v>1.0013727718490204</v>
      </c>
      <c r="BV130" s="2">
        <f>_xlfn.IFNA(VLOOKUP(Wapato_Inventory[[#This Row],[condition]],Lookups!$A$41:$C$48,3,FALSE),1)</f>
        <v>1.00041560026225</v>
      </c>
      <c r="BW130" s="2">
        <f>IF(Wapato_Inventory[[#This Row],[decade]]="",1,_xlfn.IFNA(VLOOKUP(Wapato_Inventory[[#This Row],[decade]],Lookups!$F$28:$H$45,3,FALSE),1))</f>
        <v>1.0321018519633791</v>
      </c>
      <c r="BX130" s="2">
        <f>_xlfn.IFNA(VLOOKUP(Wapato_Inventory[[#This Row],[living_area_range]],Lookups!$K$28:$M$37,3,FALSE),1)</f>
        <v>0.99330894324714125</v>
      </c>
      <c r="BY130" s="2">
        <f>AVERAGE(Wapato_Inventory[[#This Row],[qual_adj]:[range_adj]])</f>
        <v>1.0067997918304477</v>
      </c>
      <c r="BZ130" s="7">
        <f>(Wapato_Inventory[[#This Row],[sum_land]]-IF(Wapato_Inventory[[#This Row],[no_utilities]]=1,12000,0))/IF(Wapato_Inventory[[#This Row],[unbuildable]]=1,2,1)</f>
        <v>54600</v>
      </c>
      <c r="CA130" s="7">
        <f>Wapato_Inventory[[#This Row],[pre_res]]*Wapato_Inventory[[#This Row],[overall_adj]]</f>
        <v>354760.72441667289</v>
      </c>
      <c r="CB130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30" s="3">
        <f>IF(ROUND(Wapato_Inventory[[#This Row],[adj_res]]*Lookups!$H$48,-2)&lt;Wapato_Inventory[[#This Row],[min_res]],Wapato_Inventory[[#This Row],[min_res]],ROUND(Wapato_Inventory[[#This Row],[adj_res]]*Lookups!$H$48,-2))</f>
        <v>337000</v>
      </c>
      <c r="CD130" s="3">
        <f>ROUND(Wapato_Inventory[[#This Row],[det_value]]*Lookups!$H$48,-2)</f>
        <v>0</v>
      </c>
      <c r="CE130" s="3">
        <f>Wapato_Inventory[[#This Row],[final_res]]+Wapato_Inventory[[#This Row],[final_det]]</f>
        <v>337000</v>
      </c>
      <c r="CF130" s="3">
        <f>Wapato_Inventory[[#This Row],[crop_value]]+Wapato_Inventory[[#This Row],[final_land]]+Wapato_Inventory[[#This Row],[final_imp]]</f>
        <v>388900</v>
      </c>
      <c r="CH130" t="str">
        <f t="shared" ref="CH130:CH193" si="2">"update valuation set market_land ="&amp;CB130&amp;", market_bldg="&amp;CE130&amp;", market_total ="&amp;CF130&amp;", market_mdno ="&amp;$CH$1&amp;", market_date ='"&amp;TEXT($CI$1,"m/d/yyyy")&amp;"' where link_id = (select link_id from parcel where parcel_year = '2024' and parcel_id = '"&amp;A130&amp;"');"</f>
        <v>update valuation set market_land =51900, market_bldg=337000, market_total =388900, market_mdno =405, market_date ='9/10/2023' where link_id = (select link_id from parcel where parcel_year = '2024' and parcel_id = '19111034406');</v>
      </c>
    </row>
    <row r="131" spans="1:86" x14ac:dyDescent="0.25">
      <c r="A131">
        <v>19111034407</v>
      </c>
      <c r="B131">
        <v>0.44</v>
      </c>
      <c r="C131">
        <v>19127</v>
      </c>
      <c r="D131" t="s">
        <v>144</v>
      </c>
      <c r="E131" t="s">
        <v>54</v>
      </c>
      <c r="F131" t="s">
        <v>54</v>
      </c>
      <c r="G131">
        <v>3</v>
      </c>
      <c r="H131" t="s">
        <v>55</v>
      </c>
      <c r="I131">
        <v>285000</v>
      </c>
      <c r="J131">
        <v>39400</v>
      </c>
      <c r="K131">
        <v>0.44</v>
      </c>
      <c r="L131">
        <f>IF(Wapato_Inventory[[#This Row],[parcel_acres]]-Wapato_Inventory[[#This Row],[non_valued_acres]] =0,0,LN(Wapato_Inventory[[#This Row],[parcel_acres]]-Wapato_Inventory[[#This Row],[non_valued_acres]]))</f>
        <v>-0.82098055206983023</v>
      </c>
      <c r="M131">
        <v>0</v>
      </c>
      <c r="N131">
        <v>0</v>
      </c>
      <c r="O131">
        <v>0</v>
      </c>
      <c r="P131">
        <v>27904.037</v>
      </c>
      <c r="Q131">
        <v>74398</v>
      </c>
      <c r="R131" s="3">
        <f>(Wapato_Inventory[[#This Row],[ln_acres]]*Wapato_Inventory[[#This Row],[coeff]])+Wapato_Inventory[[#This Row],[const]]</f>
        <v>51489.32829876303</v>
      </c>
      <c r="S131" t="s">
        <v>62</v>
      </c>
      <c r="T131">
        <v>1</v>
      </c>
      <c r="U131" t="s">
        <v>65</v>
      </c>
      <c r="V131" t="s">
        <v>68</v>
      </c>
      <c r="W131">
        <v>0</v>
      </c>
      <c r="X131">
        <v>0</v>
      </c>
      <c r="Y131">
        <v>49</v>
      </c>
      <c r="Z131">
        <v>65</v>
      </c>
      <c r="AA131">
        <v>70</v>
      </c>
      <c r="AB131">
        <v>2500</v>
      </c>
      <c r="AC131">
        <v>2414</v>
      </c>
      <c r="AD131">
        <v>2414</v>
      </c>
      <c r="AE131">
        <v>0</v>
      </c>
      <c r="AF131">
        <v>0</v>
      </c>
      <c r="AG131">
        <v>0</v>
      </c>
      <c r="AH131">
        <v>0</v>
      </c>
      <c r="AI131">
        <v>552</v>
      </c>
      <c r="AJ131">
        <v>0</v>
      </c>
      <c r="AK131">
        <v>0</v>
      </c>
      <c r="AL131">
        <v>0</v>
      </c>
      <c r="AM131">
        <v>224</v>
      </c>
      <c r="AN131">
        <v>27</v>
      </c>
      <c r="AO131">
        <v>0</v>
      </c>
      <c r="AP131">
        <v>8</v>
      </c>
      <c r="AQ131">
        <v>0</v>
      </c>
      <c r="AR131">
        <v>1</v>
      </c>
      <c r="AS131" t="s">
        <v>59</v>
      </c>
      <c r="AT131">
        <v>1</v>
      </c>
      <c r="AU131" t="s">
        <v>64</v>
      </c>
      <c r="AV131" t="s">
        <v>77</v>
      </c>
      <c r="AW131">
        <v>1</v>
      </c>
      <c r="AX131">
        <v>3</v>
      </c>
      <c r="AY131">
        <v>0</v>
      </c>
      <c r="AZ131">
        <v>2800</v>
      </c>
      <c r="BA131">
        <v>100</v>
      </c>
      <c r="BB131">
        <v>100</v>
      </c>
      <c r="BC131">
        <v>100</v>
      </c>
      <c r="BD131">
        <v>100</v>
      </c>
      <c r="BE131">
        <v>1</v>
      </c>
      <c r="BF131">
        <v>15000</v>
      </c>
      <c r="BG131">
        <v>1000</v>
      </c>
      <c r="BH131" s="7">
        <f>ROUND(Wapato_Inventory[[#This Row],[detatched_value]]*Lookups!$B$22*Lookups!$H$48,-2)</f>
        <v>2500</v>
      </c>
      <c r="BI131" s="7">
        <f>ROUND(((Wapato_Inventory[[#This Row],[land_extract]]*Lookups!$B$3) +(Lookups!$B$2*0.5))*Lookups!$H$48,-2)</f>
        <v>56000</v>
      </c>
      <c r="BJ131" s="7">
        <f>IF(Wapato_Inventory[[#This Row],[bldg_style]]="",0,Lookups!$B$2*0.5)</f>
        <v>53765.27</v>
      </c>
      <c r="BK131" s="7">
        <f>_xlfn.IFNA(VLOOKUP(Wapato_Inventory[[#This Row],[quality]],Lookups!$H$2:$J$14,3,FALSE),0)</f>
        <v>92307</v>
      </c>
      <c r="BL131" s="7">
        <f>_xlfn.IFNA(VLOOKUP(Wapato_Inventory[[#This Row],[condition]],Lookups!$H$17:$J$24,3,FALSE),0)</f>
        <v>52231</v>
      </c>
      <c r="BM131" s="7">
        <f>Wapato_Inventory[[#This Row],[Age]]*Lookups!$B$16</f>
        <v>-24093.9205</v>
      </c>
      <c r="BN131" s="7">
        <f>Wapato_Inventory[[#This Row],[Main Floor]]*Lookups!$B$17</f>
        <v>100906.98394599999</v>
      </c>
      <c r="BO131" s="7">
        <f>Wapato_Inventory[[#This Row],[Upper Floor]]*Lookups!$B$18</f>
        <v>0</v>
      </c>
      <c r="BP131" s="7">
        <f>Wapato_Inventory[[#This Row],[Fin BSMT]]*Lookups!$B$19</f>
        <v>0</v>
      </c>
      <c r="BQ131" s="7">
        <f>(Wapato_Inventory[[#This Row],[att_gar]]+Wapato_Inventory[[#This Row],[blt_gar]])*Lookups!$B$20</f>
        <v>20428.831104000001</v>
      </c>
      <c r="BR131" s="7">
        <f>Wapato_Inventory[[#This Row],[Patio]]*Lookups!$B$21</f>
        <v>9704.5712960000001</v>
      </c>
      <c r="BS131" s="7">
        <f>SUM(Wapato_Inventory[[#This Row],[intercept]:[patio_value]])*Wapato_Inventory[[#This Row],[res_pct]]</f>
        <v>305249.73584599997</v>
      </c>
      <c r="BT131" s="7">
        <f>Wapato_Inventory[[#This Row],[land_value]]</f>
        <v>56000</v>
      </c>
      <c r="BU131" s="2">
        <f>_xlfn.IFNA(VLOOKUP(Wapato_Inventory[[#This Row],[quality]],Lookups!$A$28:$C$37,3,FALSE),1)</f>
        <v>1.0013727718490204</v>
      </c>
      <c r="BV131" s="2">
        <f>_xlfn.IFNA(VLOOKUP(Wapato_Inventory[[#This Row],[condition]],Lookups!$A$41:$C$48,3,FALSE),1)</f>
        <v>0.9832333997567807</v>
      </c>
      <c r="BW131" s="2">
        <f>IF(Wapato_Inventory[[#This Row],[decade]]="",1,_xlfn.IFNA(VLOOKUP(Wapato_Inventory[[#This Row],[decade]],Lookups!$F$28:$H$45,3,FALSE),1))</f>
        <v>1.0012715221492001</v>
      </c>
      <c r="BX131" s="2">
        <f>_xlfn.IFNA(VLOOKUP(Wapato_Inventory[[#This Row],[living_area_range]],Lookups!$K$28:$M$37,3,FALSE),1)</f>
        <v>0.90813907160181651</v>
      </c>
      <c r="BY131" s="2">
        <f>AVERAGE(Wapato_Inventory[[#This Row],[qual_adj]:[range_adj]])</f>
        <v>0.97350419133920441</v>
      </c>
      <c r="BZ131" s="7">
        <f>(Wapato_Inventory[[#This Row],[sum_land]]-IF(Wapato_Inventory[[#This Row],[no_utilities]]=1,12000,0))/IF(Wapato_Inventory[[#This Row],[unbuildable]]=1,2,1)</f>
        <v>56000</v>
      </c>
      <c r="CA131" s="7">
        <f>Wapato_Inventory[[#This Row],[pre_res]]*Wapato_Inventory[[#This Row],[overall_adj]]</f>
        <v>297161.89725126594</v>
      </c>
      <c r="CB131" s="3">
        <f>IF(ROUND(Wapato_Inventory[[#This Row],[adj_land]]*Lookups!$H$48,-2)&lt;Wapato_Inventory[[#This Row],[min_land]],Wapato_Inventory[[#This Row],[min_land]],ROUND(Wapato_Inventory[[#This Row],[adj_land]]*Lookups!$H$48,-2))</f>
        <v>53200</v>
      </c>
      <c r="CC131" s="3">
        <f>IF(ROUND(Wapato_Inventory[[#This Row],[adj_res]]*Lookups!$H$48,-2)&lt;Wapato_Inventory[[#This Row],[min_res]],Wapato_Inventory[[#This Row],[min_res]],ROUND(Wapato_Inventory[[#This Row],[adj_res]]*Lookups!$H$48,-2))</f>
        <v>282300</v>
      </c>
      <c r="CD131" s="3">
        <f>ROUND(Wapato_Inventory[[#This Row],[det_value]]*Lookups!$H$48,-2)</f>
        <v>2400</v>
      </c>
      <c r="CE131" s="3">
        <f>Wapato_Inventory[[#This Row],[final_res]]+Wapato_Inventory[[#This Row],[final_det]]</f>
        <v>284700</v>
      </c>
      <c r="CF131" s="3">
        <f>Wapato_Inventory[[#This Row],[crop_value]]+Wapato_Inventory[[#This Row],[final_land]]+Wapato_Inventory[[#This Row],[final_imp]]</f>
        <v>337900</v>
      </c>
      <c r="CH131" t="str">
        <f t="shared" si="2"/>
        <v>update valuation set market_land =53200, market_bldg=284700, market_total =337900, market_mdno =405, market_date ='9/10/2023' where link_id = (select link_id from parcel where parcel_year = '2024' and parcel_id = '19111034407');</v>
      </c>
    </row>
    <row r="132" spans="1:86" x14ac:dyDescent="0.25">
      <c r="A132">
        <v>19111034414</v>
      </c>
      <c r="B132">
        <v>0.56999999999999995</v>
      </c>
      <c r="C132">
        <v>24908</v>
      </c>
      <c r="D132" t="s">
        <v>144</v>
      </c>
      <c r="E132" t="s">
        <v>54</v>
      </c>
      <c r="F132" t="s">
        <v>54</v>
      </c>
      <c r="G132">
        <v>3</v>
      </c>
      <c r="H132" t="s">
        <v>55</v>
      </c>
      <c r="I132">
        <v>259300</v>
      </c>
      <c r="J132">
        <v>41300</v>
      </c>
      <c r="K132">
        <v>0.56999999999999995</v>
      </c>
      <c r="L132">
        <f>IF(Wapato_Inventory[[#This Row],[parcel_acres]]-Wapato_Inventory[[#This Row],[non_valued_acres]] =0,0,LN(Wapato_Inventory[[#This Row],[parcel_acres]]-Wapato_Inventory[[#This Row],[non_valued_acres]]))</f>
        <v>-0.56211891815354131</v>
      </c>
      <c r="M132">
        <v>0</v>
      </c>
      <c r="N132">
        <v>0</v>
      </c>
      <c r="O132">
        <v>0</v>
      </c>
      <c r="P132">
        <v>27904.037</v>
      </c>
      <c r="Q132">
        <v>74398</v>
      </c>
      <c r="R132" s="3">
        <f>(Wapato_Inventory[[#This Row],[ln_acres]]*Wapato_Inventory[[#This Row],[coeff]])+Wapato_Inventory[[#This Row],[const]]</f>
        <v>58712.612909443611</v>
      </c>
      <c r="S132" t="s">
        <v>66</v>
      </c>
      <c r="T132">
        <v>1</v>
      </c>
      <c r="U132" t="s">
        <v>65</v>
      </c>
      <c r="V132" t="s">
        <v>68</v>
      </c>
      <c r="W132">
        <v>0</v>
      </c>
      <c r="X132">
        <v>0</v>
      </c>
      <c r="Y132">
        <v>49</v>
      </c>
      <c r="Z132">
        <v>67</v>
      </c>
      <c r="AA132">
        <v>70</v>
      </c>
      <c r="AB132">
        <v>3000</v>
      </c>
      <c r="AC132">
        <v>2976</v>
      </c>
      <c r="AD132">
        <v>1986</v>
      </c>
      <c r="AE132">
        <v>0</v>
      </c>
      <c r="AF132">
        <v>0</v>
      </c>
      <c r="AG132">
        <v>990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410</v>
      </c>
      <c r="AN132">
        <v>42</v>
      </c>
      <c r="AO132">
        <v>410</v>
      </c>
      <c r="AP132">
        <v>6</v>
      </c>
      <c r="AQ132">
        <v>0</v>
      </c>
      <c r="AR132">
        <v>2</v>
      </c>
      <c r="AS132" t="s">
        <v>59</v>
      </c>
      <c r="AT132">
        <v>1</v>
      </c>
      <c r="AU132" t="s">
        <v>64</v>
      </c>
      <c r="AV132" t="s">
        <v>77</v>
      </c>
      <c r="AW132">
        <v>1</v>
      </c>
      <c r="AX132">
        <v>3</v>
      </c>
      <c r="AY132">
        <v>0</v>
      </c>
      <c r="AZ132">
        <v>14200</v>
      </c>
      <c r="BA132">
        <v>100</v>
      </c>
      <c r="BB132">
        <v>100</v>
      </c>
      <c r="BC132">
        <v>100</v>
      </c>
      <c r="BD132">
        <v>100</v>
      </c>
      <c r="BE132">
        <v>1</v>
      </c>
      <c r="BF132">
        <v>15000</v>
      </c>
      <c r="BG132">
        <v>1000</v>
      </c>
      <c r="BH132" s="7">
        <f>ROUND(Wapato_Inventory[[#This Row],[detatched_value]]*Lookups!$B$22*Lookups!$H$48,-2)</f>
        <v>12700</v>
      </c>
      <c r="BI132" s="7">
        <f>ROUND(((Wapato_Inventory[[#This Row],[land_extract]]*Lookups!$B$3) +(Lookups!$B$2*0.5))*Lookups!$H$48,-2)</f>
        <v>56700</v>
      </c>
      <c r="BJ132" s="7">
        <f>IF(Wapato_Inventory[[#This Row],[bldg_style]]="",0,Lookups!$B$2*0.5)</f>
        <v>53765.27</v>
      </c>
      <c r="BK132" s="7">
        <f>_xlfn.IFNA(VLOOKUP(Wapato_Inventory[[#This Row],[quality]],Lookups!$H$2:$J$14,3,FALSE),0)</f>
        <v>92307</v>
      </c>
      <c r="BL132" s="7">
        <f>_xlfn.IFNA(VLOOKUP(Wapato_Inventory[[#This Row],[condition]],Lookups!$H$17:$J$24,3,FALSE),0)</f>
        <v>52231</v>
      </c>
      <c r="BM132" s="7">
        <f>Wapato_Inventory[[#This Row],[Age]]*Lookups!$B$16</f>
        <v>-24835.2719</v>
      </c>
      <c r="BN132" s="7">
        <f>Wapato_Inventory[[#This Row],[Main Floor]]*Lookups!$B$17</f>
        <v>83016.267653999996</v>
      </c>
      <c r="BO132" s="7">
        <f>Wapato_Inventory[[#This Row],[Upper Floor]]*Lookups!$B$18</f>
        <v>0</v>
      </c>
      <c r="BP132" s="7">
        <f>Wapato_Inventory[[#This Row],[Fin BSMT]]*Lookups!$B$19</f>
        <v>24123.0726</v>
      </c>
      <c r="BQ132" s="7">
        <f>(Wapato_Inventory[[#This Row],[att_gar]]+Wapato_Inventory[[#This Row],[blt_gar]])*Lookups!$B$20</f>
        <v>0</v>
      </c>
      <c r="BR132" s="7">
        <f>Wapato_Inventory[[#This Row],[Patio]]*Lookups!$B$21</f>
        <v>17762.831389999999</v>
      </c>
      <c r="BS132" s="7">
        <f>SUM(Wapato_Inventory[[#This Row],[intercept]:[patio_value]])*Wapato_Inventory[[#This Row],[res_pct]]</f>
        <v>298370.16974400001</v>
      </c>
      <c r="BT132" s="7">
        <f>Wapato_Inventory[[#This Row],[land_value]]</f>
        <v>56700</v>
      </c>
      <c r="BU132" s="2">
        <f>_xlfn.IFNA(VLOOKUP(Wapato_Inventory[[#This Row],[quality]],Lookups!$A$28:$C$37,3,FALSE),1)</f>
        <v>1.0013727718490204</v>
      </c>
      <c r="BV132" s="2">
        <f>_xlfn.IFNA(VLOOKUP(Wapato_Inventory[[#This Row],[condition]],Lookups!$A$41:$C$48,3,FALSE),1)</f>
        <v>0.9832333997567807</v>
      </c>
      <c r="BW132" s="2">
        <f>IF(Wapato_Inventory[[#This Row],[decade]]="",1,_xlfn.IFNA(VLOOKUP(Wapato_Inventory[[#This Row],[decade]],Lookups!$F$28:$H$45,3,FALSE),1))</f>
        <v>1.0012715221492001</v>
      </c>
      <c r="BX132" s="2">
        <f>_xlfn.IFNA(VLOOKUP(Wapato_Inventory[[#This Row],[living_area_range]],Lookups!$K$28:$M$37,3,FALSE),1)</f>
        <v>1.0155869662067822</v>
      </c>
      <c r="BY132" s="2">
        <f>AVERAGE(Wapato_Inventory[[#This Row],[qual_adj]:[range_adj]])</f>
        <v>1.0003661649904458</v>
      </c>
      <c r="BZ132" s="7">
        <f>(Wapato_Inventory[[#This Row],[sum_land]]-IF(Wapato_Inventory[[#This Row],[no_utilities]]=1,12000,0))/IF(Wapato_Inventory[[#This Row],[unbuildable]]=1,2,1)</f>
        <v>56700</v>
      </c>
      <c r="CA132" s="7">
        <f>Wapato_Inventory[[#This Row],[pre_res]]*Wapato_Inventory[[#This Row],[overall_adj]]</f>
        <v>298479.42245435365</v>
      </c>
      <c r="CB132" s="3">
        <f>IF(ROUND(Wapato_Inventory[[#This Row],[adj_land]]*Lookups!$H$48,-2)&lt;Wapato_Inventory[[#This Row],[min_land]],Wapato_Inventory[[#This Row],[min_land]],ROUND(Wapato_Inventory[[#This Row],[adj_land]]*Lookups!$H$48,-2))</f>
        <v>53900</v>
      </c>
      <c r="CC132" s="3">
        <f>IF(ROUND(Wapato_Inventory[[#This Row],[adj_res]]*Lookups!$H$48,-2)&lt;Wapato_Inventory[[#This Row],[min_res]],Wapato_Inventory[[#This Row],[min_res]],ROUND(Wapato_Inventory[[#This Row],[adj_res]]*Lookups!$H$48,-2))</f>
        <v>283600</v>
      </c>
      <c r="CD132" s="3">
        <f>ROUND(Wapato_Inventory[[#This Row],[det_value]]*Lookups!$H$48,-2)</f>
        <v>12100</v>
      </c>
      <c r="CE132" s="3">
        <f>Wapato_Inventory[[#This Row],[final_res]]+Wapato_Inventory[[#This Row],[final_det]]</f>
        <v>295700</v>
      </c>
      <c r="CF132" s="3">
        <f>Wapato_Inventory[[#This Row],[crop_value]]+Wapato_Inventory[[#This Row],[final_land]]+Wapato_Inventory[[#This Row],[final_imp]]</f>
        <v>349600</v>
      </c>
      <c r="CH132" t="str">
        <f t="shared" si="2"/>
        <v>update valuation set market_land =53900, market_bldg=295700, market_total =349600, market_mdno =405, market_date ='9/10/2023' where link_id = (select link_id from parcel where parcel_year = '2024' and parcel_id = '19111034414');</v>
      </c>
    </row>
    <row r="133" spans="1:86" x14ac:dyDescent="0.25">
      <c r="A133">
        <v>19111034415</v>
      </c>
      <c r="B133">
        <v>0.47</v>
      </c>
      <c r="C133">
        <v>20398</v>
      </c>
      <c r="D133" t="s">
        <v>144</v>
      </c>
      <c r="E133" t="s">
        <v>54</v>
      </c>
      <c r="F133" t="s">
        <v>54</v>
      </c>
      <c r="G133">
        <v>3</v>
      </c>
      <c r="H133" t="s">
        <v>55</v>
      </c>
      <c r="I133">
        <v>204900</v>
      </c>
      <c r="J133">
        <v>39900</v>
      </c>
      <c r="K133">
        <v>0.47</v>
      </c>
      <c r="L133">
        <f>IF(Wapato_Inventory[[#This Row],[parcel_acres]]-Wapato_Inventory[[#This Row],[non_valued_acres]] =0,0,LN(Wapato_Inventory[[#This Row],[parcel_acres]]-Wapato_Inventory[[#This Row],[non_valued_acres]]))</f>
        <v>-0.75502258427803282</v>
      </c>
      <c r="M133">
        <v>0</v>
      </c>
      <c r="N133">
        <v>0</v>
      </c>
      <c r="O133">
        <v>0</v>
      </c>
      <c r="P133">
        <v>27904.037</v>
      </c>
      <c r="Q133">
        <v>74398</v>
      </c>
      <c r="R133" s="3">
        <f>(Wapato_Inventory[[#This Row],[ln_acres]]*Wapato_Inventory[[#This Row],[coeff]])+Wapato_Inventory[[#This Row],[const]]</f>
        <v>53329.821872470158</v>
      </c>
      <c r="S133" t="s">
        <v>62</v>
      </c>
      <c r="T133">
        <v>1</v>
      </c>
      <c r="U133" t="s">
        <v>63</v>
      </c>
      <c r="V133" t="s">
        <v>68</v>
      </c>
      <c r="W133">
        <v>0</v>
      </c>
      <c r="X133">
        <v>0</v>
      </c>
      <c r="Y133">
        <v>48</v>
      </c>
      <c r="Z133">
        <v>60</v>
      </c>
      <c r="AA133">
        <v>60</v>
      </c>
      <c r="AB133">
        <v>2000</v>
      </c>
      <c r="AC133">
        <v>1535</v>
      </c>
      <c r="AD133">
        <v>1535</v>
      </c>
      <c r="AE133">
        <v>0</v>
      </c>
      <c r="AF133">
        <v>0</v>
      </c>
      <c r="AG133">
        <v>0</v>
      </c>
      <c r="AH133">
        <v>0</v>
      </c>
      <c r="AI133">
        <v>648</v>
      </c>
      <c r="AJ133">
        <v>0</v>
      </c>
      <c r="AK133">
        <v>0</v>
      </c>
      <c r="AL133">
        <v>0</v>
      </c>
      <c r="AM133">
        <v>497</v>
      </c>
      <c r="AN133">
        <v>0</v>
      </c>
      <c r="AO133">
        <v>372</v>
      </c>
      <c r="AP133">
        <v>8</v>
      </c>
      <c r="AQ133">
        <v>0</v>
      </c>
      <c r="AR133">
        <v>1</v>
      </c>
      <c r="AS133" t="s">
        <v>59</v>
      </c>
      <c r="AT133">
        <v>1</v>
      </c>
      <c r="AU133" t="s">
        <v>64</v>
      </c>
      <c r="AV133" t="s">
        <v>65</v>
      </c>
      <c r="AW133">
        <v>1</v>
      </c>
      <c r="AX133">
        <v>3</v>
      </c>
      <c r="AY133">
        <v>0</v>
      </c>
      <c r="AZ133">
        <v>0</v>
      </c>
      <c r="BA133">
        <v>100</v>
      </c>
      <c r="BB133">
        <v>100</v>
      </c>
      <c r="BC133">
        <v>100</v>
      </c>
      <c r="BD133">
        <v>100</v>
      </c>
      <c r="BE133">
        <v>1</v>
      </c>
      <c r="BF133">
        <v>15000</v>
      </c>
      <c r="BG133">
        <v>1000</v>
      </c>
      <c r="BH133" s="7">
        <f>ROUND(Wapato_Inventory[[#This Row],[detatched_value]]*Lookups!$B$22*Lookups!$H$48,-2)</f>
        <v>0</v>
      </c>
      <c r="BI133" s="7">
        <f>ROUND(((Wapato_Inventory[[#This Row],[land_extract]]*Lookups!$B$3) +(Lookups!$B$2*0.5))*Lookups!$H$48,-2)</f>
        <v>56200</v>
      </c>
      <c r="BJ133" s="7">
        <f>IF(Wapato_Inventory[[#This Row],[bldg_style]]="",0,Lookups!$B$2*0.5)</f>
        <v>53765.27</v>
      </c>
      <c r="BK133" s="7">
        <f>_xlfn.IFNA(VLOOKUP(Wapato_Inventory[[#This Row],[quality]],Lookups!$H$2:$J$14,3,FALSE),0)</f>
        <v>50594</v>
      </c>
      <c r="BL133" s="7">
        <f>_xlfn.IFNA(VLOOKUP(Wapato_Inventory[[#This Row],[condition]],Lookups!$H$17:$J$24,3,FALSE),0)</f>
        <v>52231</v>
      </c>
      <c r="BM133" s="7">
        <f>Wapato_Inventory[[#This Row],[Age]]*Lookups!$B$16</f>
        <v>-22240.542000000001</v>
      </c>
      <c r="BN133" s="7">
        <f>Wapato_Inventory[[#This Row],[Main Floor]]*Lookups!$B$17</f>
        <v>64164.134364999998</v>
      </c>
      <c r="BO133" s="7">
        <f>Wapato_Inventory[[#This Row],[Upper Floor]]*Lookups!$B$18</f>
        <v>0</v>
      </c>
      <c r="BP133" s="7">
        <f>Wapato_Inventory[[#This Row],[Fin BSMT]]*Lookups!$B$19</f>
        <v>0</v>
      </c>
      <c r="BQ133" s="7">
        <f>(Wapato_Inventory[[#This Row],[att_gar]]+Wapato_Inventory[[#This Row],[blt_gar]])*Lookups!$B$20</f>
        <v>23981.671296</v>
      </c>
      <c r="BR133" s="7">
        <f>Wapato_Inventory[[#This Row],[Patio]]*Lookups!$B$21</f>
        <v>21532.017563000001</v>
      </c>
      <c r="BS133" s="7">
        <f>SUM(Wapato_Inventory[[#This Row],[intercept]:[patio_value]])*Wapato_Inventory[[#This Row],[res_pct]]</f>
        <v>244027.55122400002</v>
      </c>
      <c r="BT133" s="7">
        <f>Wapato_Inventory[[#This Row],[land_value]]</f>
        <v>56200</v>
      </c>
      <c r="BU133" s="2">
        <f>_xlfn.IFNA(VLOOKUP(Wapato_Inventory[[#This Row],[quality]],Lookups!$A$28:$C$37,3,FALSE),1)</f>
        <v>0.99197423394367223</v>
      </c>
      <c r="BV133" s="2">
        <f>_xlfn.IFNA(VLOOKUP(Wapato_Inventory[[#This Row],[condition]],Lookups!$A$41:$C$48,3,FALSE),1)</f>
        <v>0.9832333997567807</v>
      </c>
      <c r="BW133" s="2">
        <f>IF(Wapato_Inventory[[#This Row],[decade]]="",1,_xlfn.IFNA(VLOOKUP(Wapato_Inventory[[#This Row],[decade]],Lookups!$F$28:$H$45,3,FALSE),1))</f>
        <v>1.035341704162583</v>
      </c>
      <c r="BX133" s="2">
        <f>_xlfn.IFNA(VLOOKUP(Wapato_Inventory[[#This Row],[living_area_range]],Lookups!$K$28:$M$37,3,FALSE),1)</f>
        <v>0.99330894324714125</v>
      </c>
      <c r="BY133" s="2">
        <f>AVERAGE(Wapato_Inventory[[#This Row],[qual_adj]:[range_adj]])</f>
        <v>1.0009645702775443</v>
      </c>
      <c r="BZ133" s="7">
        <f>(Wapato_Inventory[[#This Row],[sum_land]]-IF(Wapato_Inventory[[#This Row],[no_utilities]]=1,12000,0))/IF(Wapato_Inventory[[#This Row],[unbuildable]]=1,2,1)</f>
        <v>56200</v>
      </c>
      <c r="CA133" s="7">
        <f>Wapato_Inventory[[#This Row],[pre_res]]*Wapato_Inventory[[#This Row],[overall_adj]]</f>
        <v>244262.93294681259</v>
      </c>
      <c r="CB133" s="3">
        <f>IF(ROUND(Wapato_Inventory[[#This Row],[adj_land]]*Lookups!$H$48,-2)&lt;Wapato_Inventory[[#This Row],[min_land]],Wapato_Inventory[[#This Row],[min_land]],ROUND(Wapato_Inventory[[#This Row],[adj_land]]*Lookups!$H$48,-2))</f>
        <v>53400</v>
      </c>
      <c r="CC133" s="3">
        <f>IF(ROUND(Wapato_Inventory[[#This Row],[adj_res]]*Lookups!$H$48,-2)&lt;Wapato_Inventory[[#This Row],[min_res]],Wapato_Inventory[[#This Row],[min_res]],ROUND(Wapato_Inventory[[#This Row],[adj_res]]*Lookups!$H$48,-2))</f>
        <v>232000</v>
      </c>
      <c r="CD133" s="3">
        <f>ROUND(Wapato_Inventory[[#This Row],[det_value]]*Lookups!$H$48,-2)</f>
        <v>0</v>
      </c>
      <c r="CE133" s="3">
        <f>Wapato_Inventory[[#This Row],[final_res]]+Wapato_Inventory[[#This Row],[final_det]]</f>
        <v>232000</v>
      </c>
      <c r="CF133" s="3">
        <f>Wapato_Inventory[[#This Row],[crop_value]]+Wapato_Inventory[[#This Row],[final_land]]+Wapato_Inventory[[#This Row],[final_imp]]</f>
        <v>285400</v>
      </c>
      <c r="CH133" t="str">
        <f t="shared" si="2"/>
        <v>update valuation set market_land =53400, market_bldg=232000, market_total =285400, market_mdno =405, market_date ='9/10/2023' where link_id = (select link_id from parcel where parcel_year = '2024' and parcel_id = '19111034415');</v>
      </c>
    </row>
    <row r="134" spans="1:86" x14ac:dyDescent="0.25">
      <c r="A134">
        <v>19111034416</v>
      </c>
      <c r="B134">
        <v>0.26</v>
      </c>
      <c r="C134">
        <v>11375</v>
      </c>
      <c r="D134" t="s">
        <v>144</v>
      </c>
      <c r="E134" t="s">
        <v>54</v>
      </c>
      <c r="F134" t="s">
        <v>54</v>
      </c>
      <c r="G134">
        <v>3</v>
      </c>
      <c r="H134" t="s">
        <v>55</v>
      </c>
      <c r="I134">
        <v>246500</v>
      </c>
      <c r="J134">
        <v>35800</v>
      </c>
      <c r="K134">
        <v>0.26</v>
      </c>
      <c r="L134">
        <f>IF(Wapato_Inventory[[#This Row],[parcel_acres]]-Wapato_Inventory[[#This Row],[non_valued_acres]] =0,0,LN(Wapato_Inventory[[#This Row],[parcel_acres]]-Wapato_Inventory[[#This Row],[non_valued_acres]]))</f>
        <v>-1.3470736479666092</v>
      </c>
      <c r="M134">
        <v>0</v>
      </c>
      <c r="N134">
        <v>0</v>
      </c>
      <c r="O134">
        <v>0</v>
      </c>
      <c r="P134">
        <v>27904.037</v>
      </c>
      <c r="Q134">
        <v>74398</v>
      </c>
      <c r="R134" s="3">
        <f>(Wapato_Inventory[[#This Row],[ln_acres]]*Wapato_Inventory[[#This Row],[coeff]])+Wapato_Inventory[[#This Row],[const]]</f>
        <v>36809.207085414761</v>
      </c>
      <c r="S134" t="s">
        <v>62</v>
      </c>
      <c r="T134">
        <v>1</v>
      </c>
      <c r="U134" t="s">
        <v>63</v>
      </c>
      <c r="V134" t="s">
        <v>68</v>
      </c>
      <c r="W134">
        <v>0</v>
      </c>
      <c r="X134">
        <v>0</v>
      </c>
      <c r="Y134">
        <v>48</v>
      </c>
      <c r="Z134">
        <v>60</v>
      </c>
      <c r="AA134">
        <v>60</v>
      </c>
      <c r="AB134">
        <v>2500</v>
      </c>
      <c r="AC134">
        <v>2198</v>
      </c>
      <c r="AD134">
        <v>2198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1124</v>
      </c>
      <c r="AL134">
        <v>0</v>
      </c>
      <c r="AM134">
        <v>276</v>
      </c>
      <c r="AN134">
        <v>72</v>
      </c>
      <c r="AO134">
        <v>276</v>
      </c>
      <c r="AP134">
        <v>8</v>
      </c>
      <c r="AQ134">
        <v>0</v>
      </c>
      <c r="AR134">
        <v>1</v>
      </c>
      <c r="AS134" t="s">
        <v>79</v>
      </c>
      <c r="AT134">
        <v>1</v>
      </c>
      <c r="AU134" t="s">
        <v>64</v>
      </c>
      <c r="AV134" t="s">
        <v>77</v>
      </c>
      <c r="AW134">
        <v>1</v>
      </c>
      <c r="AX134">
        <v>3</v>
      </c>
      <c r="AY134">
        <v>0</v>
      </c>
      <c r="AZ134">
        <v>0</v>
      </c>
      <c r="BA134">
        <v>100</v>
      </c>
      <c r="BB134">
        <v>100</v>
      </c>
      <c r="BC134">
        <v>100</v>
      </c>
      <c r="BD134">
        <v>100</v>
      </c>
      <c r="BE134">
        <v>1</v>
      </c>
      <c r="BF134">
        <v>15000</v>
      </c>
      <c r="BG134">
        <v>1000</v>
      </c>
      <c r="BH134" s="7">
        <f>ROUND(Wapato_Inventory[[#This Row],[detatched_value]]*Lookups!$B$22*Lookups!$H$48,-2)</f>
        <v>0</v>
      </c>
      <c r="BI134" s="7">
        <f>ROUND(((Wapato_Inventory[[#This Row],[land_extract]]*Lookups!$B$3) +(Lookups!$B$2*0.5))*Lookups!$H$48,-2)</f>
        <v>54600</v>
      </c>
      <c r="BJ134" s="7">
        <f>IF(Wapato_Inventory[[#This Row],[bldg_style]]="",0,Lookups!$B$2*0.5)</f>
        <v>53765.27</v>
      </c>
      <c r="BK134" s="7">
        <f>_xlfn.IFNA(VLOOKUP(Wapato_Inventory[[#This Row],[quality]],Lookups!$H$2:$J$14,3,FALSE),0)</f>
        <v>50594</v>
      </c>
      <c r="BL134" s="7">
        <f>_xlfn.IFNA(VLOOKUP(Wapato_Inventory[[#This Row],[condition]],Lookups!$H$17:$J$24,3,FALSE),0)</f>
        <v>52231</v>
      </c>
      <c r="BM134" s="7">
        <f>Wapato_Inventory[[#This Row],[Age]]*Lookups!$B$16</f>
        <v>-22240.542000000001</v>
      </c>
      <c r="BN134" s="7">
        <f>Wapato_Inventory[[#This Row],[Main Floor]]*Lookups!$B$17</f>
        <v>91878.024321999997</v>
      </c>
      <c r="BO134" s="7">
        <f>Wapato_Inventory[[#This Row],[Upper Floor]]*Lookups!$B$18</f>
        <v>0</v>
      </c>
      <c r="BP134" s="7">
        <f>Wapato_Inventory[[#This Row],[Fin BSMT]]*Lookups!$B$19</f>
        <v>0</v>
      </c>
      <c r="BQ134" s="7">
        <f>(Wapato_Inventory[[#This Row],[att_gar]]+Wapato_Inventory[[#This Row],[blt_gar]])*Lookups!$B$20</f>
        <v>0</v>
      </c>
      <c r="BR134" s="7">
        <f>Wapato_Inventory[[#This Row],[Patio]]*Lookups!$B$21</f>
        <v>11957.418204</v>
      </c>
      <c r="BS134" s="7">
        <f>SUM(Wapato_Inventory[[#This Row],[intercept]:[patio_value]])*Wapato_Inventory[[#This Row],[res_pct]]</f>
        <v>238185.17052599997</v>
      </c>
      <c r="BT134" s="7">
        <f>Wapato_Inventory[[#This Row],[land_value]]</f>
        <v>54600</v>
      </c>
      <c r="BU134" s="2">
        <f>_xlfn.IFNA(VLOOKUP(Wapato_Inventory[[#This Row],[quality]],Lookups!$A$28:$C$37,3,FALSE),1)</f>
        <v>0.99197423394367223</v>
      </c>
      <c r="BV134" s="2">
        <f>_xlfn.IFNA(VLOOKUP(Wapato_Inventory[[#This Row],[condition]],Lookups!$A$41:$C$48,3,FALSE),1)</f>
        <v>0.9832333997567807</v>
      </c>
      <c r="BW134" s="2">
        <f>IF(Wapato_Inventory[[#This Row],[decade]]="",1,_xlfn.IFNA(VLOOKUP(Wapato_Inventory[[#This Row],[decade]],Lookups!$F$28:$H$45,3,FALSE),1))</f>
        <v>1.035341704162583</v>
      </c>
      <c r="BX134" s="2">
        <f>_xlfn.IFNA(VLOOKUP(Wapato_Inventory[[#This Row],[living_area_range]],Lookups!$K$28:$M$37,3,FALSE),1)</f>
        <v>0.90813907160181651</v>
      </c>
      <c r="BY134" s="2">
        <f>AVERAGE(Wapato_Inventory[[#This Row],[qual_adj]:[range_adj]])</f>
        <v>0.97967210236621316</v>
      </c>
      <c r="BZ134" s="7">
        <f>(Wapato_Inventory[[#This Row],[sum_land]]-IF(Wapato_Inventory[[#This Row],[no_utilities]]=1,12000,0))/IF(Wapato_Inventory[[#This Row],[unbuildable]]=1,2,1)</f>
        <v>54600</v>
      </c>
      <c r="CA134" s="7">
        <f>Wapato_Inventory[[#This Row],[pre_res]]*Wapato_Inventory[[#This Row],[overall_adj]]</f>
        <v>233343.3667616614</v>
      </c>
      <c r="CB134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34" s="3">
        <f>IF(ROUND(Wapato_Inventory[[#This Row],[adj_res]]*Lookups!$H$48,-2)&lt;Wapato_Inventory[[#This Row],[min_res]],Wapato_Inventory[[#This Row],[min_res]],ROUND(Wapato_Inventory[[#This Row],[adj_res]]*Lookups!$H$48,-2))</f>
        <v>221700</v>
      </c>
      <c r="CD134" s="3">
        <f>ROUND(Wapato_Inventory[[#This Row],[det_value]]*Lookups!$H$48,-2)</f>
        <v>0</v>
      </c>
      <c r="CE134" s="3">
        <f>Wapato_Inventory[[#This Row],[final_res]]+Wapato_Inventory[[#This Row],[final_det]]</f>
        <v>221700</v>
      </c>
      <c r="CF134" s="3">
        <f>Wapato_Inventory[[#This Row],[crop_value]]+Wapato_Inventory[[#This Row],[final_land]]+Wapato_Inventory[[#This Row],[final_imp]]</f>
        <v>273600</v>
      </c>
      <c r="CH134" t="str">
        <f t="shared" si="2"/>
        <v>update valuation set market_land =51900, market_bldg=221700, market_total =273600, market_mdno =405, market_date ='9/10/2023' where link_id = (select link_id from parcel where parcel_year = '2024' and parcel_id = '19111034416');</v>
      </c>
    </row>
    <row r="135" spans="1:86" x14ac:dyDescent="0.25">
      <c r="A135">
        <v>19111034418</v>
      </c>
      <c r="B135">
        <v>0.39</v>
      </c>
      <c r="C135">
        <v>17062</v>
      </c>
      <c r="D135" t="s">
        <v>144</v>
      </c>
      <c r="E135" t="s">
        <v>54</v>
      </c>
      <c r="F135" t="s">
        <v>54</v>
      </c>
      <c r="G135">
        <v>3</v>
      </c>
      <c r="H135" t="s">
        <v>55</v>
      </c>
      <c r="I135">
        <v>302500</v>
      </c>
      <c r="J135">
        <v>38600</v>
      </c>
      <c r="K135">
        <v>0.39</v>
      </c>
      <c r="L135">
        <f>IF(Wapato_Inventory[[#This Row],[parcel_acres]]-Wapato_Inventory[[#This Row],[non_valued_acres]] =0,0,LN(Wapato_Inventory[[#This Row],[parcel_acres]]-Wapato_Inventory[[#This Row],[non_valued_acres]]))</f>
        <v>-0.94160853985844495</v>
      </c>
      <c r="M135">
        <v>0</v>
      </c>
      <c r="N135">
        <v>0</v>
      </c>
      <c r="O135">
        <v>0</v>
      </c>
      <c r="P135">
        <v>27904.037</v>
      </c>
      <c r="Q135">
        <v>74398</v>
      </c>
      <c r="R135" s="3">
        <f>(Wapato_Inventory[[#This Row],[ln_acres]]*Wapato_Inventory[[#This Row],[coeff]])+Wapato_Inventory[[#This Row],[const]]</f>
        <v>48123.320464273973</v>
      </c>
      <c r="S135" t="s">
        <v>62</v>
      </c>
      <c r="T135">
        <v>1</v>
      </c>
      <c r="U135" t="s">
        <v>65</v>
      </c>
      <c r="V135" t="s">
        <v>68</v>
      </c>
      <c r="W135">
        <v>0</v>
      </c>
      <c r="X135">
        <v>0</v>
      </c>
      <c r="Y135">
        <v>47</v>
      </c>
      <c r="Z135">
        <v>58</v>
      </c>
      <c r="AA135">
        <v>60</v>
      </c>
      <c r="AB135">
        <v>2500</v>
      </c>
      <c r="AC135">
        <v>2070</v>
      </c>
      <c r="AD135">
        <v>2070</v>
      </c>
      <c r="AE135">
        <v>0</v>
      </c>
      <c r="AF135">
        <v>0</v>
      </c>
      <c r="AG135">
        <v>0</v>
      </c>
      <c r="AH135">
        <v>0</v>
      </c>
      <c r="AI135">
        <v>624</v>
      </c>
      <c r="AJ135">
        <v>0</v>
      </c>
      <c r="AK135">
        <v>0</v>
      </c>
      <c r="AL135">
        <v>0</v>
      </c>
      <c r="AM135">
        <v>540</v>
      </c>
      <c r="AN135">
        <v>306</v>
      </c>
      <c r="AO135">
        <v>276</v>
      </c>
      <c r="AP135">
        <v>11</v>
      </c>
      <c r="AQ135">
        <v>0</v>
      </c>
      <c r="AR135">
        <v>1</v>
      </c>
      <c r="AS135" t="s">
        <v>79</v>
      </c>
      <c r="AT135">
        <v>1</v>
      </c>
      <c r="AU135" t="s">
        <v>64</v>
      </c>
      <c r="AV135" t="s">
        <v>77</v>
      </c>
      <c r="AW135">
        <v>1</v>
      </c>
      <c r="AX135">
        <v>3</v>
      </c>
      <c r="AY135">
        <v>0</v>
      </c>
      <c r="AZ135">
        <v>0</v>
      </c>
      <c r="BA135">
        <v>100</v>
      </c>
      <c r="BB135">
        <v>100</v>
      </c>
      <c r="BC135">
        <v>100</v>
      </c>
      <c r="BD135">
        <v>100</v>
      </c>
      <c r="BE135">
        <v>1</v>
      </c>
      <c r="BF135">
        <v>15000</v>
      </c>
      <c r="BG135">
        <v>1000</v>
      </c>
      <c r="BH135" s="7">
        <f>ROUND(Wapato_Inventory[[#This Row],[detatched_value]]*Lookups!$B$22*Lookups!$H$48,-2)</f>
        <v>0</v>
      </c>
      <c r="BI135" s="7">
        <f>ROUND(((Wapato_Inventory[[#This Row],[land_extract]]*Lookups!$B$3) +(Lookups!$B$2*0.5))*Lookups!$H$48,-2)</f>
        <v>55700</v>
      </c>
      <c r="BJ135" s="7">
        <f>IF(Wapato_Inventory[[#This Row],[bldg_style]]="",0,Lookups!$B$2*0.5)</f>
        <v>53765.27</v>
      </c>
      <c r="BK135" s="7">
        <f>_xlfn.IFNA(VLOOKUP(Wapato_Inventory[[#This Row],[quality]],Lookups!$H$2:$J$14,3,FALSE),0)</f>
        <v>92307</v>
      </c>
      <c r="BL135" s="7">
        <f>_xlfn.IFNA(VLOOKUP(Wapato_Inventory[[#This Row],[condition]],Lookups!$H$17:$J$24,3,FALSE),0)</f>
        <v>52231</v>
      </c>
      <c r="BM135" s="7">
        <f>Wapato_Inventory[[#This Row],[Age]]*Lookups!$B$16</f>
        <v>-21499.190600000002</v>
      </c>
      <c r="BN135" s="7">
        <f>Wapato_Inventory[[#This Row],[Main Floor]]*Lookups!$B$17</f>
        <v>86527.529729999995</v>
      </c>
      <c r="BO135" s="7">
        <f>Wapato_Inventory[[#This Row],[Upper Floor]]*Lookups!$B$18</f>
        <v>0</v>
      </c>
      <c r="BP135" s="7">
        <f>Wapato_Inventory[[#This Row],[Fin BSMT]]*Lookups!$B$19</f>
        <v>0</v>
      </c>
      <c r="BQ135" s="7">
        <f>(Wapato_Inventory[[#This Row],[att_gar]]+Wapato_Inventory[[#This Row],[blt_gar]])*Lookups!$B$20</f>
        <v>23093.461248</v>
      </c>
      <c r="BR135" s="7">
        <f>Wapato_Inventory[[#This Row],[Patio]]*Lookups!$B$21</f>
        <v>23394.948660000002</v>
      </c>
      <c r="BS135" s="7">
        <f>SUM(Wapato_Inventory[[#This Row],[intercept]:[patio_value]])*Wapato_Inventory[[#This Row],[res_pct]]</f>
        <v>309820.01903799997</v>
      </c>
      <c r="BT135" s="7">
        <f>Wapato_Inventory[[#This Row],[land_value]]</f>
        <v>55700</v>
      </c>
      <c r="BU135" s="2">
        <f>_xlfn.IFNA(VLOOKUP(Wapato_Inventory[[#This Row],[quality]],Lookups!$A$28:$C$37,3,FALSE),1)</f>
        <v>1.0013727718490204</v>
      </c>
      <c r="BV135" s="2">
        <f>_xlfn.IFNA(VLOOKUP(Wapato_Inventory[[#This Row],[condition]],Lookups!$A$41:$C$48,3,FALSE),1)</f>
        <v>0.9832333997567807</v>
      </c>
      <c r="BW135" s="2">
        <f>IF(Wapato_Inventory[[#This Row],[decade]]="",1,_xlfn.IFNA(VLOOKUP(Wapato_Inventory[[#This Row],[decade]],Lookups!$F$28:$H$45,3,FALSE),1))</f>
        <v>1.035341704162583</v>
      </c>
      <c r="BX135" s="2">
        <f>_xlfn.IFNA(VLOOKUP(Wapato_Inventory[[#This Row],[living_area_range]],Lookups!$K$28:$M$37,3,FALSE),1)</f>
        <v>0.90813907160181651</v>
      </c>
      <c r="BY135" s="2">
        <f>AVERAGE(Wapato_Inventory[[#This Row],[qual_adj]:[range_adj]])</f>
        <v>0.98202173684255012</v>
      </c>
      <c r="BZ135" s="7">
        <f>(Wapato_Inventory[[#This Row],[sum_land]]-IF(Wapato_Inventory[[#This Row],[no_utilities]]=1,12000,0))/IF(Wapato_Inventory[[#This Row],[unbuildable]]=1,2,1)</f>
        <v>55700</v>
      </c>
      <c r="CA135" s="7">
        <f>Wapato_Inventory[[#This Row],[pre_res]]*Wapato_Inventory[[#This Row],[overall_adj]]</f>
        <v>304249.99320428865</v>
      </c>
      <c r="CB135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135" s="3">
        <f>IF(ROUND(Wapato_Inventory[[#This Row],[adj_res]]*Lookups!$H$48,-2)&lt;Wapato_Inventory[[#This Row],[min_res]],Wapato_Inventory[[#This Row],[min_res]],ROUND(Wapato_Inventory[[#This Row],[adj_res]]*Lookups!$H$48,-2))</f>
        <v>289000</v>
      </c>
      <c r="CD135" s="3">
        <f>ROUND(Wapato_Inventory[[#This Row],[det_value]]*Lookups!$H$48,-2)</f>
        <v>0</v>
      </c>
      <c r="CE135" s="3">
        <f>Wapato_Inventory[[#This Row],[final_res]]+Wapato_Inventory[[#This Row],[final_det]]</f>
        <v>289000</v>
      </c>
      <c r="CF135" s="3">
        <f>Wapato_Inventory[[#This Row],[crop_value]]+Wapato_Inventory[[#This Row],[final_land]]+Wapato_Inventory[[#This Row],[final_imp]]</f>
        <v>341900</v>
      </c>
      <c r="CH135" t="str">
        <f t="shared" si="2"/>
        <v>update valuation set market_land =52900, market_bldg=289000, market_total =341900, market_mdno =405, market_date ='9/10/2023' where link_id = (select link_id from parcel where parcel_year = '2024' and parcel_id = '19111034418');</v>
      </c>
    </row>
    <row r="136" spans="1:86" x14ac:dyDescent="0.25">
      <c r="A136">
        <v>19111034419</v>
      </c>
      <c r="B136">
        <v>0.3</v>
      </c>
      <c r="C136">
        <v>13125</v>
      </c>
      <c r="D136" t="s">
        <v>144</v>
      </c>
      <c r="E136" t="s">
        <v>54</v>
      </c>
      <c r="F136" t="s">
        <v>54</v>
      </c>
      <c r="G136">
        <v>3</v>
      </c>
      <c r="H136" t="s">
        <v>55</v>
      </c>
      <c r="I136">
        <v>247500</v>
      </c>
      <c r="J136">
        <v>36800</v>
      </c>
      <c r="K136">
        <v>0.3</v>
      </c>
      <c r="L136">
        <f>IF(Wapato_Inventory[[#This Row],[parcel_acres]]-Wapato_Inventory[[#This Row],[non_valued_acres]] =0,0,LN(Wapato_Inventory[[#This Row],[parcel_acres]]-Wapato_Inventory[[#This Row],[non_valued_acres]]))</f>
        <v>-1.2039728043259361</v>
      </c>
      <c r="M136">
        <v>0</v>
      </c>
      <c r="N136">
        <v>0</v>
      </c>
      <c r="O136">
        <v>0</v>
      </c>
      <c r="P136">
        <v>27904.037</v>
      </c>
      <c r="Q136">
        <v>74398</v>
      </c>
      <c r="R136" s="3">
        <f>(Wapato_Inventory[[#This Row],[ln_acres]]*Wapato_Inventory[[#This Row],[coeff]])+Wapato_Inventory[[#This Row],[const]]</f>
        <v>40802.298321095317</v>
      </c>
      <c r="S136" t="s">
        <v>59</v>
      </c>
      <c r="T136">
        <v>1</v>
      </c>
      <c r="U136" t="s">
        <v>63</v>
      </c>
      <c r="V136" t="s">
        <v>69</v>
      </c>
      <c r="W136">
        <v>0</v>
      </c>
      <c r="X136">
        <v>0</v>
      </c>
      <c r="Y136">
        <v>23</v>
      </c>
      <c r="Z136">
        <v>23</v>
      </c>
      <c r="AA136">
        <v>30</v>
      </c>
      <c r="AB136">
        <v>1500</v>
      </c>
      <c r="AC136">
        <v>1447</v>
      </c>
      <c r="AD136">
        <v>1447</v>
      </c>
      <c r="AE136">
        <v>0</v>
      </c>
      <c r="AF136">
        <v>0</v>
      </c>
      <c r="AG136">
        <v>0</v>
      </c>
      <c r="AH136">
        <v>0</v>
      </c>
      <c r="AI136">
        <v>420</v>
      </c>
      <c r="AJ136">
        <v>0</v>
      </c>
      <c r="AK136">
        <v>0</v>
      </c>
      <c r="AL136">
        <v>0</v>
      </c>
      <c r="AM136">
        <v>219</v>
      </c>
      <c r="AN136">
        <v>26</v>
      </c>
      <c r="AO136">
        <v>219</v>
      </c>
      <c r="AP136">
        <v>10</v>
      </c>
      <c r="AQ136">
        <v>0</v>
      </c>
      <c r="AR136">
        <v>0</v>
      </c>
      <c r="AS136" t="s">
        <v>59</v>
      </c>
      <c r="AT136">
        <v>1</v>
      </c>
      <c r="AU136" t="s">
        <v>64</v>
      </c>
      <c r="AV136" t="s">
        <v>61</v>
      </c>
      <c r="AW136">
        <v>1</v>
      </c>
      <c r="AX136">
        <v>3</v>
      </c>
      <c r="AY136">
        <v>0</v>
      </c>
      <c r="AZ136">
        <v>0</v>
      </c>
      <c r="BA136">
        <v>100</v>
      </c>
      <c r="BB136">
        <v>100</v>
      </c>
      <c r="BC136">
        <v>100</v>
      </c>
      <c r="BD136">
        <v>100</v>
      </c>
      <c r="BE136">
        <v>1</v>
      </c>
      <c r="BF136">
        <v>15000</v>
      </c>
      <c r="BG136">
        <v>1000</v>
      </c>
      <c r="BH136" s="7">
        <f>ROUND(Wapato_Inventory[[#This Row],[detatched_value]]*Lookups!$B$22*Lookups!$H$48,-2)</f>
        <v>0</v>
      </c>
      <c r="BI136" s="7">
        <f>ROUND(((Wapato_Inventory[[#This Row],[land_extract]]*Lookups!$B$3) +(Lookups!$B$2*0.5))*Lookups!$H$48,-2)</f>
        <v>55000</v>
      </c>
      <c r="BJ136" s="7">
        <f>IF(Wapato_Inventory[[#This Row],[bldg_style]]="",0,Lookups!$B$2*0.5)</f>
        <v>53765.27</v>
      </c>
      <c r="BK136" s="7">
        <f>_xlfn.IFNA(VLOOKUP(Wapato_Inventory[[#This Row],[quality]],Lookups!$H$2:$J$14,3,FALSE),0)</f>
        <v>50594</v>
      </c>
      <c r="BL136" s="7">
        <f>_xlfn.IFNA(VLOOKUP(Wapato_Inventory[[#This Row],[condition]],Lookups!$H$17:$J$24,3,FALSE),0)</f>
        <v>74543</v>
      </c>
      <c r="BM136" s="7">
        <f>Wapato_Inventory[[#This Row],[Age]]*Lookups!$B$16</f>
        <v>-8525.5411000000004</v>
      </c>
      <c r="BN136" s="7">
        <f>Wapato_Inventory[[#This Row],[Main Floor]]*Lookups!$B$17</f>
        <v>60485.669332999998</v>
      </c>
      <c r="BO136" s="7">
        <f>Wapato_Inventory[[#This Row],[Upper Floor]]*Lookups!$B$18</f>
        <v>0</v>
      </c>
      <c r="BP136" s="7">
        <f>Wapato_Inventory[[#This Row],[Fin BSMT]]*Lookups!$B$19</f>
        <v>0</v>
      </c>
      <c r="BQ136" s="7">
        <f>(Wapato_Inventory[[#This Row],[att_gar]]+Wapato_Inventory[[#This Row],[blt_gar]])*Lookups!$B$20</f>
        <v>15543.67584</v>
      </c>
      <c r="BR136" s="7">
        <f>Wapato_Inventory[[#This Row],[Patio]]*Lookups!$B$21</f>
        <v>9487.9514010000003</v>
      </c>
      <c r="BS136" s="7">
        <f>SUM(Wapato_Inventory[[#This Row],[intercept]:[patio_value]])*Wapato_Inventory[[#This Row],[res_pct]]</f>
        <v>255894.02547399999</v>
      </c>
      <c r="BT136" s="7">
        <f>Wapato_Inventory[[#This Row],[land_value]]</f>
        <v>55000</v>
      </c>
      <c r="BU136" s="2">
        <f>_xlfn.IFNA(VLOOKUP(Wapato_Inventory[[#This Row],[quality]],Lookups!$A$28:$C$37,3,FALSE),1)</f>
        <v>0.99197423394367223</v>
      </c>
      <c r="BV136" s="2">
        <f>_xlfn.IFNA(VLOOKUP(Wapato_Inventory[[#This Row],[condition]],Lookups!$A$41:$C$48,3,FALSE),1)</f>
        <v>0.98442438223270734</v>
      </c>
      <c r="BW136" s="2">
        <f>IF(Wapato_Inventory[[#This Row],[decade]]="",1,_xlfn.IFNA(VLOOKUP(Wapato_Inventory[[#This Row],[decade]],Lookups!$F$28:$H$45,3,FALSE),1))</f>
        <v>1.0490505496896987</v>
      </c>
      <c r="BX136" s="2">
        <f>_xlfn.IFNA(VLOOKUP(Wapato_Inventory[[#This Row],[living_area_range]],Lookups!$K$28:$M$37,3,FALSE),1)</f>
        <v>1.0061411172456287</v>
      </c>
      <c r="BY136" s="2">
        <f>AVERAGE(Wapato_Inventory[[#This Row],[qual_adj]:[range_adj]])</f>
        <v>1.0078975707779267</v>
      </c>
      <c r="BZ136" s="7">
        <f>(Wapato_Inventory[[#This Row],[sum_land]]-IF(Wapato_Inventory[[#This Row],[no_utilities]]=1,12000,0))/IF(Wapato_Inventory[[#This Row],[unbuildable]]=1,2,1)</f>
        <v>55000</v>
      </c>
      <c r="CA136" s="7">
        <f>Wapato_Inventory[[#This Row],[pre_res]]*Wapato_Inventory[[#This Row],[overall_adj]]</f>
        <v>257914.96665182951</v>
      </c>
      <c r="CB136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136" s="3">
        <f>IF(ROUND(Wapato_Inventory[[#This Row],[adj_res]]*Lookups!$H$48,-2)&lt;Wapato_Inventory[[#This Row],[min_res]],Wapato_Inventory[[#This Row],[min_res]],ROUND(Wapato_Inventory[[#This Row],[adj_res]]*Lookups!$H$48,-2))</f>
        <v>245000</v>
      </c>
      <c r="CD136" s="3">
        <f>ROUND(Wapato_Inventory[[#This Row],[det_value]]*Lookups!$H$48,-2)</f>
        <v>0</v>
      </c>
      <c r="CE136" s="3">
        <f>Wapato_Inventory[[#This Row],[final_res]]+Wapato_Inventory[[#This Row],[final_det]]</f>
        <v>245000</v>
      </c>
      <c r="CF136" s="3">
        <f>Wapato_Inventory[[#This Row],[crop_value]]+Wapato_Inventory[[#This Row],[final_land]]+Wapato_Inventory[[#This Row],[final_imp]]</f>
        <v>297300</v>
      </c>
      <c r="CH136" t="str">
        <f t="shared" si="2"/>
        <v>update valuation set market_land =52300, market_bldg=245000, market_total =297300, market_mdno =405, market_date ='9/10/2023' where link_id = (select link_id from parcel where parcel_year = '2024' and parcel_id = '19111034419');</v>
      </c>
    </row>
    <row r="137" spans="1:86" x14ac:dyDescent="0.25">
      <c r="A137">
        <v>19111034422</v>
      </c>
      <c r="B137">
        <v>0.41</v>
      </c>
      <c r="C137">
        <v>17922</v>
      </c>
      <c r="D137" t="s">
        <v>144</v>
      </c>
      <c r="E137" t="s">
        <v>54</v>
      </c>
      <c r="F137" t="s">
        <v>54</v>
      </c>
      <c r="G137">
        <v>3</v>
      </c>
      <c r="H137" t="s">
        <v>55</v>
      </c>
      <c r="I137">
        <v>312800</v>
      </c>
      <c r="J137">
        <v>39000</v>
      </c>
      <c r="K137">
        <v>0.41</v>
      </c>
      <c r="L137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37">
        <v>0</v>
      </c>
      <c r="N137">
        <v>0</v>
      </c>
      <c r="O137">
        <v>0</v>
      </c>
      <c r="P137">
        <v>27904.037</v>
      </c>
      <c r="Q137">
        <v>74398</v>
      </c>
      <c r="R137" s="3">
        <f>(Wapato_Inventory[[#This Row],[ln_acres]]*Wapato_Inventory[[#This Row],[coeff]])+Wapato_Inventory[[#This Row],[const]]</f>
        <v>49518.813090374882</v>
      </c>
      <c r="S137" t="s">
        <v>59</v>
      </c>
      <c r="T137">
        <v>1</v>
      </c>
      <c r="U137" t="s">
        <v>65</v>
      </c>
      <c r="V137" t="s">
        <v>69</v>
      </c>
      <c r="W137">
        <v>0</v>
      </c>
      <c r="X137">
        <v>0</v>
      </c>
      <c r="Y137">
        <v>19</v>
      </c>
      <c r="Z137">
        <v>19</v>
      </c>
      <c r="AA137">
        <v>20</v>
      </c>
      <c r="AB137">
        <v>2500</v>
      </c>
      <c r="AC137">
        <v>2098</v>
      </c>
      <c r="AD137">
        <v>1810</v>
      </c>
      <c r="AE137">
        <v>0</v>
      </c>
      <c r="AF137">
        <v>288</v>
      </c>
      <c r="AG137">
        <v>0</v>
      </c>
      <c r="AH137">
        <v>0</v>
      </c>
      <c r="AI137">
        <v>567</v>
      </c>
      <c r="AJ137">
        <v>0</v>
      </c>
      <c r="AK137">
        <v>0</v>
      </c>
      <c r="AL137">
        <v>0</v>
      </c>
      <c r="AM137">
        <v>0</v>
      </c>
      <c r="AN137">
        <v>49</v>
      </c>
      <c r="AO137">
        <v>0</v>
      </c>
      <c r="AP137">
        <v>8</v>
      </c>
      <c r="AQ137">
        <v>0</v>
      </c>
      <c r="AR137">
        <v>0</v>
      </c>
      <c r="AS137" t="s">
        <v>59</v>
      </c>
      <c r="AT137">
        <v>1</v>
      </c>
      <c r="AU137" t="s">
        <v>64</v>
      </c>
      <c r="AV137" t="s">
        <v>61</v>
      </c>
      <c r="AW137">
        <v>1</v>
      </c>
      <c r="AX137">
        <v>4</v>
      </c>
      <c r="AY137">
        <v>0</v>
      </c>
      <c r="AZ137">
        <v>0</v>
      </c>
      <c r="BA137">
        <v>100</v>
      </c>
      <c r="BB137">
        <v>100</v>
      </c>
      <c r="BC137">
        <v>100</v>
      </c>
      <c r="BD137">
        <v>100</v>
      </c>
      <c r="BE137">
        <v>1</v>
      </c>
      <c r="BF137">
        <v>15000</v>
      </c>
      <c r="BG137">
        <v>1000</v>
      </c>
      <c r="BH137" s="7">
        <f>ROUND(Wapato_Inventory[[#This Row],[detatched_value]]*Lookups!$B$22*Lookups!$H$48,-2)</f>
        <v>0</v>
      </c>
      <c r="BI137" s="7">
        <f>ROUND(((Wapato_Inventory[[#This Row],[land_extract]]*Lookups!$B$3) +(Lookups!$B$2*0.5))*Lookups!$H$48,-2)</f>
        <v>55900</v>
      </c>
      <c r="BJ137" s="7">
        <f>IF(Wapato_Inventory[[#This Row],[bldg_style]]="",0,Lookups!$B$2*0.5)</f>
        <v>53765.27</v>
      </c>
      <c r="BK137" s="7">
        <f>_xlfn.IFNA(VLOOKUP(Wapato_Inventory[[#This Row],[quality]],Lookups!$H$2:$J$14,3,FALSE),0)</f>
        <v>92307</v>
      </c>
      <c r="BL137" s="7">
        <f>_xlfn.IFNA(VLOOKUP(Wapato_Inventory[[#This Row],[condition]],Lookups!$H$17:$J$24,3,FALSE),0)</f>
        <v>74543</v>
      </c>
      <c r="BM137" s="7">
        <f>Wapato_Inventory[[#This Row],[Age]]*Lookups!$B$16</f>
        <v>-7042.8383000000003</v>
      </c>
      <c r="BN137" s="7">
        <f>Wapato_Inventory[[#This Row],[Main Floor]]*Lookups!$B$17</f>
        <v>75659.337589999996</v>
      </c>
      <c r="BO137" s="7">
        <f>Wapato_Inventory[[#This Row],[Upper Floor]]*Lookups!$B$18</f>
        <v>0</v>
      </c>
      <c r="BP137" s="7">
        <f>Wapato_Inventory[[#This Row],[Fin BSMT]]*Lookups!$B$19</f>
        <v>0</v>
      </c>
      <c r="BQ137" s="7">
        <f>(Wapato_Inventory[[#This Row],[att_gar]]+Wapato_Inventory[[#This Row],[blt_gar]])*Lookups!$B$20</f>
        <v>20983.962384000002</v>
      </c>
      <c r="BR137" s="7">
        <f>Wapato_Inventory[[#This Row],[Patio]]*Lookups!$B$21</f>
        <v>0</v>
      </c>
      <c r="BS137" s="7">
        <f>SUM(Wapato_Inventory[[#This Row],[intercept]:[patio_value]])*Wapato_Inventory[[#This Row],[res_pct]]</f>
        <v>310215.73167399998</v>
      </c>
      <c r="BT137" s="7">
        <f>Wapato_Inventory[[#This Row],[land_value]]</f>
        <v>55900</v>
      </c>
      <c r="BU137" s="2">
        <f>_xlfn.IFNA(VLOOKUP(Wapato_Inventory[[#This Row],[quality]],Lookups!$A$28:$C$37,3,FALSE),1)</f>
        <v>1.0013727718490204</v>
      </c>
      <c r="BV137" s="2">
        <f>_xlfn.IFNA(VLOOKUP(Wapato_Inventory[[#This Row],[condition]],Lookups!$A$41:$C$48,3,FALSE),1)</f>
        <v>0.98442438223270734</v>
      </c>
      <c r="BW137" s="2">
        <f>IF(Wapato_Inventory[[#This Row],[decade]]="",1,_xlfn.IFNA(VLOOKUP(Wapato_Inventory[[#This Row],[decade]],Lookups!$F$28:$H$45,3,FALSE),1))</f>
        <v>1.0658609603367226</v>
      </c>
      <c r="BX137" s="2">
        <f>_xlfn.IFNA(VLOOKUP(Wapato_Inventory[[#This Row],[living_area_range]],Lookups!$K$28:$M$37,3,FALSE),1)</f>
        <v>0.90813907160181651</v>
      </c>
      <c r="BY137" s="2">
        <f>AVERAGE(Wapato_Inventory[[#This Row],[qual_adj]:[range_adj]])</f>
        <v>0.98994929650506669</v>
      </c>
      <c r="BZ137" s="7">
        <f>(Wapato_Inventory[[#This Row],[sum_land]]-IF(Wapato_Inventory[[#This Row],[no_utilities]]=1,12000,0))/IF(Wapato_Inventory[[#This Row],[unbuildable]]=1,2,1)</f>
        <v>55900</v>
      </c>
      <c r="CA137" s="7">
        <f>Wapato_Inventory[[#This Row],[pre_res]]*Wapato_Inventory[[#This Row],[overall_adj]]</f>
        <v>307097.84533548082</v>
      </c>
      <c r="CB137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37" s="3">
        <f>IF(ROUND(Wapato_Inventory[[#This Row],[adj_res]]*Lookups!$H$48,-2)&lt;Wapato_Inventory[[#This Row],[min_res]],Wapato_Inventory[[#This Row],[min_res]],ROUND(Wapato_Inventory[[#This Row],[adj_res]]*Lookups!$H$48,-2))</f>
        <v>291700</v>
      </c>
      <c r="CD137" s="3">
        <f>ROUND(Wapato_Inventory[[#This Row],[det_value]]*Lookups!$H$48,-2)</f>
        <v>0</v>
      </c>
      <c r="CE137" s="3">
        <f>Wapato_Inventory[[#This Row],[final_res]]+Wapato_Inventory[[#This Row],[final_det]]</f>
        <v>291700</v>
      </c>
      <c r="CF137" s="3">
        <f>Wapato_Inventory[[#This Row],[crop_value]]+Wapato_Inventory[[#This Row],[final_land]]+Wapato_Inventory[[#This Row],[final_imp]]</f>
        <v>344800</v>
      </c>
      <c r="CH137" t="str">
        <f t="shared" si="2"/>
        <v>update valuation set market_land =53100, market_bldg=291700, market_total =344800, market_mdno =405, market_date ='9/10/2023' where link_id = (select link_id from parcel where parcel_year = '2024' and parcel_id = '19111034422');</v>
      </c>
    </row>
    <row r="138" spans="1:86" x14ac:dyDescent="0.25">
      <c r="A138">
        <v>19111034424</v>
      </c>
      <c r="B138">
        <v>0.37</v>
      </c>
      <c r="C138">
        <v>16167</v>
      </c>
      <c r="D138" t="s">
        <v>144</v>
      </c>
      <c r="E138" t="s">
        <v>54</v>
      </c>
      <c r="F138" t="s">
        <v>54</v>
      </c>
      <c r="G138">
        <v>3</v>
      </c>
      <c r="H138" t="s">
        <v>55</v>
      </c>
      <c r="I138">
        <v>344200</v>
      </c>
      <c r="J138">
        <v>38300</v>
      </c>
      <c r="K138">
        <v>0.37</v>
      </c>
      <c r="L138">
        <f>IF(Wapato_Inventory[[#This Row],[parcel_acres]]-Wapato_Inventory[[#This Row],[non_valued_acres]] =0,0,LN(Wapato_Inventory[[#This Row],[parcel_acres]]-Wapato_Inventory[[#This Row],[non_valued_acres]]))</f>
        <v>-0.9942522733438669</v>
      </c>
      <c r="M138">
        <v>0</v>
      </c>
      <c r="N138">
        <v>0</v>
      </c>
      <c r="O138">
        <v>0</v>
      </c>
      <c r="P138">
        <v>27904.037</v>
      </c>
      <c r="Q138">
        <v>74398</v>
      </c>
      <c r="R138" s="3">
        <f>(Wapato_Inventory[[#This Row],[ln_acres]]*Wapato_Inventory[[#This Row],[coeff]])+Wapato_Inventory[[#This Row],[const]]</f>
        <v>46654.347777278628</v>
      </c>
      <c r="S138" t="s">
        <v>59</v>
      </c>
      <c r="T138">
        <v>1</v>
      </c>
      <c r="U138" t="s">
        <v>65</v>
      </c>
      <c r="V138" t="s">
        <v>69</v>
      </c>
      <c r="W138">
        <v>0</v>
      </c>
      <c r="X138">
        <v>0</v>
      </c>
      <c r="Y138">
        <v>18</v>
      </c>
      <c r="Z138">
        <v>18</v>
      </c>
      <c r="AA138">
        <v>20</v>
      </c>
      <c r="AB138">
        <v>2500</v>
      </c>
      <c r="AC138">
        <v>2040</v>
      </c>
      <c r="AD138">
        <v>2040</v>
      </c>
      <c r="AE138">
        <v>0</v>
      </c>
      <c r="AF138">
        <v>0</v>
      </c>
      <c r="AG138">
        <v>0</v>
      </c>
      <c r="AH138">
        <v>0</v>
      </c>
      <c r="AI138">
        <v>804</v>
      </c>
      <c r="AJ138">
        <v>0</v>
      </c>
      <c r="AK138">
        <v>0</v>
      </c>
      <c r="AL138">
        <v>0</v>
      </c>
      <c r="AM138">
        <v>240</v>
      </c>
      <c r="AN138">
        <v>160</v>
      </c>
      <c r="AO138">
        <v>0</v>
      </c>
      <c r="AP138">
        <v>10</v>
      </c>
      <c r="AQ138">
        <v>0</v>
      </c>
      <c r="AR138">
        <v>0</v>
      </c>
      <c r="AS138" t="s">
        <v>59</v>
      </c>
      <c r="AT138">
        <v>1</v>
      </c>
      <c r="AU138" t="s">
        <v>64</v>
      </c>
      <c r="AV138" t="s">
        <v>61</v>
      </c>
      <c r="AW138">
        <v>1</v>
      </c>
      <c r="AX138">
        <v>3</v>
      </c>
      <c r="AY138">
        <v>0</v>
      </c>
      <c r="AZ138">
        <v>5700</v>
      </c>
      <c r="BA138">
        <v>100</v>
      </c>
      <c r="BB138">
        <v>100</v>
      </c>
      <c r="BC138">
        <v>100</v>
      </c>
      <c r="BD138">
        <v>100</v>
      </c>
      <c r="BE138">
        <v>1</v>
      </c>
      <c r="BF138">
        <v>15000</v>
      </c>
      <c r="BG138">
        <v>1000</v>
      </c>
      <c r="BH138" s="7">
        <f>ROUND(Wapato_Inventory[[#This Row],[detatched_value]]*Lookups!$B$22*Lookups!$H$48,-2)</f>
        <v>5100</v>
      </c>
      <c r="BI138" s="7">
        <f>ROUND(((Wapato_Inventory[[#This Row],[land_extract]]*Lookups!$B$3) +(Lookups!$B$2*0.5))*Lookups!$H$48,-2)</f>
        <v>55600</v>
      </c>
      <c r="BJ138" s="7">
        <f>IF(Wapato_Inventory[[#This Row],[bldg_style]]="",0,Lookups!$B$2*0.5)</f>
        <v>53765.27</v>
      </c>
      <c r="BK138" s="7">
        <f>_xlfn.IFNA(VLOOKUP(Wapato_Inventory[[#This Row],[quality]],Lookups!$H$2:$J$14,3,FALSE),0)</f>
        <v>92307</v>
      </c>
      <c r="BL138" s="7">
        <f>_xlfn.IFNA(VLOOKUP(Wapato_Inventory[[#This Row],[condition]],Lookups!$H$17:$J$24,3,FALSE),0)</f>
        <v>74543</v>
      </c>
      <c r="BM138" s="7">
        <f>Wapato_Inventory[[#This Row],[Age]]*Lookups!$B$16</f>
        <v>-6672.1625999999997</v>
      </c>
      <c r="BN138" s="7">
        <f>Wapato_Inventory[[#This Row],[Main Floor]]*Lookups!$B$17</f>
        <v>85273.507559999998</v>
      </c>
      <c r="BO138" s="7">
        <f>Wapato_Inventory[[#This Row],[Upper Floor]]*Lookups!$B$18</f>
        <v>0</v>
      </c>
      <c r="BP138" s="7">
        <f>Wapato_Inventory[[#This Row],[Fin BSMT]]*Lookups!$B$19</f>
        <v>0</v>
      </c>
      <c r="BQ138" s="7">
        <f>(Wapato_Inventory[[#This Row],[att_gar]]+Wapato_Inventory[[#This Row],[blt_gar]])*Lookups!$B$20</f>
        <v>29755.036608000002</v>
      </c>
      <c r="BR138" s="7">
        <f>Wapato_Inventory[[#This Row],[Patio]]*Lookups!$B$21</f>
        <v>10397.75496</v>
      </c>
      <c r="BS138" s="7">
        <f>SUM(Wapato_Inventory[[#This Row],[intercept]:[patio_value]])*Wapato_Inventory[[#This Row],[res_pct]]</f>
        <v>339369.40652799996</v>
      </c>
      <c r="BT138" s="7">
        <f>Wapato_Inventory[[#This Row],[land_value]]</f>
        <v>55600</v>
      </c>
      <c r="BU138" s="2">
        <f>_xlfn.IFNA(VLOOKUP(Wapato_Inventory[[#This Row],[quality]],Lookups!$A$28:$C$37,3,FALSE),1)</f>
        <v>1.0013727718490204</v>
      </c>
      <c r="BV138" s="2">
        <f>_xlfn.IFNA(VLOOKUP(Wapato_Inventory[[#This Row],[condition]],Lookups!$A$41:$C$48,3,FALSE),1)</f>
        <v>0.98442438223270734</v>
      </c>
      <c r="BW138" s="2">
        <f>IF(Wapato_Inventory[[#This Row],[decade]]="",1,_xlfn.IFNA(VLOOKUP(Wapato_Inventory[[#This Row],[decade]],Lookups!$F$28:$H$45,3,FALSE),1))</f>
        <v>1.0658609603367226</v>
      </c>
      <c r="BX138" s="2">
        <f>_xlfn.IFNA(VLOOKUP(Wapato_Inventory[[#This Row],[living_area_range]],Lookups!$K$28:$M$37,3,FALSE),1)</f>
        <v>0.90813907160181651</v>
      </c>
      <c r="BY138" s="2">
        <f>AVERAGE(Wapato_Inventory[[#This Row],[qual_adj]:[range_adj]])</f>
        <v>0.98994929650506669</v>
      </c>
      <c r="BZ138" s="7">
        <f>(Wapato_Inventory[[#This Row],[sum_land]]-IF(Wapato_Inventory[[#This Row],[no_utilities]]=1,12000,0))/IF(Wapato_Inventory[[#This Row],[unbuildable]]=1,2,1)</f>
        <v>55600</v>
      </c>
      <c r="CA138" s="7">
        <f>Wapato_Inventory[[#This Row],[pre_res]]*Wapato_Inventory[[#This Row],[overall_adj]]</f>
        <v>335958.50524773553</v>
      </c>
      <c r="CB138" s="3">
        <f>IF(ROUND(Wapato_Inventory[[#This Row],[adj_land]]*Lookups!$H$48,-2)&lt;Wapato_Inventory[[#This Row],[min_land]],Wapato_Inventory[[#This Row],[min_land]],ROUND(Wapato_Inventory[[#This Row],[adj_land]]*Lookups!$H$48,-2))</f>
        <v>52800</v>
      </c>
      <c r="CC138" s="3">
        <f>IF(ROUND(Wapato_Inventory[[#This Row],[adj_res]]*Lookups!$H$48,-2)&lt;Wapato_Inventory[[#This Row],[min_res]],Wapato_Inventory[[#This Row],[min_res]],ROUND(Wapato_Inventory[[#This Row],[adj_res]]*Lookups!$H$48,-2))</f>
        <v>319200</v>
      </c>
      <c r="CD138" s="3">
        <f>ROUND(Wapato_Inventory[[#This Row],[det_value]]*Lookups!$H$48,-2)</f>
        <v>4800</v>
      </c>
      <c r="CE138" s="3">
        <f>Wapato_Inventory[[#This Row],[final_res]]+Wapato_Inventory[[#This Row],[final_det]]</f>
        <v>324000</v>
      </c>
      <c r="CF138" s="3">
        <f>Wapato_Inventory[[#This Row],[crop_value]]+Wapato_Inventory[[#This Row],[final_land]]+Wapato_Inventory[[#This Row],[final_imp]]</f>
        <v>376800</v>
      </c>
      <c r="CH138" t="str">
        <f t="shared" si="2"/>
        <v>update valuation set market_land =52800, market_bldg=324000, market_total =376800, market_mdno =405, market_date ='9/10/2023' where link_id = (select link_id from parcel where parcel_year = '2024' and parcel_id = '19111034424');</v>
      </c>
    </row>
    <row r="139" spans="1:86" x14ac:dyDescent="0.25">
      <c r="A139">
        <v>19111034432</v>
      </c>
      <c r="B139">
        <v>0.78</v>
      </c>
      <c r="C139">
        <v>33955</v>
      </c>
      <c r="D139" t="s">
        <v>144</v>
      </c>
      <c r="E139" t="s">
        <v>54</v>
      </c>
      <c r="F139" t="s">
        <v>54</v>
      </c>
      <c r="G139">
        <v>3</v>
      </c>
      <c r="H139" t="s">
        <v>55</v>
      </c>
      <c r="I139">
        <v>378500</v>
      </c>
      <c r="J139">
        <v>43500</v>
      </c>
      <c r="K139">
        <v>0.78</v>
      </c>
      <c r="L139">
        <f>IF(Wapato_Inventory[[#This Row],[parcel_acres]]-Wapato_Inventory[[#This Row],[non_valued_acres]] =0,0,LN(Wapato_Inventory[[#This Row],[parcel_acres]]-Wapato_Inventory[[#This Row],[non_valued_acres]]))</f>
        <v>-0.24846135929849961</v>
      </c>
      <c r="M139">
        <v>0</v>
      </c>
      <c r="N139">
        <v>0</v>
      </c>
      <c r="O139">
        <v>0</v>
      </c>
      <c r="P139">
        <v>27904.037</v>
      </c>
      <c r="Q139">
        <v>74398</v>
      </c>
      <c r="R139" s="3">
        <f>(Wapato_Inventory[[#This Row],[ln_acres]]*Wapato_Inventory[[#This Row],[coeff]])+Wapato_Inventory[[#This Row],[const]]</f>
        <v>67464.925037064371</v>
      </c>
      <c r="S139" t="s">
        <v>62</v>
      </c>
      <c r="T139">
        <v>1</v>
      </c>
      <c r="U139" t="s">
        <v>65</v>
      </c>
      <c r="V139" t="s">
        <v>68</v>
      </c>
      <c r="W139">
        <v>0</v>
      </c>
      <c r="X139">
        <v>0</v>
      </c>
      <c r="Y139">
        <v>49</v>
      </c>
      <c r="Z139">
        <v>68</v>
      </c>
      <c r="AA139">
        <v>70</v>
      </c>
      <c r="AB139">
        <v>4000</v>
      </c>
      <c r="AC139">
        <v>3706</v>
      </c>
      <c r="AD139">
        <v>3706</v>
      </c>
      <c r="AE139">
        <v>0</v>
      </c>
      <c r="AF139">
        <v>0</v>
      </c>
      <c r="AG139">
        <v>0</v>
      </c>
      <c r="AH139">
        <v>0</v>
      </c>
      <c r="AI139">
        <v>800</v>
      </c>
      <c r="AJ139">
        <v>0</v>
      </c>
      <c r="AK139">
        <v>756</v>
      </c>
      <c r="AL139">
        <v>0</v>
      </c>
      <c r="AM139">
        <v>1740</v>
      </c>
      <c r="AN139">
        <v>368</v>
      </c>
      <c r="AO139">
        <v>0</v>
      </c>
      <c r="AP139">
        <v>14</v>
      </c>
      <c r="AQ139">
        <v>0</v>
      </c>
      <c r="AR139">
        <v>2</v>
      </c>
      <c r="AS139" t="s">
        <v>59</v>
      </c>
      <c r="AT139">
        <v>1</v>
      </c>
      <c r="AU139" t="s">
        <v>64</v>
      </c>
      <c r="AV139" t="s">
        <v>65</v>
      </c>
      <c r="AW139">
        <v>1</v>
      </c>
      <c r="AX139">
        <v>5</v>
      </c>
      <c r="AY139">
        <v>0</v>
      </c>
      <c r="AZ139">
        <v>0</v>
      </c>
      <c r="BA139">
        <v>100</v>
      </c>
      <c r="BB139">
        <v>100</v>
      </c>
      <c r="BC139">
        <v>100</v>
      </c>
      <c r="BD139">
        <v>100</v>
      </c>
      <c r="BE139">
        <v>1</v>
      </c>
      <c r="BF139">
        <v>15000</v>
      </c>
      <c r="BG139">
        <v>1000</v>
      </c>
      <c r="BH139" s="7">
        <f>ROUND(Wapato_Inventory[[#This Row],[detatched_value]]*Lookups!$B$22*Lookups!$H$48,-2)</f>
        <v>0</v>
      </c>
      <c r="BI139" s="7">
        <f>ROUND(((Wapato_Inventory[[#This Row],[land_extract]]*Lookups!$B$3) +(Lookups!$B$2*0.5))*Lookups!$H$48,-2)</f>
        <v>57600</v>
      </c>
      <c r="BJ139" s="7">
        <f>IF(Wapato_Inventory[[#This Row],[bldg_style]]="",0,Lookups!$B$2*0.5)</f>
        <v>53765.27</v>
      </c>
      <c r="BK139" s="7">
        <f>_xlfn.IFNA(VLOOKUP(Wapato_Inventory[[#This Row],[quality]],Lookups!$H$2:$J$14,3,FALSE),0)</f>
        <v>92307</v>
      </c>
      <c r="BL139" s="7">
        <f>_xlfn.IFNA(VLOOKUP(Wapato_Inventory[[#This Row],[condition]],Lookups!$H$17:$J$24,3,FALSE),0)</f>
        <v>52231</v>
      </c>
      <c r="BM139" s="7">
        <f>Wapato_Inventory[[#This Row],[Age]]*Lookups!$B$16</f>
        <v>-25205.9476</v>
      </c>
      <c r="BN139" s="7">
        <f>Wapato_Inventory[[#This Row],[Main Floor]]*Lookups!$B$17</f>
        <v>154913.538734</v>
      </c>
      <c r="BO139" s="7">
        <f>Wapato_Inventory[[#This Row],[Upper Floor]]*Lookups!$B$18</f>
        <v>0</v>
      </c>
      <c r="BP139" s="7">
        <f>Wapato_Inventory[[#This Row],[Fin BSMT]]*Lookups!$B$19</f>
        <v>0</v>
      </c>
      <c r="BQ139" s="7">
        <f>(Wapato_Inventory[[#This Row],[att_gar]]+Wapato_Inventory[[#This Row],[blt_gar]])*Lookups!$B$20</f>
        <v>29607.0016</v>
      </c>
      <c r="BR139" s="7">
        <f>Wapato_Inventory[[#This Row],[Patio]]*Lookups!$B$21</f>
        <v>75383.723460000008</v>
      </c>
      <c r="BS139" s="7">
        <f>SUM(Wapato_Inventory[[#This Row],[intercept]:[patio_value]])*Wapato_Inventory[[#This Row],[res_pct]]</f>
        <v>433001.58619400003</v>
      </c>
      <c r="BT139" s="7">
        <f>Wapato_Inventory[[#This Row],[land_value]]</f>
        <v>57600</v>
      </c>
      <c r="BU139" s="2">
        <f>_xlfn.IFNA(VLOOKUP(Wapato_Inventory[[#This Row],[quality]],Lookups!$A$28:$C$37,3,FALSE),1)</f>
        <v>1.0013727718490204</v>
      </c>
      <c r="BV139" s="2">
        <f>_xlfn.IFNA(VLOOKUP(Wapato_Inventory[[#This Row],[condition]],Lookups!$A$41:$C$48,3,FALSE),1)</f>
        <v>0.9832333997567807</v>
      </c>
      <c r="BW139" s="2">
        <f>IF(Wapato_Inventory[[#This Row],[decade]]="",1,_xlfn.IFNA(VLOOKUP(Wapato_Inventory[[#This Row],[decade]],Lookups!$F$28:$H$45,3,FALSE),1))</f>
        <v>1.0012715221492001</v>
      </c>
      <c r="BX139" s="2">
        <f>_xlfn.IFNA(VLOOKUP(Wapato_Inventory[[#This Row],[living_area_range]],Lookups!$K$28:$M$37,3,FALSE),1)</f>
        <v>1.0155869662067822</v>
      </c>
      <c r="BY139" s="2">
        <f>AVERAGE(Wapato_Inventory[[#This Row],[qual_adj]:[range_adj]])</f>
        <v>1.0003661649904458</v>
      </c>
      <c r="BZ139" s="7">
        <f>(Wapato_Inventory[[#This Row],[sum_land]]-IF(Wapato_Inventory[[#This Row],[no_utilities]]=1,12000,0))/IF(Wapato_Inventory[[#This Row],[unbuildable]]=1,2,1)</f>
        <v>57600</v>
      </c>
      <c r="CA139" s="7">
        <f>Wapato_Inventory[[#This Row],[pre_res]]*Wapato_Inventory[[#This Row],[overall_adj]]</f>
        <v>433160.13621567178</v>
      </c>
      <c r="CB139" s="3">
        <f>IF(ROUND(Wapato_Inventory[[#This Row],[adj_land]]*Lookups!$H$48,-2)&lt;Wapato_Inventory[[#This Row],[min_land]],Wapato_Inventory[[#This Row],[min_land]],ROUND(Wapato_Inventory[[#This Row],[adj_land]]*Lookups!$H$48,-2))</f>
        <v>54700</v>
      </c>
      <c r="CC139" s="3">
        <f>IF(ROUND(Wapato_Inventory[[#This Row],[adj_res]]*Lookups!$H$48,-2)&lt;Wapato_Inventory[[#This Row],[min_res]],Wapato_Inventory[[#This Row],[min_res]],ROUND(Wapato_Inventory[[#This Row],[adj_res]]*Lookups!$H$48,-2))</f>
        <v>411500</v>
      </c>
      <c r="CD139" s="3">
        <f>ROUND(Wapato_Inventory[[#This Row],[det_value]]*Lookups!$H$48,-2)</f>
        <v>0</v>
      </c>
      <c r="CE139" s="3">
        <f>Wapato_Inventory[[#This Row],[final_res]]+Wapato_Inventory[[#This Row],[final_det]]</f>
        <v>411500</v>
      </c>
      <c r="CF139" s="3">
        <f>Wapato_Inventory[[#This Row],[crop_value]]+Wapato_Inventory[[#This Row],[final_land]]+Wapato_Inventory[[#This Row],[final_imp]]</f>
        <v>466200</v>
      </c>
      <c r="CH139" t="str">
        <f t="shared" si="2"/>
        <v>update valuation set market_land =54700, market_bldg=411500, market_total =466200, market_mdno =405, market_date ='9/10/2023' where link_id = (select link_id from parcel where parcel_year = '2024' and parcel_id = '19111034432');</v>
      </c>
    </row>
    <row r="140" spans="1:86" x14ac:dyDescent="0.25">
      <c r="A140">
        <v>19111034434</v>
      </c>
      <c r="B140">
        <v>0.43</v>
      </c>
      <c r="C140">
        <v>18912</v>
      </c>
      <c r="D140" t="s">
        <v>144</v>
      </c>
      <c r="E140" t="s">
        <v>54</v>
      </c>
      <c r="F140" t="s">
        <v>54</v>
      </c>
      <c r="G140">
        <v>3</v>
      </c>
      <c r="H140" t="s">
        <v>55</v>
      </c>
      <c r="I140">
        <v>319500</v>
      </c>
      <c r="J140">
        <v>39300</v>
      </c>
      <c r="K140">
        <v>0.43</v>
      </c>
      <c r="L140">
        <f>IF(Wapato_Inventory[[#This Row],[parcel_acres]]-Wapato_Inventory[[#This Row],[non_valued_acres]] =0,0,LN(Wapato_Inventory[[#This Row],[parcel_acres]]-Wapato_Inventory[[#This Row],[non_valued_acres]]))</f>
        <v>-0.84397007029452897</v>
      </c>
      <c r="M140">
        <v>0</v>
      </c>
      <c r="N140">
        <v>0</v>
      </c>
      <c r="O140">
        <v>0</v>
      </c>
      <c r="P140">
        <v>27904.037</v>
      </c>
      <c r="Q140">
        <v>74398</v>
      </c>
      <c r="R140" s="3">
        <f>(Wapato_Inventory[[#This Row],[ln_acres]]*Wapato_Inventory[[#This Row],[coeff]])+Wapato_Inventory[[#This Row],[const]]</f>
        <v>50847.827931608859</v>
      </c>
      <c r="S140" t="s">
        <v>62</v>
      </c>
      <c r="T140">
        <v>1</v>
      </c>
      <c r="U140" t="s">
        <v>65</v>
      </c>
      <c r="V140" t="s">
        <v>68</v>
      </c>
      <c r="W140">
        <v>0</v>
      </c>
      <c r="X140">
        <v>0</v>
      </c>
      <c r="Y140">
        <v>43</v>
      </c>
      <c r="Z140">
        <v>45</v>
      </c>
      <c r="AA140">
        <v>50</v>
      </c>
      <c r="AB140">
        <v>2000</v>
      </c>
      <c r="AC140">
        <v>1920</v>
      </c>
      <c r="AD140">
        <v>1920</v>
      </c>
      <c r="AE140">
        <v>0</v>
      </c>
      <c r="AF140">
        <v>0</v>
      </c>
      <c r="AG140">
        <v>0</v>
      </c>
      <c r="AH140">
        <v>0</v>
      </c>
      <c r="AI140">
        <v>576</v>
      </c>
      <c r="AJ140">
        <v>0</v>
      </c>
      <c r="AK140">
        <v>0</v>
      </c>
      <c r="AL140">
        <v>342</v>
      </c>
      <c r="AM140">
        <v>269</v>
      </c>
      <c r="AN140">
        <v>0</v>
      </c>
      <c r="AO140">
        <v>269</v>
      </c>
      <c r="AP140">
        <v>8</v>
      </c>
      <c r="AQ140">
        <v>0</v>
      </c>
      <c r="AR140">
        <v>1</v>
      </c>
      <c r="AS140" t="s">
        <v>59</v>
      </c>
      <c r="AT140">
        <v>1</v>
      </c>
      <c r="AU140" t="s">
        <v>60</v>
      </c>
      <c r="AV140" t="s">
        <v>61</v>
      </c>
      <c r="AW140">
        <v>1</v>
      </c>
      <c r="AX140">
        <v>3</v>
      </c>
      <c r="AY140">
        <v>0</v>
      </c>
      <c r="AZ140">
        <v>17800</v>
      </c>
      <c r="BA140">
        <v>100</v>
      </c>
      <c r="BB140">
        <v>100</v>
      </c>
      <c r="BC140">
        <v>100</v>
      </c>
      <c r="BD140">
        <v>100</v>
      </c>
      <c r="BE140">
        <v>1</v>
      </c>
      <c r="BF140">
        <v>15000</v>
      </c>
      <c r="BG140">
        <v>1000</v>
      </c>
      <c r="BH140" s="7">
        <f>ROUND(Wapato_Inventory[[#This Row],[detatched_value]]*Lookups!$B$22*Lookups!$H$48,-2)</f>
        <v>15900</v>
      </c>
      <c r="BI140" s="7">
        <f>ROUND(((Wapato_Inventory[[#This Row],[land_extract]]*Lookups!$B$3) +(Lookups!$B$2*0.5))*Lookups!$H$48,-2)</f>
        <v>56000</v>
      </c>
      <c r="BJ140" s="7">
        <f>IF(Wapato_Inventory[[#This Row],[bldg_style]]="",0,Lookups!$B$2*0.5)</f>
        <v>53765.27</v>
      </c>
      <c r="BK140" s="7">
        <f>_xlfn.IFNA(VLOOKUP(Wapato_Inventory[[#This Row],[quality]],Lookups!$H$2:$J$14,3,FALSE),0)</f>
        <v>92307</v>
      </c>
      <c r="BL140" s="7">
        <f>_xlfn.IFNA(VLOOKUP(Wapato_Inventory[[#This Row],[condition]],Lookups!$H$17:$J$24,3,FALSE),0)</f>
        <v>52231</v>
      </c>
      <c r="BM140" s="7">
        <f>Wapato_Inventory[[#This Row],[Age]]*Lookups!$B$16</f>
        <v>-16680.406500000001</v>
      </c>
      <c r="BN140" s="7">
        <f>Wapato_Inventory[[#This Row],[Main Floor]]*Lookups!$B$17</f>
        <v>80257.418879999997</v>
      </c>
      <c r="BO140" s="7">
        <f>Wapato_Inventory[[#This Row],[Upper Floor]]*Lookups!$B$18</f>
        <v>0</v>
      </c>
      <c r="BP140" s="7">
        <f>Wapato_Inventory[[#This Row],[Fin BSMT]]*Lookups!$B$19</f>
        <v>0</v>
      </c>
      <c r="BQ140" s="7">
        <f>(Wapato_Inventory[[#This Row],[att_gar]]+Wapato_Inventory[[#This Row],[blt_gar]])*Lookups!$B$20</f>
        <v>21317.041152000002</v>
      </c>
      <c r="BR140" s="7">
        <f>Wapato_Inventory[[#This Row],[Patio]]*Lookups!$B$21</f>
        <v>11654.150351</v>
      </c>
      <c r="BS140" s="7">
        <f>SUM(Wapato_Inventory[[#This Row],[intercept]:[patio_value]])*Wapato_Inventory[[#This Row],[res_pct]]</f>
        <v>294851.47388300003</v>
      </c>
      <c r="BT140" s="7">
        <f>Wapato_Inventory[[#This Row],[land_value]]</f>
        <v>56000</v>
      </c>
      <c r="BU140" s="2">
        <f>_xlfn.IFNA(VLOOKUP(Wapato_Inventory[[#This Row],[quality]],Lookups!$A$28:$C$37,3,FALSE),1)</f>
        <v>1.0013727718490204</v>
      </c>
      <c r="BV140" s="2">
        <f>_xlfn.IFNA(VLOOKUP(Wapato_Inventory[[#This Row],[condition]],Lookups!$A$41:$C$48,3,FALSE),1)</f>
        <v>0.9832333997567807</v>
      </c>
      <c r="BW140" s="2">
        <f>IF(Wapato_Inventory[[#This Row],[decade]]="",1,_xlfn.IFNA(VLOOKUP(Wapato_Inventory[[#This Row],[decade]],Lookups!$F$28:$H$45,3,FALSE),1))</f>
        <v>0.96240333884358298</v>
      </c>
      <c r="BX140" s="2">
        <f>_xlfn.IFNA(VLOOKUP(Wapato_Inventory[[#This Row],[living_area_range]],Lookups!$K$28:$M$37,3,FALSE),1)</f>
        <v>0.99330894324714125</v>
      </c>
      <c r="BY140" s="2">
        <f>AVERAGE(Wapato_Inventory[[#This Row],[qual_adj]:[range_adj]])</f>
        <v>0.98507961342413131</v>
      </c>
      <c r="BZ140" s="7">
        <f>(Wapato_Inventory[[#This Row],[sum_land]]-IF(Wapato_Inventory[[#This Row],[no_utilities]]=1,12000,0))/IF(Wapato_Inventory[[#This Row],[unbuildable]]=1,2,1)</f>
        <v>56000</v>
      </c>
      <c r="CA140" s="7">
        <f>Wapato_Inventory[[#This Row],[pre_res]]*Wapato_Inventory[[#This Row],[overall_adj]]</f>
        <v>290452.17591020104</v>
      </c>
      <c r="CB140" s="3">
        <f>IF(ROUND(Wapato_Inventory[[#This Row],[adj_land]]*Lookups!$H$48,-2)&lt;Wapato_Inventory[[#This Row],[min_land]],Wapato_Inventory[[#This Row],[min_land]],ROUND(Wapato_Inventory[[#This Row],[adj_land]]*Lookups!$H$48,-2))</f>
        <v>53200</v>
      </c>
      <c r="CC140" s="3">
        <f>IF(ROUND(Wapato_Inventory[[#This Row],[adj_res]]*Lookups!$H$48,-2)&lt;Wapato_Inventory[[#This Row],[min_res]],Wapato_Inventory[[#This Row],[min_res]],ROUND(Wapato_Inventory[[#This Row],[adj_res]]*Lookups!$H$48,-2))</f>
        <v>275900</v>
      </c>
      <c r="CD140" s="3">
        <f>ROUND(Wapato_Inventory[[#This Row],[det_value]]*Lookups!$H$48,-2)</f>
        <v>15100</v>
      </c>
      <c r="CE140" s="3">
        <f>Wapato_Inventory[[#This Row],[final_res]]+Wapato_Inventory[[#This Row],[final_det]]</f>
        <v>291000</v>
      </c>
      <c r="CF140" s="3">
        <f>Wapato_Inventory[[#This Row],[crop_value]]+Wapato_Inventory[[#This Row],[final_land]]+Wapato_Inventory[[#This Row],[final_imp]]</f>
        <v>344200</v>
      </c>
      <c r="CH140" t="str">
        <f t="shared" si="2"/>
        <v>update valuation set market_land =53200, market_bldg=291000, market_total =344200, market_mdno =405, market_date ='9/10/2023' where link_id = (select link_id from parcel where parcel_year = '2024' and parcel_id = '19111034434');</v>
      </c>
    </row>
    <row r="141" spans="1:86" x14ac:dyDescent="0.25">
      <c r="A141">
        <v>19111034435</v>
      </c>
      <c r="B141">
        <v>0.39</v>
      </c>
      <c r="C141">
        <v>16926</v>
      </c>
      <c r="D141" t="s">
        <v>144</v>
      </c>
      <c r="E141" t="s">
        <v>54</v>
      </c>
      <c r="F141" t="s">
        <v>54</v>
      </c>
      <c r="G141">
        <v>3</v>
      </c>
      <c r="H141" t="s">
        <v>55</v>
      </c>
      <c r="I141">
        <v>304900</v>
      </c>
      <c r="J141">
        <v>38600</v>
      </c>
      <c r="K141">
        <v>0.39</v>
      </c>
      <c r="L141">
        <f>IF(Wapato_Inventory[[#This Row],[parcel_acres]]-Wapato_Inventory[[#This Row],[non_valued_acres]] =0,0,LN(Wapato_Inventory[[#This Row],[parcel_acres]]-Wapato_Inventory[[#This Row],[non_valued_acres]]))</f>
        <v>-0.94160853985844495</v>
      </c>
      <c r="M141">
        <v>0</v>
      </c>
      <c r="N141">
        <v>0</v>
      </c>
      <c r="O141">
        <v>0</v>
      </c>
      <c r="P141">
        <v>27904.037</v>
      </c>
      <c r="Q141">
        <v>74398</v>
      </c>
      <c r="R141" s="3">
        <f>(Wapato_Inventory[[#This Row],[ln_acres]]*Wapato_Inventory[[#This Row],[coeff]])+Wapato_Inventory[[#This Row],[const]]</f>
        <v>48123.320464273973</v>
      </c>
      <c r="S141" t="s">
        <v>59</v>
      </c>
      <c r="T141">
        <v>1</v>
      </c>
      <c r="U141" t="s">
        <v>65</v>
      </c>
      <c r="V141" t="s">
        <v>68</v>
      </c>
      <c r="W141">
        <v>0</v>
      </c>
      <c r="X141">
        <v>0</v>
      </c>
      <c r="Y141">
        <v>19</v>
      </c>
      <c r="Z141">
        <v>19</v>
      </c>
      <c r="AA141">
        <v>20</v>
      </c>
      <c r="AB141">
        <v>2500</v>
      </c>
      <c r="AC141">
        <v>2031</v>
      </c>
      <c r="AD141">
        <v>2031</v>
      </c>
      <c r="AE141">
        <v>0</v>
      </c>
      <c r="AF141">
        <v>0</v>
      </c>
      <c r="AG141">
        <v>0</v>
      </c>
      <c r="AH141">
        <v>0</v>
      </c>
      <c r="AI141">
        <v>576</v>
      </c>
      <c r="AJ141">
        <v>0</v>
      </c>
      <c r="AK141">
        <v>0</v>
      </c>
      <c r="AL141">
        <v>0</v>
      </c>
      <c r="AM141">
        <v>609</v>
      </c>
      <c r="AN141">
        <v>0</v>
      </c>
      <c r="AO141">
        <v>61</v>
      </c>
      <c r="AP141">
        <v>9</v>
      </c>
      <c r="AQ141">
        <v>0</v>
      </c>
      <c r="AR141">
        <v>0</v>
      </c>
      <c r="AS141" t="s">
        <v>59</v>
      </c>
      <c r="AT141">
        <v>1</v>
      </c>
      <c r="AU141" t="s">
        <v>60</v>
      </c>
      <c r="AV141" t="s">
        <v>61</v>
      </c>
      <c r="AW141">
        <v>1</v>
      </c>
      <c r="AX141">
        <v>4</v>
      </c>
      <c r="AY141">
        <v>0</v>
      </c>
      <c r="AZ141">
        <v>0</v>
      </c>
      <c r="BA141">
        <v>100</v>
      </c>
      <c r="BB141">
        <v>100</v>
      </c>
      <c r="BC141">
        <v>100</v>
      </c>
      <c r="BD141">
        <v>100</v>
      </c>
      <c r="BE141">
        <v>1</v>
      </c>
      <c r="BF141">
        <v>15000</v>
      </c>
      <c r="BG141">
        <v>1000</v>
      </c>
      <c r="BH141" s="7">
        <f>ROUND(Wapato_Inventory[[#This Row],[detatched_value]]*Lookups!$B$22*Lookups!$H$48,-2)</f>
        <v>0</v>
      </c>
      <c r="BI141" s="7">
        <f>ROUND(((Wapato_Inventory[[#This Row],[land_extract]]*Lookups!$B$3) +(Lookups!$B$2*0.5))*Lookups!$H$48,-2)</f>
        <v>55700</v>
      </c>
      <c r="BJ141" s="7">
        <f>IF(Wapato_Inventory[[#This Row],[bldg_style]]="",0,Lookups!$B$2*0.5)</f>
        <v>53765.27</v>
      </c>
      <c r="BK141" s="7">
        <f>_xlfn.IFNA(VLOOKUP(Wapato_Inventory[[#This Row],[quality]],Lookups!$H$2:$J$14,3,FALSE),0)</f>
        <v>92307</v>
      </c>
      <c r="BL141" s="7">
        <f>_xlfn.IFNA(VLOOKUP(Wapato_Inventory[[#This Row],[condition]],Lookups!$H$17:$J$24,3,FALSE),0)</f>
        <v>52231</v>
      </c>
      <c r="BM141" s="7">
        <f>Wapato_Inventory[[#This Row],[Age]]*Lookups!$B$16</f>
        <v>-7042.8383000000003</v>
      </c>
      <c r="BN141" s="7">
        <f>Wapato_Inventory[[#This Row],[Main Floor]]*Lookups!$B$17</f>
        <v>84897.300908999998</v>
      </c>
      <c r="BO141" s="7">
        <f>Wapato_Inventory[[#This Row],[Upper Floor]]*Lookups!$B$18</f>
        <v>0</v>
      </c>
      <c r="BP141" s="7">
        <f>Wapato_Inventory[[#This Row],[Fin BSMT]]*Lookups!$B$19</f>
        <v>0</v>
      </c>
      <c r="BQ141" s="7">
        <f>(Wapato_Inventory[[#This Row],[att_gar]]+Wapato_Inventory[[#This Row],[blt_gar]])*Lookups!$B$20</f>
        <v>21317.041152000002</v>
      </c>
      <c r="BR141" s="7">
        <f>Wapato_Inventory[[#This Row],[Patio]]*Lookups!$B$21</f>
        <v>26384.303211000002</v>
      </c>
      <c r="BS141" s="7">
        <f>SUM(Wapato_Inventory[[#This Row],[intercept]:[patio_value]])*Wapato_Inventory[[#This Row],[res_pct]]</f>
        <v>323859.07697200001</v>
      </c>
      <c r="BT141" s="7">
        <f>Wapato_Inventory[[#This Row],[land_value]]</f>
        <v>55700</v>
      </c>
      <c r="BU141" s="2">
        <f>_xlfn.IFNA(VLOOKUP(Wapato_Inventory[[#This Row],[quality]],Lookups!$A$28:$C$37,3,FALSE),1)</f>
        <v>1.0013727718490204</v>
      </c>
      <c r="BV141" s="2">
        <f>_xlfn.IFNA(VLOOKUP(Wapato_Inventory[[#This Row],[condition]],Lookups!$A$41:$C$48,3,FALSE),1)</f>
        <v>0.9832333997567807</v>
      </c>
      <c r="BW141" s="2">
        <f>IF(Wapato_Inventory[[#This Row],[decade]]="",1,_xlfn.IFNA(VLOOKUP(Wapato_Inventory[[#This Row],[decade]],Lookups!$F$28:$H$45,3,FALSE),1))</f>
        <v>1.0658609603367226</v>
      </c>
      <c r="BX141" s="2">
        <f>_xlfn.IFNA(VLOOKUP(Wapato_Inventory[[#This Row],[living_area_range]],Lookups!$K$28:$M$37,3,FALSE),1)</f>
        <v>0.90813907160181651</v>
      </c>
      <c r="BY141" s="2">
        <f>AVERAGE(Wapato_Inventory[[#This Row],[qual_adj]:[range_adj]])</f>
        <v>0.98965155088608503</v>
      </c>
      <c r="BZ141" s="7">
        <f>(Wapato_Inventory[[#This Row],[sum_land]]-IF(Wapato_Inventory[[#This Row],[no_utilities]]=1,12000,0))/IF(Wapato_Inventory[[#This Row],[unbuildable]]=1,2,1)</f>
        <v>55700</v>
      </c>
      <c r="CA141" s="7">
        <f>Wapato_Inventory[[#This Row],[pre_res]]*Wapato_Inventory[[#This Row],[overall_adj]]</f>
        <v>320507.63779387582</v>
      </c>
      <c r="CB141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141" s="3">
        <f>IF(ROUND(Wapato_Inventory[[#This Row],[adj_res]]*Lookups!$H$48,-2)&lt;Wapato_Inventory[[#This Row],[min_res]],Wapato_Inventory[[#This Row],[min_res]],ROUND(Wapato_Inventory[[#This Row],[adj_res]]*Lookups!$H$48,-2))</f>
        <v>304500</v>
      </c>
      <c r="CD141" s="3">
        <f>ROUND(Wapato_Inventory[[#This Row],[det_value]]*Lookups!$H$48,-2)</f>
        <v>0</v>
      </c>
      <c r="CE141" s="3">
        <f>Wapato_Inventory[[#This Row],[final_res]]+Wapato_Inventory[[#This Row],[final_det]]</f>
        <v>304500</v>
      </c>
      <c r="CF141" s="3">
        <f>Wapato_Inventory[[#This Row],[crop_value]]+Wapato_Inventory[[#This Row],[final_land]]+Wapato_Inventory[[#This Row],[final_imp]]</f>
        <v>357400</v>
      </c>
      <c r="CH141" t="str">
        <f t="shared" si="2"/>
        <v>update valuation set market_land =52900, market_bldg=304500, market_total =357400, market_mdno =405, market_date ='9/10/2023' where link_id = (select link_id from parcel where parcel_year = '2024' and parcel_id = '19111034435');</v>
      </c>
    </row>
    <row r="142" spans="1:86" x14ac:dyDescent="0.25">
      <c r="A142">
        <v>19111034437</v>
      </c>
      <c r="B142">
        <v>0.52</v>
      </c>
      <c r="C142" t="s">
        <v>144</v>
      </c>
      <c r="D142" t="s">
        <v>144</v>
      </c>
      <c r="E142" t="s">
        <v>54</v>
      </c>
      <c r="F142" t="s">
        <v>54</v>
      </c>
      <c r="G142">
        <v>3</v>
      </c>
      <c r="H142" t="s">
        <v>55</v>
      </c>
      <c r="I142">
        <v>325600</v>
      </c>
      <c r="J142">
        <v>40700</v>
      </c>
      <c r="K142">
        <v>0.52</v>
      </c>
      <c r="L142">
        <f>IF(Wapato_Inventory[[#This Row],[parcel_acres]]-Wapato_Inventory[[#This Row],[non_valued_acres]] =0,0,LN(Wapato_Inventory[[#This Row],[parcel_acres]]-Wapato_Inventory[[#This Row],[non_valued_acres]]))</f>
        <v>-0.65392646740666394</v>
      </c>
      <c r="M142">
        <v>0</v>
      </c>
      <c r="N142">
        <v>0</v>
      </c>
      <c r="O142">
        <v>0</v>
      </c>
      <c r="P142">
        <v>27904.037</v>
      </c>
      <c r="Q142">
        <v>74398</v>
      </c>
      <c r="R142" s="3">
        <f>(Wapato_Inventory[[#This Row],[ln_acres]]*Wapato_Inventory[[#This Row],[coeff]])+Wapato_Inventory[[#This Row],[const]]</f>
        <v>56150.811658205159</v>
      </c>
      <c r="S142" t="s">
        <v>66</v>
      </c>
      <c r="T142">
        <v>1</v>
      </c>
      <c r="U142" t="s">
        <v>65</v>
      </c>
      <c r="V142" t="s">
        <v>68</v>
      </c>
      <c r="W142">
        <v>0</v>
      </c>
      <c r="X142">
        <v>0</v>
      </c>
      <c r="Y142">
        <v>49</v>
      </c>
      <c r="Z142">
        <v>67</v>
      </c>
      <c r="AA142">
        <v>70</v>
      </c>
      <c r="AB142">
        <v>2500</v>
      </c>
      <c r="AC142">
        <v>2243</v>
      </c>
      <c r="AD142">
        <v>2243</v>
      </c>
      <c r="AE142">
        <v>0</v>
      </c>
      <c r="AF142">
        <v>0</v>
      </c>
      <c r="AG142">
        <v>0</v>
      </c>
      <c r="AH142">
        <v>0</v>
      </c>
      <c r="AI142">
        <v>676</v>
      </c>
      <c r="AJ142">
        <v>0</v>
      </c>
      <c r="AK142">
        <v>0</v>
      </c>
      <c r="AL142">
        <v>0</v>
      </c>
      <c r="AM142">
        <v>448</v>
      </c>
      <c r="AN142">
        <v>115</v>
      </c>
      <c r="AO142">
        <v>448</v>
      </c>
      <c r="AP142">
        <v>8</v>
      </c>
      <c r="AQ142">
        <v>0</v>
      </c>
      <c r="AR142">
        <v>1</v>
      </c>
      <c r="AS142" t="s">
        <v>59</v>
      </c>
      <c r="AT142">
        <v>1</v>
      </c>
      <c r="AU142" t="s">
        <v>60</v>
      </c>
      <c r="AV142" t="s">
        <v>61</v>
      </c>
      <c r="AW142">
        <v>1</v>
      </c>
      <c r="AX142">
        <v>3</v>
      </c>
      <c r="AY142">
        <v>0</v>
      </c>
      <c r="AZ142">
        <v>17300</v>
      </c>
      <c r="BA142">
        <v>100</v>
      </c>
      <c r="BB142">
        <v>100</v>
      </c>
      <c r="BC142">
        <v>100</v>
      </c>
      <c r="BD142">
        <v>100</v>
      </c>
      <c r="BE142">
        <v>1</v>
      </c>
      <c r="BF142">
        <v>15000</v>
      </c>
      <c r="BG142">
        <v>1000</v>
      </c>
      <c r="BH142" s="7">
        <f>ROUND(Wapato_Inventory[[#This Row],[detatched_value]]*Lookups!$B$22*Lookups!$H$48,-2)</f>
        <v>15500</v>
      </c>
      <c r="BI142" s="7">
        <f>ROUND(((Wapato_Inventory[[#This Row],[land_extract]]*Lookups!$B$3) +(Lookups!$B$2*0.5))*Lookups!$H$48,-2)</f>
        <v>56500</v>
      </c>
      <c r="BJ142" s="7">
        <f>IF(Wapato_Inventory[[#This Row],[bldg_style]]="",0,Lookups!$B$2*0.5)</f>
        <v>53765.27</v>
      </c>
      <c r="BK142" s="7">
        <f>_xlfn.IFNA(VLOOKUP(Wapato_Inventory[[#This Row],[quality]],Lookups!$H$2:$J$14,3,FALSE),0)</f>
        <v>92307</v>
      </c>
      <c r="BL142" s="7">
        <f>_xlfn.IFNA(VLOOKUP(Wapato_Inventory[[#This Row],[condition]],Lookups!$H$17:$J$24,3,FALSE),0)</f>
        <v>52231</v>
      </c>
      <c r="BM142" s="7">
        <f>Wapato_Inventory[[#This Row],[Age]]*Lookups!$B$16</f>
        <v>-24835.2719</v>
      </c>
      <c r="BN142" s="7">
        <f>Wapato_Inventory[[#This Row],[Main Floor]]*Lookups!$B$17</f>
        <v>93759.057577</v>
      </c>
      <c r="BO142" s="7">
        <f>Wapato_Inventory[[#This Row],[Upper Floor]]*Lookups!$B$18</f>
        <v>0</v>
      </c>
      <c r="BP142" s="7">
        <f>Wapato_Inventory[[#This Row],[Fin BSMT]]*Lookups!$B$19</f>
        <v>0</v>
      </c>
      <c r="BQ142" s="7">
        <f>(Wapato_Inventory[[#This Row],[att_gar]]+Wapato_Inventory[[#This Row],[blt_gar]])*Lookups!$B$20</f>
        <v>25017.916352</v>
      </c>
      <c r="BR142" s="7">
        <f>Wapato_Inventory[[#This Row],[Patio]]*Lookups!$B$21</f>
        <v>19409.142592</v>
      </c>
      <c r="BS142" s="7">
        <f>SUM(Wapato_Inventory[[#This Row],[intercept]:[patio_value]])*Wapato_Inventory[[#This Row],[res_pct]]</f>
        <v>311654.11462099996</v>
      </c>
      <c r="BT142" s="7">
        <f>Wapato_Inventory[[#This Row],[land_value]]</f>
        <v>56500</v>
      </c>
      <c r="BU142" s="2">
        <f>_xlfn.IFNA(VLOOKUP(Wapato_Inventory[[#This Row],[quality]],Lookups!$A$28:$C$37,3,FALSE),1)</f>
        <v>1.0013727718490204</v>
      </c>
      <c r="BV142" s="2">
        <f>_xlfn.IFNA(VLOOKUP(Wapato_Inventory[[#This Row],[condition]],Lookups!$A$41:$C$48,3,FALSE),1)</f>
        <v>0.9832333997567807</v>
      </c>
      <c r="BW142" s="2">
        <f>IF(Wapato_Inventory[[#This Row],[decade]]="",1,_xlfn.IFNA(VLOOKUP(Wapato_Inventory[[#This Row],[decade]],Lookups!$F$28:$H$45,3,FALSE),1))</f>
        <v>1.0012715221492001</v>
      </c>
      <c r="BX142" s="2">
        <f>_xlfn.IFNA(VLOOKUP(Wapato_Inventory[[#This Row],[living_area_range]],Lookups!$K$28:$M$37,3,FALSE),1)</f>
        <v>0.90813907160181651</v>
      </c>
      <c r="BY142" s="2">
        <f>AVERAGE(Wapato_Inventory[[#This Row],[qual_adj]:[range_adj]])</f>
        <v>0.97350419133920441</v>
      </c>
      <c r="BZ142" s="7">
        <f>(Wapato_Inventory[[#This Row],[sum_land]]-IF(Wapato_Inventory[[#This Row],[no_utilities]]=1,12000,0))/IF(Wapato_Inventory[[#This Row],[unbuildable]]=1,2,1)</f>
        <v>56500</v>
      </c>
      <c r="CA142" s="7">
        <f>Wapato_Inventory[[#This Row],[pre_res]]*Wapato_Inventory[[#This Row],[overall_adj]]</f>
        <v>303396.58683165227</v>
      </c>
      <c r="CB142" s="3">
        <f>IF(ROUND(Wapato_Inventory[[#This Row],[adj_land]]*Lookups!$H$48,-2)&lt;Wapato_Inventory[[#This Row],[min_land]],Wapato_Inventory[[#This Row],[min_land]],ROUND(Wapato_Inventory[[#This Row],[adj_land]]*Lookups!$H$48,-2))</f>
        <v>53700</v>
      </c>
      <c r="CC142" s="3">
        <f>IF(ROUND(Wapato_Inventory[[#This Row],[adj_res]]*Lookups!$H$48,-2)&lt;Wapato_Inventory[[#This Row],[min_res]],Wapato_Inventory[[#This Row],[min_res]],ROUND(Wapato_Inventory[[#This Row],[adj_res]]*Lookups!$H$48,-2))</f>
        <v>288200</v>
      </c>
      <c r="CD142" s="3">
        <f>ROUND(Wapato_Inventory[[#This Row],[det_value]]*Lookups!$H$48,-2)</f>
        <v>14700</v>
      </c>
      <c r="CE142" s="3">
        <f>Wapato_Inventory[[#This Row],[final_res]]+Wapato_Inventory[[#This Row],[final_det]]</f>
        <v>302900</v>
      </c>
      <c r="CF142" s="3">
        <f>Wapato_Inventory[[#This Row],[crop_value]]+Wapato_Inventory[[#This Row],[final_land]]+Wapato_Inventory[[#This Row],[final_imp]]</f>
        <v>356600</v>
      </c>
      <c r="CH142" t="str">
        <f t="shared" si="2"/>
        <v>update valuation set market_land =53700, market_bldg=302900, market_total =356600, market_mdno =405, market_date ='9/10/2023' where link_id = (select link_id from parcel where parcel_year = '2024' and parcel_id = '19111034437');</v>
      </c>
    </row>
    <row r="143" spans="1:86" x14ac:dyDescent="0.25">
      <c r="A143">
        <v>19111041401</v>
      </c>
      <c r="B143">
        <v>0.14000000000000001</v>
      </c>
      <c r="C143">
        <v>6044</v>
      </c>
      <c r="D143" t="s">
        <v>144</v>
      </c>
      <c r="E143" t="s">
        <v>54</v>
      </c>
      <c r="F143" t="s">
        <v>54</v>
      </c>
      <c r="G143">
        <v>3</v>
      </c>
      <c r="H143" t="s">
        <v>55</v>
      </c>
      <c r="I143">
        <v>160100</v>
      </c>
      <c r="J143">
        <v>31900</v>
      </c>
      <c r="K143">
        <v>0.14000000000000001</v>
      </c>
      <c r="L143">
        <f>IF(Wapato_Inventory[[#This Row],[parcel_acres]]-Wapato_Inventory[[#This Row],[non_valued_acres]] =0,0,LN(Wapato_Inventory[[#This Row],[parcel_acres]]-Wapato_Inventory[[#This Row],[non_valued_acres]]))</f>
        <v>-1.9661128563728327</v>
      </c>
      <c r="M143">
        <v>0</v>
      </c>
      <c r="N143">
        <v>0</v>
      </c>
      <c r="O143">
        <v>0</v>
      </c>
      <c r="P143">
        <v>27904.037</v>
      </c>
      <c r="Q143">
        <v>74398</v>
      </c>
      <c r="R143" s="3">
        <f>(Wapato_Inventory[[#This Row],[ln_acres]]*Wapato_Inventory[[#This Row],[coeff]])+Wapato_Inventory[[#This Row],[const]]</f>
        <v>19535.514109596792</v>
      </c>
      <c r="S143" t="s">
        <v>66</v>
      </c>
      <c r="T143">
        <v>1</v>
      </c>
      <c r="U143" t="s">
        <v>71</v>
      </c>
      <c r="V143" t="s">
        <v>70</v>
      </c>
      <c r="W143">
        <v>0</v>
      </c>
      <c r="X143">
        <v>0</v>
      </c>
      <c r="Y143">
        <v>28</v>
      </c>
      <c r="Z143">
        <v>88</v>
      </c>
      <c r="AA143">
        <v>90</v>
      </c>
      <c r="AB143">
        <v>1000</v>
      </c>
      <c r="AC143">
        <v>780</v>
      </c>
      <c r="AD143">
        <v>780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264</v>
      </c>
      <c r="AM143">
        <v>0</v>
      </c>
      <c r="AN143">
        <v>0</v>
      </c>
      <c r="AO143">
        <v>0</v>
      </c>
      <c r="AP143">
        <v>5</v>
      </c>
      <c r="AQ143">
        <v>0</v>
      </c>
      <c r="AR143">
        <v>0</v>
      </c>
      <c r="AS143" t="s">
        <v>59</v>
      </c>
      <c r="AT143">
        <v>1</v>
      </c>
      <c r="AU143" t="s">
        <v>76</v>
      </c>
      <c r="AV143" t="s">
        <v>61</v>
      </c>
      <c r="AW143">
        <v>0</v>
      </c>
      <c r="AX143">
        <v>2</v>
      </c>
      <c r="AY143">
        <v>0</v>
      </c>
      <c r="AZ143">
        <v>0</v>
      </c>
      <c r="BA143">
        <v>100</v>
      </c>
      <c r="BB143">
        <v>100</v>
      </c>
      <c r="BC143">
        <v>100</v>
      </c>
      <c r="BD143">
        <v>100</v>
      </c>
      <c r="BE143">
        <v>1</v>
      </c>
      <c r="BF143">
        <v>15000</v>
      </c>
      <c r="BG143">
        <v>1000</v>
      </c>
      <c r="BH143" s="7">
        <f>ROUND(Wapato_Inventory[[#This Row],[detatched_value]]*Lookups!$B$22*Lookups!$H$48,-2)</f>
        <v>0</v>
      </c>
      <c r="BI143" s="7">
        <f>ROUND(((Wapato_Inventory[[#This Row],[land_extract]]*Lookups!$B$3) +(Lookups!$B$2*0.5))*Lookups!$H$48,-2)</f>
        <v>53000</v>
      </c>
      <c r="BJ143" s="7">
        <f>IF(Wapato_Inventory[[#This Row],[bldg_style]]="",0,Lookups!$B$2*0.5)</f>
        <v>53765.27</v>
      </c>
      <c r="BK143" s="7">
        <f>_xlfn.IFNA(VLOOKUP(Wapato_Inventory[[#This Row],[quality]],Lookups!$H$2:$J$14,3,FALSE),0)</f>
        <v>28034</v>
      </c>
      <c r="BL143" s="7">
        <f>_xlfn.IFNA(VLOOKUP(Wapato_Inventory[[#This Row],[condition]],Lookups!$H$17:$J$24,3,FALSE),0)</f>
        <v>84338</v>
      </c>
      <c r="BM143" s="7">
        <f>Wapato_Inventory[[#This Row],[Age]]*Lookups!$B$16</f>
        <v>-32619.461600000002</v>
      </c>
      <c r="BN143" s="7">
        <f>Wapato_Inventory[[#This Row],[Main Floor]]*Lookups!$B$17</f>
        <v>32604.576420000001</v>
      </c>
      <c r="BO143" s="7">
        <f>Wapato_Inventory[[#This Row],[Upper Floor]]*Lookups!$B$18</f>
        <v>0</v>
      </c>
      <c r="BP143" s="7">
        <f>Wapato_Inventory[[#This Row],[Fin BSMT]]*Lookups!$B$19</f>
        <v>0</v>
      </c>
      <c r="BQ143" s="7">
        <f>(Wapato_Inventory[[#This Row],[att_gar]]+Wapato_Inventory[[#This Row],[blt_gar]])*Lookups!$B$20</f>
        <v>0</v>
      </c>
      <c r="BR143" s="7">
        <f>Wapato_Inventory[[#This Row],[Patio]]*Lookups!$B$21</f>
        <v>0</v>
      </c>
      <c r="BS143" s="7">
        <f>SUM(Wapato_Inventory[[#This Row],[intercept]:[patio_value]])*Wapato_Inventory[[#This Row],[res_pct]]</f>
        <v>166122.38481999998</v>
      </c>
      <c r="BT143" s="7">
        <f>Wapato_Inventory[[#This Row],[land_value]]</f>
        <v>53000</v>
      </c>
      <c r="BU143" s="2">
        <f>_xlfn.IFNA(VLOOKUP(Wapato_Inventory[[#This Row],[quality]],Lookups!$A$28:$C$37,3,FALSE),1)</f>
        <v>0.96265813922927435</v>
      </c>
      <c r="BV143" s="2">
        <f>_xlfn.IFNA(VLOOKUP(Wapato_Inventory[[#This Row],[condition]],Lookups!$A$41:$C$48,3,FALSE),1)</f>
        <v>0.99478075210508476</v>
      </c>
      <c r="BW143" s="2">
        <f>IF(Wapato_Inventory[[#This Row],[decade]]="",1,_xlfn.IFNA(VLOOKUP(Wapato_Inventory[[#This Row],[decade]],Lookups!$F$28:$H$45,3,FALSE),1))</f>
        <v>0.94742695999815718</v>
      </c>
      <c r="BX143" s="2">
        <f>_xlfn.IFNA(VLOOKUP(Wapato_Inventory[[#This Row],[living_area_range]],Lookups!$K$28:$M$37,3,FALSE),1)</f>
        <v>0.99022994770196116</v>
      </c>
      <c r="BY143" s="2">
        <f>AVERAGE(Wapato_Inventory[[#This Row],[qual_adj]:[range_adj]])</f>
        <v>0.97377394975861931</v>
      </c>
      <c r="BZ143" s="7">
        <f>(Wapato_Inventory[[#This Row],[sum_land]]-IF(Wapato_Inventory[[#This Row],[no_utilities]]=1,12000,0))/IF(Wapato_Inventory[[#This Row],[unbuildable]]=1,2,1)</f>
        <v>53000</v>
      </c>
      <c r="CA143" s="7">
        <f>Wapato_Inventory[[#This Row],[pre_res]]*Wapato_Inventory[[#This Row],[overall_adj]]</f>
        <v>161765.65080949268</v>
      </c>
      <c r="CB14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43" s="3">
        <f>IF(ROUND(Wapato_Inventory[[#This Row],[adj_res]]*Lookups!$H$48,-2)&lt;Wapato_Inventory[[#This Row],[min_res]],Wapato_Inventory[[#This Row],[min_res]],ROUND(Wapato_Inventory[[#This Row],[adj_res]]*Lookups!$H$48,-2))</f>
        <v>153700</v>
      </c>
      <c r="CD143" s="3">
        <f>ROUND(Wapato_Inventory[[#This Row],[det_value]]*Lookups!$H$48,-2)</f>
        <v>0</v>
      </c>
      <c r="CE143" s="3">
        <f>Wapato_Inventory[[#This Row],[final_res]]+Wapato_Inventory[[#This Row],[final_det]]</f>
        <v>153700</v>
      </c>
      <c r="CF143" s="3">
        <f>Wapato_Inventory[[#This Row],[crop_value]]+Wapato_Inventory[[#This Row],[final_land]]+Wapato_Inventory[[#This Row],[final_imp]]</f>
        <v>204100</v>
      </c>
      <c r="CH143" t="str">
        <f t="shared" si="2"/>
        <v>update valuation set market_land =50400, market_bldg=153700, market_total =204100, market_mdno =405, market_date ='9/10/2023' where link_id = (select link_id from parcel where parcel_year = '2024' and parcel_id = '19111041401');</v>
      </c>
    </row>
    <row r="144" spans="1:86" x14ac:dyDescent="0.25">
      <c r="A144">
        <v>19111041402</v>
      </c>
      <c r="B144">
        <v>0.14000000000000001</v>
      </c>
      <c r="C144">
        <v>6044</v>
      </c>
      <c r="D144" t="s">
        <v>144</v>
      </c>
      <c r="E144" t="s">
        <v>54</v>
      </c>
      <c r="F144" t="s">
        <v>54</v>
      </c>
      <c r="G144">
        <v>3</v>
      </c>
      <c r="H144" t="s">
        <v>55</v>
      </c>
      <c r="I144">
        <v>145900</v>
      </c>
      <c r="J144">
        <v>31900</v>
      </c>
      <c r="K144">
        <v>0.14000000000000001</v>
      </c>
      <c r="L144">
        <f>IF(Wapato_Inventory[[#This Row],[parcel_acres]]-Wapato_Inventory[[#This Row],[non_valued_acres]] =0,0,LN(Wapato_Inventory[[#This Row],[parcel_acres]]-Wapato_Inventory[[#This Row],[non_valued_acres]]))</f>
        <v>-1.9661128563728327</v>
      </c>
      <c r="M144">
        <v>0</v>
      </c>
      <c r="N144">
        <v>0</v>
      </c>
      <c r="O144">
        <v>0</v>
      </c>
      <c r="P144">
        <v>27904.037</v>
      </c>
      <c r="Q144">
        <v>74398</v>
      </c>
      <c r="R144" s="3">
        <f>(Wapato_Inventory[[#This Row],[ln_acres]]*Wapato_Inventory[[#This Row],[coeff]])+Wapato_Inventory[[#This Row],[const]]</f>
        <v>19535.514109596792</v>
      </c>
      <c r="S144" t="s">
        <v>66</v>
      </c>
      <c r="T144">
        <v>1</v>
      </c>
      <c r="U144" t="s">
        <v>71</v>
      </c>
      <c r="V144" t="s">
        <v>69</v>
      </c>
      <c r="W144">
        <v>0</v>
      </c>
      <c r="X144">
        <v>0</v>
      </c>
      <c r="Y144">
        <v>52</v>
      </c>
      <c r="Z144">
        <v>88</v>
      </c>
      <c r="AA144">
        <v>90</v>
      </c>
      <c r="AB144">
        <v>1000</v>
      </c>
      <c r="AC144">
        <v>977</v>
      </c>
      <c r="AD144">
        <v>977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324</v>
      </c>
      <c r="AN144">
        <v>20</v>
      </c>
      <c r="AO144">
        <v>230</v>
      </c>
      <c r="AP144">
        <v>5</v>
      </c>
      <c r="AQ144">
        <v>0</v>
      </c>
      <c r="AR144">
        <v>0</v>
      </c>
      <c r="AS144" t="s">
        <v>59</v>
      </c>
      <c r="AT144">
        <v>0</v>
      </c>
      <c r="AU144" t="s">
        <v>80</v>
      </c>
      <c r="AV144" t="s">
        <v>61</v>
      </c>
      <c r="AW144">
        <v>0</v>
      </c>
      <c r="AX144">
        <v>2</v>
      </c>
      <c r="AY144">
        <v>0</v>
      </c>
      <c r="AZ144">
        <v>0</v>
      </c>
      <c r="BA144">
        <v>100</v>
      </c>
      <c r="BB144">
        <v>100</v>
      </c>
      <c r="BC144">
        <v>100</v>
      </c>
      <c r="BD144">
        <v>100</v>
      </c>
      <c r="BE144">
        <v>1</v>
      </c>
      <c r="BF144">
        <v>15000</v>
      </c>
      <c r="BG144">
        <v>1000</v>
      </c>
      <c r="BH144" s="7">
        <f>ROUND(Wapato_Inventory[[#This Row],[detatched_value]]*Lookups!$B$22*Lookups!$H$48,-2)</f>
        <v>0</v>
      </c>
      <c r="BI144" s="7">
        <f>ROUND(((Wapato_Inventory[[#This Row],[land_extract]]*Lookups!$B$3) +(Lookups!$B$2*0.5))*Lookups!$H$48,-2)</f>
        <v>53000</v>
      </c>
      <c r="BJ144" s="7">
        <f>IF(Wapato_Inventory[[#This Row],[bldg_style]]="",0,Lookups!$B$2*0.5)</f>
        <v>53765.27</v>
      </c>
      <c r="BK144" s="7">
        <f>_xlfn.IFNA(VLOOKUP(Wapato_Inventory[[#This Row],[quality]],Lookups!$H$2:$J$14,3,FALSE),0)</f>
        <v>28034</v>
      </c>
      <c r="BL144" s="7">
        <f>_xlfn.IFNA(VLOOKUP(Wapato_Inventory[[#This Row],[condition]],Lookups!$H$17:$J$24,3,FALSE),0)</f>
        <v>74543</v>
      </c>
      <c r="BM144" s="7">
        <f>Wapato_Inventory[[#This Row],[Age]]*Lookups!$B$16</f>
        <v>-32619.461600000002</v>
      </c>
      <c r="BN144" s="7">
        <f>Wapato_Inventory[[#This Row],[Main Floor]]*Lookups!$B$17</f>
        <v>40839.322003000001</v>
      </c>
      <c r="BO144" s="7">
        <f>Wapato_Inventory[[#This Row],[Upper Floor]]*Lookups!$B$18</f>
        <v>0</v>
      </c>
      <c r="BP144" s="7">
        <f>Wapato_Inventory[[#This Row],[Fin BSMT]]*Lookups!$B$19</f>
        <v>0</v>
      </c>
      <c r="BQ144" s="7">
        <f>(Wapato_Inventory[[#This Row],[att_gar]]+Wapato_Inventory[[#This Row],[blt_gar]])*Lookups!$B$20</f>
        <v>0</v>
      </c>
      <c r="BR144" s="7">
        <f>Wapato_Inventory[[#This Row],[Patio]]*Lookups!$B$21</f>
        <v>14036.969196</v>
      </c>
      <c r="BS144" s="7">
        <f>SUM(Wapato_Inventory[[#This Row],[intercept]:[patio_value]])*Wapato_Inventory[[#This Row],[res_pct]]</f>
        <v>178599.09959899998</v>
      </c>
      <c r="BT144" s="7">
        <f>Wapato_Inventory[[#This Row],[land_value]]</f>
        <v>53000</v>
      </c>
      <c r="BU144" s="2">
        <f>_xlfn.IFNA(VLOOKUP(Wapato_Inventory[[#This Row],[quality]],Lookups!$A$28:$C$37,3,FALSE),1)</f>
        <v>0.96265813922927435</v>
      </c>
      <c r="BV144" s="2">
        <f>_xlfn.IFNA(VLOOKUP(Wapato_Inventory[[#This Row],[condition]],Lookups!$A$41:$C$48,3,FALSE),1)</f>
        <v>0.98442438223270734</v>
      </c>
      <c r="BW144" s="2">
        <f>IF(Wapato_Inventory[[#This Row],[decade]]="",1,_xlfn.IFNA(VLOOKUP(Wapato_Inventory[[#This Row],[decade]],Lookups!$F$28:$H$45,3,FALSE),1))</f>
        <v>0.94742695999815718</v>
      </c>
      <c r="BX144" s="2">
        <f>_xlfn.IFNA(VLOOKUP(Wapato_Inventory[[#This Row],[living_area_range]],Lookups!$K$28:$M$37,3,FALSE),1)</f>
        <v>0.99022994770196116</v>
      </c>
      <c r="BY144" s="2">
        <f>AVERAGE(Wapato_Inventory[[#This Row],[qual_adj]:[range_adj]])</f>
        <v>0.97118485729052495</v>
      </c>
      <c r="BZ144" s="7">
        <f>(Wapato_Inventory[[#This Row],[sum_land]]-IF(Wapato_Inventory[[#This Row],[no_utilities]]=1,12000,0))/IF(Wapato_Inventory[[#This Row],[unbuildable]]=1,2,1)</f>
        <v>53000</v>
      </c>
      <c r="CA144" s="7">
        <f>Wapato_Inventory[[#This Row],[pre_res]]*Wapato_Inventory[[#This Row],[overall_adj]]</f>
        <v>173452.74105627104</v>
      </c>
      <c r="CB14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44" s="3">
        <f>IF(ROUND(Wapato_Inventory[[#This Row],[adj_res]]*Lookups!$H$48,-2)&lt;Wapato_Inventory[[#This Row],[min_res]],Wapato_Inventory[[#This Row],[min_res]],ROUND(Wapato_Inventory[[#This Row],[adj_res]]*Lookups!$H$48,-2))</f>
        <v>164800</v>
      </c>
      <c r="CD144" s="3">
        <f>ROUND(Wapato_Inventory[[#This Row],[det_value]]*Lookups!$H$48,-2)</f>
        <v>0</v>
      </c>
      <c r="CE144" s="3">
        <f>Wapato_Inventory[[#This Row],[final_res]]+Wapato_Inventory[[#This Row],[final_det]]</f>
        <v>164800</v>
      </c>
      <c r="CF144" s="3">
        <f>Wapato_Inventory[[#This Row],[crop_value]]+Wapato_Inventory[[#This Row],[final_land]]+Wapato_Inventory[[#This Row],[final_imp]]</f>
        <v>215200</v>
      </c>
      <c r="CH144" t="str">
        <f t="shared" si="2"/>
        <v>update valuation set market_land =50400, market_bldg=164800, market_total =215200, market_mdno =405, market_date ='9/10/2023' where link_id = (select link_id from parcel where parcel_year = '2024' and parcel_id = '19111041402');</v>
      </c>
    </row>
    <row r="145" spans="1:86" x14ac:dyDescent="0.25">
      <c r="A145">
        <v>19111041404</v>
      </c>
      <c r="B145">
        <v>0.14000000000000001</v>
      </c>
      <c r="C145">
        <v>6044</v>
      </c>
      <c r="D145" t="s">
        <v>144</v>
      </c>
      <c r="E145" t="s">
        <v>54</v>
      </c>
      <c r="F145" t="s">
        <v>54</v>
      </c>
      <c r="G145">
        <v>3</v>
      </c>
      <c r="H145" t="s">
        <v>55</v>
      </c>
      <c r="I145">
        <v>120800</v>
      </c>
      <c r="J145">
        <v>31900</v>
      </c>
      <c r="K145">
        <v>0.14000000000000001</v>
      </c>
      <c r="L145">
        <f>IF(Wapato_Inventory[[#This Row],[parcel_acres]]-Wapato_Inventory[[#This Row],[non_valued_acres]] =0,0,LN(Wapato_Inventory[[#This Row],[parcel_acres]]-Wapato_Inventory[[#This Row],[non_valued_acres]]))</f>
        <v>-1.9661128563728327</v>
      </c>
      <c r="M145">
        <v>0</v>
      </c>
      <c r="N145">
        <v>0</v>
      </c>
      <c r="O145">
        <v>0</v>
      </c>
      <c r="P145">
        <v>27904.037</v>
      </c>
      <c r="Q145">
        <v>74398</v>
      </c>
      <c r="R145" s="3">
        <f>(Wapato_Inventory[[#This Row],[ln_acres]]*Wapato_Inventory[[#This Row],[coeff]])+Wapato_Inventory[[#This Row],[const]]</f>
        <v>19535.514109596792</v>
      </c>
      <c r="S145" t="s">
        <v>66</v>
      </c>
      <c r="T145">
        <v>1</v>
      </c>
      <c r="U145" t="s">
        <v>71</v>
      </c>
      <c r="V145" t="s">
        <v>73</v>
      </c>
      <c r="W145">
        <v>0</v>
      </c>
      <c r="X145">
        <v>0</v>
      </c>
      <c r="Y145">
        <v>52</v>
      </c>
      <c r="Z145">
        <v>88</v>
      </c>
      <c r="AA145">
        <v>90</v>
      </c>
      <c r="AB145">
        <v>1500</v>
      </c>
      <c r="AC145">
        <v>1480</v>
      </c>
      <c r="AD145">
        <v>1480</v>
      </c>
      <c r="AE145">
        <v>0</v>
      </c>
      <c r="AF145">
        <v>0</v>
      </c>
      <c r="AG145">
        <v>0</v>
      </c>
      <c r="AH145">
        <v>0</v>
      </c>
      <c r="AI145">
        <v>252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8</v>
      </c>
      <c r="AQ145">
        <v>1</v>
      </c>
      <c r="AR145">
        <v>0</v>
      </c>
      <c r="AS145" t="s">
        <v>59</v>
      </c>
      <c r="AT145">
        <v>1</v>
      </c>
      <c r="AU145" t="s">
        <v>76</v>
      </c>
      <c r="AV145" t="s">
        <v>61</v>
      </c>
      <c r="AW145">
        <v>0</v>
      </c>
      <c r="AX145">
        <v>3</v>
      </c>
      <c r="AY145">
        <v>0</v>
      </c>
      <c r="AZ145">
        <v>1200</v>
      </c>
      <c r="BA145">
        <v>100</v>
      </c>
      <c r="BB145">
        <v>100</v>
      </c>
      <c r="BC145">
        <v>100</v>
      </c>
      <c r="BD145">
        <v>100</v>
      </c>
      <c r="BE145">
        <v>1</v>
      </c>
      <c r="BF145">
        <v>15000</v>
      </c>
      <c r="BG145">
        <v>1000</v>
      </c>
      <c r="BH145" s="7">
        <f>ROUND(Wapato_Inventory[[#This Row],[detatched_value]]*Lookups!$B$22*Lookups!$H$48,-2)</f>
        <v>1100</v>
      </c>
      <c r="BI145" s="7">
        <f>ROUND(((Wapato_Inventory[[#This Row],[land_extract]]*Lookups!$B$3) +(Lookups!$B$2*0.5))*Lookups!$H$48,-2)</f>
        <v>53000</v>
      </c>
      <c r="BJ145" s="7">
        <f>IF(Wapato_Inventory[[#This Row],[bldg_style]]="",0,Lookups!$B$2*0.5)</f>
        <v>53765.27</v>
      </c>
      <c r="BK145" s="7">
        <f>_xlfn.IFNA(VLOOKUP(Wapato_Inventory[[#This Row],[quality]],Lookups!$H$2:$J$14,3,FALSE),0)</f>
        <v>28034</v>
      </c>
      <c r="BL145" s="7">
        <f>_xlfn.IFNA(VLOOKUP(Wapato_Inventory[[#This Row],[condition]],Lookups!$H$17:$J$24,3,FALSE),0)</f>
        <v>16276</v>
      </c>
      <c r="BM145" s="7">
        <f>Wapato_Inventory[[#This Row],[Age]]*Lookups!$B$16</f>
        <v>-32619.461600000002</v>
      </c>
      <c r="BN145" s="7">
        <f>Wapato_Inventory[[#This Row],[Main Floor]]*Lookups!$B$17</f>
        <v>61865.093719999997</v>
      </c>
      <c r="BO145" s="7">
        <f>Wapato_Inventory[[#This Row],[Upper Floor]]*Lookups!$B$18</f>
        <v>0</v>
      </c>
      <c r="BP145" s="7">
        <f>Wapato_Inventory[[#This Row],[Fin BSMT]]*Lookups!$B$19</f>
        <v>0</v>
      </c>
      <c r="BQ145" s="7">
        <f>(Wapato_Inventory[[#This Row],[att_gar]]+Wapato_Inventory[[#This Row],[blt_gar]])*Lookups!$B$20</f>
        <v>9326.2055039999996</v>
      </c>
      <c r="BR145" s="7">
        <f>Wapato_Inventory[[#This Row],[Patio]]*Lookups!$B$21</f>
        <v>0</v>
      </c>
      <c r="BS145" s="7">
        <f>SUM(Wapato_Inventory[[#This Row],[intercept]:[patio_value]])*Wapato_Inventory[[#This Row],[res_pct]]</f>
        <v>136647.107624</v>
      </c>
      <c r="BT145" s="7">
        <f>Wapato_Inventory[[#This Row],[land_value]]</f>
        <v>53000</v>
      </c>
      <c r="BU145" s="2">
        <f>_xlfn.IFNA(VLOOKUP(Wapato_Inventory[[#This Row],[quality]],Lookups!$A$28:$C$37,3,FALSE),1)</f>
        <v>0.96265813922927435</v>
      </c>
      <c r="BV145" s="2">
        <f>_xlfn.IFNA(VLOOKUP(Wapato_Inventory[[#This Row],[condition]],Lookups!$A$41:$C$48,3,FALSE),1)</f>
        <v>0.93399385491337139</v>
      </c>
      <c r="BW145" s="2">
        <f>IF(Wapato_Inventory[[#This Row],[decade]]="",1,_xlfn.IFNA(VLOOKUP(Wapato_Inventory[[#This Row],[decade]],Lookups!$F$28:$H$45,3,FALSE),1))</f>
        <v>0.94742695999815718</v>
      </c>
      <c r="BX145" s="2">
        <f>_xlfn.IFNA(VLOOKUP(Wapato_Inventory[[#This Row],[living_area_range]],Lookups!$K$28:$M$37,3,FALSE),1)</f>
        <v>1.0061411172456287</v>
      </c>
      <c r="BY145" s="2">
        <f>AVERAGE(Wapato_Inventory[[#This Row],[qual_adj]:[range_adj]])</f>
        <v>0.96255501784660791</v>
      </c>
      <c r="BZ145" s="7">
        <f>(Wapato_Inventory[[#This Row],[sum_land]]-IF(Wapato_Inventory[[#This Row],[no_utilities]]=1,12000,0))/IF(Wapato_Inventory[[#This Row],[unbuildable]]=1,2,1)</f>
        <v>53000</v>
      </c>
      <c r="CA145" s="7">
        <f>Wapato_Inventory[[#This Row],[pre_res]]*Wapato_Inventory[[#This Row],[overall_adj]]</f>
        <v>131530.35911770666</v>
      </c>
      <c r="CB14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45" s="3">
        <f>IF(ROUND(Wapato_Inventory[[#This Row],[adj_res]]*Lookups!$H$48,-2)&lt;Wapato_Inventory[[#This Row],[min_res]],Wapato_Inventory[[#This Row],[min_res]],ROUND(Wapato_Inventory[[#This Row],[adj_res]]*Lookups!$H$48,-2))</f>
        <v>125000</v>
      </c>
      <c r="CD145" s="3">
        <f>ROUND(Wapato_Inventory[[#This Row],[det_value]]*Lookups!$H$48,-2)</f>
        <v>1000</v>
      </c>
      <c r="CE145" s="3">
        <f>Wapato_Inventory[[#This Row],[final_res]]+Wapato_Inventory[[#This Row],[final_det]]</f>
        <v>126000</v>
      </c>
      <c r="CF145" s="3">
        <f>Wapato_Inventory[[#This Row],[crop_value]]+Wapato_Inventory[[#This Row],[final_land]]+Wapato_Inventory[[#This Row],[final_imp]]</f>
        <v>176400</v>
      </c>
      <c r="CH145" t="str">
        <f t="shared" si="2"/>
        <v>update valuation set market_land =50400, market_bldg=126000, market_total =176400, market_mdno =405, market_date ='9/10/2023' where link_id = (select link_id from parcel where parcel_year = '2024' and parcel_id = '19111041404');</v>
      </c>
    </row>
    <row r="146" spans="1:86" x14ac:dyDescent="0.25">
      <c r="A146">
        <v>19111041405</v>
      </c>
      <c r="B146">
        <v>0.17</v>
      </c>
      <c r="C146">
        <v>7240</v>
      </c>
      <c r="D146" t="s">
        <v>144</v>
      </c>
      <c r="E146" t="s">
        <v>54</v>
      </c>
      <c r="F146" t="s">
        <v>54</v>
      </c>
      <c r="G146">
        <v>3</v>
      </c>
      <c r="H146" t="s">
        <v>55</v>
      </c>
      <c r="I146">
        <v>55000</v>
      </c>
      <c r="J146">
        <v>33200</v>
      </c>
      <c r="K146">
        <v>0.17</v>
      </c>
      <c r="L146">
        <f>IF(Wapato_Inventory[[#This Row],[parcel_acres]]-Wapato_Inventory[[#This Row],[non_valued_acres]] =0,0,LN(Wapato_Inventory[[#This Row],[parcel_acres]]-Wapato_Inventory[[#This Row],[non_valued_acres]]))</f>
        <v>-1.7719568419318752</v>
      </c>
      <c r="M146">
        <v>0</v>
      </c>
      <c r="N146">
        <v>0</v>
      </c>
      <c r="O146">
        <v>0</v>
      </c>
      <c r="P146">
        <v>27904.037</v>
      </c>
      <c r="Q146">
        <v>74398</v>
      </c>
      <c r="R146" s="3">
        <f>(Wapato_Inventory[[#This Row],[ln_acres]]*Wapato_Inventory[[#This Row],[coeff]])+Wapato_Inventory[[#This Row],[const]]</f>
        <v>24953.250720329801</v>
      </c>
      <c r="S146" t="s">
        <v>66</v>
      </c>
      <c r="T146">
        <v>1</v>
      </c>
      <c r="U146" t="s">
        <v>71</v>
      </c>
      <c r="V146" t="s">
        <v>73</v>
      </c>
      <c r="W146">
        <v>0</v>
      </c>
      <c r="X146">
        <v>0</v>
      </c>
      <c r="Y146">
        <v>53</v>
      </c>
      <c r="Z146">
        <v>93</v>
      </c>
      <c r="AA146">
        <v>100</v>
      </c>
      <c r="AB146">
        <v>1000</v>
      </c>
      <c r="AC146">
        <v>660</v>
      </c>
      <c r="AD146">
        <v>660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36</v>
      </c>
      <c r="AO146">
        <v>0</v>
      </c>
      <c r="AP146">
        <v>5</v>
      </c>
      <c r="AQ146">
        <v>0</v>
      </c>
      <c r="AR146">
        <v>0</v>
      </c>
      <c r="AS146" t="s">
        <v>59</v>
      </c>
      <c r="AT146">
        <v>0</v>
      </c>
      <c r="AU146" t="s">
        <v>80</v>
      </c>
      <c r="AV146" t="s">
        <v>77</v>
      </c>
      <c r="AW146">
        <v>0</v>
      </c>
      <c r="AX146">
        <v>2</v>
      </c>
      <c r="AY146">
        <v>0</v>
      </c>
      <c r="AZ146">
        <v>0</v>
      </c>
      <c r="BA146">
        <v>100</v>
      </c>
      <c r="BB146">
        <v>100</v>
      </c>
      <c r="BC146">
        <v>100</v>
      </c>
      <c r="BD146">
        <v>100</v>
      </c>
      <c r="BE146">
        <v>1</v>
      </c>
      <c r="BF146">
        <v>15000</v>
      </c>
      <c r="BG146">
        <v>1000</v>
      </c>
      <c r="BH146" s="7">
        <f>ROUND(Wapato_Inventory[[#This Row],[detatched_value]]*Lookups!$B$22*Lookups!$H$48,-2)</f>
        <v>0</v>
      </c>
      <c r="BI146" s="7">
        <f>ROUND(((Wapato_Inventory[[#This Row],[land_extract]]*Lookups!$B$3) +(Lookups!$B$2*0.5))*Lookups!$H$48,-2)</f>
        <v>53500</v>
      </c>
      <c r="BJ146" s="7">
        <f>IF(Wapato_Inventory[[#This Row],[bldg_style]]="",0,Lookups!$B$2*0.5)</f>
        <v>53765.27</v>
      </c>
      <c r="BK146" s="7">
        <f>_xlfn.IFNA(VLOOKUP(Wapato_Inventory[[#This Row],[quality]],Lookups!$H$2:$J$14,3,FALSE),0)</f>
        <v>28034</v>
      </c>
      <c r="BL146" s="7">
        <f>_xlfn.IFNA(VLOOKUP(Wapato_Inventory[[#This Row],[condition]],Lookups!$H$17:$J$24,3,FALSE),0)</f>
        <v>16276</v>
      </c>
      <c r="BM146" s="7">
        <f>Wapato_Inventory[[#This Row],[Age]]*Lookups!$B$16</f>
        <v>-34472.840100000001</v>
      </c>
      <c r="BN146" s="7">
        <f>Wapato_Inventory[[#This Row],[Main Floor]]*Lookups!$B$17</f>
        <v>27588.48774</v>
      </c>
      <c r="BO146" s="7">
        <f>Wapato_Inventory[[#This Row],[Upper Floor]]*Lookups!$B$18</f>
        <v>0</v>
      </c>
      <c r="BP146" s="7">
        <f>Wapato_Inventory[[#This Row],[Fin BSMT]]*Lookups!$B$19</f>
        <v>0</v>
      </c>
      <c r="BQ146" s="7">
        <f>(Wapato_Inventory[[#This Row],[att_gar]]+Wapato_Inventory[[#This Row],[blt_gar]])*Lookups!$B$20</f>
        <v>0</v>
      </c>
      <c r="BR146" s="7">
        <f>Wapato_Inventory[[#This Row],[Patio]]*Lookups!$B$21</f>
        <v>0</v>
      </c>
      <c r="BS146" s="7">
        <f>SUM(Wapato_Inventory[[#This Row],[intercept]:[patio_value]])*Wapato_Inventory[[#This Row],[res_pct]]</f>
        <v>91190.917639999985</v>
      </c>
      <c r="BT146" s="7">
        <f>Wapato_Inventory[[#This Row],[land_value]]</f>
        <v>53500</v>
      </c>
      <c r="BU146" s="2">
        <f>_xlfn.IFNA(VLOOKUP(Wapato_Inventory[[#This Row],[quality]],Lookups!$A$28:$C$37,3,FALSE),1)</f>
        <v>0.96265813922927435</v>
      </c>
      <c r="BV146" s="2">
        <f>_xlfn.IFNA(VLOOKUP(Wapato_Inventory[[#This Row],[condition]],Lookups!$A$41:$C$48,3,FALSE),1)</f>
        <v>0.93399385491337139</v>
      </c>
      <c r="BW146" s="2">
        <f>IF(Wapato_Inventory[[#This Row],[decade]]="",1,_xlfn.IFNA(VLOOKUP(Wapato_Inventory[[#This Row],[decade]],Lookups!$F$28:$H$45,3,FALSE),1))</f>
        <v>1.0114203040664467</v>
      </c>
      <c r="BX146" s="2">
        <f>_xlfn.IFNA(VLOOKUP(Wapato_Inventory[[#This Row],[living_area_range]],Lookups!$K$28:$M$37,3,FALSE),1)</f>
        <v>0.99022994770196116</v>
      </c>
      <c r="BY146" s="2">
        <f>AVERAGE(Wapato_Inventory[[#This Row],[qual_adj]:[range_adj]])</f>
        <v>0.97457556147776347</v>
      </c>
      <c r="BZ146" s="7">
        <f>(Wapato_Inventory[[#This Row],[sum_land]]-IF(Wapato_Inventory[[#This Row],[no_utilities]]=1,12000,0))/IF(Wapato_Inventory[[#This Row],[unbuildable]]=1,2,1)</f>
        <v>53500</v>
      </c>
      <c r="CA146" s="7">
        <f>Wapato_Inventory[[#This Row],[pre_res]]*Wapato_Inventory[[#This Row],[overall_adj]]</f>
        <v>88872.439760675465</v>
      </c>
      <c r="CB146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46" s="3">
        <f>IF(ROUND(Wapato_Inventory[[#This Row],[adj_res]]*Lookups!$H$48,-2)&lt;Wapato_Inventory[[#This Row],[min_res]],Wapato_Inventory[[#This Row],[min_res]],ROUND(Wapato_Inventory[[#This Row],[adj_res]]*Lookups!$H$48,-2))</f>
        <v>84400</v>
      </c>
      <c r="CD146" s="3">
        <f>ROUND(Wapato_Inventory[[#This Row],[det_value]]*Lookups!$H$48,-2)</f>
        <v>0</v>
      </c>
      <c r="CE146" s="3">
        <f>Wapato_Inventory[[#This Row],[final_res]]+Wapato_Inventory[[#This Row],[final_det]]</f>
        <v>84400</v>
      </c>
      <c r="CF146" s="3">
        <f>Wapato_Inventory[[#This Row],[crop_value]]+Wapato_Inventory[[#This Row],[final_land]]+Wapato_Inventory[[#This Row],[final_imp]]</f>
        <v>135200</v>
      </c>
      <c r="CH146" t="str">
        <f t="shared" si="2"/>
        <v>update valuation set market_land =50800, market_bldg=84400, market_total =135200, market_mdno =405, market_date ='9/10/2023' where link_id = (select link_id from parcel where parcel_year = '2024' and parcel_id = '19111041405');</v>
      </c>
    </row>
    <row r="147" spans="1:86" x14ac:dyDescent="0.25">
      <c r="A147">
        <v>19111041408</v>
      </c>
      <c r="B147">
        <v>0.14000000000000001</v>
      </c>
      <c r="C147">
        <v>6005</v>
      </c>
      <c r="D147" t="s">
        <v>144</v>
      </c>
      <c r="E147" t="s">
        <v>54</v>
      </c>
      <c r="F147" t="s">
        <v>54</v>
      </c>
      <c r="G147">
        <v>3</v>
      </c>
      <c r="H147" t="s">
        <v>55</v>
      </c>
      <c r="I147">
        <v>101800</v>
      </c>
      <c r="J147">
        <v>31900</v>
      </c>
      <c r="K147">
        <v>0.14000000000000001</v>
      </c>
      <c r="L147">
        <f>IF(Wapato_Inventory[[#This Row],[parcel_acres]]-Wapato_Inventory[[#This Row],[non_valued_acres]] =0,0,LN(Wapato_Inventory[[#This Row],[parcel_acres]]-Wapato_Inventory[[#This Row],[non_valued_acres]]))</f>
        <v>-1.9661128563728327</v>
      </c>
      <c r="M147">
        <v>0</v>
      </c>
      <c r="N147">
        <v>0</v>
      </c>
      <c r="O147">
        <v>0</v>
      </c>
      <c r="P147">
        <v>27904.037</v>
      </c>
      <c r="Q147">
        <v>74398</v>
      </c>
      <c r="R147" s="3">
        <f>(Wapato_Inventory[[#This Row],[ln_acres]]*Wapato_Inventory[[#This Row],[coeff]])+Wapato_Inventory[[#This Row],[const]]</f>
        <v>19535.514109596792</v>
      </c>
      <c r="S147" t="s">
        <v>56</v>
      </c>
      <c r="T147">
        <v>2</v>
      </c>
      <c r="U147" t="s">
        <v>71</v>
      </c>
      <c r="V147" t="s">
        <v>68</v>
      </c>
      <c r="W147">
        <v>0</v>
      </c>
      <c r="X147">
        <v>0</v>
      </c>
      <c r="Y147">
        <v>71</v>
      </c>
      <c r="Z147">
        <v>119</v>
      </c>
      <c r="AA147">
        <v>120</v>
      </c>
      <c r="AB147">
        <v>1500</v>
      </c>
      <c r="AC147">
        <v>1152</v>
      </c>
      <c r="AD147">
        <v>872</v>
      </c>
      <c r="AE147">
        <v>280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5</v>
      </c>
      <c r="AQ147">
        <v>0</v>
      </c>
      <c r="AR147">
        <v>0</v>
      </c>
      <c r="AS147" t="s">
        <v>59</v>
      </c>
      <c r="AT147">
        <v>0</v>
      </c>
      <c r="AU147" t="s">
        <v>80</v>
      </c>
      <c r="AV147" t="s">
        <v>77</v>
      </c>
      <c r="AW147">
        <v>0</v>
      </c>
      <c r="AX147">
        <v>2</v>
      </c>
      <c r="AY147">
        <v>0</v>
      </c>
      <c r="AZ147">
        <v>0</v>
      </c>
      <c r="BA147">
        <v>100</v>
      </c>
      <c r="BB147">
        <v>100</v>
      </c>
      <c r="BC147">
        <v>100</v>
      </c>
      <c r="BD147">
        <v>100</v>
      </c>
      <c r="BE147">
        <v>1</v>
      </c>
      <c r="BF147">
        <v>15000</v>
      </c>
      <c r="BG147">
        <v>1000</v>
      </c>
      <c r="BH147" s="7">
        <f>ROUND(Wapato_Inventory[[#This Row],[detatched_value]]*Lookups!$B$22*Lookups!$H$48,-2)</f>
        <v>0</v>
      </c>
      <c r="BI147" s="7">
        <f>ROUND(((Wapato_Inventory[[#This Row],[land_extract]]*Lookups!$B$3) +(Lookups!$B$2*0.5))*Lookups!$H$48,-2)</f>
        <v>53000</v>
      </c>
      <c r="BJ147" s="7">
        <f>IF(Wapato_Inventory[[#This Row],[bldg_style]]="",0,Lookups!$B$2*0.5)</f>
        <v>53765.27</v>
      </c>
      <c r="BK147" s="7">
        <f>_xlfn.IFNA(VLOOKUP(Wapato_Inventory[[#This Row],[quality]],Lookups!$H$2:$J$14,3,FALSE),0)</f>
        <v>28034</v>
      </c>
      <c r="BL147" s="7">
        <f>_xlfn.IFNA(VLOOKUP(Wapato_Inventory[[#This Row],[condition]],Lookups!$H$17:$J$24,3,FALSE),0)</f>
        <v>52231</v>
      </c>
      <c r="BM147" s="7">
        <f>Wapato_Inventory[[#This Row],[Age]]*Lookups!$B$16</f>
        <v>-44110.408300000003</v>
      </c>
      <c r="BN147" s="7">
        <f>Wapato_Inventory[[#This Row],[Main Floor]]*Lookups!$B$17</f>
        <v>36450.244407999999</v>
      </c>
      <c r="BO147" s="7">
        <f>Wapato_Inventory[[#This Row],[Upper Floor]]*Lookups!$B$18</f>
        <v>13888.318920000002</v>
      </c>
      <c r="BP147" s="7">
        <f>Wapato_Inventory[[#This Row],[Fin BSMT]]*Lookups!$B$19</f>
        <v>0</v>
      </c>
      <c r="BQ147" s="7">
        <f>(Wapato_Inventory[[#This Row],[att_gar]]+Wapato_Inventory[[#This Row],[blt_gar]])*Lookups!$B$20</f>
        <v>0</v>
      </c>
      <c r="BR147" s="7">
        <f>Wapato_Inventory[[#This Row],[Patio]]*Lookups!$B$21</f>
        <v>0</v>
      </c>
      <c r="BS147" s="7">
        <f>SUM(Wapato_Inventory[[#This Row],[intercept]:[patio_value]])*Wapato_Inventory[[#This Row],[res_pct]]</f>
        <v>140258.42502799997</v>
      </c>
      <c r="BT147" s="7">
        <f>Wapato_Inventory[[#This Row],[land_value]]</f>
        <v>53000</v>
      </c>
      <c r="BU147" s="2">
        <f>_xlfn.IFNA(VLOOKUP(Wapato_Inventory[[#This Row],[quality]],Lookups!$A$28:$C$37,3,FALSE),1)</f>
        <v>0.96265813922927435</v>
      </c>
      <c r="BV147" s="2">
        <f>_xlfn.IFNA(VLOOKUP(Wapato_Inventory[[#This Row],[condition]],Lookups!$A$41:$C$48,3,FALSE),1)</f>
        <v>0.9832333997567807</v>
      </c>
      <c r="BW147" s="2">
        <f>IF(Wapato_Inventory[[#This Row],[decade]]="",1,_xlfn.IFNA(VLOOKUP(Wapato_Inventory[[#This Row],[decade]],Lookups!$F$28:$H$45,3,FALSE),1))</f>
        <v>0.93664589651353292</v>
      </c>
      <c r="BX147" s="2">
        <f>_xlfn.IFNA(VLOOKUP(Wapato_Inventory[[#This Row],[living_area_range]],Lookups!$K$28:$M$37,3,FALSE),1)</f>
        <v>1.0061411172456287</v>
      </c>
      <c r="BY147" s="2">
        <f>AVERAGE(Wapato_Inventory[[#This Row],[qual_adj]:[range_adj]])</f>
        <v>0.97216963818630409</v>
      </c>
      <c r="BZ147" s="7">
        <f>(Wapato_Inventory[[#This Row],[sum_land]]-IF(Wapato_Inventory[[#This Row],[no_utilities]]=1,12000,0))/IF(Wapato_Inventory[[#This Row],[unbuildable]]=1,2,1)</f>
        <v>53000</v>
      </c>
      <c r="CA147" s="7">
        <f>Wapato_Inventory[[#This Row],[pre_res]]*Wapato_Inventory[[#This Row],[overall_adj]]</f>
        <v>136354.98231205158</v>
      </c>
      <c r="CB14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47" s="3">
        <f>IF(ROUND(Wapato_Inventory[[#This Row],[adj_res]]*Lookups!$H$48,-2)&lt;Wapato_Inventory[[#This Row],[min_res]],Wapato_Inventory[[#This Row],[min_res]],ROUND(Wapato_Inventory[[#This Row],[adj_res]]*Lookups!$H$48,-2))</f>
        <v>129500</v>
      </c>
      <c r="CD147" s="3">
        <f>ROUND(Wapato_Inventory[[#This Row],[det_value]]*Lookups!$H$48,-2)</f>
        <v>0</v>
      </c>
      <c r="CE147" s="3">
        <f>Wapato_Inventory[[#This Row],[final_res]]+Wapato_Inventory[[#This Row],[final_det]]</f>
        <v>129500</v>
      </c>
      <c r="CF147" s="3">
        <f>Wapato_Inventory[[#This Row],[crop_value]]+Wapato_Inventory[[#This Row],[final_land]]+Wapato_Inventory[[#This Row],[final_imp]]</f>
        <v>179900</v>
      </c>
      <c r="CH147" t="str">
        <f t="shared" si="2"/>
        <v>update valuation set market_land =50400, market_bldg=129500, market_total =179900, market_mdno =405, market_date ='9/10/2023' where link_id = (select link_id from parcel where parcel_year = '2024' and parcel_id = '19111041408');</v>
      </c>
    </row>
    <row r="148" spans="1:86" x14ac:dyDescent="0.25">
      <c r="A148">
        <v>19111041409</v>
      </c>
      <c r="B148">
        <v>0.14000000000000001</v>
      </c>
      <c r="C148">
        <v>6005</v>
      </c>
      <c r="D148" t="s">
        <v>144</v>
      </c>
      <c r="E148" t="s">
        <v>54</v>
      </c>
      <c r="F148" t="s">
        <v>54</v>
      </c>
      <c r="G148">
        <v>3</v>
      </c>
      <c r="H148" t="s">
        <v>55</v>
      </c>
      <c r="I148">
        <v>109100</v>
      </c>
      <c r="J148">
        <v>31900</v>
      </c>
      <c r="K148">
        <v>0.14000000000000001</v>
      </c>
      <c r="L148">
        <f>IF(Wapato_Inventory[[#This Row],[parcel_acres]]-Wapato_Inventory[[#This Row],[non_valued_acres]] =0,0,LN(Wapato_Inventory[[#This Row],[parcel_acres]]-Wapato_Inventory[[#This Row],[non_valued_acres]]))</f>
        <v>-1.9661128563728327</v>
      </c>
      <c r="M148">
        <v>0</v>
      </c>
      <c r="N148">
        <v>0</v>
      </c>
      <c r="O148">
        <v>0</v>
      </c>
      <c r="P148">
        <v>27904.037</v>
      </c>
      <c r="Q148">
        <v>74398</v>
      </c>
      <c r="R148" s="3">
        <f>(Wapato_Inventory[[#This Row],[ln_acres]]*Wapato_Inventory[[#This Row],[coeff]])+Wapato_Inventory[[#This Row],[const]]</f>
        <v>19535.514109596792</v>
      </c>
      <c r="S148" t="s">
        <v>66</v>
      </c>
      <c r="T148">
        <v>1</v>
      </c>
      <c r="U148" t="s">
        <v>71</v>
      </c>
      <c r="V148" t="s">
        <v>68</v>
      </c>
      <c r="W148">
        <v>0</v>
      </c>
      <c r="X148">
        <v>0</v>
      </c>
      <c r="Y148">
        <v>55</v>
      </c>
      <c r="Z148">
        <v>98</v>
      </c>
      <c r="AA148">
        <v>100</v>
      </c>
      <c r="AB148">
        <v>1000</v>
      </c>
      <c r="AC148">
        <v>936</v>
      </c>
      <c r="AD148">
        <v>936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32</v>
      </c>
      <c r="AN148">
        <v>96</v>
      </c>
      <c r="AO148">
        <v>0</v>
      </c>
      <c r="AP148">
        <v>5</v>
      </c>
      <c r="AQ148">
        <v>0</v>
      </c>
      <c r="AR148">
        <v>0</v>
      </c>
      <c r="AS148" t="s">
        <v>59</v>
      </c>
      <c r="AT148">
        <v>1</v>
      </c>
      <c r="AU148" t="s">
        <v>72</v>
      </c>
      <c r="AV148" t="s">
        <v>61</v>
      </c>
      <c r="AW148">
        <v>0</v>
      </c>
      <c r="AX148">
        <v>2</v>
      </c>
      <c r="AY148">
        <v>0</v>
      </c>
      <c r="AZ148">
        <v>5900</v>
      </c>
      <c r="BA148">
        <v>100</v>
      </c>
      <c r="BB148">
        <v>100</v>
      </c>
      <c r="BC148">
        <v>100</v>
      </c>
      <c r="BD148">
        <v>100</v>
      </c>
      <c r="BE148">
        <v>1</v>
      </c>
      <c r="BF148">
        <v>15000</v>
      </c>
      <c r="BG148">
        <v>1000</v>
      </c>
      <c r="BH148" s="7">
        <f>ROUND(Wapato_Inventory[[#This Row],[detatched_value]]*Lookups!$B$22*Lookups!$H$48,-2)</f>
        <v>5300</v>
      </c>
      <c r="BI148" s="7">
        <f>ROUND(((Wapato_Inventory[[#This Row],[land_extract]]*Lookups!$B$3) +(Lookups!$B$2*0.5))*Lookups!$H$48,-2)</f>
        <v>53000</v>
      </c>
      <c r="BJ148" s="7">
        <f>IF(Wapato_Inventory[[#This Row],[bldg_style]]="",0,Lookups!$B$2*0.5)</f>
        <v>53765.27</v>
      </c>
      <c r="BK148" s="7">
        <f>_xlfn.IFNA(VLOOKUP(Wapato_Inventory[[#This Row],[quality]],Lookups!$H$2:$J$14,3,FALSE),0)</f>
        <v>28034</v>
      </c>
      <c r="BL148" s="7">
        <f>_xlfn.IFNA(VLOOKUP(Wapato_Inventory[[#This Row],[condition]],Lookups!$H$17:$J$24,3,FALSE),0)</f>
        <v>52231</v>
      </c>
      <c r="BM148" s="7">
        <f>Wapato_Inventory[[#This Row],[Age]]*Lookups!$B$16</f>
        <v>-36326.2186</v>
      </c>
      <c r="BN148" s="7">
        <f>Wapato_Inventory[[#This Row],[Main Floor]]*Lookups!$B$17</f>
        <v>39125.491704</v>
      </c>
      <c r="BO148" s="7">
        <f>Wapato_Inventory[[#This Row],[Upper Floor]]*Lookups!$B$18</f>
        <v>0</v>
      </c>
      <c r="BP148" s="7">
        <f>Wapato_Inventory[[#This Row],[Fin BSMT]]*Lookups!$B$19</f>
        <v>0</v>
      </c>
      <c r="BQ148" s="7">
        <f>(Wapato_Inventory[[#This Row],[att_gar]]+Wapato_Inventory[[#This Row],[blt_gar]])*Lookups!$B$20</f>
        <v>0</v>
      </c>
      <c r="BR148" s="7">
        <f>Wapato_Inventory[[#This Row],[Patio]]*Lookups!$B$21</f>
        <v>1386.367328</v>
      </c>
      <c r="BS148" s="7">
        <f>SUM(Wapato_Inventory[[#This Row],[intercept]:[patio_value]])*Wapato_Inventory[[#This Row],[res_pct]]</f>
        <v>138215.91043199998</v>
      </c>
      <c r="BT148" s="7">
        <f>Wapato_Inventory[[#This Row],[land_value]]</f>
        <v>53000</v>
      </c>
      <c r="BU148" s="2">
        <f>_xlfn.IFNA(VLOOKUP(Wapato_Inventory[[#This Row],[quality]],Lookups!$A$28:$C$37,3,FALSE),1)</f>
        <v>0.96265813922927435</v>
      </c>
      <c r="BV148" s="2">
        <f>_xlfn.IFNA(VLOOKUP(Wapato_Inventory[[#This Row],[condition]],Lookups!$A$41:$C$48,3,FALSE),1)</f>
        <v>0.9832333997567807</v>
      </c>
      <c r="BW148" s="2">
        <f>IF(Wapato_Inventory[[#This Row],[decade]]="",1,_xlfn.IFNA(VLOOKUP(Wapato_Inventory[[#This Row],[decade]],Lookups!$F$28:$H$45,3,FALSE),1))</f>
        <v>1.0114203040664467</v>
      </c>
      <c r="BX148" s="2">
        <f>_xlfn.IFNA(VLOOKUP(Wapato_Inventory[[#This Row],[living_area_range]],Lookups!$K$28:$M$37,3,FALSE),1)</f>
        <v>0.99022994770196116</v>
      </c>
      <c r="BY148" s="2">
        <f>AVERAGE(Wapato_Inventory[[#This Row],[qual_adj]:[range_adj]])</f>
        <v>0.98688544768861564</v>
      </c>
      <c r="BZ148" s="7">
        <f>(Wapato_Inventory[[#This Row],[sum_land]]-IF(Wapato_Inventory[[#This Row],[no_utilities]]=1,12000,0))/IF(Wapato_Inventory[[#This Row],[unbuildable]]=1,2,1)</f>
        <v>53000</v>
      </c>
      <c r="CA148" s="7">
        <f>Wapato_Inventory[[#This Row],[pre_res]]*Wapato_Inventory[[#This Row],[overall_adj]]</f>
        <v>136403.2706443739</v>
      </c>
      <c r="CB14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48" s="3">
        <f>IF(ROUND(Wapato_Inventory[[#This Row],[adj_res]]*Lookups!$H$48,-2)&lt;Wapato_Inventory[[#This Row],[min_res]],Wapato_Inventory[[#This Row],[min_res]],ROUND(Wapato_Inventory[[#This Row],[adj_res]]*Lookups!$H$48,-2))</f>
        <v>129600</v>
      </c>
      <c r="CD148" s="3">
        <f>ROUND(Wapato_Inventory[[#This Row],[det_value]]*Lookups!$H$48,-2)</f>
        <v>5000</v>
      </c>
      <c r="CE148" s="3">
        <f>Wapato_Inventory[[#This Row],[final_res]]+Wapato_Inventory[[#This Row],[final_det]]</f>
        <v>134600</v>
      </c>
      <c r="CF148" s="3">
        <f>Wapato_Inventory[[#This Row],[crop_value]]+Wapato_Inventory[[#This Row],[final_land]]+Wapato_Inventory[[#This Row],[final_imp]]</f>
        <v>185000</v>
      </c>
      <c r="CH148" t="str">
        <f t="shared" si="2"/>
        <v>update valuation set market_land =50400, market_bldg=134600, market_total =185000, market_mdno =405, market_date ='9/10/2023' where link_id = (select link_id from parcel where parcel_year = '2024' and parcel_id = '19111041409');</v>
      </c>
    </row>
    <row r="149" spans="1:86" x14ac:dyDescent="0.25">
      <c r="A149">
        <v>19111041411</v>
      </c>
      <c r="B149">
        <v>0.14000000000000001</v>
      </c>
      <c r="C149">
        <v>6000</v>
      </c>
      <c r="D149" t="s">
        <v>144</v>
      </c>
      <c r="E149" t="s">
        <v>54</v>
      </c>
      <c r="F149" t="s">
        <v>54</v>
      </c>
      <c r="G149">
        <v>3</v>
      </c>
      <c r="H149" t="s">
        <v>55</v>
      </c>
      <c r="I149">
        <v>112700</v>
      </c>
      <c r="J149">
        <v>31900</v>
      </c>
      <c r="K149">
        <v>0.14000000000000001</v>
      </c>
      <c r="L149">
        <f>IF(Wapato_Inventory[[#This Row],[parcel_acres]]-Wapato_Inventory[[#This Row],[non_valued_acres]] =0,0,LN(Wapato_Inventory[[#This Row],[parcel_acres]]-Wapato_Inventory[[#This Row],[non_valued_acres]]))</f>
        <v>-1.9661128563728327</v>
      </c>
      <c r="M149">
        <v>0</v>
      </c>
      <c r="N149">
        <v>0</v>
      </c>
      <c r="O149">
        <v>0</v>
      </c>
      <c r="P149">
        <v>27904.037</v>
      </c>
      <c r="Q149">
        <v>74398</v>
      </c>
      <c r="R149" s="3">
        <f>(Wapato_Inventory[[#This Row],[ln_acres]]*Wapato_Inventory[[#This Row],[coeff]])+Wapato_Inventory[[#This Row],[const]]</f>
        <v>19535.514109596792</v>
      </c>
      <c r="S149" t="s">
        <v>66</v>
      </c>
      <c r="T149">
        <v>1</v>
      </c>
      <c r="U149" t="s">
        <v>71</v>
      </c>
      <c r="V149" t="s">
        <v>68</v>
      </c>
      <c r="W149">
        <v>0</v>
      </c>
      <c r="X149">
        <v>0</v>
      </c>
      <c r="Y149">
        <v>43</v>
      </c>
      <c r="Z149">
        <v>103</v>
      </c>
      <c r="AA149">
        <v>110</v>
      </c>
      <c r="AB149">
        <v>1500</v>
      </c>
      <c r="AC149">
        <v>1120</v>
      </c>
      <c r="AD149">
        <v>1120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5</v>
      </c>
      <c r="AQ149">
        <v>0</v>
      </c>
      <c r="AR149">
        <v>0</v>
      </c>
      <c r="AS149" t="s">
        <v>59</v>
      </c>
      <c r="AT149">
        <v>1</v>
      </c>
      <c r="AU149" t="s">
        <v>72</v>
      </c>
      <c r="AV149" t="s">
        <v>61</v>
      </c>
      <c r="AW149">
        <v>0</v>
      </c>
      <c r="AX149">
        <v>3</v>
      </c>
      <c r="AY149">
        <v>0</v>
      </c>
      <c r="AZ149">
        <v>0</v>
      </c>
      <c r="BA149">
        <v>100</v>
      </c>
      <c r="BB149">
        <v>100</v>
      </c>
      <c r="BC149">
        <v>100</v>
      </c>
      <c r="BD149">
        <v>100</v>
      </c>
      <c r="BE149">
        <v>1</v>
      </c>
      <c r="BF149">
        <v>15000</v>
      </c>
      <c r="BG149">
        <v>1000</v>
      </c>
      <c r="BH149" s="7">
        <f>ROUND(Wapato_Inventory[[#This Row],[detatched_value]]*Lookups!$B$22*Lookups!$H$48,-2)</f>
        <v>0</v>
      </c>
      <c r="BI149" s="7">
        <f>ROUND(((Wapato_Inventory[[#This Row],[land_extract]]*Lookups!$B$3) +(Lookups!$B$2*0.5))*Lookups!$H$48,-2)</f>
        <v>53000</v>
      </c>
      <c r="BJ149" s="7">
        <f>IF(Wapato_Inventory[[#This Row],[bldg_style]]="",0,Lookups!$B$2*0.5)</f>
        <v>53765.27</v>
      </c>
      <c r="BK149" s="7">
        <f>_xlfn.IFNA(VLOOKUP(Wapato_Inventory[[#This Row],[quality]],Lookups!$H$2:$J$14,3,FALSE),0)</f>
        <v>28034</v>
      </c>
      <c r="BL149" s="7">
        <f>_xlfn.IFNA(VLOOKUP(Wapato_Inventory[[#This Row],[condition]],Lookups!$H$17:$J$24,3,FALSE),0)</f>
        <v>52231</v>
      </c>
      <c r="BM149" s="7">
        <f>Wapato_Inventory[[#This Row],[Age]]*Lookups!$B$16</f>
        <v>-38179.597099999999</v>
      </c>
      <c r="BN149" s="7">
        <f>Wapato_Inventory[[#This Row],[Main Floor]]*Lookups!$B$17</f>
        <v>46816.827680000002</v>
      </c>
      <c r="BO149" s="7">
        <f>Wapato_Inventory[[#This Row],[Upper Floor]]*Lookups!$B$18</f>
        <v>0</v>
      </c>
      <c r="BP149" s="7">
        <f>Wapato_Inventory[[#This Row],[Fin BSMT]]*Lookups!$B$19</f>
        <v>0</v>
      </c>
      <c r="BQ149" s="7">
        <f>(Wapato_Inventory[[#This Row],[att_gar]]+Wapato_Inventory[[#This Row],[blt_gar]])*Lookups!$B$20</f>
        <v>0</v>
      </c>
      <c r="BR149" s="7">
        <f>Wapato_Inventory[[#This Row],[Patio]]*Lookups!$B$21</f>
        <v>0</v>
      </c>
      <c r="BS149" s="7">
        <f>SUM(Wapato_Inventory[[#This Row],[intercept]:[patio_value]])*Wapato_Inventory[[#This Row],[res_pct]]</f>
        <v>142667.50057999999</v>
      </c>
      <c r="BT149" s="7">
        <f>Wapato_Inventory[[#This Row],[land_value]]</f>
        <v>53000</v>
      </c>
      <c r="BU149" s="2">
        <f>_xlfn.IFNA(VLOOKUP(Wapato_Inventory[[#This Row],[quality]],Lookups!$A$28:$C$37,3,FALSE),1)</f>
        <v>0.96265813922927435</v>
      </c>
      <c r="BV149" s="2">
        <f>_xlfn.IFNA(VLOOKUP(Wapato_Inventory[[#This Row],[condition]],Lookups!$A$41:$C$48,3,FALSE),1)</f>
        <v>0.9832333997567807</v>
      </c>
      <c r="BW149" s="2">
        <f>IF(Wapato_Inventory[[#This Row],[decade]]="",1,_xlfn.IFNA(VLOOKUP(Wapato_Inventory[[#This Row],[decade]],Lookups!$F$28:$H$45,3,FALSE),1))</f>
        <v>0.93664589651353292</v>
      </c>
      <c r="BX149" s="2">
        <f>_xlfn.IFNA(VLOOKUP(Wapato_Inventory[[#This Row],[living_area_range]],Lookups!$K$28:$M$37,3,FALSE),1)</f>
        <v>1.0061411172456287</v>
      </c>
      <c r="BY149" s="2">
        <f>AVERAGE(Wapato_Inventory[[#This Row],[qual_adj]:[range_adj]])</f>
        <v>0.97216963818630409</v>
      </c>
      <c r="BZ149" s="7">
        <f>(Wapato_Inventory[[#This Row],[sum_land]]-IF(Wapato_Inventory[[#This Row],[no_utilities]]=1,12000,0))/IF(Wapato_Inventory[[#This Row],[unbuildable]]=1,2,1)</f>
        <v>53000</v>
      </c>
      <c r="CA149" s="7">
        <f>Wapato_Inventory[[#This Row],[pre_res]]*Wapato_Inventory[[#This Row],[overall_adj]]</f>
        <v>138697.01241980292</v>
      </c>
      <c r="CB14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49" s="3">
        <f>IF(ROUND(Wapato_Inventory[[#This Row],[adj_res]]*Lookups!$H$48,-2)&lt;Wapato_Inventory[[#This Row],[min_res]],Wapato_Inventory[[#This Row],[min_res]],ROUND(Wapato_Inventory[[#This Row],[adj_res]]*Lookups!$H$48,-2))</f>
        <v>131800</v>
      </c>
      <c r="CD149" s="3">
        <f>ROUND(Wapato_Inventory[[#This Row],[det_value]]*Lookups!$H$48,-2)</f>
        <v>0</v>
      </c>
      <c r="CE149" s="3">
        <f>Wapato_Inventory[[#This Row],[final_res]]+Wapato_Inventory[[#This Row],[final_det]]</f>
        <v>131800</v>
      </c>
      <c r="CF149" s="3">
        <f>Wapato_Inventory[[#This Row],[crop_value]]+Wapato_Inventory[[#This Row],[final_land]]+Wapato_Inventory[[#This Row],[final_imp]]</f>
        <v>182200</v>
      </c>
      <c r="CH149" t="str">
        <f t="shared" si="2"/>
        <v>update valuation set market_land =50400, market_bldg=131800, market_total =182200, market_mdno =405, market_date ='9/10/2023' where link_id = (select link_id from parcel where parcel_year = '2024' and parcel_id = '19111041411');</v>
      </c>
    </row>
    <row r="150" spans="1:86" x14ac:dyDescent="0.25">
      <c r="A150">
        <v>19111041414</v>
      </c>
      <c r="B150">
        <v>7.0000000000000007E-2</v>
      </c>
      <c r="C150">
        <v>3000</v>
      </c>
      <c r="D150" t="s">
        <v>144</v>
      </c>
      <c r="E150" t="s">
        <v>54</v>
      </c>
      <c r="F150" t="s">
        <v>54</v>
      </c>
      <c r="G150">
        <v>3</v>
      </c>
      <c r="H150" t="s">
        <v>55</v>
      </c>
      <c r="I150">
        <v>184100</v>
      </c>
      <c r="J150">
        <v>26900</v>
      </c>
      <c r="K150">
        <v>7.0000000000000007E-2</v>
      </c>
      <c r="L150">
        <f>IF(Wapato_Inventory[[#This Row],[parcel_acres]]-Wapato_Inventory[[#This Row],[non_valued_acres]] =0,0,LN(Wapato_Inventory[[#This Row],[parcel_acres]]-Wapato_Inventory[[#This Row],[non_valued_acres]]))</f>
        <v>-2.6592600369327779</v>
      </c>
      <c r="M150">
        <v>0</v>
      </c>
      <c r="N150">
        <v>0</v>
      </c>
      <c r="O150">
        <v>0</v>
      </c>
      <c r="P150">
        <v>27904.037</v>
      </c>
      <c r="Q150">
        <v>74398</v>
      </c>
      <c r="R150" s="3">
        <f>(Wapato_Inventory[[#This Row],[ln_acres]]*Wapato_Inventory[[#This Row],[coeff]])+Wapato_Inventory[[#This Row],[const]]</f>
        <v>193.90953680640087</v>
      </c>
      <c r="S150" t="s">
        <v>66</v>
      </c>
      <c r="T150">
        <v>1</v>
      </c>
      <c r="U150" t="s">
        <v>75</v>
      </c>
      <c r="V150" t="s">
        <v>68</v>
      </c>
      <c r="W150">
        <v>0</v>
      </c>
      <c r="X150">
        <v>0</v>
      </c>
      <c r="Y150">
        <v>33</v>
      </c>
      <c r="Z150">
        <v>33</v>
      </c>
      <c r="AA150">
        <v>40</v>
      </c>
      <c r="AB150">
        <v>1500</v>
      </c>
      <c r="AC150">
        <v>1216</v>
      </c>
      <c r="AD150">
        <v>1216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192</v>
      </c>
      <c r="AO150">
        <v>0</v>
      </c>
      <c r="AP150">
        <v>5</v>
      </c>
      <c r="AQ150">
        <v>0</v>
      </c>
      <c r="AR150">
        <v>0</v>
      </c>
      <c r="AS150" t="s">
        <v>59</v>
      </c>
      <c r="AT150">
        <v>1</v>
      </c>
      <c r="AU150" t="s">
        <v>64</v>
      </c>
      <c r="AV150" t="s">
        <v>61</v>
      </c>
      <c r="AW150">
        <v>1</v>
      </c>
      <c r="AX150">
        <v>3</v>
      </c>
      <c r="AY150">
        <v>0</v>
      </c>
      <c r="AZ150">
        <v>1300</v>
      </c>
      <c r="BA150">
        <v>100</v>
      </c>
      <c r="BB150">
        <v>100</v>
      </c>
      <c r="BC150">
        <v>100</v>
      </c>
      <c r="BD150">
        <v>100</v>
      </c>
      <c r="BE150">
        <v>1</v>
      </c>
      <c r="BF150">
        <v>15000</v>
      </c>
      <c r="BG150">
        <v>1000</v>
      </c>
      <c r="BH150" s="7">
        <f>ROUND(Wapato_Inventory[[#This Row],[detatched_value]]*Lookups!$B$22*Lookups!$H$48,-2)</f>
        <v>1200</v>
      </c>
      <c r="BI150" s="7">
        <f>ROUND(((Wapato_Inventory[[#This Row],[land_extract]]*Lookups!$B$3) +(Lookups!$B$2*0.5))*Lookups!$H$48,-2)</f>
        <v>51100</v>
      </c>
      <c r="BJ150" s="7">
        <f>IF(Wapato_Inventory[[#This Row],[bldg_style]]="",0,Lookups!$B$2*0.5)</f>
        <v>53765.27</v>
      </c>
      <c r="BK150" s="7">
        <f>_xlfn.IFNA(VLOOKUP(Wapato_Inventory[[#This Row],[quality]],Lookups!$H$2:$J$14,3,FALSE),0)</f>
        <v>48043</v>
      </c>
      <c r="BL150" s="7">
        <f>_xlfn.IFNA(VLOOKUP(Wapato_Inventory[[#This Row],[condition]],Lookups!$H$17:$J$24,3,FALSE),0)</f>
        <v>52231</v>
      </c>
      <c r="BM150" s="7">
        <f>Wapato_Inventory[[#This Row],[Age]]*Lookups!$B$16</f>
        <v>-12232.2981</v>
      </c>
      <c r="BN150" s="7">
        <f>Wapato_Inventory[[#This Row],[Main Floor]]*Lookups!$B$17</f>
        <v>50829.698623999997</v>
      </c>
      <c r="BO150" s="7">
        <f>Wapato_Inventory[[#This Row],[Upper Floor]]*Lookups!$B$18</f>
        <v>0</v>
      </c>
      <c r="BP150" s="7">
        <f>Wapato_Inventory[[#This Row],[Fin BSMT]]*Lookups!$B$19</f>
        <v>0</v>
      </c>
      <c r="BQ150" s="7">
        <f>(Wapato_Inventory[[#This Row],[att_gar]]+Wapato_Inventory[[#This Row],[blt_gar]])*Lookups!$B$20</f>
        <v>0</v>
      </c>
      <c r="BR150" s="7">
        <f>Wapato_Inventory[[#This Row],[Patio]]*Lookups!$B$21</f>
        <v>0</v>
      </c>
      <c r="BS150" s="7">
        <f>SUM(Wapato_Inventory[[#This Row],[intercept]:[patio_value]])*Wapato_Inventory[[#This Row],[res_pct]]</f>
        <v>192636.67052400002</v>
      </c>
      <c r="BT150" s="7">
        <f>Wapato_Inventory[[#This Row],[land_value]]</f>
        <v>51100</v>
      </c>
      <c r="BU150" s="2">
        <f>_xlfn.IFNA(VLOOKUP(Wapato_Inventory[[#This Row],[quality]],Lookups!$A$28:$C$37,3,FALSE),1)</f>
        <v>0.98196844879778955</v>
      </c>
      <c r="BV150" s="2">
        <f>_xlfn.IFNA(VLOOKUP(Wapato_Inventory[[#This Row],[condition]],Lookups!$A$41:$C$48,3,FALSE),1)</f>
        <v>0.9832333997567807</v>
      </c>
      <c r="BW150" s="2">
        <f>IF(Wapato_Inventory[[#This Row],[decade]]="",1,_xlfn.IFNA(VLOOKUP(Wapato_Inventory[[#This Row],[decade]],Lookups!$F$28:$H$45,3,FALSE),1))</f>
        <v>1.0327621624630683</v>
      </c>
      <c r="BX150" s="2">
        <f>_xlfn.IFNA(VLOOKUP(Wapato_Inventory[[#This Row],[living_area_range]],Lookups!$K$28:$M$37,3,FALSE),1)</f>
        <v>1.0061411172456287</v>
      </c>
      <c r="BY150" s="2">
        <f>AVERAGE(Wapato_Inventory[[#This Row],[qual_adj]:[range_adj]])</f>
        <v>1.0010262820658169</v>
      </c>
      <c r="BZ150" s="7">
        <f>(Wapato_Inventory[[#This Row],[sum_land]]-IF(Wapato_Inventory[[#This Row],[no_utilities]]=1,12000,0))/IF(Wapato_Inventory[[#This Row],[unbuildable]]=1,2,1)</f>
        <v>51100</v>
      </c>
      <c r="CA150" s="7">
        <f>Wapato_Inventory[[#This Row],[pre_res]]*Wapato_Inventory[[#This Row],[overall_adj]]</f>
        <v>192834.37008417747</v>
      </c>
      <c r="CB150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150" s="3">
        <f>IF(ROUND(Wapato_Inventory[[#This Row],[adj_res]]*Lookups!$H$48,-2)&lt;Wapato_Inventory[[#This Row],[min_res]],Wapato_Inventory[[#This Row],[min_res]],ROUND(Wapato_Inventory[[#This Row],[adj_res]]*Lookups!$H$48,-2))</f>
        <v>183200</v>
      </c>
      <c r="CD150" s="3">
        <f>ROUND(Wapato_Inventory[[#This Row],[det_value]]*Lookups!$H$48,-2)</f>
        <v>1100</v>
      </c>
      <c r="CE150" s="3">
        <f>Wapato_Inventory[[#This Row],[final_res]]+Wapato_Inventory[[#This Row],[final_det]]</f>
        <v>184300</v>
      </c>
      <c r="CF150" s="3">
        <f>Wapato_Inventory[[#This Row],[crop_value]]+Wapato_Inventory[[#This Row],[final_land]]+Wapato_Inventory[[#This Row],[final_imp]]</f>
        <v>232800</v>
      </c>
      <c r="CH150" t="str">
        <f t="shared" si="2"/>
        <v>update valuation set market_land =48500, market_bldg=184300, market_total =232800, market_mdno =405, market_date ='9/10/2023' where link_id = (select link_id from parcel where parcel_year = '2024' and parcel_id = '19111041414');</v>
      </c>
    </row>
    <row r="151" spans="1:86" x14ac:dyDescent="0.25">
      <c r="A151">
        <v>19111041418</v>
      </c>
      <c r="B151">
        <v>0.17</v>
      </c>
      <c r="C151">
        <v>7206</v>
      </c>
      <c r="D151" t="s">
        <v>144</v>
      </c>
      <c r="E151" t="s">
        <v>54</v>
      </c>
      <c r="F151" t="s">
        <v>54</v>
      </c>
      <c r="G151">
        <v>3</v>
      </c>
      <c r="H151" t="s">
        <v>55</v>
      </c>
      <c r="I151">
        <v>64200</v>
      </c>
      <c r="J151">
        <v>33200</v>
      </c>
      <c r="K151">
        <v>0.17</v>
      </c>
      <c r="L151">
        <f>IF(Wapato_Inventory[[#This Row],[parcel_acres]]-Wapato_Inventory[[#This Row],[non_valued_acres]] =0,0,LN(Wapato_Inventory[[#This Row],[parcel_acres]]-Wapato_Inventory[[#This Row],[non_valued_acres]]))</f>
        <v>-1.7719568419318752</v>
      </c>
      <c r="M151">
        <v>0</v>
      </c>
      <c r="N151">
        <v>0</v>
      </c>
      <c r="O151">
        <v>0</v>
      </c>
      <c r="P151">
        <v>27904.037</v>
      </c>
      <c r="Q151">
        <v>74398</v>
      </c>
      <c r="R151" s="3">
        <f>(Wapato_Inventory[[#This Row],[ln_acres]]*Wapato_Inventory[[#This Row],[coeff]])+Wapato_Inventory[[#This Row],[const]]</f>
        <v>24953.250720329801</v>
      </c>
      <c r="S151" t="s">
        <v>66</v>
      </c>
      <c r="T151">
        <v>1</v>
      </c>
      <c r="U151" t="s">
        <v>71</v>
      </c>
      <c r="V151" t="s">
        <v>73</v>
      </c>
      <c r="W151">
        <v>0</v>
      </c>
      <c r="X151">
        <v>0</v>
      </c>
      <c r="Y151">
        <v>65</v>
      </c>
      <c r="Z151">
        <v>113</v>
      </c>
      <c r="AA151">
        <v>120</v>
      </c>
      <c r="AB151">
        <v>1000</v>
      </c>
      <c r="AC151">
        <v>956</v>
      </c>
      <c r="AD151">
        <v>956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200</v>
      </c>
      <c r="AN151">
        <v>0</v>
      </c>
      <c r="AO151">
        <v>200</v>
      </c>
      <c r="AP151">
        <v>5</v>
      </c>
      <c r="AQ151">
        <v>0</v>
      </c>
      <c r="AR151">
        <v>0</v>
      </c>
      <c r="AS151" t="s">
        <v>59</v>
      </c>
      <c r="AT151">
        <v>0</v>
      </c>
      <c r="AU151" t="s">
        <v>80</v>
      </c>
      <c r="AV151" t="s">
        <v>147</v>
      </c>
      <c r="AW151">
        <v>0</v>
      </c>
      <c r="AX151">
        <v>2</v>
      </c>
      <c r="AY151">
        <v>0</v>
      </c>
      <c r="AZ151">
        <v>0</v>
      </c>
      <c r="BA151">
        <v>100</v>
      </c>
      <c r="BB151">
        <v>100</v>
      </c>
      <c r="BC151">
        <v>100</v>
      </c>
      <c r="BD151">
        <v>100</v>
      </c>
      <c r="BE151">
        <v>1</v>
      </c>
      <c r="BF151">
        <v>15000</v>
      </c>
      <c r="BG151">
        <v>1000</v>
      </c>
      <c r="BH151" s="7">
        <f>ROUND(Wapato_Inventory[[#This Row],[detatched_value]]*Lookups!$B$22*Lookups!$H$48,-2)</f>
        <v>0</v>
      </c>
      <c r="BI151" s="7">
        <f>ROUND(((Wapato_Inventory[[#This Row],[land_extract]]*Lookups!$B$3) +(Lookups!$B$2*0.5))*Lookups!$H$48,-2)</f>
        <v>53500</v>
      </c>
      <c r="BJ151" s="7">
        <f>IF(Wapato_Inventory[[#This Row],[bldg_style]]="",0,Lookups!$B$2*0.5)</f>
        <v>53765.27</v>
      </c>
      <c r="BK151" s="7">
        <f>_xlfn.IFNA(VLOOKUP(Wapato_Inventory[[#This Row],[quality]],Lookups!$H$2:$J$14,3,FALSE),0)</f>
        <v>28034</v>
      </c>
      <c r="BL151" s="7">
        <f>_xlfn.IFNA(VLOOKUP(Wapato_Inventory[[#This Row],[condition]],Lookups!$H$17:$J$24,3,FALSE),0)</f>
        <v>16276</v>
      </c>
      <c r="BM151" s="7">
        <f>Wapato_Inventory[[#This Row],[Age]]*Lookups!$B$16</f>
        <v>-41886.354100000004</v>
      </c>
      <c r="BN151" s="7">
        <f>Wapato_Inventory[[#This Row],[Main Floor]]*Lookups!$B$17</f>
        <v>39961.506483999998</v>
      </c>
      <c r="BO151" s="7">
        <f>Wapato_Inventory[[#This Row],[Upper Floor]]*Lookups!$B$18</f>
        <v>0</v>
      </c>
      <c r="BP151" s="7">
        <f>Wapato_Inventory[[#This Row],[Fin BSMT]]*Lookups!$B$19</f>
        <v>0</v>
      </c>
      <c r="BQ151" s="7">
        <f>(Wapato_Inventory[[#This Row],[att_gar]]+Wapato_Inventory[[#This Row],[blt_gar]])*Lookups!$B$20</f>
        <v>0</v>
      </c>
      <c r="BR151" s="7">
        <f>Wapato_Inventory[[#This Row],[Patio]]*Lookups!$B$21</f>
        <v>8664.7957999999999</v>
      </c>
      <c r="BS151" s="7">
        <f>SUM(Wapato_Inventory[[#This Row],[intercept]:[patio_value]])*Wapato_Inventory[[#This Row],[res_pct]]</f>
        <v>104815.21818399997</v>
      </c>
      <c r="BT151" s="7">
        <f>Wapato_Inventory[[#This Row],[land_value]]</f>
        <v>53500</v>
      </c>
      <c r="BU151" s="2">
        <f>_xlfn.IFNA(VLOOKUP(Wapato_Inventory[[#This Row],[quality]],Lookups!$A$28:$C$37,3,FALSE),1)</f>
        <v>0.96265813922927435</v>
      </c>
      <c r="BV151" s="2">
        <f>_xlfn.IFNA(VLOOKUP(Wapato_Inventory[[#This Row],[condition]],Lookups!$A$41:$C$48,3,FALSE),1)</f>
        <v>0.93399385491337139</v>
      </c>
      <c r="BW151" s="2">
        <f>IF(Wapato_Inventory[[#This Row],[decade]]="",1,_xlfn.IFNA(VLOOKUP(Wapato_Inventory[[#This Row],[decade]],Lookups!$F$28:$H$45,3,FALSE),1))</f>
        <v>0.93664589651353292</v>
      </c>
      <c r="BX151" s="2">
        <f>_xlfn.IFNA(VLOOKUP(Wapato_Inventory[[#This Row],[living_area_range]],Lookups!$K$28:$M$37,3,FALSE),1)</f>
        <v>0.99022994770196116</v>
      </c>
      <c r="BY151" s="2">
        <f>AVERAGE(Wapato_Inventory[[#This Row],[qual_adj]:[range_adj]])</f>
        <v>0.95588195958953504</v>
      </c>
      <c r="BZ151" s="7">
        <f>(Wapato_Inventory[[#This Row],[sum_land]]-IF(Wapato_Inventory[[#This Row],[no_utilities]]=1,12000,0))/IF(Wapato_Inventory[[#This Row],[unbuildable]]=1,2,1)</f>
        <v>53500</v>
      </c>
      <c r="CA151" s="7">
        <f>Wapato_Inventory[[#This Row],[pre_res]]*Wapato_Inventory[[#This Row],[overall_adj]]</f>
        <v>100190.97615252655</v>
      </c>
      <c r="CB151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51" s="3">
        <f>IF(ROUND(Wapato_Inventory[[#This Row],[adj_res]]*Lookups!$H$48,-2)&lt;Wapato_Inventory[[#This Row],[min_res]],Wapato_Inventory[[#This Row],[min_res]],ROUND(Wapato_Inventory[[#This Row],[adj_res]]*Lookups!$H$48,-2))</f>
        <v>95200</v>
      </c>
      <c r="CD151" s="3">
        <f>ROUND(Wapato_Inventory[[#This Row],[det_value]]*Lookups!$H$48,-2)</f>
        <v>0</v>
      </c>
      <c r="CE151" s="3">
        <f>Wapato_Inventory[[#This Row],[final_res]]+Wapato_Inventory[[#This Row],[final_det]]</f>
        <v>95200</v>
      </c>
      <c r="CF151" s="3">
        <f>Wapato_Inventory[[#This Row],[crop_value]]+Wapato_Inventory[[#This Row],[final_land]]+Wapato_Inventory[[#This Row],[final_imp]]</f>
        <v>146000</v>
      </c>
      <c r="CH151" t="str">
        <f t="shared" si="2"/>
        <v>update valuation set market_land =50800, market_bldg=95200, market_total =146000, market_mdno =405, market_date ='9/10/2023' where link_id = (select link_id from parcel where parcel_year = '2024' and parcel_id = '19111041418');</v>
      </c>
    </row>
    <row r="152" spans="1:86" x14ac:dyDescent="0.25">
      <c r="A152">
        <v>19111041419</v>
      </c>
      <c r="B152">
        <v>0.14000000000000001</v>
      </c>
      <c r="C152">
        <v>6005</v>
      </c>
      <c r="D152" t="s">
        <v>144</v>
      </c>
      <c r="E152" t="s">
        <v>54</v>
      </c>
      <c r="F152" t="s">
        <v>54</v>
      </c>
      <c r="G152">
        <v>3</v>
      </c>
      <c r="H152" t="s">
        <v>55</v>
      </c>
      <c r="I152">
        <v>166000</v>
      </c>
      <c r="J152">
        <v>31900</v>
      </c>
      <c r="K152">
        <v>0.14000000000000001</v>
      </c>
      <c r="L152">
        <f>IF(Wapato_Inventory[[#This Row],[parcel_acres]]-Wapato_Inventory[[#This Row],[non_valued_acres]] =0,0,LN(Wapato_Inventory[[#This Row],[parcel_acres]]-Wapato_Inventory[[#This Row],[non_valued_acres]]))</f>
        <v>-1.9661128563728327</v>
      </c>
      <c r="M152">
        <v>0</v>
      </c>
      <c r="N152">
        <v>0</v>
      </c>
      <c r="O152">
        <v>0</v>
      </c>
      <c r="P152">
        <v>27904.037</v>
      </c>
      <c r="Q152">
        <v>74398</v>
      </c>
      <c r="R152" s="3">
        <f>(Wapato_Inventory[[#This Row],[ln_acres]]*Wapato_Inventory[[#This Row],[coeff]])+Wapato_Inventory[[#This Row],[const]]</f>
        <v>19535.514109596792</v>
      </c>
      <c r="S152" t="s">
        <v>66</v>
      </c>
      <c r="T152">
        <v>1</v>
      </c>
      <c r="U152" t="s">
        <v>75</v>
      </c>
      <c r="V152" t="s">
        <v>69</v>
      </c>
      <c r="W152">
        <v>0</v>
      </c>
      <c r="X152">
        <v>0</v>
      </c>
      <c r="Y152">
        <v>33</v>
      </c>
      <c r="Z152">
        <v>103</v>
      </c>
      <c r="AA152">
        <v>110</v>
      </c>
      <c r="AB152">
        <v>1000</v>
      </c>
      <c r="AC152">
        <v>960</v>
      </c>
      <c r="AD152">
        <v>960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8</v>
      </c>
      <c r="AQ152">
        <v>0</v>
      </c>
      <c r="AR152">
        <v>0</v>
      </c>
      <c r="AS152" t="s">
        <v>59</v>
      </c>
      <c r="AT152">
        <v>1</v>
      </c>
      <c r="AU152" t="s">
        <v>72</v>
      </c>
      <c r="AV152" t="s">
        <v>61</v>
      </c>
      <c r="AW152">
        <v>0</v>
      </c>
      <c r="AX152">
        <v>3</v>
      </c>
      <c r="AY152">
        <v>0</v>
      </c>
      <c r="AZ152">
        <v>0</v>
      </c>
      <c r="BA152">
        <v>100</v>
      </c>
      <c r="BB152">
        <v>100</v>
      </c>
      <c r="BC152">
        <v>100</v>
      </c>
      <c r="BD152">
        <v>100</v>
      </c>
      <c r="BE152">
        <v>1</v>
      </c>
      <c r="BF152">
        <v>15000</v>
      </c>
      <c r="BG152">
        <v>1000</v>
      </c>
      <c r="BH152" s="7">
        <f>ROUND(Wapato_Inventory[[#This Row],[detatched_value]]*Lookups!$B$22*Lookups!$H$48,-2)</f>
        <v>0</v>
      </c>
      <c r="BI152" s="7">
        <f>ROUND(((Wapato_Inventory[[#This Row],[land_extract]]*Lookups!$B$3) +(Lookups!$B$2*0.5))*Lookups!$H$48,-2)</f>
        <v>53000</v>
      </c>
      <c r="BJ152" s="7">
        <f>IF(Wapato_Inventory[[#This Row],[bldg_style]]="",0,Lookups!$B$2*0.5)</f>
        <v>53765.27</v>
      </c>
      <c r="BK152" s="7">
        <f>_xlfn.IFNA(VLOOKUP(Wapato_Inventory[[#This Row],[quality]],Lookups!$H$2:$J$14,3,FALSE),0)</f>
        <v>48043</v>
      </c>
      <c r="BL152" s="7">
        <f>_xlfn.IFNA(VLOOKUP(Wapato_Inventory[[#This Row],[condition]],Lookups!$H$17:$J$24,3,FALSE),0)</f>
        <v>74543</v>
      </c>
      <c r="BM152" s="7">
        <f>Wapato_Inventory[[#This Row],[Age]]*Lookups!$B$16</f>
        <v>-38179.597099999999</v>
      </c>
      <c r="BN152" s="7">
        <f>Wapato_Inventory[[#This Row],[Main Floor]]*Lookups!$B$17</f>
        <v>40128.709439999999</v>
      </c>
      <c r="BO152" s="7">
        <f>Wapato_Inventory[[#This Row],[Upper Floor]]*Lookups!$B$18</f>
        <v>0</v>
      </c>
      <c r="BP152" s="7">
        <f>Wapato_Inventory[[#This Row],[Fin BSMT]]*Lookups!$B$19</f>
        <v>0</v>
      </c>
      <c r="BQ152" s="7">
        <f>(Wapato_Inventory[[#This Row],[att_gar]]+Wapato_Inventory[[#This Row],[blt_gar]])*Lookups!$B$20</f>
        <v>0</v>
      </c>
      <c r="BR152" s="7">
        <f>Wapato_Inventory[[#This Row],[Patio]]*Lookups!$B$21</f>
        <v>0</v>
      </c>
      <c r="BS152" s="7">
        <f>SUM(Wapato_Inventory[[#This Row],[intercept]:[patio_value]])*Wapato_Inventory[[#This Row],[res_pct]]</f>
        <v>178300.38234000001</v>
      </c>
      <c r="BT152" s="7">
        <f>Wapato_Inventory[[#This Row],[land_value]]</f>
        <v>53000</v>
      </c>
      <c r="BU152" s="2">
        <f>_xlfn.IFNA(VLOOKUP(Wapato_Inventory[[#This Row],[quality]],Lookups!$A$28:$C$37,3,FALSE),1)</f>
        <v>0.98196844879778955</v>
      </c>
      <c r="BV152" s="2">
        <f>_xlfn.IFNA(VLOOKUP(Wapato_Inventory[[#This Row],[condition]],Lookups!$A$41:$C$48,3,FALSE),1)</f>
        <v>0.98442438223270734</v>
      </c>
      <c r="BW152" s="2">
        <f>IF(Wapato_Inventory[[#This Row],[decade]]="",1,_xlfn.IFNA(VLOOKUP(Wapato_Inventory[[#This Row],[decade]],Lookups!$F$28:$H$45,3,FALSE),1))</f>
        <v>0.93664589651353292</v>
      </c>
      <c r="BX152" s="2">
        <f>_xlfn.IFNA(VLOOKUP(Wapato_Inventory[[#This Row],[living_area_range]],Lookups!$K$28:$M$37,3,FALSE),1)</f>
        <v>0.99022994770196116</v>
      </c>
      <c r="BY152" s="2">
        <f>AVERAGE(Wapato_Inventory[[#This Row],[qual_adj]:[range_adj]])</f>
        <v>0.97331716881149777</v>
      </c>
      <c r="BZ152" s="7">
        <f>(Wapato_Inventory[[#This Row],[sum_land]]-IF(Wapato_Inventory[[#This Row],[no_utilities]]=1,12000,0))/IF(Wapato_Inventory[[#This Row],[unbuildable]]=1,2,1)</f>
        <v>53000</v>
      </c>
      <c r="CA152" s="7">
        <f>Wapato_Inventory[[#This Row],[pre_res]]*Wapato_Inventory[[#This Row],[overall_adj]]</f>
        <v>173542.82333717638</v>
      </c>
      <c r="CB15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52" s="3">
        <f>IF(ROUND(Wapato_Inventory[[#This Row],[adj_res]]*Lookups!$H$48,-2)&lt;Wapato_Inventory[[#This Row],[min_res]],Wapato_Inventory[[#This Row],[min_res]],ROUND(Wapato_Inventory[[#This Row],[adj_res]]*Lookups!$H$48,-2))</f>
        <v>164900</v>
      </c>
      <c r="CD152" s="3">
        <f>ROUND(Wapato_Inventory[[#This Row],[det_value]]*Lookups!$H$48,-2)</f>
        <v>0</v>
      </c>
      <c r="CE152" s="3">
        <f>Wapato_Inventory[[#This Row],[final_res]]+Wapato_Inventory[[#This Row],[final_det]]</f>
        <v>164900</v>
      </c>
      <c r="CF152" s="3">
        <f>Wapato_Inventory[[#This Row],[crop_value]]+Wapato_Inventory[[#This Row],[final_land]]+Wapato_Inventory[[#This Row],[final_imp]]</f>
        <v>215300</v>
      </c>
      <c r="CH152" t="str">
        <f t="shared" si="2"/>
        <v>update valuation set market_land =50400, market_bldg=164900, market_total =215300, market_mdno =405, market_date ='9/10/2023' where link_id = (select link_id from parcel where parcel_year = '2024' and parcel_id = '19111041419');</v>
      </c>
    </row>
    <row r="153" spans="1:86" x14ac:dyDescent="0.25">
      <c r="A153">
        <v>19111041422</v>
      </c>
      <c r="B153">
        <v>0.14000000000000001</v>
      </c>
      <c r="C153">
        <v>6005</v>
      </c>
      <c r="D153" t="s">
        <v>144</v>
      </c>
      <c r="E153" t="s">
        <v>54</v>
      </c>
      <c r="F153" t="s">
        <v>54</v>
      </c>
      <c r="G153">
        <v>3</v>
      </c>
      <c r="H153" t="s">
        <v>55</v>
      </c>
      <c r="I153">
        <v>75500</v>
      </c>
      <c r="J153">
        <v>31900</v>
      </c>
      <c r="K153">
        <v>0.14000000000000001</v>
      </c>
      <c r="L153">
        <f>IF(Wapato_Inventory[[#This Row],[parcel_acres]]-Wapato_Inventory[[#This Row],[non_valued_acres]] =0,0,LN(Wapato_Inventory[[#This Row],[parcel_acres]]-Wapato_Inventory[[#This Row],[non_valued_acres]]))</f>
        <v>-1.9661128563728327</v>
      </c>
      <c r="M153">
        <v>0</v>
      </c>
      <c r="N153">
        <v>0</v>
      </c>
      <c r="O153">
        <v>0</v>
      </c>
      <c r="P153">
        <v>27904.037</v>
      </c>
      <c r="Q153">
        <v>74398</v>
      </c>
      <c r="R153" s="3">
        <f>(Wapato_Inventory[[#This Row],[ln_acres]]*Wapato_Inventory[[#This Row],[coeff]])+Wapato_Inventory[[#This Row],[const]]</f>
        <v>19535.514109596792</v>
      </c>
      <c r="S153" t="s">
        <v>66</v>
      </c>
      <c r="T153">
        <v>1</v>
      </c>
      <c r="U153" t="s">
        <v>86</v>
      </c>
      <c r="V153" t="s">
        <v>68</v>
      </c>
      <c r="W153">
        <v>0</v>
      </c>
      <c r="X153">
        <v>0</v>
      </c>
      <c r="Y153">
        <v>57</v>
      </c>
      <c r="Z153">
        <v>103</v>
      </c>
      <c r="AA153">
        <v>110</v>
      </c>
      <c r="AB153">
        <v>1000</v>
      </c>
      <c r="AC153">
        <v>931</v>
      </c>
      <c r="AD153">
        <v>931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5</v>
      </c>
      <c r="AQ153">
        <v>0</v>
      </c>
      <c r="AR153">
        <v>0</v>
      </c>
      <c r="AS153" t="s">
        <v>82</v>
      </c>
      <c r="AT153">
        <v>1</v>
      </c>
      <c r="AU153" t="s">
        <v>72</v>
      </c>
      <c r="AV153" t="s">
        <v>61</v>
      </c>
      <c r="AW153">
        <v>0</v>
      </c>
      <c r="AX153">
        <v>3</v>
      </c>
      <c r="AY153">
        <v>0</v>
      </c>
      <c r="AZ153">
        <v>0</v>
      </c>
      <c r="BA153">
        <v>100</v>
      </c>
      <c r="BB153">
        <v>100</v>
      </c>
      <c r="BC153">
        <v>100</v>
      </c>
      <c r="BD153">
        <v>100</v>
      </c>
      <c r="BE153">
        <v>1</v>
      </c>
      <c r="BF153">
        <v>15000</v>
      </c>
      <c r="BG153">
        <v>1000</v>
      </c>
      <c r="BH153" s="7">
        <f>ROUND(Wapato_Inventory[[#This Row],[detatched_value]]*Lookups!$B$22*Lookups!$H$48,-2)</f>
        <v>0</v>
      </c>
      <c r="BI153" s="7">
        <f>ROUND(((Wapato_Inventory[[#This Row],[land_extract]]*Lookups!$B$3) +(Lookups!$B$2*0.5))*Lookups!$H$48,-2)</f>
        <v>53000</v>
      </c>
      <c r="BJ153" s="7">
        <f>IF(Wapato_Inventory[[#This Row],[bldg_style]]="",0,Lookups!$B$2*0.5)</f>
        <v>53765.27</v>
      </c>
      <c r="BK153" s="7">
        <f>_xlfn.IFNA(VLOOKUP(Wapato_Inventory[[#This Row],[quality]],Lookups!$H$2:$J$14,3,FALSE),0)</f>
        <v>0</v>
      </c>
      <c r="BL153" s="7">
        <f>_xlfn.IFNA(VLOOKUP(Wapato_Inventory[[#This Row],[condition]],Lookups!$H$17:$J$24,3,FALSE),0)</f>
        <v>52231</v>
      </c>
      <c r="BM153" s="7">
        <f>Wapato_Inventory[[#This Row],[Age]]*Lookups!$B$16</f>
        <v>-38179.597099999999</v>
      </c>
      <c r="BN153" s="7">
        <f>Wapato_Inventory[[#This Row],[Main Floor]]*Lookups!$B$17</f>
        <v>38916.488009000001</v>
      </c>
      <c r="BO153" s="7">
        <f>Wapato_Inventory[[#This Row],[Upper Floor]]*Lookups!$B$18</f>
        <v>0</v>
      </c>
      <c r="BP153" s="7">
        <f>Wapato_Inventory[[#This Row],[Fin BSMT]]*Lookups!$B$19</f>
        <v>0</v>
      </c>
      <c r="BQ153" s="7">
        <f>(Wapato_Inventory[[#This Row],[att_gar]]+Wapato_Inventory[[#This Row],[blt_gar]])*Lookups!$B$20</f>
        <v>0</v>
      </c>
      <c r="BR153" s="7">
        <f>Wapato_Inventory[[#This Row],[Patio]]*Lookups!$B$21</f>
        <v>0</v>
      </c>
      <c r="BS153" s="7">
        <f>SUM(Wapato_Inventory[[#This Row],[intercept]:[patio_value]])*Wapato_Inventory[[#This Row],[res_pct]]</f>
        <v>106733.160909</v>
      </c>
      <c r="BT153" s="7">
        <f>Wapato_Inventory[[#This Row],[land_value]]</f>
        <v>53000</v>
      </c>
      <c r="BU153" s="2">
        <f>_xlfn.IFNA(VLOOKUP(Wapato_Inventory[[#This Row],[quality]],Lookups!$A$28:$C$37,3,FALSE),1)</f>
        <v>1.0000010866511106</v>
      </c>
      <c r="BV153" s="2">
        <f>_xlfn.IFNA(VLOOKUP(Wapato_Inventory[[#This Row],[condition]],Lookups!$A$41:$C$48,3,FALSE),1)</f>
        <v>0.9832333997567807</v>
      </c>
      <c r="BW153" s="2">
        <f>IF(Wapato_Inventory[[#This Row],[decade]]="",1,_xlfn.IFNA(VLOOKUP(Wapato_Inventory[[#This Row],[decade]],Lookups!$F$28:$H$45,3,FALSE),1))</f>
        <v>0.93664589651353292</v>
      </c>
      <c r="BX153" s="2">
        <f>_xlfn.IFNA(VLOOKUP(Wapato_Inventory[[#This Row],[living_area_range]],Lookups!$K$28:$M$37,3,FALSE),1)</f>
        <v>0.99022994770196116</v>
      </c>
      <c r="BY153" s="2">
        <f>AVERAGE(Wapato_Inventory[[#This Row],[qual_adj]:[range_adj]])</f>
        <v>0.97752758265584638</v>
      </c>
      <c r="BZ153" s="7">
        <f>(Wapato_Inventory[[#This Row],[sum_land]]-IF(Wapato_Inventory[[#This Row],[no_utilities]]=1,12000,0))/IF(Wapato_Inventory[[#This Row],[unbuildable]]=1,2,1)</f>
        <v>53000</v>
      </c>
      <c r="CA153" s="7">
        <f>Wapato_Inventory[[#This Row],[pre_res]]*Wapato_Inventory[[#This Row],[overall_adj]]</f>
        <v>104334.60877259224</v>
      </c>
      <c r="CB15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53" s="3">
        <f>IF(ROUND(Wapato_Inventory[[#This Row],[adj_res]]*Lookups!$H$48,-2)&lt;Wapato_Inventory[[#This Row],[min_res]],Wapato_Inventory[[#This Row],[min_res]],ROUND(Wapato_Inventory[[#This Row],[adj_res]]*Lookups!$H$48,-2))</f>
        <v>99100</v>
      </c>
      <c r="CD153" s="3">
        <f>ROUND(Wapato_Inventory[[#This Row],[det_value]]*Lookups!$H$48,-2)</f>
        <v>0</v>
      </c>
      <c r="CE153" s="3">
        <f>Wapato_Inventory[[#This Row],[final_res]]+Wapato_Inventory[[#This Row],[final_det]]</f>
        <v>99100</v>
      </c>
      <c r="CF153" s="3">
        <f>Wapato_Inventory[[#This Row],[crop_value]]+Wapato_Inventory[[#This Row],[final_land]]+Wapato_Inventory[[#This Row],[final_imp]]</f>
        <v>149500</v>
      </c>
      <c r="CH153" t="str">
        <f t="shared" si="2"/>
        <v>update valuation set market_land =50400, market_bldg=99100, market_total =149500, market_mdno =405, market_date ='9/10/2023' where link_id = (select link_id from parcel where parcel_year = '2024' and parcel_id = '19111041422');</v>
      </c>
    </row>
    <row r="154" spans="1:86" x14ac:dyDescent="0.25">
      <c r="A154">
        <v>19111041423</v>
      </c>
      <c r="B154">
        <v>0.17</v>
      </c>
      <c r="C154">
        <v>7227</v>
      </c>
      <c r="D154" t="s">
        <v>144</v>
      </c>
      <c r="E154" t="s">
        <v>54</v>
      </c>
      <c r="F154" t="s">
        <v>54</v>
      </c>
      <c r="G154">
        <v>3</v>
      </c>
      <c r="H154" t="s">
        <v>55</v>
      </c>
      <c r="I154">
        <v>125300</v>
      </c>
      <c r="J154">
        <v>33200</v>
      </c>
      <c r="K154">
        <v>0.17</v>
      </c>
      <c r="L154">
        <f>IF(Wapato_Inventory[[#This Row],[parcel_acres]]-Wapato_Inventory[[#This Row],[non_valued_acres]] =0,0,LN(Wapato_Inventory[[#This Row],[parcel_acres]]-Wapato_Inventory[[#This Row],[non_valued_acres]]))</f>
        <v>-1.7719568419318752</v>
      </c>
      <c r="M154">
        <v>0</v>
      </c>
      <c r="N154">
        <v>0</v>
      </c>
      <c r="O154">
        <v>0</v>
      </c>
      <c r="P154">
        <v>27904.037</v>
      </c>
      <c r="Q154">
        <v>74398</v>
      </c>
      <c r="R154" s="3">
        <f>(Wapato_Inventory[[#This Row],[ln_acres]]*Wapato_Inventory[[#This Row],[coeff]])+Wapato_Inventory[[#This Row],[const]]</f>
        <v>24953.250720329801</v>
      </c>
      <c r="S154" t="s">
        <v>66</v>
      </c>
      <c r="T154">
        <v>1</v>
      </c>
      <c r="U154" t="s">
        <v>71</v>
      </c>
      <c r="V154" t="s">
        <v>69</v>
      </c>
      <c r="W154">
        <v>0</v>
      </c>
      <c r="X154">
        <v>0</v>
      </c>
      <c r="Y154">
        <v>57</v>
      </c>
      <c r="Z154">
        <v>103</v>
      </c>
      <c r="AA154">
        <v>110</v>
      </c>
      <c r="AB154">
        <v>1000</v>
      </c>
      <c r="AC154">
        <v>744</v>
      </c>
      <c r="AD154">
        <v>744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84</v>
      </c>
      <c r="AM154">
        <v>0</v>
      </c>
      <c r="AN154">
        <v>0</v>
      </c>
      <c r="AO154">
        <v>48</v>
      </c>
      <c r="AP154">
        <v>5</v>
      </c>
      <c r="AQ154">
        <v>0</v>
      </c>
      <c r="AR154">
        <v>0</v>
      </c>
      <c r="AS154" t="s">
        <v>59</v>
      </c>
      <c r="AT154">
        <v>0</v>
      </c>
      <c r="AU154" t="s">
        <v>80</v>
      </c>
      <c r="AV154" t="s">
        <v>77</v>
      </c>
      <c r="AW154">
        <v>0</v>
      </c>
      <c r="AX154">
        <v>2</v>
      </c>
      <c r="AY154">
        <v>0</v>
      </c>
      <c r="AZ154">
        <v>0</v>
      </c>
      <c r="BA154">
        <v>100</v>
      </c>
      <c r="BB154">
        <v>100</v>
      </c>
      <c r="BC154">
        <v>100</v>
      </c>
      <c r="BD154">
        <v>100</v>
      </c>
      <c r="BE154">
        <v>1</v>
      </c>
      <c r="BF154">
        <v>15000</v>
      </c>
      <c r="BG154">
        <v>1000</v>
      </c>
      <c r="BH154" s="7">
        <f>ROUND(Wapato_Inventory[[#This Row],[detatched_value]]*Lookups!$B$22*Lookups!$H$48,-2)</f>
        <v>0</v>
      </c>
      <c r="BI154" s="7">
        <f>ROUND(((Wapato_Inventory[[#This Row],[land_extract]]*Lookups!$B$3) +(Lookups!$B$2*0.5))*Lookups!$H$48,-2)</f>
        <v>53500</v>
      </c>
      <c r="BJ154" s="7">
        <f>IF(Wapato_Inventory[[#This Row],[bldg_style]]="",0,Lookups!$B$2*0.5)</f>
        <v>53765.27</v>
      </c>
      <c r="BK154" s="7">
        <f>_xlfn.IFNA(VLOOKUP(Wapato_Inventory[[#This Row],[quality]],Lookups!$H$2:$J$14,3,FALSE),0)</f>
        <v>28034</v>
      </c>
      <c r="BL154" s="7">
        <f>_xlfn.IFNA(VLOOKUP(Wapato_Inventory[[#This Row],[condition]],Lookups!$H$17:$J$24,3,FALSE),0)</f>
        <v>74543</v>
      </c>
      <c r="BM154" s="7">
        <f>Wapato_Inventory[[#This Row],[Age]]*Lookups!$B$16</f>
        <v>-38179.597099999999</v>
      </c>
      <c r="BN154" s="7">
        <f>Wapato_Inventory[[#This Row],[Main Floor]]*Lookups!$B$17</f>
        <v>31099.749816</v>
      </c>
      <c r="BO154" s="7">
        <f>Wapato_Inventory[[#This Row],[Upper Floor]]*Lookups!$B$18</f>
        <v>0</v>
      </c>
      <c r="BP154" s="7">
        <f>Wapato_Inventory[[#This Row],[Fin BSMT]]*Lookups!$B$19</f>
        <v>0</v>
      </c>
      <c r="BQ154" s="7">
        <f>(Wapato_Inventory[[#This Row],[att_gar]]+Wapato_Inventory[[#This Row],[blt_gar]])*Lookups!$B$20</f>
        <v>0</v>
      </c>
      <c r="BR154" s="7">
        <f>Wapato_Inventory[[#This Row],[Patio]]*Lookups!$B$21</f>
        <v>0</v>
      </c>
      <c r="BS154" s="7">
        <f>SUM(Wapato_Inventory[[#This Row],[intercept]:[patio_value]])*Wapato_Inventory[[#This Row],[res_pct]]</f>
        <v>149262.422716</v>
      </c>
      <c r="BT154" s="7">
        <f>Wapato_Inventory[[#This Row],[land_value]]</f>
        <v>53500</v>
      </c>
      <c r="BU154" s="2">
        <f>_xlfn.IFNA(VLOOKUP(Wapato_Inventory[[#This Row],[quality]],Lookups!$A$28:$C$37,3,FALSE),1)</f>
        <v>0.96265813922927435</v>
      </c>
      <c r="BV154" s="2">
        <f>_xlfn.IFNA(VLOOKUP(Wapato_Inventory[[#This Row],[condition]],Lookups!$A$41:$C$48,3,FALSE),1)</f>
        <v>0.98442438223270734</v>
      </c>
      <c r="BW154" s="2">
        <f>IF(Wapato_Inventory[[#This Row],[decade]]="",1,_xlfn.IFNA(VLOOKUP(Wapato_Inventory[[#This Row],[decade]],Lookups!$F$28:$H$45,3,FALSE),1))</f>
        <v>0.93664589651353292</v>
      </c>
      <c r="BX154" s="2">
        <f>_xlfn.IFNA(VLOOKUP(Wapato_Inventory[[#This Row],[living_area_range]],Lookups!$K$28:$M$37,3,FALSE),1)</f>
        <v>0.99022994770196116</v>
      </c>
      <c r="BY154" s="2">
        <f>AVERAGE(Wapato_Inventory[[#This Row],[qual_adj]:[range_adj]])</f>
        <v>0.96848959141936886</v>
      </c>
      <c r="BZ154" s="7">
        <f>(Wapato_Inventory[[#This Row],[sum_land]]-IF(Wapato_Inventory[[#This Row],[no_utilities]]=1,12000,0))/IF(Wapato_Inventory[[#This Row],[unbuildable]]=1,2,1)</f>
        <v>53500</v>
      </c>
      <c r="CA154" s="7">
        <f>Wapato_Inventory[[#This Row],[pre_res]]*Wapato_Inventory[[#This Row],[overall_adj]]</f>
        <v>144559.10279048397</v>
      </c>
      <c r="CB154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54" s="3">
        <f>IF(ROUND(Wapato_Inventory[[#This Row],[adj_res]]*Lookups!$H$48,-2)&lt;Wapato_Inventory[[#This Row],[min_res]],Wapato_Inventory[[#This Row],[min_res]],ROUND(Wapato_Inventory[[#This Row],[adj_res]]*Lookups!$H$48,-2))</f>
        <v>137300</v>
      </c>
      <c r="CD154" s="3">
        <f>ROUND(Wapato_Inventory[[#This Row],[det_value]]*Lookups!$H$48,-2)</f>
        <v>0</v>
      </c>
      <c r="CE154" s="3">
        <f>Wapato_Inventory[[#This Row],[final_res]]+Wapato_Inventory[[#This Row],[final_det]]</f>
        <v>137300</v>
      </c>
      <c r="CF154" s="3">
        <f>Wapato_Inventory[[#This Row],[crop_value]]+Wapato_Inventory[[#This Row],[final_land]]+Wapato_Inventory[[#This Row],[final_imp]]</f>
        <v>188100</v>
      </c>
      <c r="CH154" t="str">
        <f t="shared" si="2"/>
        <v>update valuation set market_land =50800, market_bldg=137300, market_total =188100, market_mdno =405, market_date ='9/10/2023' where link_id = (select link_id from parcel where parcel_year = '2024' and parcel_id = '19111041423');</v>
      </c>
    </row>
    <row r="155" spans="1:86" x14ac:dyDescent="0.25">
      <c r="A155">
        <v>19111041424</v>
      </c>
      <c r="B155">
        <v>0.17</v>
      </c>
      <c r="C155">
        <v>7240</v>
      </c>
      <c r="D155" t="s">
        <v>144</v>
      </c>
      <c r="E155" t="s">
        <v>54</v>
      </c>
      <c r="F155" t="s">
        <v>54</v>
      </c>
      <c r="G155">
        <v>3</v>
      </c>
      <c r="H155" t="s">
        <v>55</v>
      </c>
      <c r="I155">
        <v>109400</v>
      </c>
      <c r="J155">
        <v>33200</v>
      </c>
      <c r="K155">
        <v>0.17</v>
      </c>
      <c r="L155">
        <f>IF(Wapato_Inventory[[#This Row],[parcel_acres]]-Wapato_Inventory[[#This Row],[non_valued_acres]] =0,0,LN(Wapato_Inventory[[#This Row],[parcel_acres]]-Wapato_Inventory[[#This Row],[non_valued_acres]]))</f>
        <v>-1.7719568419318752</v>
      </c>
      <c r="M155">
        <v>0</v>
      </c>
      <c r="N155">
        <v>0</v>
      </c>
      <c r="O155">
        <v>0</v>
      </c>
      <c r="P155">
        <v>27904.037</v>
      </c>
      <c r="Q155">
        <v>74398</v>
      </c>
      <c r="R155" s="3">
        <f>(Wapato_Inventory[[#This Row],[ln_acres]]*Wapato_Inventory[[#This Row],[coeff]])+Wapato_Inventory[[#This Row],[const]]</f>
        <v>24953.250720329801</v>
      </c>
      <c r="S155" t="s">
        <v>66</v>
      </c>
      <c r="T155">
        <v>1</v>
      </c>
      <c r="U155" t="s">
        <v>71</v>
      </c>
      <c r="V155" t="s">
        <v>68</v>
      </c>
      <c r="W155">
        <v>0</v>
      </c>
      <c r="X155">
        <v>0</v>
      </c>
      <c r="Y155">
        <v>57</v>
      </c>
      <c r="Z155">
        <v>103</v>
      </c>
      <c r="AA155">
        <v>110</v>
      </c>
      <c r="AB155">
        <v>1500</v>
      </c>
      <c r="AC155">
        <v>1094</v>
      </c>
      <c r="AD155">
        <v>1094</v>
      </c>
      <c r="AE155">
        <v>0</v>
      </c>
      <c r="AF155">
        <v>0</v>
      </c>
      <c r="AG155">
        <v>0</v>
      </c>
      <c r="AH155">
        <v>150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5</v>
      </c>
      <c r="AQ155">
        <v>0</v>
      </c>
      <c r="AR155">
        <v>0</v>
      </c>
      <c r="AS155" t="s">
        <v>59</v>
      </c>
      <c r="AT155">
        <v>0</v>
      </c>
      <c r="AU155" t="s">
        <v>80</v>
      </c>
      <c r="AV155" t="s">
        <v>77</v>
      </c>
      <c r="AW155">
        <v>0</v>
      </c>
      <c r="AX155">
        <v>3</v>
      </c>
      <c r="AY155">
        <v>0</v>
      </c>
      <c r="AZ155">
        <v>0</v>
      </c>
      <c r="BA155">
        <v>100</v>
      </c>
      <c r="BB155">
        <v>100</v>
      </c>
      <c r="BC155">
        <v>100</v>
      </c>
      <c r="BD155">
        <v>100</v>
      </c>
      <c r="BE155">
        <v>1</v>
      </c>
      <c r="BF155">
        <v>15000</v>
      </c>
      <c r="BG155">
        <v>1000</v>
      </c>
      <c r="BH155" s="7">
        <f>ROUND(Wapato_Inventory[[#This Row],[detatched_value]]*Lookups!$B$22*Lookups!$H$48,-2)</f>
        <v>0</v>
      </c>
      <c r="BI155" s="7">
        <f>ROUND(((Wapato_Inventory[[#This Row],[land_extract]]*Lookups!$B$3) +(Lookups!$B$2*0.5))*Lookups!$H$48,-2)</f>
        <v>53500</v>
      </c>
      <c r="BJ155" s="7">
        <f>IF(Wapato_Inventory[[#This Row],[bldg_style]]="",0,Lookups!$B$2*0.5)</f>
        <v>53765.27</v>
      </c>
      <c r="BK155" s="7">
        <f>_xlfn.IFNA(VLOOKUP(Wapato_Inventory[[#This Row],[quality]],Lookups!$H$2:$J$14,3,FALSE),0)</f>
        <v>28034</v>
      </c>
      <c r="BL155" s="7">
        <f>_xlfn.IFNA(VLOOKUP(Wapato_Inventory[[#This Row],[condition]],Lookups!$H$17:$J$24,3,FALSE),0)</f>
        <v>52231</v>
      </c>
      <c r="BM155" s="7">
        <f>Wapato_Inventory[[#This Row],[Age]]*Lookups!$B$16</f>
        <v>-38179.597099999999</v>
      </c>
      <c r="BN155" s="7">
        <f>Wapato_Inventory[[#This Row],[Main Floor]]*Lookups!$B$17</f>
        <v>45730.008465999999</v>
      </c>
      <c r="BO155" s="7">
        <f>Wapato_Inventory[[#This Row],[Upper Floor]]*Lookups!$B$18</f>
        <v>0</v>
      </c>
      <c r="BP155" s="7">
        <f>Wapato_Inventory[[#This Row],[Fin BSMT]]*Lookups!$B$19</f>
        <v>0</v>
      </c>
      <c r="BQ155" s="7">
        <f>(Wapato_Inventory[[#This Row],[att_gar]]+Wapato_Inventory[[#This Row],[blt_gar]])*Lookups!$B$20</f>
        <v>0</v>
      </c>
      <c r="BR155" s="7">
        <f>Wapato_Inventory[[#This Row],[Patio]]*Lookups!$B$21</f>
        <v>0</v>
      </c>
      <c r="BS155" s="7">
        <f>SUM(Wapato_Inventory[[#This Row],[intercept]:[patio_value]])*Wapato_Inventory[[#This Row],[res_pct]]</f>
        <v>141580.68136599998</v>
      </c>
      <c r="BT155" s="7">
        <f>Wapato_Inventory[[#This Row],[land_value]]</f>
        <v>53500</v>
      </c>
      <c r="BU155" s="2">
        <f>_xlfn.IFNA(VLOOKUP(Wapato_Inventory[[#This Row],[quality]],Lookups!$A$28:$C$37,3,FALSE),1)</f>
        <v>0.96265813922927435</v>
      </c>
      <c r="BV155" s="2">
        <f>_xlfn.IFNA(VLOOKUP(Wapato_Inventory[[#This Row],[condition]],Lookups!$A$41:$C$48,3,FALSE),1)</f>
        <v>0.9832333997567807</v>
      </c>
      <c r="BW155" s="2">
        <f>IF(Wapato_Inventory[[#This Row],[decade]]="",1,_xlfn.IFNA(VLOOKUP(Wapato_Inventory[[#This Row],[decade]],Lookups!$F$28:$H$45,3,FALSE),1))</f>
        <v>0.93664589651353292</v>
      </c>
      <c r="BX155" s="2">
        <f>_xlfn.IFNA(VLOOKUP(Wapato_Inventory[[#This Row],[living_area_range]],Lookups!$K$28:$M$37,3,FALSE),1)</f>
        <v>1.0061411172456287</v>
      </c>
      <c r="BY155" s="2">
        <f>AVERAGE(Wapato_Inventory[[#This Row],[qual_adj]:[range_adj]])</f>
        <v>0.97216963818630409</v>
      </c>
      <c r="BZ155" s="7">
        <f>(Wapato_Inventory[[#This Row],[sum_land]]-IF(Wapato_Inventory[[#This Row],[no_utilities]]=1,12000,0))/IF(Wapato_Inventory[[#This Row],[unbuildable]]=1,2,1)</f>
        <v>53500</v>
      </c>
      <c r="CA155" s="7">
        <f>Wapato_Inventory[[#This Row],[pre_res]]*Wapato_Inventory[[#This Row],[overall_adj]]</f>
        <v>137640.4397777546</v>
      </c>
      <c r="CB155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55" s="3">
        <f>IF(ROUND(Wapato_Inventory[[#This Row],[adj_res]]*Lookups!$H$48,-2)&lt;Wapato_Inventory[[#This Row],[min_res]],Wapato_Inventory[[#This Row],[min_res]],ROUND(Wapato_Inventory[[#This Row],[adj_res]]*Lookups!$H$48,-2))</f>
        <v>130800</v>
      </c>
      <c r="CD155" s="3">
        <f>ROUND(Wapato_Inventory[[#This Row],[det_value]]*Lookups!$H$48,-2)</f>
        <v>0</v>
      </c>
      <c r="CE155" s="3">
        <f>Wapato_Inventory[[#This Row],[final_res]]+Wapato_Inventory[[#This Row],[final_det]]</f>
        <v>130800</v>
      </c>
      <c r="CF155" s="3">
        <f>Wapato_Inventory[[#This Row],[crop_value]]+Wapato_Inventory[[#This Row],[final_land]]+Wapato_Inventory[[#This Row],[final_imp]]</f>
        <v>181600</v>
      </c>
      <c r="CH155" t="str">
        <f t="shared" si="2"/>
        <v>update valuation set market_land =50800, market_bldg=130800, market_total =181600, market_mdno =405, market_date ='9/10/2023' where link_id = (select link_id from parcel where parcel_year = '2024' and parcel_id = '19111041424');</v>
      </c>
    </row>
    <row r="156" spans="1:86" x14ac:dyDescent="0.25">
      <c r="A156">
        <v>19111041425</v>
      </c>
      <c r="B156">
        <v>0.14000000000000001</v>
      </c>
      <c r="C156">
        <v>6044</v>
      </c>
      <c r="D156" t="s">
        <v>144</v>
      </c>
      <c r="E156" t="s">
        <v>54</v>
      </c>
      <c r="F156" t="s">
        <v>54</v>
      </c>
      <c r="G156">
        <v>3</v>
      </c>
      <c r="H156" t="s">
        <v>55</v>
      </c>
      <c r="I156">
        <v>183600</v>
      </c>
      <c r="J156">
        <v>31900</v>
      </c>
      <c r="K156">
        <v>0.14000000000000001</v>
      </c>
      <c r="L156">
        <f>IF(Wapato_Inventory[[#This Row],[parcel_acres]]-Wapato_Inventory[[#This Row],[non_valued_acres]] =0,0,LN(Wapato_Inventory[[#This Row],[parcel_acres]]-Wapato_Inventory[[#This Row],[non_valued_acres]]))</f>
        <v>-1.9661128563728327</v>
      </c>
      <c r="M156">
        <v>0</v>
      </c>
      <c r="N156">
        <v>0</v>
      </c>
      <c r="O156">
        <v>0</v>
      </c>
      <c r="P156">
        <v>27904.037</v>
      </c>
      <c r="Q156">
        <v>74398</v>
      </c>
      <c r="R156" s="3">
        <f>(Wapato_Inventory[[#This Row],[ln_acres]]*Wapato_Inventory[[#This Row],[coeff]])+Wapato_Inventory[[#This Row],[const]]</f>
        <v>19535.514109596792</v>
      </c>
      <c r="S156" t="s">
        <v>62</v>
      </c>
      <c r="T156">
        <v>1</v>
      </c>
      <c r="U156" t="s">
        <v>75</v>
      </c>
      <c r="V156" t="s">
        <v>68</v>
      </c>
      <c r="W156">
        <v>0</v>
      </c>
      <c r="X156">
        <v>0</v>
      </c>
      <c r="Y156">
        <v>36</v>
      </c>
      <c r="Z156">
        <v>36</v>
      </c>
      <c r="AA156">
        <v>40</v>
      </c>
      <c r="AB156">
        <v>1500</v>
      </c>
      <c r="AC156">
        <v>1248</v>
      </c>
      <c r="AD156">
        <v>1248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152</v>
      </c>
      <c r="AO156">
        <v>0</v>
      </c>
      <c r="AP156">
        <v>8</v>
      </c>
      <c r="AQ156">
        <v>0</v>
      </c>
      <c r="AR156">
        <v>0</v>
      </c>
      <c r="AS156" t="s">
        <v>59</v>
      </c>
      <c r="AT156">
        <v>1</v>
      </c>
      <c r="AU156" t="s">
        <v>64</v>
      </c>
      <c r="AV156" t="s">
        <v>61</v>
      </c>
      <c r="AW156">
        <v>0</v>
      </c>
      <c r="AX156">
        <v>2</v>
      </c>
      <c r="AY156">
        <v>0</v>
      </c>
      <c r="AZ156">
        <v>0</v>
      </c>
      <c r="BA156">
        <v>100</v>
      </c>
      <c r="BB156">
        <v>100</v>
      </c>
      <c r="BC156">
        <v>100</v>
      </c>
      <c r="BD156">
        <v>100</v>
      </c>
      <c r="BE156">
        <v>1</v>
      </c>
      <c r="BF156">
        <v>15000</v>
      </c>
      <c r="BG156">
        <v>1000</v>
      </c>
      <c r="BH156" s="7">
        <f>ROUND(Wapato_Inventory[[#This Row],[detatched_value]]*Lookups!$B$22*Lookups!$H$48,-2)</f>
        <v>0</v>
      </c>
      <c r="BI156" s="7">
        <f>ROUND(((Wapato_Inventory[[#This Row],[land_extract]]*Lookups!$B$3) +(Lookups!$B$2*0.5))*Lookups!$H$48,-2)</f>
        <v>53000</v>
      </c>
      <c r="BJ156" s="7">
        <f>IF(Wapato_Inventory[[#This Row],[bldg_style]]="",0,Lookups!$B$2*0.5)</f>
        <v>53765.27</v>
      </c>
      <c r="BK156" s="7">
        <f>_xlfn.IFNA(VLOOKUP(Wapato_Inventory[[#This Row],[quality]],Lookups!$H$2:$J$14,3,FALSE),0)</f>
        <v>48043</v>
      </c>
      <c r="BL156" s="7">
        <f>_xlfn.IFNA(VLOOKUP(Wapato_Inventory[[#This Row],[condition]],Lookups!$H$17:$J$24,3,FALSE),0)</f>
        <v>52231</v>
      </c>
      <c r="BM156" s="7">
        <f>Wapato_Inventory[[#This Row],[Age]]*Lookups!$B$16</f>
        <v>-13344.325199999999</v>
      </c>
      <c r="BN156" s="7">
        <f>Wapato_Inventory[[#This Row],[Main Floor]]*Lookups!$B$17</f>
        <v>52167.322271999998</v>
      </c>
      <c r="BO156" s="7">
        <f>Wapato_Inventory[[#This Row],[Upper Floor]]*Lookups!$B$18</f>
        <v>0</v>
      </c>
      <c r="BP156" s="7">
        <f>Wapato_Inventory[[#This Row],[Fin BSMT]]*Lookups!$B$19</f>
        <v>0</v>
      </c>
      <c r="BQ156" s="7">
        <f>(Wapato_Inventory[[#This Row],[att_gar]]+Wapato_Inventory[[#This Row],[blt_gar]])*Lookups!$B$20</f>
        <v>0</v>
      </c>
      <c r="BR156" s="7">
        <f>Wapato_Inventory[[#This Row],[Patio]]*Lookups!$B$21</f>
        <v>0</v>
      </c>
      <c r="BS156" s="7">
        <f>SUM(Wapato_Inventory[[#This Row],[intercept]:[patio_value]])*Wapato_Inventory[[#This Row],[res_pct]]</f>
        <v>192862.26707199999</v>
      </c>
      <c r="BT156" s="7">
        <f>Wapato_Inventory[[#This Row],[land_value]]</f>
        <v>53000</v>
      </c>
      <c r="BU156" s="2">
        <f>_xlfn.IFNA(VLOOKUP(Wapato_Inventory[[#This Row],[quality]],Lookups!$A$28:$C$37,3,FALSE),1)</f>
        <v>0.98196844879778955</v>
      </c>
      <c r="BV156" s="2">
        <f>_xlfn.IFNA(VLOOKUP(Wapato_Inventory[[#This Row],[condition]],Lookups!$A$41:$C$48,3,FALSE),1)</f>
        <v>0.9832333997567807</v>
      </c>
      <c r="BW156" s="2">
        <f>IF(Wapato_Inventory[[#This Row],[decade]]="",1,_xlfn.IFNA(VLOOKUP(Wapato_Inventory[[#This Row],[decade]],Lookups!$F$28:$H$45,3,FALSE),1))</f>
        <v>1.0327621624630683</v>
      </c>
      <c r="BX156" s="2">
        <f>_xlfn.IFNA(VLOOKUP(Wapato_Inventory[[#This Row],[living_area_range]],Lookups!$K$28:$M$37,3,FALSE),1)</f>
        <v>1.0061411172456287</v>
      </c>
      <c r="BY156" s="2">
        <f>AVERAGE(Wapato_Inventory[[#This Row],[qual_adj]:[range_adj]])</f>
        <v>1.0010262820658169</v>
      </c>
      <c r="BZ156" s="7">
        <f>(Wapato_Inventory[[#This Row],[sum_land]]-IF(Wapato_Inventory[[#This Row],[no_utilities]]=1,12000,0))/IF(Wapato_Inventory[[#This Row],[unbuildable]]=1,2,1)</f>
        <v>53000</v>
      </c>
      <c r="CA156" s="7">
        <f>Wapato_Inventory[[#This Row],[pre_res]]*Wapato_Inventory[[#This Row],[overall_adj]]</f>
        <v>193060.19815786876</v>
      </c>
      <c r="CB15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56" s="3">
        <f>IF(ROUND(Wapato_Inventory[[#This Row],[adj_res]]*Lookups!$H$48,-2)&lt;Wapato_Inventory[[#This Row],[min_res]],Wapato_Inventory[[#This Row],[min_res]],ROUND(Wapato_Inventory[[#This Row],[adj_res]]*Lookups!$H$48,-2))</f>
        <v>183400</v>
      </c>
      <c r="CD156" s="3">
        <f>ROUND(Wapato_Inventory[[#This Row],[det_value]]*Lookups!$H$48,-2)</f>
        <v>0</v>
      </c>
      <c r="CE156" s="3">
        <f>Wapato_Inventory[[#This Row],[final_res]]+Wapato_Inventory[[#This Row],[final_det]]</f>
        <v>183400</v>
      </c>
      <c r="CF156" s="3">
        <f>Wapato_Inventory[[#This Row],[crop_value]]+Wapato_Inventory[[#This Row],[final_land]]+Wapato_Inventory[[#This Row],[final_imp]]</f>
        <v>233800</v>
      </c>
      <c r="CH156" t="str">
        <f t="shared" si="2"/>
        <v>update valuation set market_land =50400, market_bldg=183400, market_total =233800, market_mdno =405, market_date ='9/10/2023' where link_id = (select link_id from parcel where parcel_year = '2024' and parcel_id = '19111041425');</v>
      </c>
    </row>
    <row r="157" spans="1:86" x14ac:dyDescent="0.25">
      <c r="A157">
        <v>19111041428</v>
      </c>
      <c r="B157">
        <v>7.0000000000000007E-2</v>
      </c>
      <c r="C157">
        <v>3000</v>
      </c>
      <c r="D157" t="s">
        <v>144</v>
      </c>
      <c r="E157" t="s">
        <v>54</v>
      </c>
      <c r="F157" t="s">
        <v>54</v>
      </c>
      <c r="G157">
        <v>3</v>
      </c>
      <c r="H157" t="s">
        <v>55</v>
      </c>
      <c r="I157">
        <v>100000</v>
      </c>
      <c r="J157">
        <v>26900</v>
      </c>
      <c r="K157">
        <v>7.0000000000000007E-2</v>
      </c>
      <c r="L157">
        <f>IF(Wapato_Inventory[[#This Row],[parcel_acres]]-Wapato_Inventory[[#This Row],[non_valued_acres]] =0,0,LN(Wapato_Inventory[[#This Row],[parcel_acres]]-Wapato_Inventory[[#This Row],[non_valued_acres]]))</f>
        <v>-2.6592600369327779</v>
      </c>
      <c r="M157">
        <v>0</v>
      </c>
      <c r="N157">
        <v>0</v>
      </c>
      <c r="O157">
        <v>0</v>
      </c>
      <c r="P157">
        <v>27904.037</v>
      </c>
      <c r="Q157">
        <v>74398</v>
      </c>
      <c r="R157" s="3">
        <f>(Wapato_Inventory[[#This Row],[ln_acres]]*Wapato_Inventory[[#This Row],[coeff]])+Wapato_Inventory[[#This Row],[const]]</f>
        <v>193.90953680640087</v>
      </c>
      <c r="S157" t="s">
        <v>66</v>
      </c>
      <c r="T157">
        <v>1</v>
      </c>
      <c r="U157" t="s">
        <v>71</v>
      </c>
      <c r="V157" t="s">
        <v>68</v>
      </c>
      <c r="W157">
        <v>0</v>
      </c>
      <c r="X157">
        <v>0</v>
      </c>
      <c r="Y157">
        <v>57</v>
      </c>
      <c r="Z157">
        <v>103</v>
      </c>
      <c r="AA157">
        <v>110</v>
      </c>
      <c r="AB157">
        <v>1000</v>
      </c>
      <c r="AC157">
        <v>900</v>
      </c>
      <c r="AD157">
        <v>900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304</v>
      </c>
      <c r="AN157">
        <v>126</v>
      </c>
      <c r="AO157">
        <v>0</v>
      </c>
      <c r="AP157">
        <v>5</v>
      </c>
      <c r="AQ157">
        <v>0</v>
      </c>
      <c r="AR157">
        <v>0</v>
      </c>
      <c r="AS157" t="s">
        <v>59</v>
      </c>
      <c r="AT157">
        <v>1</v>
      </c>
      <c r="AU157" t="s">
        <v>72</v>
      </c>
      <c r="AV157" t="s">
        <v>61</v>
      </c>
      <c r="AW157">
        <v>0</v>
      </c>
      <c r="AX157">
        <v>2</v>
      </c>
      <c r="AY157">
        <v>0</v>
      </c>
      <c r="AZ157">
        <v>0</v>
      </c>
      <c r="BA157">
        <v>100</v>
      </c>
      <c r="BB157">
        <v>100</v>
      </c>
      <c r="BC157">
        <v>100</v>
      </c>
      <c r="BD157">
        <v>100</v>
      </c>
      <c r="BE157">
        <v>1</v>
      </c>
      <c r="BF157">
        <v>15000</v>
      </c>
      <c r="BG157">
        <v>1000</v>
      </c>
      <c r="BH157" s="7">
        <f>ROUND(Wapato_Inventory[[#This Row],[detatched_value]]*Lookups!$B$22*Lookups!$H$48,-2)</f>
        <v>0</v>
      </c>
      <c r="BI157" s="7">
        <f>ROUND(((Wapato_Inventory[[#This Row],[land_extract]]*Lookups!$B$3) +(Lookups!$B$2*0.5))*Lookups!$H$48,-2)</f>
        <v>51100</v>
      </c>
      <c r="BJ157" s="7">
        <f>IF(Wapato_Inventory[[#This Row],[bldg_style]]="",0,Lookups!$B$2*0.5)</f>
        <v>53765.27</v>
      </c>
      <c r="BK157" s="7">
        <f>_xlfn.IFNA(VLOOKUP(Wapato_Inventory[[#This Row],[quality]],Lookups!$H$2:$J$14,3,FALSE),0)</f>
        <v>28034</v>
      </c>
      <c r="BL157" s="7">
        <f>_xlfn.IFNA(VLOOKUP(Wapato_Inventory[[#This Row],[condition]],Lookups!$H$17:$J$24,3,FALSE),0)</f>
        <v>52231</v>
      </c>
      <c r="BM157" s="7">
        <f>Wapato_Inventory[[#This Row],[Age]]*Lookups!$B$16</f>
        <v>-38179.597099999999</v>
      </c>
      <c r="BN157" s="7">
        <f>Wapato_Inventory[[#This Row],[Main Floor]]*Lookups!$B$17</f>
        <v>37620.665099999998</v>
      </c>
      <c r="BO157" s="7">
        <f>Wapato_Inventory[[#This Row],[Upper Floor]]*Lookups!$B$18</f>
        <v>0</v>
      </c>
      <c r="BP157" s="7">
        <f>Wapato_Inventory[[#This Row],[Fin BSMT]]*Lookups!$B$19</f>
        <v>0</v>
      </c>
      <c r="BQ157" s="7">
        <f>(Wapato_Inventory[[#This Row],[att_gar]]+Wapato_Inventory[[#This Row],[blt_gar]])*Lookups!$B$20</f>
        <v>0</v>
      </c>
      <c r="BR157" s="7">
        <f>Wapato_Inventory[[#This Row],[Patio]]*Lookups!$B$21</f>
        <v>13170.489616000001</v>
      </c>
      <c r="BS157" s="7">
        <f>SUM(Wapato_Inventory[[#This Row],[intercept]:[patio_value]])*Wapato_Inventory[[#This Row],[res_pct]]</f>
        <v>146641.827616</v>
      </c>
      <c r="BT157" s="7">
        <f>Wapato_Inventory[[#This Row],[land_value]]</f>
        <v>51100</v>
      </c>
      <c r="BU157" s="2">
        <f>_xlfn.IFNA(VLOOKUP(Wapato_Inventory[[#This Row],[quality]],Lookups!$A$28:$C$37,3,FALSE),1)</f>
        <v>0.96265813922927435</v>
      </c>
      <c r="BV157" s="2">
        <f>_xlfn.IFNA(VLOOKUP(Wapato_Inventory[[#This Row],[condition]],Lookups!$A$41:$C$48,3,FALSE),1)</f>
        <v>0.9832333997567807</v>
      </c>
      <c r="BW157" s="2">
        <f>IF(Wapato_Inventory[[#This Row],[decade]]="",1,_xlfn.IFNA(VLOOKUP(Wapato_Inventory[[#This Row],[decade]],Lookups!$F$28:$H$45,3,FALSE),1))</f>
        <v>0.93664589651353292</v>
      </c>
      <c r="BX157" s="2">
        <f>_xlfn.IFNA(VLOOKUP(Wapato_Inventory[[#This Row],[living_area_range]],Lookups!$K$28:$M$37,3,FALSE),1)</f>
        <v>0.99022994770196116</v>
      </c>
      <c r="BY157" s="2">
        <f>AVERAGE(Wapato_Inventory[[#This Row],[qual_adj]:[range_adj]])</f>
        <v>0.9681918458003872</v>
      </c>
      <c r="BZ157" s="7">
        <f>(Wapato_Inventory[[#This Row],[sum_land]]-IF(Wapato_Inventory[[#This Row],[no_utilities]]=1,12000,0))/IF(Wapato_Inventory[[#This Row],[unbuildable]]=1,2,1)</f>
        <v>51100</v>
      </c>
      <c r="CA157" s="7">
        <f>Wapato_Inventory[[#This Row],[pre_res]]*Wapato_Inventory[[#This Row],[overall_adj]]</f>
        <v>141977.42175107723</v>
      </c>
      <c r="CB157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157" s="3">
        <f>IF(ROUND(Wapato_Inventory[[#This Row],[adj_res]]*Lookups!$H$48,-2)&lt;Wapato_Inventory[[#This Row],[min_res]],Wapato_Inventory[[#This Row],[min_res]],ROUND(Wapato_Inventory[[#This Row],[adj_res]]*Lookups!$H$48,-2))</f>
        <v>134900</v>
      </c>
      <c r="CD157" s="3">
        <f>ROUND(Wapato_Inventory[[#This Row],[det_value]]*Lookups!$H$48,-2)</f>
        <v>0</v>
      </c>
      <c r="CE157" s="3">
        <f>Wapato_Inventory[[#This Row],[final_res]]+Wapato_Inventory[[#This Row],[final_det]]</f>
        <v>134900</v>
      </c>
      <c r="CF157" s="3">
        <f>Wapato_Inventory[[#This Row],[crop_value]]+Wapato_Inventory[[#This Row],[final_land]]+Wapato_Inventory[[#This Row],[final_imp]]</f>
        <v>183400</v>
      </c>
      <c r="CH157" t="str">
        <f t="shared" si="2"/>
        <v>update valuation set market_land =48500, market_bldg=134900, market_total =183400, market_mdno =405, market_date ='9/10/2023' where link_id = (select link_id from parcel where parcel_year = '2024' and parcel_id = '19111041428');</v>
      </c>
    </row>
    <row r="158" spans="1:86" x14ac:dyDescent="0.25">
      <c r="A158">
        <v>19111041429</v>
      </c>
      <c r="B158">
        <v>0.17</v>
      </c>
      <c r="C158">
        <v>7253</v>
      </c>
      <c r="D158" t="s">
        <v>144</v>
      </c>
      <c r="E158" t="s">
        <v>54</v>
      </c>
      <c r="F158" t="s">
        <v>54</v>
      </c>
      <c r="G158">
        <v>3</v>
      </c>
      <c r="H158" t="s">
        <v>55</v>
      </c>
      <c r="I158">
        <v>113500</v>
      </c>
      <c r="J158">
        <v>33200</v>
      </c>
      <c r="K158">
        <v>0.17</v>
      </c>
      <c r="L158">
        <f>IF(Wapato_Inventory[[#This Row],[parcel_acres]]-Wapato_Inventory[[#This Row],[non_valued_acres]] =0,0,LN(Wapato_Inventory[[#This Row],[parcel_acres]]-Wapato_Inventory[[#This Row],[non_valued_acres]]))</f>
        <v>-1.7719568419318752</v>
      </c>
      <c r="M158">
        <v>0</v>
      </c>
      <c r="N158">
        <v>0</v>
      </c>
      <c r="O158">
        <v>0</v>
      </c>
      <c r="P158">
        <v>27904.037</v>
      </c>
      <c r="Q158">
        <v>74398</v>
      </c>
      <c r="R158" s="3">
        <f>(Wapato_Inventory[[#This Row],[ln_acres]]*Wapato_Inventory[[#This Row],[coeff]])+Wapato_Inventory[[#This Row],[const]]</f>
        <v>24953.250720329801</v>
      </c>
      <c r="S158" t="s">
        <v>66</v>
      </c>
      <c r="T158">
        <v>1</v>
      </c>
      <c r="U158" t="s">
        <v>71</v>
      </c>
      <c r="V158" t="s">
        <v>68</v>
      </c>
      <c r="W158">
        <v>0</v>
      </c>
      <c r="X158">
        <v>0</v>
      </c>
      <c r="Y158">
        <v>60</v>
      </c>
      <c r="Z158">
        <v>108</v>
      </c>
      <c r="AA158">
        <v>110</v>
      </c>
      <c r="AB158">
        <v>1500</v>
      </c>
      <c r="AC158">
        <v>1140</v>
      </c>
      <c r="AD158">
        <v>1140</v>
      </c>
      <c r="AE158">
        <v>0</v>
      </c>
      <c r="AF158">
        <v>0</v>
      </c>
      <c r="AG158">
        <v>0</v>
      </c>
      <c r="AH158">
        <v>480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18</v>
      </c>
      <c r="AO158">
        <v>0</v>
      </c>
      <c r="AP158">
        <v>5</v>
      </c>
      <c r="AQ158">
        <v>0</v>
      </c>
      <c r="AR158">
        <v>0</v>
      </c>
      <c r="AS158" t="s">
        <v>59</v>
      </c>
      <c r="AT158">
        <v>1</v>
      </c>
      <c r="AU158" t="s">
        <v>72</v>
      </c>
      <c r="AV158" t="s">
        <v>61</v>
      </c>
      <c r="AW158">
        <v>0</v>
      </c>
      <c r="AX158">
        <v>3</v>
      </c>
      <c r="AY158">
        <v>0</v>
      </c>
      <c r="AZ158">
        <v>0</v>
      </c>
      <c r="BA158">
        <v>100</v>
      </c>
      <c r="BB158">
        <v>100</v>
      </c>
      <c r="BC158">
        <v>100</v>
      </c>
      <c r="BD158">
        <v>100</v>
      </c>
      <c r="BE158">
        <v>1</v>
      </c>
      <c r="BF158">
        <v>15000</v>
      </c>
      <c r="BG158">
        <v>1000</v>
      </c>
      <c r="BH158" s="7">
        <f>ROUND(Wapato_Inventory[[#This Row],[detatched_value]]*Lookups!$B$22*Lookups!$H$48,-2)</f>
        <v>0</v>
      </c>
      <c r="BI158" s="7">
        <f>ROUND(((Wapato_Inventory[[#This Row],[land_extract]]*Lookups!$B$3) +(Lookups!$B$2*0.5))*Lookups!$H$48,-2)</f>
        <v>53500</v>
      </c>
      <c r="BJ158" s="7">
        <f>IF(Wapato_Inventory[[#This Row],[bldg_style]]="",0,Lookups!$B$2*0.5)</f>
        <v>53765.27</v>
      </c>
      <c r="BK158" s="7">
        <f>_xlfn.IFNA(VLOOKUP(Wapato_Inventory[[#This Row],[quality]],Lookups!$H$2:$J$14,3,FALSE),0)</f>
        <v>28034</v>
      </c>
      <c r="BL158" s="7">
        <f>_xlfn.IFNA(VLOOKUP(Wapato_Inventory[[#This Row],[condition]],Lookups!$H$17:$J$24,3,FALSE),0)</f>
        <v>52231</v>
      </c>
      <c r="BM158" s="7">
        <f>Wapato_Inventory[[#This Row],[Age]]*Lookups!$B$16</f>
        <v>-40032.975599999998</v>
      </c>
      <c r="BN158" s="7">
        <f>Wapato_Inventory[[#This Row],[Main Floor]]*Lookups!$B$17</f>
        <v>47652.84246</v>
      </c>
      <c r="BO158" s="7">
        <f>Wapato_Inventory[[#This Row],[Upper Floor]]*Lookups!$B$18</f>
        <v>0</v>
      </c>
      <c r="BP158" s="7">
        <f>Wapato_Inventory[[#This Row],[Fin BSMT]]*Lookups!$B$19</f>
        <v>0</v>
      </c>
      <c r="BQ158" s="7">
        <f>(Wapato_Inventory[[#This Row],[att_gar]]+Wapato_Inventory[[#This Row],[blt_gar]])*Lookups!$B$20</f>
        <v>0</v>
      </c>
      <c r="BR158" s="7">
        <f>Wapato_Inventory[[#This Row],[Patio]]*Lookups!$B$21</f>
        <v>0</v>
      </c>
      <c r="BS158" s="7">
        <f>SUM(Wapato_Inventory[[#This Row],[intercept]:[patio_value]])*Wapato_Inventory[[#This Row],[res_pct]]</f>
        <v>141650.13685999997</v>
      </c>
      <c r="BT158" s="7">
        <f>Wapato_Inventory[[#This Row],[land_value]]</f>
        <v>53500</v>
      </c>
      <c r="BU158" s="2">
        <f>_xlfn.IFNA(VLOOKUP(Wapato_Inventory[[#This Row],[quality]],Lookups!$A$28:$C$37,3,FALSE),1)</f>
        <v>0.96265813922927435</v>
      </c>
      <c r="BV158" s="2">
        <f>_xlfn.IFNA(VLOOKUP(Wapato_Inventory[[#This Row],[condition]],Lookups!$A$41:$C$48,3,FALSE),1)</f>
        <v>0.9832333997567807</v>
      </c>
      <c r="BW158" s="2">
        <f>IF(Wapato_Inventory[[#This Row],[decade]]="",1,_xlfn.IFNA(VLOOKUP(Wapato_Inventory[[#This Row],[decade]],Lookups!$F$28:$H$45,3,FALSE),1))</f>
        <v>0.93664589651353292</v>
      </c>
      <c r="BX158" s="2">
        <f>_xlfn.IFNA(VLOOKUP(Wapato_Inventory[[#This Row],[living_area_range]],Lookups!$K$28:$M$37,3,FALSE),1)</f>
        <v>1.0061411172456287</v>
      </c>
      <c r="BY158" s="2">
        <f>AVERAGE(Wapato_Inventory[[#This Row],[qual_adj]:[range_adj]])</f>
        <v>0.97216963818630409</v>
      </c>
      <c r="BZ158" s="7">
        <f>(Wapato_Inventory[[#This Row],[sum_land]]-IF(Wapato_Inventory[[#This Row],[no_utilities]]=1,12000,0))/IF(Wapato_Inventory[[#This Row],[unbuildable]]=1,2,1)</f>
        <v>53500</v>
      </c>
      <c r="CA158" s="7">
        <f>Wapato_Inventory[[#This Row],[pre_res]]*Wapato_Inventory[[#This Row],[overall_adj]]</f>
        <v>137707.96230022662</v>
      </c>
      <c r="CB158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58" s="3">
        <f>IF(ROUND(Wapato_Inventory[[#This Row],[adj_res]]*Lookups!$H$48,-2)&lt;Wapato_Inventory[[#This Row],[min_res]],Wapato_Inventory[[#This Row],[min_res]],ROUND(Wapato_Inventory[[#This Row],[adj_res]]*Lookups!$H$48,-2))</f>
        <v>130800</v>
      </c>
      <c r="CD158" s="3">
        <f>ROUND(Wapato_Inventory[[#This Row],[det_value]]*Lookups!$H$48,-2)</f>
        <v>0</v>
      </c>
      <c r="CE158" s="3">
        <f>Wapato_Inventory[[#This Row],[final_res]]+Wapato_Inventory[[#This Row],[final_det]]</f>
        <v>130800</v>
      </c>
      <c r="CF158" s="3">
        <f>Wapato_Inventory[[#This Row],[crop_value]]+Wapato_Inventory[[#This Row],[final_land]]+Wapato_Inventory[[#This Row],[final_imp]]</f>
        <v>181600</v>
      </c>
      <c r="CH158" t="str">
        <f t="shared" si="2"/>
        <v>update valuation set market_land =50800, market_bldg=130800, market_total =181600, market_mdno =405, market_date ='9/10/2023' where link_id = (select link_id from parcel where parcel_year = '2024' and parcel_id = '19111041429');</v>
      </c>
    </row>
    <row r="159" spans="1:86" x14ac:dyDescent="0.25">
      <c r="A159">
        <v>19111041430</v>
      </c>
      <c r="B159">
        <v>0.17</v>
      </c>
      <c r="C159">
        <v>7206</v>
      </c>
      <c r="D159" t="s">
        <v>144</v>
      </c>
      <c r="E159" t="s">
        <v>54</v>
      </c>
      <c r="F159" t="s">
        <v>54</v>
      </c>
      <c r="G159">
        <v>3</v>
      </c>
      <c r="H159" t="s">
        <v>55</v>
      </c>
      <c r="I159">
        <v>210100</v>
      </c>
      <c r="J159">
        <v>33200</v>
      </c>
      <c r="K159">
        <v>0.17</v>
      </c>
      <c r="L159">
        <f>IF(Wapato_Inventory[[#This Row],[parcel_acres]]-Wapato_Inventory[[#This Row],[non_valued_acres]] =0,0,LN(Wapato_Inventory[[#This Row],[parcel_acres]]-Wapato_Inventory[[#This Row],[non_valued_acres]]))</f>
        <v>-1.7719568419318752</v>
      </c>
      <c r="M159">
        <v>0</v>
      </c>
      <c r="N159">
        <v>0</v>
      </c>
      <c r="O159">
        <v>0</v>
      </c>
      <c r="P159">
        <v>27904.037</v>
      </c>
      <c r="Q159">
        <v>74398</v>
      </c>
      <c r="R159" s="3">
        <f>(Wapato_Inventory[[#This Row],[ln_acres]]*Wapato_Inventory[[#This Row],[coeff]])+Wapato_Inventory[[#This Row],[const]]</f>
        <v>24953.250720329801</v>
      </c>
      <c r="S159" t="s">
        <v>62</v>
      </c>
      <c r="T159">
        <v>1</v>
      </c>
      <c r="U159" t="s">
        <v>75</v>
      </c>
      <c r="V159" t="s">
        <v>68</v>
      </c>
      <c r="W159">
        <v>0</v>
      </c>
      <c r="X159">
        <v>0</v>
      </c>
      <c r="Y159">
        <v>35</v>
      </c>
      <c r="Z159">
        <v>35</v>
      </c>
      <c r="AA159">
        <v>40</v>
      </c>
      <c r="AB159">
        <v>2000</v>
      </c>
      <c r="AC159">
        <v>1881</v>
      </c>
      <c r="AD159">
        <v>1881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8</v>
      </c>
      <c r="AQ159">
        <v>0</v>
      </c>
      <c r="AR159">
        <v>0</v>
      </c>
      <c r="AS159" t="s">
        <v>59</v>
      </c>
      <c r="AT159">
        <v>1</v>
      </c>
      <c r="AU159" t="s">
        <v>64</v>
      </c>
      <c r="AV159" t="s">
        <v>65</v>
      </c>
      <c r="AW159">
        <v>0</v>
      </c>
      <c r="AX159">
        <v>3</v>
      </c>
      <c r="AY159">
        <v>0</v>
      </c>
      <c r="AZ159">
        <v>0</v>
      </c>
      <c r="BA159">
        <v>100</v>
      </c>
      <c r="BB159">
        <v>100</v>
      </c>
      <c r="BC159">
        <v>100</v>
      </c>
      <c r="BD159">
        <v>100</v>
      </c>
      <c r="BE159">
        <v>1</v>
      </c>
      <c r="BF159">
        <v>15000</v>
      </c>
      <c r="BG159">
        <v>1000</v>
      </c>
      <c r="BH159" s="7">
        <f>ROUND(Wapato_Inventory[[#This Row],[detatched_value]]*Lookups!$B$22*Lookups!$H$48,-2)</f>
        <v>0</v>
      </c>
      <c r="BI159" s="7">
        <f>ROUND(((Wapato_Inventory[[#This Row],[land_extract]]*Lookups!$B$3) +(Lookups!$B$2*0.5))*Lookups!$H$48,-2)</f>
        <v>53500</v>
      </c>
      <c r="BJ159" s="7">
        <f>IF(Wapato_Inventory[[#This Row],[bldg_style]]="",0,Lookups!$B$2*0.5)</f>
        <v>53765.27</v>
      </c>
      <c r="BK159" s="7">
        <f>_xlfn.IFNA(VLOOKUP(Wapato_Inventory[[#This Row],[quality]],Lookups!$H$2:$J$14,3,FALSE),0)</f>
        <v>48043</v>
      </c>
      <c r="BL159" s="7">
        <f>_xlfn.IFNA(VLOOKUP(Wapato_Inventory[[#This Row],[condition]],Lookups!$H$17:$J$24,3,FALSE),0)</f>
        <v>52231</v>
      </c>
      <c r="BM159" s="7">
        <f>Wapato_Inventory[[#This Row],[Age]]*Lookups!$B$16</f>
        <v>-12973.6495</v>
      </c>
      <c r="BN159" s="7">
        <f>Wapato_Inventory[[#This Row],[Main Floor]]*Lookups!$B$17</f>
        <v>78627.190059</v>
      </c>
      <c r="BO159" s="7">
        <f>Wapato_Inventory[[#This Row],[Upper Floor]]*Lookups!$B$18</f>
        <v>0</v>
      </c>
      <c r="BP159" s="7">
        <f>Wapato_Inventory[[#This Row],[Fin BSMT]]*Lookups!$B$19</f>
        <v>0</v>
      </c>
      <c r="BQ159" s="7">
        <f>(Wapato_Inventory[[#This Row],[att_gar]]+Wapato_Inventory[[#This Row],[blt_gar]])*Lookups!$B$20</f>
        <v>0</v>
      </c>
      <c r="BR159" s="7">
        <f>Wapato_Inventory[[#This Row],[Patio]]*Lookups!$B$21</f>
        <v>0</v>
      </c>
      <c r="BS159" s="7">
        <f>SUM(Wapato_Inventory[[#This Row],[intercept]:[patio_value]])*Wapato_Inventory[[#This Row],[res_pct]]</f>
        <v>219692.81055900001</v>
      </c>
      <c r="BT159" s="7">
        <f>Wapato_Inventory[[#This Row],[land_value]]</f>
        <v>53500</v>
      </c>
      <c r="BU159" s="2">
        <f>_xlfn.IFNA(VLOOKUP(Wapato_Inventory[[#This Row],[quality]],Lookups!$A$28:$C$37,3,FALSE),1)</f>
        <v>0.98196844879778955</v>
      </c>
      <c r="BV159" s="2">
        <f>_xlfn.IFNA(VLOOKUP(Wapato_Inventory[[#This Row],[condition]],Lookups!$A$41:$C$48,3,FALSE),1)</f>
        <v>0.9832333997567807</v>
      </c>
      <c r="BW159" s="2">
        <f>IF(Wapato_Inventory[[#This Row],[decade]]="",1,_xlfn.IFNA(VLOOKUP(Wapato_Inventory[[#This Row],[decade]],Lookups!$F$28:$H$45,3,FALSE),1))</f>
        <v>1.0327621624630683</v>
      </c>
      <c r="BX159" s="2">
        <f>_xlfn.IFNA(VLOOKUP(Wapato_Inventory[[#This Row],[living_area_range]],Lookups!$K$28:$M$37,3,FALSE),1)</f>
        <v>0.99330894324714125</v>
      </c>
      <c r="BY159" s="2">
        <f>AVERAGE(Wapato_Inventory[[#This Row],[qual_adj]:[range_adj]])</f>
        <v>0.99781823856619489</v>
      </c>
      <c r="BZ159" s="7">
        <f>(Wapato_Inventory[[#This Row],[sum_land]]-IF(Wapato_Inventory[[#This Row],[no_utilities]]=1,12000,0))/IF(Wapato_Inventory[[#This Row],[unbuildable]]=1,2,1)</f>
        <v>53500</v>
      </c>
      <c r="CA159" s="7">
        <f>Wapato_Inventory[[#This Row],[pre_res]]*Wapato_Inventory[[#This Row],[overall_adj]]</f>
        <v>219213.49325763813</v>
      </c>
      <c r="CB159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59" s="3">
        <f>IF(ROUND(Wapato_Inventory[[#This Row],[adj_res]]*Lookups!$H$48,-2)&lt;Wapato_Inventory[[#This Row],[min_res]],Wapato_Inventory[[#This Row],[min_res]],ROUND(Wapato_Inventory[[#This Row],[adj_res]]*Lookups!$H$48,-2))</f>
        <v>208300</v>
      </c>
      <c r="CD159" s="3">
        <f>ROUND(Wapato_Inventory[[#This Row],[det_value]]*Lookups!$H$48,-2)</f>
        <v>0</v>
      </c>
      <c r="CE159" s="3">
        <f>Wapato_Inventory[[#This Row],[final_res]]+Wapato_Inventory[[#This Row],[final_det]]</f>
        <v>208300</v>
      </c>
      <c r="CF159" s="3">
        <f>Wapato_Inventory[[#This Row],[crop_value]]+Wapato_Inventory[[#This Row],[final_land]]+Wapato_Inventory[[#This Row],[final_imp]]</f>
        <v>259100</v>
      </c>
      <c r="CH159" t="str">
        <f t="shared" si="2"/>
        <v>update valuation set market_land =50800, market_bldg=208300, market_total =259100, market_mdno =405, market_date ='9/10/2023' where link_id = (select link_id from parcel where parcel_year = '2024' and parcel_id = '19111041430');</v>
      </c>
    </row>
    <row r="160" spans="1:86" x14ac:dyDescent="0.25">
      <c r="A160">
        <v>19111041431</v>
      </c>
      <c r="B160">
        <v>0.14000000000000001</v>
      </c>
      <c r="C160">
        <v>6005</v>
      </c>
      <c r="D160" t="s">
        <v>144</v>
      </c>
      <c r="E160" t="s">
        <v>54</v>
      </c>
      <c r="F160" t="s">
        <v>54</v>
      </c>
      <c r="G160">
        <v>3</v>
      </c>
      <c r="H160" t="s">
        <v>55</v>
      </c>
      <c r="I160">
        <v>108000</v>
      </c>
      <c r="J160">
        <v>31900</v>
      </c>
      <c r="K160">
        <v>0.14000000000000001</v>
      </c>
      <c r="L160">
        <f>IF(Wapato_Inventory[[#This Row],[parcel_acres]]-Wapato_Inventory[[#This Row],[non_valued_acres]] =0,0,LN(Wapato_Inventory[[#This Row],[parcel_acres]]-Wapato_Inventory[[#This Row],[non_valued_acres]]))</f>
        <v>-1.9661128563728327</v>
      </c>
      <c r="M160">
        <v>0</v>
      </c>
      <c r="N160">
        <v>0</v>
      </c>
      <c r="O160">
        <v>0</v>
      </c>
      <c r="P160">
        <v>27904.037</v>
      </c>
      <c r="Q160">
        <v>74398</v>
      </c>
      <c r="R160" s="3">
        <f>(Wapato_Inventory[[#This Row],[ln_acres]]*Wapato_Inventory[[#This Row],[coeff]])+Wapato_Inventory[[#This Row],[const]]</f>
        <v>19535.514109596792</v>
      </c>
      <c r="S160" t="s">
        <v>66</v>
      </c>
      <c r="T160">
        <v>1</v>
      </c>
      <c r="U160" t="s">
        <v>71</v>
      </c>
      <c r="V160" t="s">
        <v>68</v>
      </c>
      <c r="W160">
        <v>0</v>
      </c>
      <c r="X160">
        <v>0</v>
      </c>
      <c r="Y160">
        <v>57</v>
      </c>
      <c r="Z160">
        <v>103</v>
      </c>
      <c r="AA160">
        <v>110</v>
      </c>
      <c r="AB160">
        <v>1000</v>
      </c>
      <c r="AC160">
        <v>872</v>
      </c>
      <c r="AD160">
        <v>872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325</v>
      </c>
      <c r="AL160">
        <v>0</v>
      </c>
      <c r="AM160">
        <v>0</v>
      </c>
      <c r="AN160">
        <v>0</v>
      </c>
      <c r="AO160">
        <v>0</v>
      </c>
      <c r="AP160">
        <v>5</v>
      </c>
      <c r="AQ160">
        <v>0</v>
      </c>
      <c r="AR160">
        <v>0</v>
      </c>
      <c r="AS160" t="s">
        <v>59</v>
      </c>
      <c r="AT160">
        <v>0</v>
      </c>
      <c r="AU160" t="s">
        <v>80</v>
      </c>
      <c r="AV160" t="s">
        <v>61</v>
      </c>
      <c r="AW160">
        <v>0</v>
      </c>
      <c r="AX160">
        <v>2</v>
      </c>
      <c r="AY160">
        <v>0</v>
      </c>
      <c r="AZ160">
        <v>0</v>
      </c>
      <c r="BA160">
        <v>100</v>
      </c>
      <c r="BB160">
        <v>100</v>
      </c>
      <c r="BC160">
        <v>100</v>
      </c>
      <c r="BD160">
        <v>100</v>
      </c>
      <c r="BE160">
        <v>1</v>
      </c>
      <c r="BF160">
        <v>15000</v>
      </c>
      <c r="BG160">
        <v>1000</v>
      </c>
      <c r="BH160" s="7">
        <f>ROUND(Wapato_Inventory[[#This Row],[detatched_value]]*Lookups!$B$22*Lookups!$H$48,-2)</f>
        <v>0</v>
      </c>
      <c r="BI160" s="7">
        <f>ROUND(((Wapato_Inventory[[#This Row],[land_extract]]*Lookups!$B$3) +(Lookups!$B$2*0.5))*Lookups!$H$48,-2)</f>
        <v>53000</v>
      </c>
      <c r="BJ160" s="7">
        <f>IF(Wapato_Inventory[[#This Row],[bldg_style]]="",0,Lookups!$B$2*0.5)</f>
        <v>53765.27</v>
      </c>
      <c r="BK160" s="7">
        <f>_xlfn.IFNA(VLOOKUP(Wapato_Inventory[[#This Row],[quality]],Lookups!$H$2:$J$14,3,FALSE),0)</f>
        <v>28034</v>
      </c>
      <c r="BL160" s="7">
        <f>_xlfn.IFNA(VLOOKUP(Wapato_Inventory[[#This Row],[condition]],Lookups!$H$17:$J$24,3,FALSE),0)</f>
        <v>52231</v>
      </c>
      <c r="BM160" s="7">
        <f>Wapato_Inventory[[#This Row],[Age]]*Lookups!$B$16</f>
        <v>-38179.597099999999</v>
      </c>
      <c r="BN160" s="7">
        <f>Wapato_Inventory[[#This Row],[Main Floor]]*Lookups!$B$17</f>
        <v>36450.244407999999</v>
      </c>
      <c r="BO160" s="7">
        <f>Wapato_Inventory[[#This Row],[Upper Floor]]*Lookups!$B$18</f>
        <v>0</v>
      </c>
      <c r="BP160" s="7">
        <f>Wapato_Inventory[[#This Row],[Fin BSMT]]*Lookups!$B$19</f>
        <v>0</v>
      </c>
      <c r="BQ160" s="7">
        <f>(Wapato_Inventory[[#This Row],[att_gar]]+Wapato_Inventory[[#This Row],[blt_gar]])*Lookups!$B$20</f>
        <v>0</v>
      </c>
      <c r="BR160" s="7">
        <f>Wapato_Inventory[[#This Row],[Patio]]*Lookups!$B$21</f>
        <v>0</v>
      </c>
      <c r="BS160" s="7">
        <f>SUM(Wapato_Inventory[[#This Row],[intercept]:[patio_value]])*Wapato_Inventory[[#This Row],[res_pct]]</f>
        <v>132300.91730799997</v>
      </c>
      <c r="BT160" s="7">
        <f>Wapato_Inventory[[#This Row],[land_value]]</f>
        <v>53000</v>
      </c>
      <c r="BU160" s="2">
        <f>_xlfn.IFNA(VLOOKUP(Wapato_Inventory[[#This Row],[quality]],Lookups!$A$28:$C$37,3,FALSE),1)</f>
        <v>0.96265813922927435</v>
      </c>
      <c r="BV160" s="2">
        <f>_xlfn.IFNA(VLOOKUP(Wapato_Inventory[[#This Row],[condition]],Lookups!$A$41:$C$48,3,FALSE),1)</f>
        <v>0.9832333997567807</v>
      </c>
      <c r="BW160" s="2">
        <f>IF(Wapato_Inventory[[#This Row],[decade]]="",1,_xlfn.IFNA(VLOOKUP(Wapato_Inventory[[#This Row],[decade]],Lookups!$F$28:$H$45,3,FALSE),1))</f>
        <v>0.93664589651353292</v>
      </c>
      <c r="BX160" s="2">
        <f>_xlfn.IFNA(VLOOKUP(Wapato_Inventory[[#This Row],[living_area_range]],Lookups!$K$28:$M$37,3,FALSE),1)</f>
        <v>0.99022994770196116</v>
      </c>
      <c r="BY160" s="2">
        <f>AVERAGE(Wapato_Inventory[[#This Row],[qual_adj]:[range_adj]])</f>
        <v>0.9681918458003872</v>
      </c>
      <c r="BZ160" s="7">
        <f>(Wapato_Inventory[[#This Row],[sum_land]]-IF(Wapato_Inventory[[#This Row],[no_utilities]]=1,12000,0))/IF(Wapato_Inventory[[#This Row],[unbuildable]]=1,2,1)</f>
        <v>53000</v>
      </c>
      <c r="CA160" s="7">
        <f>Wapato_Inventory[[#This Row],[pre_res]]*Wapato_Inventory[[#This Row],[overall_adj]]</f>
        <v>128092.6693295169</v>
      </c>
      <c r="CB16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60" s="3">
        <f>IF(ROUND(Wapato_Inventory[[#This Row],[adj_res]]*Lookups!$H$48,-2)&lt;Wapato_Inventory[[#This Row],[min_res]],Wapato_Inventory[[#This Row],[min_res]],ROUND(Wapato_Inventory[[#This Row],[adj_res]]*Lookups!$H$48,-2))</f>
        <v>121700</v>
      </c>
      <c r="CD160" s="3">
        <f>ROUND(Wapato_Inventory[[#This Row],[det_value]]*Lookups!$H$48,-2)</f>
        <v>0</v>
      </c>
      <c r="CE160" s="3">
        <f>Wapato_Inventory[[#This Row],[final_res]]+Wapato_Inventory[[#This Row],[final_det]]</f>
        <v>121700</v>
      </c>
      <c r="CF160" s="3">
        <f>Wapato_Inventory[[#This Row],[crop_value]]+Wapato_Inventory[[#This Row],[final_land]]+Wapato_Inventory[[#This Row],[final_imp]]</f>
        <v>172100</v>
      </c>
      <c r="CH160" t="str">
        <f t="shared" si="2"/>
        <v>update valuation set market_land =50400, market_bldg=121700, market_total =172100, market_mdno =405, market_date ='9/10/2023' where link_id = (select link_id from parcel where parcel_year = '2024' and parcel_id = '19111041431');</v>
      </c>
    </row>
    <row r="161" spans="1:86" x14ac:dyDescent="0.25">
      <c r="A161">
        <v>19111041432</v>
      </c>
      <c r="B161">
        <v>0.17</v>
      </c>
      <c r="C161">
        <v>7227</v>
      </c>
      <c r="D161" t="s">
        <v>144</v>
      </c>
      <c r="E161" t="s">
        <v>54</v>
      </c>
      <c r="F161" t="s">
        <v>54</v>
      </c>
      <c r="G161">
        <v>3</v>
      </c>
      <c r="H161" t="s">
        <v>55</v>
      </c>
      <c r="I161">
        <v>172300</v>
      </c>
      <c r="J161">
        <v>33200</v>
      </c>
      <c r="K161">
        <v>0.17</v>
      </c>
      <c r="L161">
        <f>IF(Wapato_Inventory[[#This Row],[parcel_acres]]-Wapato_Inventory[[#This Row],[non_valued_acres]] =0,0,LN(Wapato_Inventory[[#This Row],[parcel_acres]]-Wapato_Inventory[[#This Row],[non_valued_acres]]))</f>
        <v>-1.7719568419318752</v>
      </c>
      <c r="M161">
        <v>0</v>
      </c>
      <c r="N161">
        <v>0</v>
      </c>
      <c r="O161">
        <v>0</v>
      </c>
      <c r="P161">
        <v>27904.037</v>
      </c>
      <c r="Q161">
        <v>74398</v>
      </c>
      <c r="R161" s="3">
        <f>(Wapato_Inventory[[#This Row],[ln_acres]]*Wapato_Inventory[[#This Row],[coeff]])+Wapato_Inventory[[#This Row],[const]]</f>
        <v>24953.250720329801</v>
      </c>
      <c r="S161" t="s">
        <v>66</v>
      </c>
      <c r="T161">
        <v>1</v>
      </c>
      <c r="U161" t="s">
        <v>71</v>
      </c>
      <c r="V161" t="s">
        <v>69</v>
      </c>
      <c r="W161">
        <v>0</v>
      </c>
      <c r="X161">
        <v>0</v>
      </c>
      <c r="Y161">
        <v>53</v>
      </c>
      <c r="Z161">
        <v>93</v>
      </c>
      <c r="AA161">
        <v>100</v>
      </c>
      <c r="AB161">
        <v>1500</v>
      </c>
      <c r="AC161">
        <v>1288</v>
      </c>
      <c r="AD161">
        <v>1288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5</v>
      </c>
      <c r="AQ161">
        <v>0</v>
      </c>
      <c r="AR161">
        <v>0</v>
      </c>
      <c r="AS161" t="s">
        <v>59</v>
      </c>
      <c r="AT161">
        <v>1</v>
      </c>
      <c r="AU161" t="s">
        <v>64</v>
      </c>
      <c r="AV161" t="s">
        <v>61</v>
      </c>
      <c r="AW161">
        <v>1</v>
      </c>
      <c r="AX161">
        <v>3</v>
      </c>
      <c r="AY161">
        <v>0</v>
      </c>
      <c r="AZ161">
        <v>0</v>
      </c>
      <c r="BA161">
        <v>100</v>
      </c>
      <c r="BB161">
        <v>100</v>
      </c>
      <c r="BC161">
        <v>100</v>
      </c>
      <c r="BD161">
        <v>100</v>
      </c>
      <c r="BE161">
        <v>1</v>
      </c>
      <c r="BF161">
        <v>15000</v>
      </c>
      <c r="BG161">
        <v>1000</v>
      </c>
      <c r="BH161" s="7">
        <f>ROUND(Wapato_Inventory[[#This Row],[detatched_value]]*Lookups!$B$22*Lookups!$H$48,-2)</f>
        <v>0</v>
      </c>
      <c r="BI161" s="7">
        <f>ROUND(((Wapato_Inventory[[#This Row],[land_extract]]*Lookups!$B$3) +(Lookups!$B$2*0.5))*Lookups!$H$48,-2)</f>
        <v>53500</v>
      </c>
      <c r="BJ161" s="7">
        <f>IF(Wapato_Inventory[[#This Row],[bldg_style]]="",0,Lookups!$B$2*0.5)</f>
        <v>53765.27</v>
      </c>
      <c r="BK161" s="7">
        <f>_xlfn.IFNA(VLOOKUP(Wapato_Inventory[[#This Row],[quality]],Lookups!$H$2:$J$14,3,FALSE),0)</f>
        <v>28034</v>
      </c>
      <c r="BL161" s="7">
        <f>_xlfn.IFNA(VLOOKUP(Wapato_Inventory[[#This Row],[condition]],Lookups!$H$17:$J$24,3,FALSE),0)</f>
        <v>74543</v>
      </c>
      <c r="BM161" s="7">
        <f>Wapato_Inventory[[#This Row],[Age]]*Lookups!$B$16</f>
        <v>-34472.840100000001</v>
      </c>
      <c r="BN161" s="7">
        <f>Wapato_Inventory[[#This Row],[Main Floor]]*Lookups!$B$17</f>
        <v>53839.351832</v>
      </c>
      <c r="BO161" s="7">
        <f>Wapato_Inventory[[#This Row],[Upper Floor]]*Lookups!$B$18</f>
        <v>0</v>
      </c>
      <c r="BP161" s="7">
        <f>Wapato_Inventory[[#This Row],[Fin BSMT]]*Lookups!$B$19</f>
        <v>0</v>
      </c>
      <c r="BQ161" s="7">
        <f>(Wapato_Inventory[[#This Row],[att_gar]]+Wapato_Inventory[[#This Row],[blt_gar]])*Lookups!$B$20</f>
        <v>0</v>
      </c>
      <c r="BR161" s="7">
        <f>Wapato_Inventory[[#This Row],[Patio]]*Lookups!$B$21</f>
        <v>0</v>
      </c>
      <c r="BS161" s="7">
        <f>SUM(Wapato_Inventory[[#This Row],[intercept]:[patio_value]])*Wapato_Inventory[[#This Row],[res_pct]]</f>
        <v>175708.781732</v>
      </c>
      <c r="BT161" s="7">
        <f>Wapato_Inventory[[#This Row],[land_value]]</f>
        <v>53500</v>
      </c>
      <c r="BU161" s="2">
        <f>_xlfn.IFNA(VLOOKUP(Wapato_Inventory[[#This Row],[quality]],Lookups!$A$28:$C$37,3,FALSE),1)</f>
        <v>0.96265813922927435</v>
      </c>
      <c r="BV161" s="2">
        <f>_xlfn.IFNA(VLOOKUP(Wapato_Inventory[[#This Row],[condition]],Lookups!$A$41:$C$48,3,FALSE),1)</f>
        <v>0.98442438223270734</v>
      </c>
      <c r="BW161" s="2">
        <f>IF(Wapato_Inventory[[#This Row],[decade]]="",1,_xlfn.IFNA(VLOOKUP(Wapato_Inventory[[#This Row],[decade]],Lookups!$F$28:$H$45,3,FALSE),1))</f>
        <v>1.0114203040664467</v>
      </c>
      <c r="BX161" s="2">
        <f>_xlfn.IFNA(VLOOKUP(Wapato_Inventory[[#This Row],[living_area_range]],Lookups!$K$28:$M$37,3,FALSE),1)</f>
        <v>1.0061411172456287</v>
      </c>
      <c r="BY161" s="2">
        <f>AVERAGE(Wapato_Inventory[[#This Row],[qual_adj]:[range_adj]])</f>
        <v>0.99116098569351418</v>
      </c>
      <c r="BZ161" s="7">
        <f>(Wapato_Inventory[[#This Row],[sum_land]]-IF(Wapato_Inventory[[#This Row],[no_utilities]]=1,12000,0))/IF(Wapato_Inventory[[#This Row],[unbuildable]]=1,2,1)</f>
        <v>53500</v>
      </c>
      <c r="CA161" s="7">
        <f>Wapato_Inventory[[#This Row],[pre_res]]*Wapato_Inventory[[#This Row],[overall_adj]]</f>
        <v>174155.68929649566</v>
      </c>
      <c r="CB161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61" s="3">
        <f>IF(ROUND(Wapato_Inventory[[#This Row],[adj_res]]*Lookups!$H$48,-2)&lt;Wapato_Inventory[[#This Row],[min_res]],Wapato_Inventory[[#This Row],[min_res]],ROUND(Wapato_Inventory[[#This Row],[adj_res]]*Lookups!$H$48,-2))</f>
        <v>165400</v>
      </c>
      <c r="CD161" s="3">
        <f>ROUND(Wapato_Inventory[[#This Row],[det_value]]*Lookups!$H$48,-2)</f>
        <v>0</v>
      </c>
      <c r="CE161" s="3">
        <f>Wapato_Inventory[[#This Row],[final_res]]+Wapato_Inventory[[#This Row],[final_det]]</f>
        <v>165400</v>
      </c>
      <c r="CF161" s="3">
        <f>Wapato_Inventory[[#This Row],[crop_value]]+Wapato_Inventory[[#This Row],[final_land]]+Wapato_Inventory[[#This Row],[final_imp]]</f>
        <v>216200</v>
      </c>
      <c r="CH161" t="str">
        <f t="shared" si="2"/>
        <v>update valuation set market_land =50800, market_bldg=165400, market_total =216200, market_mdno =405, market_date ='9/10/2023' where link_id = (select link_id from parcel where parcel_year = '2024' and parcel_id = '19111041432');</v>
      </c>
    </row>
    <row r="162" spans="1:86" x14ac:dyDescent="0.25">
      <c r="A162">
        <v>19111041434</v>
      </c>
      <c r="B162">
        <v>0.17</v>
      </c>
      <c r="C162">
        <v>7204</v>
      </c>
      <c r="D162" t="s">
        <v>144</v>
      </c>
      <c r="E162" t="s">
        <v>54</v>
      </c>
      <c r="F162" t="s">
        <v>54</v>
      </c>
      <c r="G162">
        <v>3</v>
      </c>
      <c r="H162" t="s">
        <v>55</v>
      </c>
      <c r="I162">
        <v>201100</v>
      </c>
      <c r="J162">
        <v>33200</v>
      </c>
      <c r="K162">
        <v>0.17</v>
      </c>
      <c r="L162">
        <f>IF(Wapato_Inventory[[#This Row],[parcel_acres]]-Wapato_Inventory[[#This Row],[non_valued_acres]] =0,0,LN(Wapato_Inventory[[#This Row],[parcel_acres]]-Wapato_Inventory[[#This Row],[non_valued_acres]]))</f>
        <v>-1.7719568419318752</v>
      </c>
      <c r="M162">
        <v>0</v>
      </c>
      <c r="N162">
        <v>0</v>
      </c>
      <c r="O162">
        <v>0</v>
      </c>
      <c r="P162">
        <v>27904.037</v>
      </c>
      <c r="Q162">
        <v>74398</v>
      </c>
      <c r="R162" s="3">
        <f>(Wapato_Inventory[[#This Row],[ln_acres]]*Wapato_Inventory[[#This Row],[coeff]])+Wapato_Inventory[[#This Row],[const]]</f>
        <v>24953.250720329801</v>
      </c>
      <c r="S162" t="s">
        <v>66</v>
      </c>
      <c r="T162">
        <v>1</v>
      </c>
      <c r="U162" t="s">
        <v>71</v>
      </c>
      <c r="V162" t="s">
        <v>68</v>
      </c>
      <c r="W162">
        <v>0</v>
      </c>
      <c r="X162">
        <v>0</v>
      </c>
      <c r="Y162">
        <v>53</v>
      </c>
      <c r="Z162">
        <v>93</v>
      </c>
      <c r="AA162">
        <v>100</v>
      </c>
      <c r="AB162">
        <v>1000</v>
      </c>
      <c r="AC162">
        <v>960</v>
      </c>
      <c r="AD162">
        <v>960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120</v>
      </c>
      <c r="AO162">
        <v>0</v>
      </c>
      <c r="AP162">
        <v>5</v>
      </c>
      <c r="AQ162">
        <v>0</v>
      </c>
      <c r="AR162">
        <v>0</v>
      </c>
      <c r="AS162" t="s">
        <v>59</v>
      </c>
      <c r="AT162">
        <v>1</v>
      </c>
      <c r="AU162" t="s">
        <v>72</v>
      </c>
      <c r="AV162" t="s">
        <v>61</v>
      </c>
      <c r="AW162">
        <v>0</v>
      </c>
      <c r="AX162">
        <v>2</v>
      </c>
      <c r="AY162">
        <v>0</v>
      </c>
      <c r="AZ162">
        <v>62300</v>
      </c>
      <c r="BA162">
        <v>100</v>
      </c>
      <c r="BB162">
        <v>100</v>
      </c>
      <c r="BC162">
        <v>100</v>
      </c>
      <c r="BD162">
        <v>100</v>
      </c>
      <c r="BE162">
        <v>1</v>
      </c>
      <c r="BF162">
        <v>15000</v>
      </c>
      <c r="BG162">
        <v>1000</v>
      </c>
      <c r="BH162" s="7">
        <f>ROUND(Wapato_Inventory[[#This Row],[detatched_value]]*Lookups!$B$22*Lookups!$H$48,-2)</f>
        <v>55600</v>
      </c>
      <c r="BI162" s="7">
        <f>ROUND(((Wapato_Inventory[[#This Row],[land_extract]]*Lookups!$B$3) +(Lookups!$B$2*0.5))*Lookups!$H$48,-2)</f>
        <v>53500</v>
      </c>
      <c r="BJ162" s="7">
        <f>IF(Wapato_Inventory[[#This Row],[bldg_style]]="",0,Lookups!$B$2*0.5)</f>
        <v>53765.27</v>
      </c>
      <c r="BK162" s="7">
        <f>_xlfn.IFNA(VLOOKUP(Wapato_Inventory[[#This Row],[quality]],Lookups!$H$2:$J$14,3,FALSE),0)</f>
        <v>28034</v>
      </c>
      <c r="BL162" s="7">
        <f>_xlfn.IFNA(VLOOKUP(Wapato_Inventory[[#This Row],[condition]],Lookups!$H$17:$J$24,3,FALSE),0)</f>
        <v>52231</v>
      </c>
      <c r="BM162" s="7">
        <f>Wapato_Inventory[[#This Row],[Age]]*Lookups!$B$16</f>
        <v>-34472.840100000001</v>
      </c>
      <c r="BN162" s="7">
        <f>Wapato_Inventory[[#This Row],[Main Floor]]*Lookups!$B$17</f>
        <v>40128.709439999999</v>
      </c>
      <c r="BO162" s="7">
        <f>Wapato_Inventory[[#This Row],[Upper Floor]]*Lookups!$B$18</f>
        <v>0</v>
      </c>
      <c r="BP162" s="7">
        <f>Wapato_Inventory[[#This Row],[Fin BSMT]]*Lookups!$B$19</f>
        <v>0</v>
      </c>
      <c r="BQ162" s="7">
        <f>(Wapato_Inventory[[#This Row],[att_gar]]+Wapato_Inventory[[#This Row],[blt_gar]])*Lookups!$B$20</f>
        <v>0</v>
      </c>
      <c r="BR162" s="7">
        <f>Wapato_Inventory[[#This Row],[Patio]]*Lookups!$B$21</f>
        <v>0</v>
      </c>
      <c r="BS162" s="7">
        <f>SUM(Wapato_Inventory[[#This Row],[intercept]:[patio_value]])*Wapato_Inventory[[#This Row],[res_pct]]</f>
        <v>139686.13933999999</v>
      </c>
      <c r="BT162" s="7">
        <f>Wapato_Inventory[[#This Row],[land_value]]</f>
        <v>53500</v>
      </c>
      <c r="BU162" s="2">
        <f>_xlfn.IFNA(VLOOKUP(Wapato_Inventory[[#This Row],[quality]],Lookups!$A$28:$C$37,3,FALSE),1)</f>
        <v>0.96265813922927435</v>
      </c>
      <c r="BV162" s="2">
        <f>_xlfn.IFNA(VLOOKUP(Wapato_Inventory[[#This Row],[condition]],Lookups!$A$41:$C$48,3,FALSE),1)</f>
        <v>0.9832333997567807</v>
      </c>
      <c r="BW162" s="2">
        <f>IF(Wapato_Inventory[[#This Row],[decade]]="",1,_xlfn.IFNA(VLOOKUP(Wapato_Inventory[[#This Row],[decade]],Lookups!$F$28:$H$45,3,FALSE),1))</f>
        <v>1.0114203040664467</v>
      </c>
      <c r="BX162" s="2">
        <f>_xlfn.IFNA(VLOOKUP(Wapato_Inventory[[#This Row],[living_area_range]],Lookups!$K$28:$M$37,3,FALSE),1)</f>
        <v>0.99022994770196116</v>
      </c>
      <c r="BY162" s="2">
        <f>AVERAGE(Wapato_Inventory[[#This Row],[qual_adj]:[range_adj]])</f>
        <v>0.98688544768861564</v>
      </c>
      <c r="BZ162" s="7">
        <f>(Wapato_Inventory[[#This Row],[sum_land]]-IF(Wapato_Inventory[[#This Row],[no_utilities]]=1,12000,0))/IF(Wapato_Inventory[[#This Row],[unbuildable]]=1,2,1)</f>
        <v>53500</v>
      </c>
      <c r="CA162" s="7">
        <f>Wapato_Inventory[[#This Row],[pre_res]]*Wapato_Inventory[[#This Row],[overall_adj]]</f>
        <v>137854.21815845024</v>
      </c>
      <c r="CB162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62" s="3">
        <f>IF(ROUND(Wapato_Inventory[[#This Row],[adj_res]]*Lookups!$H$48,-2)&lt;Wapato_Inventory[[#This Row],[min_res]],Wapato_Inventory[[#This Row],[min_res]],ROUND(Wapato_Inventory[[#This Row],[adj_res]]*Lookups!$H$48,-2))</f>
        <v>131000</v>
      </c>
      <c r="CD162" s="3">
        <f>ROUND(Wapato_Inventory[[#This Row],[det_value]]*Lookups!$H$48,-2)</f>
        <v>52800</v>
      </c>
      <c r="CE162" s="3">
        <f>Wapato_Inventory[[#This Row],[final_res]]+Wapato_Inventory[[#This Row],[final_det]]</f>
        <v>183800</v>
      </c>
      <c r="CF162" s="3">
        <f>Wapato_Inventory[[#This Row],[crop_value]]+Wapato_Inventory[[#This Row],[final_land]]+Wapato_Inventory[[#This Row],[final_imp]]</f>
        <v>234600</v>
      </c>
      <c r="CH162" t="str">
        <f t="shared" si="2"/>
        <v>update valuation set market_land =50800, market_bldg=183800, market_total =234600, market_mdno =405, market_date ='9/10/2023' where link_id = (select link_id from parcel where parcel_year = '2024' and parcel_id = '19111041434');</v>
      </c>
    </row>
    <row r="163" spans="1:86" x14ac:dyDescent="0.25">
      <c r="A163">
        <v>19111041435</v>
      </c>
      <c r="B163">
        <v>0.17</v>
      </c>
      <c r="C163">
        <v>7240</v>
      </c>
      <c r="D163" t="s">
        <v>144</v>
      </c>
      <c r="E163" t="s">
        <v>54</v>
      </c>
      <c r="F163" t="s">
        <v>54</v>
      </c>
      <c r="G163">
        <v>3</v>
      </c>
      <c r="H163" t="s">
        <v>55</v>
      </c>
      <c r="I163">
        <v>256500</v>
      </c>
      <c r="J163">
        <v>33200</v>
      </c>
      <c r="K163">
        <v>0.17</v>
      </c>
      <c r="L163">
        <f>IF(Wapato_Inventory[[#This Row],[parcel_acres]]-Wapato_Inventory[[#This Row],[non_valued_acres]] =0,0,LN(Wapato_Inventory[[#This Row],[parcel_acres]]-Wapato_Inventory[[#This Row],[non_valued_acres]]))</f>
        <v>-1.7719568419318752</v>
      </c>
      <c r="M163">
        <v>0</v>
      </c>
      <c r="N163">
        <v>0</v>
      </c>
      <c r="O163">
        <v>0</v>
      </c>
      <c r="P163">
        <v>27904.037</v>
      </c>
      <c r="Q163">
        <v>74398</v>
      </c>
      <c r="R163" s="3">
        <f>(Wapato_Inventory[[#This Row],[ln_acres]]*Wapato_Inventory[[#This Row],[coeff]])+Wapato_Inventory[[#This Row],[const]]</f>
        <v>24953.250720329801</v>
      </c>
      <c r="S163" t="s">
        <v>66</v>
      </c>
      <c r="T163">
        <v>1</v>
      </c>
      <c r="U163" t="s">
        <v>71</v>
      </c>
      <c r="V163" t="s">
        <v>69</v>
      </c>
      <c r="W163">
        <v>0</v>
      </c>
      <c r="X163">
        <v>0</v>
      </c>
      <c r="Y163">
        <v>25</v>
      </c>
      <c r="Z163">
        <v>25</v>
      </c>
      <c r="AA163">
        <v>30</v>
      </c>
      <c r="AB163">
        <v>1000</v>
      </c>
      <c r="AC163">
        <v>832</v>
      </c>
      <c r="AD163">
        <v>832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49</v>
      </c>
      <c r="AO163">
        <v>0</v>
      </c>
      <c r="AP163">
        <v>5</v>
      </c>
      <c r="AQ163">
        <v>0</v>
      </c>
      <c r="AR163">
        <v>0</v>
      </c>
      <c r="AS163" t="s">
        <v>59</v>
      </c>
      <c r="AT163">
        <v>1</v>
      </c>
      <c r="AU163" t="s">
        <v>64</v>
      </c>
      <c r="AV163" t="s">
        <v>61</v>
      </c>
      <c r="AW163">
        <v>0</v>
      </c>
      <c r="AX163">
        <v>2</v>
      </c>
      <c r="AY163">
        <v>0</v>
      </c>
      <c r="AZ163">
        <v>52400</v>
      </c>
      <c r="BA163">
        <v>100</v>
      </c>
      <c r="BB163">
        <v>100</v>
      </c>
      <c r="BC163">
        <v>100</v>
      </c>
      <c r="BD163">
        <v>100</v>
      </c>
      <c r="BE163">
        <v>1</v>
      </c>
      <c r="BF163">
        <v>15000</v>
      </c>
      <c r="BG163">
        <v>1000</v>
      </c>
      <c r="BH163" s="7">
        <f>ROUND(Wapato_Inventory[[#This Row],[detatched_value]]*Lookups!$B$22*Lookups!$H$48,-2)</f>
        <v>46800</v>
      </c>
      <c r="BI163" s="7">
        <f>ROUND(((Wapato_Inventory[[#This Row],[land_extract]]*Lookups!$B$3) +(Lookups!$B$2*0.5))*Lookups!$H$48,-2)</f>
        <v>53500</v>
      </c>
      <c r="BJ163" s="7">
        <f>IF(Wapato_Inventory[[#This Row],[bldg_style]]="",0,Lookups!$B$2*0.5)</f>
        <v>53765.27</v>
      </c>
      <c r="BK163" s="7">
        <f>_xlfn.IFNA(VLOOKUP(Wapato_Inventory[[#This Row],[quality]],Lookups!$H$2:$J$14,3,FALSE),0)</f>
        <v>28034</v>
      </c>
      <c r="BL163" s="7">
        <f>_xlfn.IFNA(VLOOKUP(Wapato_Inventory[[#This Row],[condition]],Lookups!$H$17:$J$24,3,FALSE),0)</f>
        <v>74543</v>
      </c>
      <c r="BM163" s="7">
        <f>Wapato_Inventory[[#This Row],[Age]]*Lookups!$B$16</f>
        <v>-9266.8924999999999</v>
      </c>
      <c r="BN163" s="7">
        <f>Wapato_Inventory[[#This Row],[Main Floor]]*Lookups!$B$17</f>
        <v>34778.214848000003</v>
      </c>
      <c r="BO163" s="7">
        <f>Wapato_Inventory[[#This Row],[Upper Floor]]*Lookups!$B$18</f>
        <v>0</v>
      </c>
      <c r="BP163" s="7">
        <f>Wapato_Inventory[[#This Row],[Fin BSMT]]*Lookups!$B$19</f>
        <v>0</v>
      </c>
      <c r="BQ163" s="7">
        <f>(Wapato_Inventory[[#This Row],[att_gar]]+Wapato_Inventory[[#This Row],[blt_gar]])*Lookups!$B$20</f>
        <v>0</v>
      </c>
      <c r="BR163" s="7">
        <f>Wapato_Inventory[[#This Row],[Patio]]*Lookups!$B$21</f>
        <v>0</v>
      </c>
      <c r="BS163" s="7">
        <f>SUM(Wapato_Inventory[[#This Row],[intercept]:[patio_value]])*Wapato_Inventory[[#This Row],[res_pct]]</f>
        <v>181853.59234800001</v>
      </c>
      <c r="BT163" s="7">
        <f>Wapato_Inventory[[#This Row],[land_value]]</f>
        <v>53500</v>
      </c>
      <c r="BU163" s="2">
        <f>_xlfn.IFNA(VLOOKUP(Wapato_Inventory[[#This Row],[quality]],Lookups!$A$28:$C$37,3,FALSE),1)</f>
        <v>0.96265813922927435</v>
      </c>
      <c r="BV163" s="2">
        <f>_xlfn.IFNA(VLOOKUP(Wapato_Inventory[[#This Row],[condition]],Lookups!$A$41:$C$48,3,FALSE),1)</f>
        <v>0.98442438223270734</v>
      </c>
      <c r="BW163" s="2">
        <f>IF(Wapato_Inventory[[#This Row],[decade]]="",1,_xlfn.IFNA(VLOOKUP(Wapato_Inventory[[#This Row],[decade]],Lookups!$F$28:$H$45,3,FALSE),1))</f>
        <v>1.0490505496896987</v>
      </c>
      <c r="BX163" s="2">
        <f>_xlfn.IFNA(VLOOKUP(Wapato_Inventory[[#This Row],[living_area_range]],Lookups!$K$28:$M$37,3,FALSE),1)</f>
        <v>0.99022994770196116</v>
      </c>
      <c r="BY163" s="2">
        <f>AVERAGE(Wapato_Inventory[[#This Row],[qual_adj]:[range_adj]])</f>
        <v>0.99659075471341041</v>
      </c>
      <c r="BZ163" s="7">
        <f>(Wapato_Inventory[[#This Row],[sum_land]]-IF(Wapato_Inventory[[#This Row],[no_utilities]]=1,12000,0))/IF(Wapato_Inventory[[#This Row],[unbuildable]]=1,2,1)</f>
        <v>53500</v>
      </c>
      <c r="CA163" s="7">
        <f>Wapato_Inventory[[#This Row],[pre_res]]*Wapato_Inventory[[#This Row],[overall_adj]]</f>
        <v>181233.6088454382</v>
      </c>
      <c r="CB163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63" s="3">
        <f>IF(ROUND(Wapato_Inventory[[#This Row],[adj_res]]*Lookups!$H$48,-2)&lt;Wapato_Inventory[[#This Row],[min_res]],Wapato_Inventory[[#This Row],[min_res]],ROUND(Wapato_Inventory[[#This Row],[adj_res]]*Lookups!$H$48,-2))</f>
        <v>172200</v>
      </c>
      <c r="CD163" s="3">
        <f>ROUND(Wapato_Inventory[[#This Row],[det_value]]*Lookups!$H$48,-2)</f>
        <v>44500</v>
      </c>
      <c r="CE163" s="3">
        <f>Wapato_Inventory[[#This Row],[final_res]]+Wapato_Inventory[[#This Row],[final_det]]</f>
        <v>216700</v>
      </c>
      <c r="CF163" s="3">
        <f>Wapato_Inventory[[#This Row],[crop_value]]+Wapato_Inventory[[#This Row],[final_land]]+Wapato_Inventory[[#This Row],[final_imp]]</f>
        <v>267500</v>
      </c>
      <c r="CH163" t="str">
        <f t="shared" si="2"/>
        <v>update valuation set market_land =50800, market_bldg=216700, market_total =267500, market_mdno =405, market_date ='9/10/2023' where link_id = (select link_id from parcel where parcel_year = '2024' and parcel_id = '19111041435');</v>
      </c>
    </row>
    <row r="164" spans="1:86" x14ac:dyDescent="0.25">
      <c r="A164">
        <v>19111041436</v>
      </c>
      <c r="B164">
        <v>0.14000000000000001</v>
      </c>
      <c r="C164">
        <v>6044</v>
      </c>
      <c r="D164" t="s">
        <v>144</v>
      </c>
      <c r="E164" t="s">
        <v>54</v>
      </c>
      <c r="F164" t="s">
        <v>54</v>
      </c>
      <c r="G164">
        <v>3</v>
      </c>
      <c r="H164" t="s">
        <v>55</v>
      </c>
      <c r="I164">
        <v>104100</v>
      </c>
      <c r="J164">
        <v>31900</v>
      </c>
      <c r="K164">
        <v>0.14000000000000001</v>
      </c>
      <c r="L164">
        <f>IF(Wapato_Inventory[[#This Row],[parcel_acres]]-Wapato_Inventory[[#This Row],[non_valued_acres]] =0,0,LN(Wapato_Inventory[[#This Row],[parcel_acres]]-Wapato_Inventory[[#This Row],[non_valued_acres]]))</f>
        <v>-1.9661128563728327</v>
      </c>
      <c r="M164">
        <v>0</v>
      </c>
      <c r="N164">
        <v>0</v>
      </c>
      <c r="O164">
        <v>0</v>
      </c>
      <c r="P164">
        <v>27904.037</v>
      </c>
      <c r="Q164">
        <v>74398</v>
      </c>
      <c r="R164" s="3">
        <f>(Wapato_Inventory[[#This Row],[ln_acres]]*Wapato_Inventory[[#This Row],[coeff]])+Wapato_Inventory[[#This Row],[const]]</f>
        <v>19535.514109596792</v>
      </c>
      <c r="S164" t="s">
        <v>66</v>
      </c>
      <c r="T164">
        <v>1</v>
      </c>
      <c r="U164" t="s">
        <v>78</v>
      </c>
      <c r="V164" t="s">
        <v>68</v>
      </c>
      <c r="W164">
        <v>0</v>
      </c>
      <c r="X164">
        <v>0</v>
      </c>
      <c r="Y164">
        <v>53</v>
      </c>
      <c r="Z164">
        <v>93</v>
      </c>
      <c r="AA164">
        <v>100</v>
      </c>
      <c r="AB164">
        <v>1000</v>
      </c>
      <c r="AC164">
        <v>788</v>
      </c>
      <c r="AD164">
        <v>788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5</v>
      </c>
      <c r="AQ164">
        <v>0</v>
      </c>
      <c r="AR164">
        <v>0</v>
      </c>
      <c r="AS164" t="s">
        <v>59</v>
      </c>
      <c r="AT164">
        <v>0</v>
      </c>
      <c r="AU164" t="s">
        <v>80</v>
      </c>
      <c r="AV164" t="s">
        <v>65</v>
      </c>
      <c r="AW164">
        <v>0</v>
      </c>
      <c r="AX164">
        <v>2</v>
      </c>
      <c r="AY164">
        <v>0</v>
      </c>
      <c r="AZ164">
        <v>0</v>
      </c>
      <c r="BA164">
        <v>100</v>
      </c>
      <c r="BB164">
        <v>100</v>
      </c>
      <c r="BC164">
        <v>100</v>
      </c>
      <c r="BD164">
        <v>100</v>
      </c>
      <c r="BE164">
        <v>1</v>
      </c>
      <c r="BF164">
        <v>15000</v>
      </c>
      <c r="BG164">
        <v>1000</v>
      </c>
      <c r="BH164" s="7">
        <f>ROUND(Wapato_Inventory[[#This Row],[detatched_value]]*Lookups!$B$22*Lookups!$H$48,-2)</f>
        <v>0</v>
      </c>
      <c r="BI164" s="7">
        <f>ROUND(((Wapato_Inventory[[#This Row],[land_extract]]*Lookups!$B$3) +(Lookups!$B$2*0.5))*Lookups!$H$48,-2)</f>
        <v>53000</v>
      </c>
      <c r="BJ164" s="7">
        <f>IF(Wapato_Inventory[[#This Row],[bldg_style]]="",0,Lookups!$B$2*0.5)</f>
        <v>53765.27</v>
      </c>
      <c r="BK164" s="7">
        <f>_xlfn.IFNA(VLOOKUP(Wapato_Inventory[[#This Row],[quality]],Lookups!$H$2:$J$14,3,FALSE),0)</f>
        <v>23424</v>
      </c>
      <c r="BL164" s="7">
        <f>_xlfn.IFNA(VLOOKUP(Wapato_Inventory[[#This Row],[condition]],Lookups!$H$17:$J$24,3,FALSE),0)</f>
        <v>52231</v>
      </c>
      <c r="BM164" s="7">
        <f>Wapato_Inventory[[#This Row],[Age]]*Lookups!$B$16</f>
        <v>-34472.840100000001</v>
      </c>
      <c r="BN164" s="7">
        <f>Wapato_Inventory[[#This Row],[Main Floor]]*Lookups!$B$17</f>
        <v>32938.982332</v>
      </c>
      <c r="BO164" s="7">
        <f>Wapato_Inventory[[#This Row],[Upper Floor]]*Lookups!$B$18</f>
        <v>0</v>
      </c>
      <c r="BP164" s="7">
        <f>Wapato_Inventory[[#This Row],[Fin BSMT]]*Lookups!$B$19</f>
        <v>0</v>
      </c>
      <c r="BQ164" s="7">
        <f>(Wapato_Inventory[[#This Row],[att_gar]]+Wapato_Inventory[[#This Row],[blt_gar]])*Lookups!$B$20</f>
        <v>0</v>
      </c>
      <c r="BR164" s="7">
        <f>Wapato_Inventory[[#This Row],[Patio]]*Lookups!$B$21</f>
        <v>0</v>
      </c>
      <c r="BS164" s="7">
        <f>SUM(Wapato_Inventory[[#This Row],[intercept]:[patio_value]])*Wapato_Inventory[[#This Row],[res_pct]]</f>
        <v>127886.41223199999</v>
      </c>
      <c r="BT164" s="7">
        <f>Wapato_Inventory[[#This Row],[land_value]]</f>
        <v>53000</v>
      </c>
      <c r="BU164" s="2">
        <f>_xlfn.IFNA(VLOOKUP(Wapato_Inventory[[#This Row],[quality]],Lookups!$A$28:$C$37,3,FALSE),1)</f>
        <v>1.0091195562373767</v>
      </c>
      <c r="BV164" s="2">
        <f>_xlfn.IFNA(VLOOKUP(Wapato_Inventory[[#This Row],[condition]],Lookups!$A$41:$C$48,3,FALSE),1)</f>
        <v>0.9832333997567807</v>
      </c>
      <c r="BW164" s="2">
        <f>IF(Wapato_Inventory[[#This Row],[decade]]="",1,_xlfn.IFNA(VLOOKUP(Wapato_Inventory[[#This Row],[decade]],Lookups!$F$28:$H$45,3,FALSE),1))</f>
        <v>1.0114203040664467</v>
      </c>
      <c r="BX164" s="2">
        <f>_xlfn.IFNA(VLOOKUP(Wapato_Inventory[[#This Row],[living_area_range]],Lookups!$K$28:$M$37,3,FALSE),1)</f>
        <v>0.99022994770196116</v>
      </c>
      <c r="BY164" s="2">
        <f>AVERAGE(Wapato_Inventory[[#This Row],[qual_adj]:[range_adj]])</f>
        <v>0.99850080194064128</v>
      </c>
      <c r="BZ164" s="7">
        <f>(Wapato_Inventory[[#This Row],[sum_land]]-IF(Wapato_Inventory[[#This Row],[no_utilities]]=1,12000,0))/IF(Wapato_Inventory[[#This Row],[unbuildable]]=1,2,1)</f>
        <v>53000</v>
      </c>
      <c r="CA164" s="7">
        <f>Wapato_Inventory[[#This Row],[pre_res]]*Wapato_Inventory[[#This Row],[overall_adj]]</f>
        <v>127694.68517096342</v>
      </c>
      <c r="CB16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64" s="3">
        <f>IF(ROUND(Wapato_Inventory[[#This Row],[adj_res]]*Lookups!$H$48,-2)&lt;Wapato_Inventory[[#This Row],[min_res]],Wapato_Inventory[[#This Row],[min_res]],ROUND(Wapato_Inventory[[#This Row],[adj_res]]*Lookups!$H$48,-2))</f>
        <v>121300</v>
      </c>
      <c r="CD164" s="3">
        <f>ROUND(Wapato_Inventory[[#This Row],[det_value]]*Lookups!$H$48,-2)</f>
        <v>0</v>
      </c>
      <c r="CE164" s="3">
        <f>Wapato_Inventory[[#This Row],[final_res]]+Wapato_Inventory[[#This Row],[final_det]]</f>
        <v>121300</v>
      </c>
      <c r="CF164" s="3">
        <f>Wapato_Inventory[[#This Row],[crop_value]]+Wapato_Inventory[[#This Row],[final_land]]+Wapato_Inventory[[#This Row],[final_imp]]</f>
        <v>171700</v>
      </c>
      <c r="CH164" t="str">
        <f t="shared" si="2"/>
        <v>update valuation set market_land =50400, market_bldg=121300, market_total =171700, market_mdno =405, market_date ='9/10/2023' where link_id = (select link_id from parcel where parcel_year = '2024' and parcel_id = '19111041436');</v>
      </c>
    </row>
    <row r="165" spans="1:86" x14ac:dyDescent="0.25">
      <c r="A165">
        <v>19111041439</v>
      </c>
      <c r="B165">
        <v>0.14000000000000001</v>
      </c>
      <c r="C165">
        <v>6250</v>
      </c>
      <c r="D165" t="s">
        <v>144</v>
      </c>
      <c r="E165" t="s">
        <v>54</v>
      </c>
      <c r="F165" t="s">
        <v>54</v>
      </c>
      <c r="G165">
        <v>3</v>
      </c>
      <c r="H165" t="s">
        <v>55</v>
      </c>
      <c r="I165">
        <v>265500</v>
      </c>
      <c r="J165">
        <v>31900</v>
      </c>
      <c r="K165">
        <v>0.14000000000000001</v>
      </c>
      <c r="L165">
        <f>IF(Wapato_Inventory[[#This Row],[parcel_acres]]-Wapato_Inventory[[#This Row],[non_valued_acres]] =0,0,LN(Wapato_Inventory[[#This Row],[parcel_acres]]-Wapato_Inventory[[#This Row],[non_valued_acres]]))</f>
        <v>-1.9661128563728327</v>
      </c>
      <c r="M165">
        <v>0</v>
      </c>
      <c r="N165">
        <v>0</v>
      </c>
      <c r="O165">
        <v>0</v>
      </c>
      <c r="P165">
        <v>27904.037</v>
      </c>
      <c r="Q165">
        <v>74398</v>
      </c>
      <c r="R165" s="3">
        <f>(Wapato_Inventory[[#This Row],[ln_acres]]*Wapato_Inventory[[#This Row],[coeff]])+Wapato_Inventory[[#This Row],[const]]</f>
        <v>19535.514109596792</v>
      </c>
      <c r="S165" t="s">
        <v>66</v>
      </c>
      <c r="T165">
        <v>1</v>
      </c>
      <c r="U165" t="s">
        <v>67</v>
      </c>
      <c r="V165" t="s">
        <v>58</v>
      </c>
      <c r="W165">
        <v>0</v>
      </c>
      <c r="X165">
        <v>0</v>
      </c>
      <c r="Y165">
        <v>5</v>
      </c>
      <c r="Z165">
        <v>5</v>
      </c>
      <c r="AA165">
        <v>10</v>
      </c>
      <c r="AB165">
        <v>1500</v>
      </c>
      <c r="AC165">
        <v>1155</v>
      </c>
      <c r="AD165">
        <v>1155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150</v>
      </c>
      <c r="AM165">
        <v>0</v>
      </c>
      <c r="AN165">
        <v>0</v>
      </c>
      <c r="AO165">
        <v>84</v>
      </c>
      <c r="AP165">
        <v>8</v>
      </c>
      <c r="AQ165">
        <v>0</v>
      </c>
      <c r="AR165">
        <v>0</v>
      </c>
      <c r="AS165" t="s">
        <v>59</v>
      </c>
      <c r="AT165">
        <v>1</v>
      </c>
      <c r="AU165" t="s">
        <v>60</v>
      </c>
      <c r="AV165" t="s">
        <v>61</v>
      </c>
      <c r="AW165">
        <v>1</v>
      </c>
      <c r="AX165">
        <v>3</v>
      </c>
      <c r="AY165">
        <v>0</v>
      </c>
      <c r="AZ165">
        <v>0</v>
      </c>
      <c r="BA165">
        <v>100</v>
      </c>
      <c r="BB165">
        <v>100</v>
      </c>
      <c r="BC165">
        <v>100</v>
      </c>
      <c r="BD165">
        <v>100</v>
      </c>
      <c r="BE165">
        <v>1</v>
      </c>
      <c r="BF165">
        <v>15000</v>
      </c>
      <c r="BG165">
        <v>1000</v>
      </c>
      <c r="BH165" s="7">
        <f>ROUND(Wapato_Inventory[[#This Row],[detatched_value]]*Lookups!$B$22*Lookups!$H$48,-2)</f>
        <v>0</v>
      </c>
      <c r="BI165" s="7">
        <f>ROUND(((Wapato_Inventory[[#This Row],[land_extract]]*Lookups!$B$3) +(Lookups!$B$2*0.5))*Lookups!$H$48,-2)</f>
        <v>53000</v>
      </c>
      <c r="BJ165" s="7">
        <f>IF(Wapato_Inventory[[#This Row],[bldg_style]]="",0,Lookups!$B$2*0.5)</f>
        <v>53765.27</v>
      </c>
      <c r="BK165" s="7">
        <f>_xlfn.IFNA(VLOOKUP(Wapato_Inventory[[#This Row],[quality]],Lookups!$H$2:$J$14,3,FALSE),0)</f>
        <v>50405</v>
      </c>
      <c r="BL165" s="7">
        <f>_xlfn.IFNA(VLOOKUP(Wapato_Inventory[[#This Row],[condition]],Lookups!$H$17:$J$24,3,FALSE),0)</f>
        <v>122095</v>
      </c>
      <c r="BM165" s="7">
        <f>Wapato_Inventory[[#This Row],[Age]]*Lookups!$B$16</f>
        <v>-1853.3785</v>
      </c>
      <c r="BN165" s="7">
        <f>Wapato_Inventory[[#This Row],[Main Floor]]*Lookups!$B$17</f>
        <v>48279.853544999998</v>
      </c>
      <c r="BO165" s="7">
        <f>Wapato_Inventory[[#This Row],[Upper Floor]]*Lookups!$B$18</f>
        <v>0</v>
      </c>
      <c r="BP165" s="7">
        <f>Wapato_Inventory[[#This Row],[Fin BSMT]]*Lookups!$B$19</f>
        <v>0</v>
      </c>
      <c r="BQ165" s="7">
        <f>(Wapato_Inventory[[#This Row],[att_gar]]+Wapato_Inventory[[#This Row],[blt_gar]])*Lookups!$B$20</f>
        <v>0</v>
      </c>
      <c r="BR165" s="7">
        <f>Wapato_Inventory[[#This Row],[Patio]]*Lookups!$B$21</f>
        <v>0</v>
      </c>
      <c r="BS165" s="7">
        <f>SUM(Wapato_Inventory[[#This Row],[intercept]:[patio_value]])*Wapato_Inventory[[#This Row],[res_pct]]</f>
        <v>272691.74504499999</v>
      </c>
      <c r="BT165" s="7">
        <f>Wapato_Inventory[[#This Row],[land_value]]</f>
        <v>53000</v>
      </c>
      <c r="BU165" s="2">
        <f>_xlfn.IFNA(VLOOKUP(Wapato_Inventory[[#This Row],[quality]],Lookups!$A$28:$C$37,3,FALSE),1)</f>
        <v>0.97993206410140754</v>
      </c>
      <c r="BV165" s="2">
        <f>_xlfn.IFNA(VLOOKUP(Wapato_Inventory[[#This Row],[condition]],Lookups!$A$41:$C$48,3,FALSE),1)</f>
        <v>1.00041560026225</v>
      </c>
      <c r="BW165" s="2">
        <f>IF(Wapato_Inventory[[#This Row],[decade]]="",1,_xlfn.IFNA(VLOOKUP(Wapato_Inventory[[#This Row],[decade]],Lookups!$F$28:$H$45,3,FALSE),1))</f>
        <v>1.0321018519633791</v>
      </c>
      <c r="BX165" s="2">
        <f>_xlfn.IFNA(VLOOKUP(Wapato_Inventory[[#This Row],[living_area_range]],Lookups!$K$28:$M$37,3,FALSE),1)</f>
        <v>1.0061411172456287</v>
      </c>
      <c r="BY165" s="2">
        <f>AVERAGE(Wapato_Inventory[[#This Row],[qual_adj]:[range_adj]])</f>
        <v>1.0046476583931663</v>
      </c>
      <c r="BZ165" s="7">
        <f>(Wapato_Inventory[[#This Row],[sum_land]]-IF(Wapato_Inventory[[#This Row],[no_utilities]]=1,12000,0))/IF(Wapato_Inventory[[#This Row],[unbuildable]]=1,2,1)</f>
        <v>53000</v>
      </c>
      <c r="CA165" s="7">
        <f>Wapato_Inventory[[#This Row],[pre_res]]*Wapato_Inventory[[#This Row],[overall_adj]]</f>
        <v>273959.12312260555</v>
      </c>
      <c r="CB16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65" s="3">
        <f>IF(ROUND(Wapato_Inventory[[#This Row],[adj_res]]*Lookups!$H$48,-2)&lt;Wapato_Inventory[[#This Row],[min_res]],Wapato_Inventory[[#This Row],[min_res]],ROUND(Wapato_Inventory[[#This Row],[adj_res]]*Lookups!$H$48,-2))</f>
        <v>260300</v>
      </c>
      <c r="CD165" s="3">
        <f>ROUND(Wapato_Inventory[[#This Row],[det_value]]*Lookups!$H$48,-2)</f>
        <v>0</v>
      </c>
      <c r="CE165" s="3">
        <f>Wapato_Inventory[[#This Row],[final_res]]+Wapato_Inventory[[#This Row],[final_det]]</f>
        <v>260300</v>
      </c>
      <c r="CF165" s="3">
        <f>Wapato_Inventory[[#This Row],[crop_value]]+Wapato_Inventory[[#This Row],[final_land]]+Wapato_Inventory[[#This Row],[final_imp]]</f>
        <v>310700</v>
      </c>
      <c r="CH165" t="str">
        <f t="shared" si="2"/>
        <v>update valuation set market_land =50400, market_bldg=260300, market_total =310700, market_mdno =405, market_date ='9/10/2023' where link_id = (select link_id from parcel where parcel_year = '2024' and parcel_id = '19111041439');</v>
      </c>
    </row>
    <row r="166" spans="1:86" x14ac:dyDescent="0.25">
      <c r="A166">
        <v>19111041440</v>
      </c>
      <c r="B166">
        <v>0.17</v>
      </c>
      <c r="C166">
        <v>7253</v>
      </c>
      <c r="D166" t="s">
        <v>144</v>
      </c>
      <c r="E166" t="s">
        <v>54</v>
      </c>
      <c r="F166" t="s">
        <v>54</v>
      </c>
      <c r="G166">
        <v>3</v>
      </c>
      <c r="H166" t="s">
        <v>55</v>
      </c>
      <c r="I166">
        <v>142900</v>
      </c>
      <c r="J166">
        <v>33200</v>
      </c>
      <c r="K166">
        <v>0.17</v>
      </c>
      <c r="L166">
        <f>IF(Wapato_Inventory[[#This Row],[parcel_acres]]-Wapato_Inventory[[#This Row],[non_valued_acres]] =0,0,LN(Wapato_Inventory[[#This Row],[parcel_acres]]-Wapato_Inventory[[#This Row],[non_valued_acres]]))</f>
        <v>-1.7719568419318752</v>
      </c>
      <c r="M166">
        <v>0</v>
      </c>
      <c r="N166">
        <v>0</v>
      </c>
      <c r="O166">
        <v>0</v>
      </c>
      <c r="P166">
        <v>27904.037</v>
      </c>
      <c r="Q166">
        <v>74398</v>
      </c>
      <c r="R166" s="3">
        <f>(Wapato_Inventory[[#This Row],[ln_acres]]*Wapato_Inventory[[#This Row],[coeff]])+Wapato_Inventory[[#This Row],[const]]</f>
        <v>24953.250720329801</v>
      </c>
      <c r="S166" t="s">
        <v>66</v>
      </c>
      <c r="T166">
        <v>1</v>
      </c>
      <c r="U166" t="s">
        <v>75</v>
      </c>
      <c r="V166" t="s">
        <v>68</v>
      </c>
      <c r="W166">
        <v>0</v>
      </c>
      <c r="X166">
        <v>0</v>
      </c>
      <c r="Y166">
        <v>57</v>
      </c>
      <c r="Z166">
        <v>103</v>
      </c>
      <c r="AA166">
        <v>110</v>
      </c>
      <c r="AB166">
        <v>1500</v>
      </c>
      <c r="AC166">
        <v>1164</v>
      </c>
      <c r="AD166">
        <v>1164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112</v>
      </c>
      <c r="AO166">
        <v>0</v>
      </c>
      <c r="AP166">
        <v>5</v>
      </c>
      <c r="AQ166">
        <v>0</v>
      </c>
      <c r="AR166">
        <v>0</v>
      </c>
      <c r="AS166" t="s">
        <v>59</v>
      </c>
      <c r="AT166">
        <v>1</v>
      </c>
      <c r="AU166" t="s">
        <v>76</v>
      </c>
      <c r="AV166" t="s">
        <v>61</v>
      </c>
      <c r="AW166">
        <v>0</v>
      </c>
      <c r="AX166">
        <v>4</v>
      </c>
      <c r="AY166">
        <v>0</v>
      </c>
      <c r="AZ166">
        <v>8000</v>
      </c>
      <c r="BA166">
        <v>100</v>
      </c>
      <c r="BB166">
        <v>100</v>
      </c>
      <c r="BC166">
        <v>100</v>
      </c>
      <c r="BD166">
        <v>100</v>
      </c>
      <c r="BE166">
        <v>1</v>
      </c>
      <c r="BF166">
        <v>15000</v>
      </c>
      <c r="BG166">
        <v>1000</v>
      </c>
      <c r="BH166" s="7">
        <f>ROUND(Wapato_Inventory[[#This Row],[detatched_value]]*Lookups!$B$22*Lookups!$H$48,-2)</f>
        <v>7100</v>
      </c>
      <c r="BI166" s="7">
        <f>ROUND(((Wapato_Inventory[[#This Row],[land_extract]]*Lookups!$B$3) +(Lookups!$B$2*0.5))*Lookups!$H$48,-2)</f>
        <v>53500</v>
      </c>
      <c r="BJ166" s="7">
        <f>IF(Wapato_Inventory[[#This Row],[bldg_style]]="",0,Lookups!$B$2*0.5)</f>
        <v>53765.27</v>
      </c>
      <c r="BK166" s="7">
        <f>_xlfn.IFNA(VLOOKUP(Wapato_Inventory[[#This Row],[quality]],Lookups!$H$2:$J$14,3,FALSE),0)</f>
        <v>48043</v>
      </c>
      <c r="BL166" s="7">
        <f>_xlfn.IFNA(VLOOKUP(Wapato_Inventory[[#This Row],[condition]],Lookups!$H$17:$J$24,3,FALSE),0)</f>
        <v>52231</v>
      </c>
      <c r="BM166" s="7">
        <f>Wapato_Inventory[[#This Row],[Age]]*Lookups!$B$16</f>
        <v>-38179.597099999999</v>
      </c>
      <c r="BN166" s="7">
        <f>Wapato_Inventory[[#This Row],[Main Floor]]*Lookups!$B$17</f>
        <v>48656.060195999999</v>
      </c>
      <c r="BO166" s="7">
        <f>Wapato_Inventory[[#This Row],[Upper Floor]]*Lookups!$B$18</f>
        <v>0</v>
      </c>
      <c r="BP166" s="7">
        <f>Wapato_Inventory[[#This Row],[Fin BSMT]]*Lookups!$B$19</f>
        <v>0</v>
      </c>
      <c r="BQ166" s="7">
        <f>(Wapato_Inventory[[#This Row],[att_gar]]+Wapato_Inventory[[#This Row],[blt_gar]])*Lookups!$B$20</f>
        <v>0</v>
      </c>
      <c r="BR166" s="7">
        <f>Wapato_Inventory[[#This Row],[Patio]]*Lookups!$B$21</f>
        <v>0</v>
      </c>
      <c r="BS166" s="7">
        <f>SUM(Wapato_Inventory[[#This Row],[intercept]:[patio_value]])*Wapato_Inventory[[#This Row],[res_pct]]</f>
        <v>164515.73309599998</v>
      </c>
      <c r="BT166" s="7">
        <f>Wapato_Inventory[[#This Row],[land_value]]</f>
        <v>53500</v>
      </c>
      <c r="BU166" s="2">
        <f>_xlfn.IFNA(VLOOKUP(Wapato_Inventory[[#This Row],[quality]],Lookups!$A$28:$C$37,3,FALSE),1)</f>
        <v>0.98196844879778955</v>
      </c>
      <c r="BV166" s="2">
        <f>_xlfn.IFNA(VLOOKUP(Wapato_Inventory[[#This Row],[condition]],Lookups!$A$41:$C$48,3,FALSE),1)</f>
        <v>0.9832333997567807</v>
      </c>
      <c r="BW166" s="2">
        <f>IF(Wapato_Inventory[[#This Row],[decade]]="",1,_xlfn.IFNA(VLOOKUP(Wapato_Inventory[[#This Row],[decade]],Lookups!$F$28:$H$45,3,FALSE),1))</f>
        <v>0.93664589651353292</v>
      </c>
      <c r="BX166" s="2">
        <f>_xlfn.IFNA(VLOOKUP(Wapato_Inventory[[#This Row],[living_area_range]],Lookups!$K$28:$M$37,3,FALSE),1)</f>
        <v>1.0061411172456287</v>
      </c>
      <c r="BY166" s="2">
        <f>AVERAGE(Wapato_Inventory[[#This Row],[qual_adj]:[range_adj]])</f>
        <v>0.976997215578433</v>
      </c>
      <c r="BZ166" s="7">
        <f>(Wapato_Inventory[[#This Row],[sum_land]]-IF(Wapato_Inventory[[#This Row],[no_utilities]]=1,12000,0))/IF(Wapato_Inventory[[#This Row],[unbuildable]]=1,2,1)</f>
        <v>53500</v>
      </c>
      <c r="CA166" s="7">
        <f>Wapato_Inventory[[#This Row],[pre_res]]*Wapato_Inventory[[#This Row],[overall_adj]]</f>
        <v>160731.41315363665</v>
      </c>
      <c r="CB166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66" s="3">
        <f>IF(ROUND(Wapato_Inventory[[#This Row],[adj_res]]*Lookups!$H$48,-2)&lt;Wapato_Inventory[[#This Row],[min_res]],Wapato_Inventory[[#This Row],[min_res]],ROUND(Wapato_Inventory[[#This Row],[adj_res]]*Lookups!$H$48,-2))</f>
        <v>152700</v>
      </c>
      <c r="CD166" s="3">
        <f>ROUND(Wapato_Inventory[[#This Row],[det_value]]*Lookups!$H$48,-2)</f>
        <v>6700</v>
      </c>
      <c r="CE166" s="3">
        <f>Wapato_Inventory[[#This Row],[final_res]]+Wapato_Inventory[[#This Row],[final_det]]</f>
        <v>159400</v>
      </c>
      <c r="CF166" s="3">
        <f>Wapato_Inventory[[#This Row],[crop_value]]+Wapato_Inventory[[#This Row],[final_land]]+Wapato_Inventory[[#This Row],[final_imp]]</f>
        <v>210200</v>
      </c>
      <c r="CH166" t="str">
        <f t="shared" si="2"/>
        <v>update valuation set market_land =50800, market_bldg=159400, market_total =210200, market_mdno =405, market_date ='9/10/2023' where link_id = (select link_id from parcel where parcel_year = '2024' and parcel_id = '19111041440');</v>
      </c>
    </row>
    <row r="167" spans="1:86" x14ac:dyDescent="0.25">
      <c r="A167">
        <v>19111041441</v>
      </c>
      <c r="B167">
        <v>0.14000000000000001</v>
      </c>
      <c r="C167">
        <v>6250</v>
      </c>
      <c r="D167" t="s">
        <v>144</v>
      </c>
      <c r="E167" t="s">
        <v>54</v>
      </c>
      <c r="F167" t="s">
        <v>54</v>
      </c>
      <c r="G167">
        <v>3</v>
      </c>
      <c r="H167" t="s">
        <v>55</v>
      </c>
      <c r="I167">
        <v>189000</v>
      </c>
      <c r="J167">
        <v>31900</v>
      </c>
      <c r="K167">
        <v>0.14000000000000001</v>
      </c>
      <c r="L167">
        <f>IF(Wapato_Inventory[[#This Row],[parcel_acres]]-Wapato_Inventory[[#This Row],[non_valued_acres]] =0,0,LN(Wapato_Inventory[[#This Row],[parcel_acres]]-Wapato_Inventory[[#This Row],[non_valued_acres]]))</f>
        <v>-1.9661128563728327</v>
      </c>
      <c r="M167">
        <v>0</v>
      </c>
      <c r="N167">
        <v>0</v>
      </c>
      <c r="O167">
        <v>0</v>
      </c>
      <c r="P167">
        <v>27904.037</v>
      </c>
      <c r="Q167">
        <v>74398</v>
      </c>
      <c r="R167" s="3">
        <f>(Wapato_Inventory[[#This Row],[ln_acres]]*Wapato_Inventory[[#This Row],[coeff]])+Wapato_Inventory[[#This Row],[const]]</f>
        <v>19535.514109596792</v>
      </c>
      <c r="S167" t="s">
        <v>62</v>
      </c>
      <c r="T167">
        <v>1</v>
      </c>
      <c r="U167" t="s">
        <v>75</v>
      </c>
      <c r="V167" t="s">
        <v>68</v>
      </c>
      <c r="W167">
        <v>0</v>
      </c>
      <c r="X167">
        <v>0</v>
      </c>
      <c r="Y167">
        <v>47</v>
      </c>
      <c r="Z167">
        <v>58</v>
      </c>
      <c r="AA167">
        <v>60</v>
      </c>
      <c r="AB167">
        <v>2000</v>
      </c>
      <c r="AC167">
        <v>1560</v>
      </c>
      <c r="AD167">
        <v>1560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528</v>
      </c>
      <c r="AN167">
        <v>0</v>
      </c>
      <c r="AO167">
        <v>0</v>
      </c>
      <c r="AP167">
        <v>7</v>
      </c>
      <c r="AQ167">
        <v>1</v>
      </c>
      <c r="AR167">
        <v>0</v>
      </c>
      <c r="AS167" t="s">
        <v>59</v>
      </c>
      <c r="AT167">
        <v>1</v>
      </c>
      <c r="AU167" t="s">
        <v>72</v>
      </c>
      <c r="AV167" t="s">
        <v>61</v>
      </c>
      <c r="AW167">
        <v>0</v>
      </c>
      <c r="AX167">
        <v>3</v>
      </c>
      <c r="AY167">
        <v>0</v>
      </c>
      <c r="AZ167">
        <v>0</v>
      </c>
      <c r="BA167">
        <v>100</v>
      </c>
      <c r="BB167">
        <v>100</v>
      </c>
      <c r="BC167">
        <v>100</v>
      </c>
      <c r="BD167">
        <v>100</v>
      </c>
      <c r="BE167">
        <v>1</v>
      </c>
      <c r="BF167">
        <v>15000</v>
      </c>
      <c r="BG167">
        <v>1000</v>
      </c>
      <c r="BH167" s="7">
        <f>ROUND(Wapato_Inventory[[#This Row],[detatched_value]]*Lookups!$B$22*Lookups!$H$48,-2)</f>
        <v>0</v>
      </c>
      <c r="BI167" s="7">
        <f>ROUND(((Wapato_Inventory[[#This Row],[land_extract]]*Lookups!$B$3) +(Lookups!$B$2*0.5))*Lookups!$H$48,-2)</f>
        <v>53000</v>
      </c>
      <c r="BJ167" s="7">
        <f>IF(Wapato_Inventory[[#This Row],[bldg_style]]="",0,Lookups!$B$2*0.5)</f>
        <v>53765.27</v>
      </c>
      <c r="BK167" s="7">
        <f>_xlfn.IFNA(VLOOKUP(Wapato_Inventory[[#This Row],[quality]],Lookups!$H$2:$J$14,3,FALSE),0)</f>
        <v>48043</v>
      </c>
      <c r="BL167" s="7">
        <f>_xlfn.IFNA(VLOOKUP(Wapato_Inventory[[#This Row],[condition]],Lookups!$H$17:$J$24,3,FALSE),0)</f>
        <v>52231</v>
      </c>
      <c r="BM167" s="7">
        <f>Wapato_Inventory[[#This Row],[Age]]*Lookups!$B$16</f>
        <v>-21499.190600000002</v>
      </c>
      <c r="BN167" s="7">
        <f>Wapato_Inventory[[#This Row],[Main Floor]]*Lookups!$B$17</f>
        <v>65209.152840000002</v>
      </c>
      <c r="BO167" s="7">
        <f>Wapato_Inventory[[#This Row],[Upper Floor]]*Lookups!$B$18</f>
        <v>0</v>
      </c>
      <c r="BP167" s="7">
        <f>Wapato_Inventory[[#This Row],[Fin BSMT]]*Lookups!$B$19</f>
        <v>0</v>
      </c>
      <c r="BQ167" s="7">
        <f>(Wapato_Inventory[[#This Row],[att_gar]]+Wapato_Inventory[[#This Row],[blt_gar]])*Lookups!$B$20</f>
        <v>0</v>
      </c>
      <c r="BR167" s="7">
        <f>Wapato_Inventory[[#This Row],[Patio]]*Lookups!$B$21</f>
        <v>22875.060912000001</v>
      </c>
      <c r="BS167" s="7">
        <f>SUM(Wapato_Inventory[[#This Row],[intercept]:[patio_value]])*Wapato_Inventory[[#This Row],[res_pct]]</f>
        <v>220624.293152</v>
      </c>
      <c r="BT167" s="7">
        <f>Wapato_Inventory[[#This Row],[land_value]]</f>
        <v>53000</v>
      </c>
      <c r="BU167" s="2">
        <f>_xlfn.IFNA(VLOOKUP(Wapato_Inventory[[#This Row],[quality]],Lookups!$A$28:$C$37,3,FALSE),1)</f>
        <v>0.98196844879778955</v>
      </c>
      <c r="BV167" s="2">
        <f>_xlfn.IFNA(VLOOKUP(Wapato_Inventory[[#This Row],[condition]],Lookups!$A$41:$C$48,3,FALSE),1)</f>
        <v>0.9832333997567807</v>
      </c>
      <c r="BW167" s="2">
        <f>IF(Wapato_Inventory[[#This Row],[decade]]="",1,_xlfn.IFNA(VLOOKUP(Wapato_Inventory[[#This Row],[decade]],Lookups!$F$28:$H$45,3,FALSE),1))</f>
        <v>1.035341704162583</v>
      </c>
      <c r="BX167" s="2">
        <f>_xlfn.IFNA(VLOOKUP(Wapato_Inventory[[#This Row],[living_area_range]],Lookups!$K$28:$M$37,3,FALSE),1)</f>
        <v>0.99330894324714125</v>
      </c>
      <c r="BY167" s="2">
        <f>AVERAGE(Wapato_Inventory[[#This Row],[qual_adj]:[range_adj]])</f>
        <v>0.99846312399107362</v>
      </c>
      <c r="BZ167" s="7">
        <f>(Wapato_Inventory[[#This Row],[sum_land]]-IF(Wapato_Inventory[[#This Row],[no_utilities]]=1,12000,0))/IF(Wapato_Inventory[[#This Row],[unbuildable]]=1,2,1)</f>
        <v>53000</v>
      </c>
      <c r="CA167" s="7">
        <f>Wapato_Inventory[[#This Row],[pre_res]]*Wapato_Inventory[[#This Row],[overall_adj]]</f>
        <v>220285.22096886835</v>
      </c>
      <c r="CB16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67" s="3">
        <f>IF(ROUND(Wapato_Inventory[[#This Row],[adj_res]]*Lookups!$H$48,-2)&lt;Wapato_Inventory[[#This Row],[min_res]],Wapato_Inventory[[#This Row],[min_res]],ROUND(Wapato_Inventory[[#This Row],[adj_res]]*Lookups!$H$48,-2))</f>
        <v>209300</v>
      </c>
      <c r="CD167" s="3">
        <f>ROUND(Wapato_Inventory[[#This Row],[det_value]]*Lookups!$H$48,-2)</f>
        <v>0</v>
      </c>
      <c r="CE167" s="3">
        <f>Wapato_Inventory[[#This Row],[final_res]]+Wapato_Inventory[[#This Row],[final_det]]</f>
        <v>209300</v>
      </c>
      <c r="CF167" s="3">
        <f>Wapato_Inventory[[#This Row],[crop_value]]+Wapato_Inventory[[#This Row],[final_land]]+Wapato_Inventory[[#This Row],[final_imp]]</f>
        <v>259700</v>
      </c>
      <c r="CH167" t="str">
        <f t="shared" si="2"/>
        <v>update valuation set market_land =50400, market_bldg=209300, market_total =259700, market_mdno =405, market_date ='9/10/2023' where link_id = (select link_id from parcel where parcel_year = '2024' and parcel_id = '19111041441');</v>
      </c>
    </row>
    <row r="168" spans="1:86" x14ac:dyDescent="0.25">
      <c r="A168">
        <v>19111041442</v>
      </c>
      <c r="B168">
        <v>0.14000000000000001</v>
      </c>
      <c r="C168">
        <v>6250</v>
      </c>
      <c r="D168" t="s">
        <v>144</v>
      </c>
      <c r="E168" t="s">
        <v>54</v>
      </c>
      <c r="F168" t="s">
        <v>54</v>
      </c>
      <c r="G168">
        <v>3</v>
      </c>
      <c r="H168" t="s">
        <v>55</v>
      </c>
      <c r="I168">
        <v>86700</v>
      </c>
      <c r="J168">
        <v>31900</v>
      </c>
      <c r="K168">
        <v>0.14000000000000001</v>
      </c>
      <c r="L168">
        <f>IF(Wapato_Inventory[[#This Row],[parcel_acres]]-Wapato_Inventory[[#This Row],[non_valued_acres]] =0,0,LN(Wapato_Inventory[[#This Row],[parcel_acres]]-Wapato_Inventory[[#This Row],[non_valued_acres]]))</f>
        <v>-1.9661128563728327</v>
      </c>
      <c r="M168">
        <v>0</v>
      </c>
      <c r="N168">
        <v>0</v>
      </c>
      <c r="O168">
        <v>0</v>
      </c>
      <c r="P168">
        <v>27904.037</v>
      </c>
      <c r="Q168">
        <v>74398</v>
      </c>
      <c r="R168" s="3">
        <f>(Wapato_Inventory[[#This Row],[ln_acres]]*Wapato_Inventory[[#This Row],[coeff]])+Wapato_Inventory[[#This Row],[const]]</f>
        <v>19535.514109596792</v>
      </c>
      <c r="S168" t="s">
        <v>66</v>
      </c>
      <c r="T168">
        <v>1</v>
      </c>
      <c r="U168" t="s">
        <v>71</v>
      </c>
      <c r="V168" t="s">
        <v>68</v>
      </c>
      <c r="W168">
        <v>0</v>
      </c>
      <c r="X168">
        <v>0</v>
      </c>
      <c r="Y168">
        <v>52</v>
      </c>
      <c r="Z168">
        <v>88</v>
      </c>
      <c r="AA168">
        <v>90</v>
      </c>
      <c r="AB168">
        <v>1000</v>
      </c>
      <c r="AC168">
        <v>550</v>
      </c>
      <c r="AD168">
        <v>550</v>
      </c>
      <c r="AE168">
        <v>0</v>
      </c>
      <c r="AF168">
        <v>0</v>
      </c>
      <c r="AG168">
        <v>0</v>
      </c>
      <c r="AH168">
        <v>300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5</v>
      </c>
      <c r="AQ168">
        <v>0</v>
      </c>
      <c r="AR168">
        <v>0</v>
      </c>
      <c r="AS168" t="s">
        <v>59</v>
      </c>
      <c r="AT168">
        <v>1</v>
      </c>
      <c r="AU168" t="s">
        <v>72</v>
      </c>
      <c r="AV168" t="s">
        <v>61</v>
      </c>
      <c r="AW168">
        <v>0</v>
      </c>
      <c r="AX168">
        <v>2</v>
      </c>
      <c r="AY168">
        <v>0</v>
      </c>
      <c r="AZ168">
        <v>0</v>
      </c>
      <c r="BA168">
        <v>100</v>
      </c>
      <c r="BB168">
        <v>100</v>
      </c>
      <c r="BC168">
        <v>100</v>
      </c>
      <c r="BD168">
        <v>100</v>
      </c>
      <c r="BE168">
        <v>1</v>
      </c>
      <c r="BF168">
        <v>15000</v>
      </c>
      <c r="BG168">
        <v>1000</v>
      </c>
      <c r="BH168" s="7">
        <f>ROUND(Wapato_Inventory[[#This Row],[detatched_value]]*Lookups!$B$22*Lookups!$H$48,-2)</f>
        <v>0</v>
      </c>
      <c r="BI168" s="7">
        <f>ROUND(((Wapato_Inventory[[#This Row],[land_extract]]*Lookups!$B$3) +(Lookups!$B$2*0.5))*Lookups!$H$48,-2)</f>
        <v>53000</v>
      </c>
      <c r="BJ168" s="7">
        <f>IF(Wapato_Inventory[[#This Row],[bldg_style]]="",0,Lookups!$B$2*0.5)</f>
        <v>53765.27</v>
      </c>
      <c r="BK168" s="7">
        <f>_xlfn.IFNA(VLOOKUP(Wapato_Inventory[[#This Row],[quality]],Lookups!$H$2:$J$14,3,FALSE),0)</f>
        <v>28034</v>
      </c>
      <c r="BL168" s="7">
        <f>_xlfn.IFNA(VLOOKUP(Wapato_Inventory[[#This Row],[condition]],Lookups!$H$17:$J$24,3,FALSE),0)</f>
        <v>52231</v>
      </c>
      <c r="BM168" s="7">
        <f>Wapato_Inventory[[#This Row],[Age]]*Lookups!$B$16</f>
        <v>-32619.461600000002</v>
      </c>
      <c r="BN168" s="7">
        <f>Wapato_Inventory[[#This Row],[Main Floor]]*Lookups!$B$17</f>
        <v>22990.406449999999</v>
      </c>
      <c r="BO168" s="7">
        <f>Wapato_Inventory[[#This Row],[Upper Floor]]*Lookups!$B$18</f>
        <v>0</v>
      </c>
      <c r="BP168" s="7">
        <f>Wapato_Inventory[[#This Row],[Fin BSMT]]*Lookups!$B$19</f>
        <v>0</v>
      </c>
      <c r="BQ168" s="7">
        <f>(Wapato_Inventory[[#This Row],[att_gar]]+Wapato_Inventory[[#This Row],[blt_gar]])*Lookups!$B$20</f>
        <v>0</v>
      </c>
      <c r="BR168" s="7">
        <f>Wapato_Inventory[[#This Row],[Patio]]*Lookups!$B$21</f>
        <v>0</v>
      </c>
      <c r="BS168" s="7">
        <f>SUM(Wapato_Inventory[[#This Row],[intercept]:[patio_value]])*Wapato_Inventory[[#This Row],[res_pct]]</f>
        <v>124401.21484999997</v>
      </c>
      <c r="BT168" s="7">
        <f>Wapato_Inventory[[#This Row],[land_value]]</f>
        <v>53000</v>
      </c>
      <c r="BU168" s="2">
        <f>_xlfn.IFNA(VLOOKUP(Wapato_Inventory[[#This Row],[quality]],Lookups!$A$28:$C$37,3,FALSE),1)</f>
        <v>0.96265813922927435</v>
      </c>
      <c r="BV168" s="2">
        <f>_xlfn.IFNA(VLOOKUP(Wapato_Inventory[[#This Row],[condition]],Lookups!$A$41:$C$48,3,FALSE),1)</f>
        <v>0.9832333997567807</v>
      </c>
      <c r="BW168" s="2">
        <f>IF(Wapato_Inventory[[#This Row],[decade]]="",1,_xlfn.IFNA(VLOOKUP(Wapato_Inventory[[#This Row],[decade]],Lookups!$F$28:$H$45,3,FALSE),1))</f>
        <v>0.94742695999815718</v>
      </c>
      <c r="BX168" s="2">
        <f>_xlfn.IFNA(VLOOKUP(Wapato_Inventory[[#This Row],[living_area_range]],Lookups!$K$28:$M$37,3,FALSE),1)</f>
        <v>0.99022994770196116</v>
      </c>
      <c r="BY168" s="2">
        <f>AVERAGE(Wapato_Inventory[[#This Row],[qual_adj]:[range_adj]])</f>
        <v>0.97088711167154329</v>
      </c>
      <c r="BZ168" s="7">
        <f>(Wapato_Inventory[[#This Row],[sum_land]]-IF(Wapato_Inventory[[#This Row],[no_utilities]]=1,12000,0))/IF(Wapato_Inventory[[#This Row],[unbuildable]]=1,2,1)</f>
        <v>53000</v>
      </c>
      <c r="CA168" s="7">
        <f>Wapato_Inventory[[#This Row],[pre_res]]*Wapato_Inventory[[#This Row],[overall_adj]]</f>
        <v>120779.53617414758</v>
      </c>
      <c r="CB16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68" s="3">
        <f>IF(ROUND(Wapato_Inventory[[#This Row],[adj_res]]*Lookups!$H$48,-2)&lt;Wapato_Inventory[[#This Row],[min_res]],Wapato_Inventory[[#This Row],[min_res]],ROUND(Wapato_Inventory[[#This Row],[adj_res]]*Lookups!$H$48,-2))</f>
        <v>114700</v>
      </c>
      <c r="CD168" s="3">
        <f>ROUND(Wapato_Inventory[[#This Row],[det_value]]*Lookups!$H$48,-2)</f>
        <v>0</v>
      </c>
      <c r="CE168" s="3">
        <f>Wapato_Inventory[[#This Row],[final_res]]+Wapato_Inventory[[#This Row],[final_det]]</f>
        <v>114700</v>
      </c>
      <c r="CF168" s="3">
        <f>Wapato_Inventory[[#This Row],[crop_value]]+Wapato_Inventory[[#This Row],[final_land]]+Wapato_Inventory[[#This Row],[final_imp]]</f>
        <v>165100</v>
      </c>
      <c r="CH168" t="str">
        <f t="shared" si="2"/>
        <v>update valuation set market_land =50400, market_bldg=114700, market_total =165100, market_mdno =405, market_date ='9/10/2023' where link_id = (select link_id from parcel where parcel_year = '2024' and parcel_id = '19111041442');</v>
      </c>
    </row>
    <row r="169" spans="1:86" x14ac:dyDescent="0.25">
      <c r="A169">
        <v>19111041443</v>
      </c>
      <c r="B169">
        <v>0.14000000000000001</v>
      </c>
      <c r="C169">
        <v>6250</v>
      </c>
      <c r="D169" t="s">
        <v>144</v>
      </c>
      <c r="E169" t="s">
        <v>54</v>
      </c>
      <c r="F169" t="s">
        <v>54</v>
      </c>
      <c r="G169">
        <v>3</v>
      </c>
      <c r="H169" t="s">
        <v>55</v>
      </c>
      <c r="I169">
        <v>89500</v>
      </c>
      <c r="J169">
        <v>31900</v>
      </c>
      <c r="K169">
        <v>0.14000000000000001</v>
      </c>
      <c r="L169">
        <f>IF(Wapato_Inventory[[#This Row],[parcel_acres]]-Wapato_Inventory[[#This Row],[non_valued_acres]] =0,0,LN(Wapato_Inventory[[#This Row],[parcel_acres]]-Wapato_Inventory[[#This Row],[non_valued_acres]]))</f>
        <v>-1.9661128563728327</v>
      </c>
      <c r="M169">
        <v>0</v>
      </c>
      <c r="N169">
        <v>0</v>
      </c>
      <c r="O169">
        <v>0</v>
      </c>
      <c r="P169">
        <v>27904.037</v>
      </c>
      <c r="Q169">
        <v>74398</v>
      </c>
      <c r="R169" s="3">
        <f>(Wapato_Inventory[[#This Row],[ln_acres]]*Wapato_Inventory[[#This Row],[coeff]])+Wapato_Inventory[[#This Row],[const]]</f>
        <v>19535.514109596792</v>
      </c>
      <c r="S169" t="s">
        <v>66</v>
      </c>
      <c r="T169">
        <v>1</v>
      </c>
      <c r="U169" t="s">
        <v>71</v>
      </c>
      <c r="V169" t="s">
        <v>68</v>
      </c>
      <c r="W169">
        <v>0</v>
      </c>
      <c r="X169">
        <v>0</v>
      </c>
      <c r="Y169">
        <v>57</v>
      </c>
      <c r="Z169">
        <v>103</v>
      </c>
      <c r="AA169">
        <v>110</v>
      </c>
      <c r="AB169">
        <v>1000</v>
      </c>
      <c r="AC169">
        <v>800</v>
      </c>
      <c r="AD169">
        <v>800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144</v>
      </c>
      <c r="AL169">
        <v>0</v>
      </c>
      <c r="AM169">
        <v>0</v>
      </c>
      <c r="AN169">
        <v>0</v>
      </c>
      <c r="AO169">
        <v>0</v>
      </c>
      <c r="AP169">
        <v>5</v>
      </c>
      <c r="AQ169">
        <v>0</v>
      </c>
      <c r="AR169">
        <v>0</v>
      </c>
      <c r="AS169" t="s">
        <v>59</v>
      </c>
      <c r="AT169">
        <v>1</v>
      </c>
      <c r="AU169" t="s">
        <v>76</v>
      </c>
      <c r="AV169" t="s">
        <v>61</v>
      </c>
      <c r="AW169">
        <v>0</v>
      </c>
      <c r="AX169">
        <v>2</v>
      </c>
      <c r="AY169">
        <v>0</v>
      </c>
      <c r="AZ169">
        <v>0</v>
      </c>
      <c r="BA169">
        <v>100</v>
      </c>
      <c r="BB169">
        <v>100</v>
      </c>
      <c r="BC169">
        <v>100</v>
      </c>
      <c r="BD169">
        <v>100</v>
      </c>
      <c r="BE169">
        <v>1</v>
      </c>
      <c r="BF169">
        <v>15000</v>
      </c>
      <c r="BG169">
        <v>1000</v>
      </c>
      <c r="BH169" s="7">
        <f>ROUND(Wapato_Inventory[[#This Row],[detatched_value]]*Lookups!$B$22*Lookups!$H$48,-2)</f>
        <v>0</v>
      </c>
      <c r="BI169" s="7">
        <f>ROUND(((Wapato_Inventory[[#This Row],[land_extract]]*Lookups!$B$3) +(Lookups!$B$2*0.5))*Lookups!$H$48,-2)</f>
        <v>53000</v>
      </c>
      <c r="BJ169" s="7">
        <f>IF(Wapato_Inventory[[#This Row],[bldg_style]]="",0,Lookups!$B$2*0.5)</f>
        <v>53765.27</v>
      </c>
      <c r="BK169" s="7">
        <f>_xlfn.IFNA(VLOOKUP(Wapato_Inventory[[#This Row],[quality]],Lookups!$H$2:$J$14,3,FALSE),0)</f>
        <v>28034</v>
      </c>
      <c r="BL169" s="7">
        <f>_xlfn.IFNA(VLOOKUP(Wapato_Inventory[[#This Row],[condition]],Lookups!$H$17:$J$24,3,FALSE),0)</f>
        <v>52231</v>
      </c>
      <c r="BM169" s="7">
        <f>Wapato_Inventory[[#This Row],[Age]]*Lookups!$B$16</f>
        <v>-38179.597099999999</v>
      </c>
      <c r="BN169" s="7">
        <f>Wapato_Inventory[[#This Row],[Main Floor]]*Lookups!$B$17</f>
        <v>33440.591200000003</v>
      </c>
      <c r="BO169" s="7">
        <f>Wapato_Inventory[[#This Row],[Upper Floor]]*Lookups!$B$18</f>
        <v>0</v>
      </c>
      <c r="BP169" s="7">
        <f>Wapato_Inventory[[#This Row],[Fin BSMT]]*Lookups!$B$19</f>
        <v>0</v>
      </c>
      <c r="BQ169" s="7">
        <f>(Wapato_Inventory[[#This Row],[att_gar]]+Wapato_Inventory[[#This Row],[blt_gar]])*Lookups!$B$20</f>
        <v>0</v>
      </c>
      <c r="BR169" s="7">
        <f>Wapato_Inventory[[#This Row],[Patio]]*Lookups!$B$21</f>
        <v>0</v>
      </c>
      <c r="BS169" s="7">
        <f>SUM(Wapato_Inventory[[#This Row],[intercept]:[patio_value]])*Wapato_Inventory[[#This Row],[res_pct]]</f>
        <v>129291.2641</v>
      </c>
      <c r="BT169" s="7">
        <f>Wapato_Inventory[[#This Row],[land_value]]</f>
        <v>53000</v>
      </c>
      <c r="BU169" s="2">
        <f>_xlfn.IFNA(VLOOKUP(Wapato_Inventory[[#This Row],[quality]],Lookups!$A$28:$C$37,3,FALSE),1)</f>
        <v>0.96265813922927435</v>
      </c>
      <c r="BV169" s="2">
        <f>_xlfn.IFNA(VLOOKUP(Wapato_Inventory[[#This Row],[condition]],Lookups!$A$41:$C$48,3,FALSE),1)</f>
        <v>0.9832333997567807</v>
      </c>
      <c r="BW169" s="2">
        <f>IF(Wapato_Inventory[[#This Row],[decade]]="",1,_xlfn.IFNA(VLOOKUP(Wapato_Inventory[[#This Row],[decade]],Lookups!$F$28:$H$45,3,FALSE),1))</f>
        <v>0.93664589651353292</v>
      </c>
      <c r="BX169" s="2">
        <f>_xlfn.IFNA(VLOOKUP(Wapato_Inventory[[#This Row],[living_area_range]],Lookups!$K$28:$M$37,3,FALSE),1)</f>
        <v>0.99022994770196116</v>
      </c>
      <c r="BY169" s="2">
        <f>AVERAGE(Wapato_Inventory[[#This Row],[qual_adj]:[range_adj]])</f>
        <v>0.9681918458003872</v>
      </c>
      <c r="BZ169" s="7">
        <f>(Wapato_Inventory[[#This Row],[sum_land]]-IF(Wapato_Inventory[[#This Row],[no_utilities]]=1,12000,0))/IF(Wapato_Inventory[[#This Row],[unbuildable]]=1,2,1)</f>
        <v>53000</v>
      </c>
      <c r="CA169" s="7">
        <f>Wapato_Inventory[[#This Row],[pre_res]]*Wapato_Inventory[[#This Row],[overall_adj]]</f>
        <v>125178.74763484433</v>
      </c>
      <c r="CB16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69" s="3">
        <f>IF(ROUND(Wapato_Inventory[[#This Row],[adj_res]]*Lookups!$H$48,-2)&lt;Wapato_Inventory[[#This Row],[min_res]],Wapato_Inventory[[#This Row],[min_res]],ROUND(Wapato_Inventory[[#This Row],[adj_res]]*Lookups!$H$48,-2))</f>
        <v>118900</v>
      </c>
      <c r="CD169" s="3">
        <f>ROUND(Wapato_Inventory[[#This Row],[det_value]]*Lookups!$H$48,-2)</f>
        <v>0</v>
      </c>
      <c r="CE169" s="3">
        <f>Wapato_Inventory[[#This Row],[final_res]]+Wapato_Inventory[[#This Row],[final_det]]</f>
        <v>118900</v>
      </c>
      <c r="CF169" s="3">
        <f>Wapato_Inventory[[#This Row],[crop_value]]+Wapato_Inventory[[#This Row],[final_land]]+Wapato_Inventory[[#This Row],[final_imp]]</f>
        <v>169300</v>
      </c>
      <c r="CH169" t="str">
        <f t="shared" si="2"/>
        <v>update valuation set market_land =50400, market_bldg=118900, market_total =169300, market_mdno =405, market_date ='9/10/2023' where link_id = (select link_id from parcel where parcel_year = '2024' and parcel_id = '19111041443');</v>
      </c>
    </row>
    <row r="170" spans="1:86" x14ac:dyDescent="0.25">
      <c r="A170">
        <v>19111041444</v>
      </c>
      <c r="B170">
        <v>0.14000000000000001</v>
      </c>
      <c r="C170">
        <v>6250</v>
      </c>
      <c r="D170" t="s">
        <v>144</v>
      </c>
      <c r="E170" t="s">
        <v>54</v>
      </c>
      <c r="F170" t="s">
        <v>54</v>
      </c>
      <c r="G170">
        <v>3</v>
      </c>
      <c r="H170" t="s">
        <v>55</v>
      </c>
      <c r="I170">
        <v>122700</v>
      </c>
      <c r="J170">
        <v>31900</v>
      </c>
      <c r="K170">
        <v>0.14000000000000001</v>
      </c>
      <c r="L170">
        <f>IF(Wapato_Inventory[[#This Row],[parcel_acres]]-Wapato_Inventory[[#This Row],[non_valued_acres]] =0,0,LN(Wapato_Inventory[[#This Row],[parcel_acres]]-Wapato_Inventory[[#This Row],[non_valued_acres]]))</f>
        <v>-1.9661128563728327</v>
      </c>
      <c r="M170">
        <v>0</v>
      </c>
      <c r="N170">
        <v>0</v>
      </c>
      <c r="O170">
        <v>0</v>
      </c>
      <c r="P170">
        <v>27904.037</v>
      </c>
      <c r="Q170">
        <v>74398</v>
      </c>
      <c r="R170" s="3">
        <f>(Wapato_Inventory[[#This Row],[ln_acres]]*Wapato_Inventory[[#This Row],[coeff]])+Wapato_Inventory[[#This Row],[const]]</f>
        <v>19535.514109596792</v>
      </c>
      <c r="S170" t="s">
        <v>66</v>
      </c>
      <c r="T170">
        <v>1</v>
      </c>
      <c r="U170" t="s">
        <v>71</v>
      </c>
      <c r="V170" t="s">
        <v>69</v>
      </c>
      <c r="W170">
        <v>0</v>
      </c>
      <c r="X170">
        <v>0</v>
      </c>
      <c r="Y170">
        <v>57</v>
      </c>
      <c r="Z170">
        <v>103</v>
      </c>
      <c r="AA170">
        <v>110</v>
      </c>
      <c r="AB170">
        <v>1000</v>
      </c>
      <c r="AC170">
        <v>728</v>
      </c>
      <c r="AD170">
        <v>728</v>
      </c>
      <c r="AE170">
        <v>0</v>
      </c>
      <c r="AF170">
        <v>0</v>
      </c>
      <c r="AG170">
        <v>0</v>
      </c>
      <c r="AH170">
        <v>100</v>
      </c>
      <c r="AI170">
        <v>0</v>
      </c>
      <c r="AJ170">
        <v>0</v>
      </c>
      <c r="AK170">
        <v>0</v>
      </c>
      <c r="AL170">
        <v>0</v>
      </c>
      <c r="AM170">
        <v>16</v>
      </c>
      <c r="AN170">
        <v>0</v>
      </c>
      <c r="AO170">
        <v>16</v>
      </c>
      <c r="AP170">
        <v>5</v>
      </c>
      <c r="AQ170">
        <v>0</v>
      </c>
      <c r="AR170">
        <v>0</v>
      </c>
      <c r="AS170" t="s">
        <v>59</v>
      </c>
      <c r="AT170">
        <v>0</v>
      </c>
      <c r="AU170" t="s">
        <v>80</v>
      </c>
      <c r="AV170" t="s">
        <v>77</v>
      </c>
      <c r="AW170">
        <v>0</v>
      </c>
      <c r="AX170">
        <v>2</v>
      </c>
      <c r="AY170">
        <v>0</v>
      </c>
      <c r="AZ170">
        <v>0</v>
      </c>
      <c r="BA170">
        <v>100</v>
      </c>
      <c r="BB170">
        <v>100</v>
      </c>
      <c r="BC170">
        <v>100</v>
      </c>
      <c r="BD170">
        <v>100</v>
      </c>
      <c r="BE170">
        <v>1</v>
      </c>
      <c r="BF170">
        <v>15000</v>
      </c>
      <c r="BG170">
        <v>1000</v>
      </c>
      <c r="BH170" s="7">
        <f>ROUND(Wapato_Inventory[[#This Row],[detatched_value]]*Lookups!$B$22*Lookups!$H$48,-2)</f>
        <v>0</v>
      </c>
      <c r="BI170" s="7">
        <f>ROUND(((Wapato_Inventory[[#This Row],[land_extract]]*Lookups!$B$3) +(Lookups!$B$2*0.5))*Lookups!$H$48,-2)</f>
        <v>53000</v>
      </c>
      <c r="BJ170" s="7">
        <f>IF(Wapato_Inventory[[#This Row],[bldg_style]]="",0,Lookups!$B$2*0.5)</f>
        <v>53765.27</v>
      </c>
      <c r="BK170" s="7">
        <f>_xlfn.IFNA(VLOOKUP(Wapato_Inventory[[#This Row],[quality]],Lookups!$H$2:$J$14,3,FALSE),0)</f>
        <v>28034</v>
      </c>
      <c r="BL170" s="7">
        <f>_xlfn.IFNA(VLOOKUP(Wapato_Inventory[[#This Row],[condition]],Lookups!$H$17:$J$24,3,FALSE),0)</f>
        <v>74543</v>
      </c>
      <c r="BM170" s="7">
        <f>Wapato_Inventory[[#This Row],[Age]]*Lookups!$B$16</f>
        <v>-38179.597099999999</v>
      </c>
      <c r="BN170" s="7">
        <f>Wapato_Inventory[[#This Row],[Main Floor]]*Lookups!$B$17</f>
        <v>30430.937991999999</v>
      </c>
      <c r="BO170" s="7">
        <f>Wapato_Inventory[[#This Row],[Upper Floor]]*Lookups!$B$18</f>
        <v>0</v>
      </c>
      <c r="BP170" s="7">
        <f>Wapato_Inventory[[#This Row],[Fin BSMT]]*Lookups!$B$19</f>
        <v>0</v>
      </c>
      <c r="BQ170" s="7">
        <f>(Wapato_Inventory[[#This Row],[att_gar]]+Wapato_Inventory[[#This Row],[blt_gar]])*Lookups!$B$20</f>
        <v>0</v>
      </c>
      <c r="BR170" s="7">
        <f>Wapato_Inventory[[#This Row],[Patio]]*Lookups!$B$21</f>
        <v>693.18366400000002</v>
      </c>
      <c r="BS170" s="7">
        <f>SUM(Wapato_Inventory[[#This Row],[intercept]:[patio_value]])*Wapato_Inventory[[#This Row],[res_pct]]</f>
        <v>149286.79455600001</v>
      </c>
      <c r="BT170" s="7">
        <f>Wapato_Inventory[[#This Row],[land_value]]</f>
        <v>53000</v>
      </c>
      <c r="BU170" s="2">
        <f>_xlfn.IFNA(VLOOKUP(Wapato_Inventory[[#This Row],[quality]],Lookups!$A$28:$C$37,3,FALSE),1)</f>
        <v>0.96265813922927435</v>
      </c>
      <c r="BV170" s="2">
        <f>_xlfn.IFNA(VLOOKUP(Wapato_Inventory[[#This Row],[condition]],Lookups!$A$41:$C$48,3,FALSE),1)</f>
        <v>0.98442438223270734</v>
      </c>
      <c r="BW170" s="2">
        <f>IF(Wapato_Inventory[[#This Row],[decade]]="",1,_xlfn.IFNA(VLOOKUP(Wapato_Inventory[[#This Row],[decade]],Lookups!$F$28:$H$45,3,FALSE),1))</f>
        <v>0.93664589651353292</v>
      </c>
      <c r="BX170" s="2">
        <f>_xlfn.IFNA(VLOOKUP(Wapato_Inventory[[#This Row],[living_area_range]],Lookups!$K$28:$M$37,3,FALSE),1)</f>
        <v>0.99022994770196116</v>
      </c>
      <c r="BY170" s="2">
        <f>AVERAGE(Wapato_Inventory[[#This Row],[qual_adj]:[range_adj]])</f>
        <v>0.96848959141936886</v>
      </c>
      <c r="BZ170" s="7">
        <f>(Wapato_Inventory[[#This Row],[sum_land]]-IF(Wapato_Inventory[[#This Row],[no_utilities]]=1,12000,0))/IF(Wapato_Inventory[[#This Row],[unbuildable]]=1,2,1)</f>
        <v>53000</v>
      </c>
      <c r="CA170" s="7">
        <f>Wapato_Inventory[[#This Row],[pre_res]]*Wapato_Inventory[[#This Row],[overall_adj]]</f>
        <v>144582.7066638477</v>
      </c>
      <c r="CB17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70" s="3">
        <f>IF(ROUND(Wapato_Inventory[[#This Row],[adj_res]]*Lookups!$H$48,-2)&lt;Wapato_Inventory[[#This Row],[min_res]],Wapato_Inventory[[#This Row],[min_res]],ROUND(Wapato_Inventory[[#This Row],[adj_res]]*Lookups!$H$48,-2))</f>
        <v>137400</v>
      </c>
      <c r="CD170" s="3">
        <f>ROUND(Wapato_Inventory[[#This Row],[det_value]]*Lookups!$H$48,-2)</f>
        <v>0</v>
      </c>
      <c r="CE170" s="3">
        <f>Wapato_Inventory[[#This Row],[final_res]]+Wapato_Inventory[[#This Row],[final_det]]</f>
        <v>137400</v>
      </c>
      <c r="CF170" s="3">
        <f>Wapato_Inventory[[#This Row],[crop_value]]+Wapato_Inventory[[#This Row],[final_land]]+Wapato_Inventory[[#This Row],[final_imp]]</f>
        <v>187800</v>
      </c>
      <c r="CH170" t="str">
        <f t="shared" si="2"/>
        <v>update valuation set market_land =50400, market_bldg=137400, market_total =187800, market_mdno =405, market_date ='9/10/2023' where link_id = (select link_id from parcel where parcel_year = '2024' and parcel_id = '19111041444');</v>
      </c>
    </row>
    <row r="171" spans="1:86" x14ac:dyDescent="0.25">
      <c r="A171">
        <v>19111041446</v>
      </c>
      <c r="B171">
        <v>0.14000000000000001</v>
      </c>
      <c r="C171">
        <v>6250</v>
      </c>
      <c r="D171" t="s">
        <v>144</v>
      </c>
      <c r="E171" t="s">
        <v>54</v>
      </c>
      <c r="F171" t="s">
        <v>54</v>
      </c>
      <c r="G171">
        <v>3</v>
      </c>
      <c r="H171" t="s">
        <v>55</v>
      </c>
      <c r="I171">
        <v>137600</v>
      </c>
      <c r="J171">
        <v>31900</v>
      </c>
      <c r="K171">
        <v>0.14000000000000001</v>
      </c>
      <c r="L171">
        <f>IF(Wapato_Inventory[[#This Row],[parcel_acres]]-Wapato_Inventory[[#This Row],[non_valued_acres]] =0,0,LN(Wapato_Inventory[[#This Row],[parcel_acres]]-Wapato_Inventory[[#This Row],[non_valued_acres]]))</f>
        <v>-1.9661128563728327</v>
      </c>
      <c r="M171">
        <v>0</v>
      </c>
      <c r="N171">
        <v>0</v>
      </c>
      <c r="O171">
        <v>0</v>
      </c>
      <c r="P171">
        <v>27904.037</v>
      </c>
      <c r="Q171">
        <v>74398</v>
      </c>
      <c r="R171" s="3">
        <f>(Wapato_Inventory[[#This Row],[ln_acres]]*Wapato_Inventory[[#This Row],[coeff]])+Wapato_Inventory[[#This Row],[const]]</f>
        <v>19535.514109596792</v>
      </c>
      <c r="S171" t="s">
        <v>66</v>
      </c>
      <c r="T171">
        <v>1</v>
      </c>
      <c r="U171" t="s">
        <v>71</v>
      </c>
      <c r="V171" t="s">
        <v>73</v>
      </c>
      <c r="W171">
        <v>0</v>
      </c>
      <c r="X171">
        <v>0</v>
      </c>
      <c r="Y171">
        <v>57</v>
      </c>
      <c r="Z171">
        <v>103</v>
      </c>
      <c r="AA171">
        <v>110</v>
      </c>
      <c r="AB171">
        <v>2500</v>
      </c>
      <c r="AC171">
        <v>2106</v>
      </c>
      <c r="AD171">
        <v>2106</v>
      </c>
      <c r="AE171">
        <v>0</v>
      </c>
      <c r="AF171">
        <v>0</v>
      </c>
      <c r="AG171">
        <v>0</v>
      </c>
      <c r="AH171">
        <v>648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5</v>
      </c>
      <c r="AQ171">
        <v>0</v>
      </c>
      <c r="AR171">
        <v>0</v>
      </c>
      <c r="AS171" t="s">
        <v>59</v>
      </c>
      <c r="AT171">
        <v>0</v>
      </c>
      <c r="AU171" t="s">
        <v>80</v>
      </c>
      <c r="AV171" t="s">
        <v>77</v>
      </c>
      <c r="AW171">
        <v>0</v>
      </c>
      <c r="AX171">
        <v>2</v>
      </c>
      <c r="AY171">
        <v>0</v>
      </c>
      <c r="AZ171">
        <v>0</v>
      </c>
      <c r="BA171">
        <v>100</v>
      </c>
      <c r="BB171">
        <v>100</v>
      </c>
      <c r="BC171">
        <v>100</v>
      </c>
      <c r="BD171">
        <v>100</v>
      </c>
      <c r="BE171">
        <v>1</v>
      </c>
      <c r="BF171">
        <v>15000</v>
      </c>
      <c r="BG171">
        <v>1000</v>
      </c>
      <c r="BH171" s="7">
        <f>ROUND(Wapato_Inventory[[#This Row],[detatched_value]]*Lookups!$B$22*Lookups!$H$48,-2)</f>
        <v>0</v>
      </c>
      <c r="BI171" s="7">
        <f>ROUND(((Wapato_Inventory[[#This Row],[land_extract]]*Lookups!$B$3) +(Lookups!$B$2*0.5))*Lookups!$H$48,-2)</f>
        <v>53000</v>
      </c>
      <c r="BJ171" s="7">
        <f>IF(Wapato_Inventory[[#This Row],[bldg_style]]="",0,Lookups!$B$2*0.5)</f>
        <v>53765.27</v>
      </c>
      <c r="BK171" s="7">
        <f>_xlfn.IFNA(VLOOKUP(Wapato_Inventory[[#This Row],[quality]],Lookups!$H$2:$J$14,3,FALSE),0)</f>
        <v>28034</v>
      </c>
      <c r="BL171" s="7">
        <f>_xlfn.IFNA(VLOOKUP(Wapato_Inventory[[#This Row],[condition]],Lookups!$H$17:$J$24,3,FALSE),0)</f>
        <v>16276</v>
      </c>
      <c r="BM171" s="7">
        <f>Wapato_Inventory[[#This Row],[Age]]*Lookups!$B$16</f>
        <v>-38179.597099999999</v>
      </c>
      <c r="BN171" s="7">
        <f>Wapato_Inventory[[#This Row],[Main Floor]]*Lookups!$B$17</f>
        <v>88032.356333999996</v>
      </c>
      <c r="BO171" s="7">
        <f>Wapato_Inventory[[#This Row],[Upper Floor]]*Lookups!$B$18</f>
        <v>0</v>
      </c>
      <c r="BP171" s="7">
        <f>Wapato_Inventory[[#This Row],[Fin BSMT]]*Lookups!$B$19</f>
        <v>0</v>
      </c>
      <c r="BQ171" s="7">
        <f>(Wapato_Inventory[[#This Row],[att_gar]]+Wapato_Inventory[[#This Row],[blt_gar]])*Lookups!$B$20</f>
        <v>0</v>
      </c>
      <c r="BR171" s="7">
        <f>Wapato_Inventory[[#This Row],[Patio]]*Lookups!$B$21</f>
        <v>0</v>
      </c>
      <c r="BS171" s="7">
        <f>SUM(Wapato_Inventory[[#This Row],[intercept]:[patio_value]])*Wapato_Inventory[[#This Row],[res_pct]]</f>
        <v>147928.02923399999</v>
      </c>
      <c r="BT171" s="7">
        <f>Wapato_Inventory[[#This Row],[land_value]]</f>
        <v>53000</v>
      </c>
      <c r="BU171" s="2">
        <f>_xlfn.IFNA(VLOOKUP(Wapato_Inventory[[#This Row],[quality]],Lookups!$A$28:$C$37,3,FALSE),1)</f>
        <v>0.96265813922927435</v>
      </c>
      <c r="BV171" s="2">
        <f>_xlfn.IFNA(VLOOKUP(Wapato_Inventory[[#This Row],[condition]],Lookups!$A$41:$C$48,3,FALSE),1)</f>
        <v>0.93399385491337139</v>
      </c>
      <c r="BW171" s="2">
        <f>IF(Wapato_Inventory[[#This Row],[decade]]="",1,_xlfn.IFNA(VLOOKUP(Wapato_Inventory[[#This Row],[decade]],Lookups!$F$28:$H$45,3,FALSE),1))</f>
        <v>0.93664589651353292</v>
      </c>
      <c r="BX171" s="2">
        <f>_xlfn.IFNA(VLOOKUP(Wapato_Inventory[[#This Row],[living_area_range]],Lookups!$K$28:$M$37,3,FALSE),1)</f>
        <v>0.90813907160181651</v>
      </c>
      <c r="BY171" s="2">
        <f>AVERAGE(Wapato_Inventory[[#This Row],[qual_adj]:[range_adj]])</f>
        <v>0.93535924056449882</v>
      </c>
      <c r="BZ171" s="7">
        <f>(Wapato_Inventory[[#This Row],[sum_land]]-IF(Wapato_Inventory[[#This Row],[no_utilities]]=1,12000,0))/IF(Wapato_Inventory[[#This Row],[unbuildable]]=1,2,1)</f>
        <v>53000</v>
      </c>
      <c r="CA171" s="7">
        <f>Wapato_Inventory[[#This Row],[pre_res]]*Wapato_Inventory[[#This Row],[overall_adj]]</f>
        <v>138365.8490825172</v>
      </c>
      <c r="CB17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71" s="3">
        <f>IF(ROUND(Wapato_Inventory[[#This Row],[adj_res]]*Lookups!$H$48,-2)&lt;Wapato_Inventory[[#This Row],[min_res]],Wapato_Inventory[[#This Row],[min_res]],ROUND(Wapato_Inventory[[#This Row],[adj_res]]*Lookups!$H$48,-2))</f>
        <v>131400</v>
      </c>
      <c r="CD171" s="3">
        <f>ROUND(Wapato_Inventory[[#This Row],[det_value]]*Lookups!$H$48,-2)</f>
        <v>0</v>
      </c>
      <c r="CE171" s="3">
        <f>Wapato_Inventory[[#This Row],[final_res]]+Wapato_Inventory[[#This Row],[final_det]]</f>
        <v>131400</v>
      </c>
      <c r="CF171" s="3">
        <f>Wapato_Inventory[[#This Row],[crop_value]]+Wapato_Inventory[[#This Row],[final_land]]+Wapato_Inventory[[#This Row],[final_imp]]</f>
        <v>181800</v>
      </c>
      <c r="CH171" t="str">
        <f t="shared" si="2"/>
        <v>update valuation set market_land =50400, market_bldg=131400, market_total =181800, market_mdno =405, market_date ='9/10/2023' where link_id = (select link_id from parcel where parcel_year = '2024' and parcel_id = '19111041446');</v>
      </c>
    </row>
    <row r="172" spans="1:86" x14ac:dyDescent="0.25">
      <c r="A172">
        <v>19111041447</v>
      </c>
      <c r="B172">
        <v>0.14000000000000001</v>
      </c>
      <c r="C172">
        <v>6250</v>
      </c>
      <c r="D172" t="s">
        <v>144</v>
      </c>
      <c r="E172" t="s">
        <v>54</v>
      </c>
      <c r="F172" t="s">
        <v>54</v>
      </c>
      <c r="G172">
        <v>3</v>
      </c>
      <c r="H172" t="s">
        <v>55</v>
      </c>
      <c r="I172">
        <v>132900</v>
      </c>
      <c r="J172">
        <v>31900</v>
      </c>
      <c r="K172">
        <v>0.14000000000000001</v>
      </c>
      <c r="L172">
        <f>IF(Wapato_Inventory[[#This Row],[parcel_acres]]-Wapato_Inventory[[#This Row],[non_valued_acres]] =0,0,LN(Wapato_Inventory[[#This Row],[parcel_acres]]-Wapato_Inventory[[#This Row],[non_valued_acres]]))</f>
        <v>-1.9661128563728327</v>
      </c>
      <c r="M172">
        <v>0</v>
      </c>
      <c r="N172">
        <v>0</v>
      </c>
      <c r="O172">
        <v>0</v>
      </c>
      <c r="P172">
        <v>27904.037</v>
      </c>
      <c r="Q172">
        <v>74398</v>
      </c>
      <c r="R172" s="3">
        <f>(Wapato_Inventory[[#This Row],[ln_acres]]*Wapato_Inventory[[#This Row],[coeff]])+Wapato_Inventory[[#This Row],[const]]</f>
        <v>19535.514109596792</v>
      </c>
      <c r="S172" t="s">
        <v>66</v>
      </c>
      <c r="T172">
        <v>1</v>
      </c>
      <c r="U172" t="s">
        <v>71</v>
      </c>
      <c r="V172" t="s">
        <v>69</v>
      </c>
      <c r="W172">
        <v>0</v>
      </c>
      <c r="X172">
        <v>0</v>
      </c>
      <c r="Y172">
        <v>52</v>
      </c>
      <c r="Z172">
        <v>88</v>
      </c>
      <c r="AA172">
        <v>90</v>
      </c>
      <c r="AB172">
        <v>1000</v>
      </c>
      <c r="AC172">
        <v>720</v>
      </c>
      <c r="AD172">
        <v>720</v>
      </c>
      <c r="AE172">
        <v>0</v>
      </c>
      <c r="AF172">
        <v>0</v>
      </c>
      <c r="AG172">
        <v>0</v>
      </c>
      <c r="AH172">
        <v>192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5</v>
      </c>
      <c r="AQ172">
        <v>0</v>
      </c>
      <c r="AR172">
        <v>0</v>
      </c>
      <c r="AS172" t="s">
        <v>59</v>
      </c>
      <c r="AT172">
        <v>1</v>
      </c>
      <c r="AU172" t="s">
        <v>76</v>
      </c>
      <c r="AV172" t="s">
        <v>61</v>
      </c>
      <c r="AW172">
        <v>0</v>
      </c>
      <c r="AX172">
        <v>2</v>
      </c>
      <c r="AY172">
        <v>0</v>
      </c>
      <c r="AZ172">
        <v>7600</v>
      </c>
      <c r="BA172">
        <v>100</v>
      </c>
      <c r="BB172">
        <v>100</v>
      </c>
      <c r="BC172">
        <v>100</v>
      </c>
      <c r="BD172">
        <v>100</v>
      </c>
      <c r="BE172">
        <v>1</v>
      </c>
      <c r="BF172">
        <v>15000</v>
      </c>
      <c r="BG172">
        <v>1000</v>
      </c>
      <c r="BH172" s="7">
        <f>ROUND(Wapato_Inventory[[#This Row],[detatched_value]]*Lookups!$B$22*Lookups!$H$48,-2)</f>
        <v>6800</v>
      </c>
      <c r="BI172" s="7">
        <f>ROUND(((Wapato_Inventory[[#This Row],[land_extract]]*Lookups!$B$3) +(Lookups!$B$2*0.5))*Lookups!$H$48,-2)</f>
        <v>53000</v>
      </c>
      <c r="BJ172" s="7">
        <f>IF(Wapato_Inventory[[#This Row],[bldg_style]]="",0,Lookups!$B$2*0.5)</f>
        <v>53765.27</v>
      </c>
      <c r="BK172" s="7">
        <f>_xlfn.IFNA(VLOOKUP(Wapato_Inventory[[#This Row],[quality]],Lookups!$H$2:$J$14,3,FALSE),0)</f>
        <v>28034</v>
      </c>
      <c r="BL172" s="7">
        <f>_xlfn.IFNA(VLOOKUP(Wapato_Inventory[[#This Row],[condition]],Lookups!$H$17:$J$24,3,FALSE),0)</f>
        <v>74543</v>
      </c>
      <c r="BM172" s="7">
        <f>Wapato_Inventory[[#This Row],[Age]]*Lookups!$B$16</f>
        <v>-32619.461600000002</v>
      </c>
      <c r="BN172" s="7">
        <f>Wapato_Inventory[[#This Row],[Main Floor]]*Lookups!$B$17</f>
        <v>30096.532080000001</v>
      </c>
      <c r="BO172" s="7">
        <f>Wapato_Inventory[[#This Row],[Upper Floor]]*Lookups!$B$18</f>
        <v>0</v>
      </c>
      <c r="BP172" s="7">
        <f>Wapato_Inventory[[#This Row],[Fin BSMT]]*Lookups!$B$19</f>
        <v>0</v>
      </c>
      <c r="BQ172" s="7">
        <f>(Wapato_Inventory[[#This Row],[att_gar]]+Wapato_Inventory[[#This Row],[blt_gar]])*Lookups!$B$20</f>
        <v>0</v>
      </c>
      <c r="BR172" s="7">
        <f>Wapato_Inventory[[#This Row],[Patio]]*Lookups!$B$21</f>
        <v>0</v>
      </c>
      <c r="BS172" s="7">
        <f>SUM(Wapato_Inventory[[#This Row],[intercept]:[patio_value]])*Wapato_Inventory[[#This Row],[res_pct]]</f>
        <v>153819.34047999998</v>
      </c>
      <c r="BT172" s="7">
        <f>Wapato_Inventory[[#This Row],[land_value]]</f>
        <v>53000</v>
      </c>
      <c r="BU172" s="2">
        <f>_xlfn.IFNA(VLOOKUP(Wapato_Inventory[[#This Row],[quality]],Lookups!$A$28:$C$37,3,FALSE),1)</f>
        <v>0.96265813922927435</v>
      </c>
      <c r="BV172" s="2">
        <f>_xlfn.IFNA(VLOOKUP(Wapato_Inventory[[#This Row],[condition]],Lookups!$A$41:$C$48,3,FALSE),1)</f>
        <v>0.98442438223270734</v>
      </c>
      <c r="BW172" s="2">
        <f>IF(Wapato_Inventory[[#This Row],[decade]]="",1,_xlfn.IFNA(VLOOKUP(Wapato_Inventory[[#This Row],[decade]],Lookups!$F$28:$H$45,3,FALSE),1))</f>
        <v>0.94742695999815718</v>
      </c>
      <c r="BX172" s="2">
        <f>_xlfn.IFNA(VLOOKUP(Wapato_Inventory[[#This Row],[living_area_range]],Lookups!$K$28:$M$37,3,FALSE),1)</f>
        <v>0.99022994770196116</v>
      </c>
      <c r="BY172" s="2">
        <f>AVERAGE(Wapato_Inventory[[#This Row],[qual_adj]:[range_adj]])</f>
        <v>0.97118485729052495</v>
      </c>
      <c r="BZ172" s="7">
        <f>(Wapato_Inventory[[#This Row],[sum_land]]-IF(Wapato_Inventory[[#This Row],[no_utilities]]=1,12000,0))/IF(Wapato_Inventory[[#This Row],[unbuildable]]=1,2,1)</f>
        <v>53000</v>
      </c>
      <c r="CA172" s="7">
        <f>Wapato_Inventory[[#This Row],[pre_res]]*Wapato_Inventory[[#This Row],[overall_adj]]</f>
        <v>149387.01423259146</v>
      </c>
      <c r="CB17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72" s="3">
        <f>IF(ROUND(Wapato_Inventory[[#This Row],[adj_res]]*Lookups!$H$48,-2)&lt;Wapato_Inventory[[#This Row],[min_res]],Wapato_Inventory[[#This Row],[min_res]],ROUND(Wapato_Inventory[[#This Row],[adj_res]]*Lookups!$H$48,-2))</f>
        <v>141900</v>
      </c>
      <c r="CD172" s="3">
        <f>ROUND(Wapato_Inventory[[#This Row],[det_value]]*Lookups!$H$48,-2)</f>
        <v>6500</v>
      </c>
      <c r="CE172" s="3">
        <f>Wapato_Inventory[[#This Row],[final_res]]+Wapato_Inventory[[#This Row],[final_det]]</f>
        <v>148400</v>
      </c>
      <c r="CF172" s="3">
        <f>Wapato_Inventory[[#This Row],[crop_value]]+Wapato_Inventory[[#This Row],[final_land]]+Wapato_Inventory[[#This Row],[final_imp]]</f>
        <v>198800</v>
      </c>
      <c r="CH172" t="str">
        <f t="shared" si="2"/>
        <v>update valuation set market_land =50400, market_bldg=148400, market_total =198800, market_mdno =405, market_date ='9/10/2023' where link_id = (select link_id from parcel where parcel_year = '2024' and parcel_id = '19111041447');</v>
      </c>
    </row>
    <row r="173" spans="1:86" x14ac:dyDescent="0.25">
      <c r="A173">
        <v>19111041448</v>
      </c>
      <c r="B173">
        <v>7.0000000000000007E-2</v>
      </c>
      <c r="C173">
        <v>3125</v>
      </c>
      <c r="D173" t="s">
        <v>144</v>
      </c>
      <c r="E173" t="s">
        <v>54</v>
      </c>
      <c r="F173" t="s">
        <v>54</v>
      </c>
      <c r="G173">
        <v>3</v>
      </c>
      <c r="H173" t="s">
        <v>55</v>
      </c>
      <c r="I173">
        <v>80300</v>
      </c>
      <c r="J173">
        <v>26900</v>
      </c>
      <c r="K173">
        <v>7.0000000000000007E-2</v>
      </c>
      <c r="L173">
        <f>IF(Wapato_Inventory[[#This Row],[parcel_acres]]-Wapato_Inventory[[#This Row],[non_valued_acres]] =0,0,LN(Wapato_Inventory[[#This Row],[parcel_acres]]-Wapato_Inventory[[#This Row],[non_valued_acres]]))</f>
        <v>-2.6592600369327779</v>
      </c>
      <c r="M173">
        <v>0</v>
      </c>
      <c r="N173">
        <v>0</v>
      </c>
      <c r="O173">
        <v>0</v>
      </c>
      <c r="P173">
        <v>27904.037</v>
      </c>
      <c r="Q173">
        <v>74398</v>
      </c>
      <c r="R173" s="3">
        <f>(Wapato_Inventory[[#This Row],[ln_acres]]*Wapato_Inventory[[#This Row],[coeff]])+Wapato_Inventory[[#This Row],[const]]</f>
        <v>193.90953680640087</v>
      </c>
      <c r="S173" t="s">
        <v>66</v>
      </c>
      <c r="T173">
        <v>1</v>
      </c>
      <c r="U173" t="s">
        <v>78</v>
      </c>
      <c r="V173" t="s">
        <v>73</v>
      </c>
      <c r="W173">
        <v>0</v>
      </c>
      <c r="X173">
        <v>0</v>
      </c>
      <c r="Y173">
        <v>57</v>
      </c>
      <c r="Z173">
        <v>103</v>
      </c>
      <c r="AA173">
        <v>110</v>
      </c>
      <c r="AB173">
        <v>1000</v>
      </c>
      <c r="AC173">
        <v>828</v>
      </c>
      <c r="AD173">
        <v>828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108</v>
      </c>
      <c r="AP173">
        <v>5</v>
      </c>
      <c r="AQ173">
        <v>0</v>
      </c>
      <c r="AR173">
        <v>0</v>
      </c>
      <c r="AS173" t="s">
        <v>59</v>
      </c>
      <c r="AT173">
        <v>0</v>
      </c>
      <c r="AU173" t="s">
        <v>80</v>
      </c>
      <c r="AV173" t="s">
        <v>61</v>
      </c>
      <c r="AW173">
        <v>0</v>
      </c>
      <c r="AX173">
        <v>2</v>
      </c>
      <c r="AY173">
        <v>0</v>
      </c>
      <c r="AZ173">
        <v>0</v>
      </c>
      <c r="BA173">
        <v>100</v>
      </c>
      <c r="BB173">
        <v>100</v>
      </c>
      <c r="BC173">
        <v>100</v>
      </c>
      <c r="BD173">
        <v>100</v>
      </c>
      <c r="BE173">
        <v>1</v>
      </c>
      <c r="BF173">
        <v>15000</v>
      </c>
      <c r="BG173">
        <v>1000</v>
      </c>
      <c r="BH173" s="7">
        <f>ROUND(Wapato_Inventory[[#This Row],[detatched_value]]*Lookups!$B$22*Lookups!$H$48,-2)</f>
        <v>0</v>
      </c>
      <c r="BI173" s="7">
        <f>ROUND(((Wapato_Inventory[[#This Row],[land_extract]]*Lookups!$B$3) +(Lookups!$B$2*0.5))*Lookups!$H$48,-2)</f>
        <v>51100</v>
      </c>
      <c r="BJ173" s="7">
        <f>IF(Wapato_Inventory[[#This Row],[bldg_style]]="",0,Lookups!$B$2*0.5)</f>
        <v>53765.27</v>
      </c>
      <c r="BK173" s="7">
        <f>_xlfn.IFNA(VLOOKUP(Wapato_Inventory[[#This Row],[quality]],Lookups!$H$2:$J$14,3,FALSE),0)</f>
        <v>23424</v>
      </c>
      <c r="BL173" s="7">
        <f>_xlfn.IFNA(VLOOKUP(Wapato_Inventory[[#This Row],[condition]],Lookups!$H$17:$J$24,3,FALSE),0)</f>
        <v>16276</v>
      </c>
      <c r="BM173" s="7">
        <f>Wapato_Inventory[[#This Row],[Age]]*Lookups!$B$16</f>
        <v>-38179.597099999999</v>
      </c>
      <c r="BN173" s="7">
        <f>Wapato_Inventory[[#This Row],[Main Floor]]*Lookups!$B$17</f>
        <v>34611.011892000002</v>
      </c>
      <c r="BO173" s="7">
        <f>Wapato_Inventory[[#This Row],[Upper Floor]]*Lookups!$B$18</f>
        <v>0</v>
      </c>
      <c r="BP173" s="7">
        <f>Wapato_Inventory[[#This Row],[Fin BSMT]]*Lookups!$B$19</f>
        <v>0</v>
      </c>
      <c r="BQ173" s="7">
        <f>(Wapato_Inventory[[#This Row],[att_gar]]+Wapato_Inventory[[#This Row],[blt_gar]])*Lookups!$B$20</f>
        <v>0</v>
      </c>
      <c r="BR173" s="7">
        <f>Wapato_Inventory[[#This Row],[Patio]]*Lookups!$B$21</f>
        <v>0</v>
      </c>
      <c r="BS173" s="7">
        <f>SUM(Wapato_Inventory[[#This Row],[intercept]:[patio_value]])*Wapato_Inventory[[#This Row],[res_pct]]</f>
        <v>89896.684791999985</v>
      </c>
      <c r="BT173" s="7">
        <f>Wapato_Inventory[[#This Row],[land_value]]</f>
        <v>51100</v>
      </c>
      <c r="BU173" s="2">
        <f>_xlfn.IFNA(VLOOKUP(Wapato_Inventory[[#This Row],[quality]],Lookups!$A$28:$C$37,3,FALSE),1)</f>
        <v>1.0091195562373767</v>
      </c>
      <c r="BV173" s="2">
        <f>_xlfn.IFNA(VLOOKUP(Wapato_Inventory[[#This Row],[condition]],Lookups!$A$41:$C$48,3,FALSE),1)</f>
        <v>0.93399385491337139</v>
      </c>
      <c r="BW173" s="2">
        <f>IF(Wapato_Inventory[[#This Row],[decade]]="",1,_xlfn.IFNA(VLOOKUP(Wapato_Inventory[[#This Row],[decade]],Lookups!$F$28:$H$45,3,FALSE),1))</f>
        <v>0.93664589651353292</v>
      </c>
      <c r="BX173" s="2">
        <f>_xlfn.IFNA(VLOOKUP(Wapato_Inventory[[#This Row],[living_area_range]],Lookups!$K$28:$M$37,3,FALSE),1)</f>
        <v>0.99022994770196116</v>
      </c>
      <c r="BY173" s="2">
        <f>AVERAGE(Wapato_Inventory[[#This Row],[qual_adj]:[range_adj]])</f>
        <v>0.96749731384156046</v>
      </c>
      <c r="BZ173" s="7">
        <f>(Wapato_Inventory[[#This Row],[sum_land]]-IF(Wapato_Inventory[[#This Row],[no_utilities]]=1,12000,0))/IF(Wapato_Inventory[[#This Row],[unbuildable]]=1,2,1)</f>
        <v>51100</v>
      </c>
      <c r="CA173" s="7">
        <f>Wapato_Inventory[[#This Row],[pre_res]]*Wapato_Inventory[[#This Row],[overall_adj]]</f>
        <v>86974.801059521444</v>
      </c>
      <c r="CB173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173" s="3">
        <f>IF(ROUND(Wapato_Inventory[[#This Row],[adj_res]]*Lookups!$H$48,-2)&lt;Wapato_Inventory[[#This Row],[min_res]],Wapato_Inventory[[#This Row],[min_res]],ROUND(Wapato_Inventory[[#This Row],[adj_res]]*Lookups!$H$48,-2))</f>
        <v>82600</v>
      </c>
      <c r="CD173" s="3">
        <f>ROUND(Wapato_Inventory[[#This Row],[det_value]]*Lookups!$H$48,-2)</f>
        <v>0</v>
      </c>
      <c r="CE173" s="3">
        <f>Wapato_Inventory[[#This Row],[final_res]]+Wapato_Inventory[[#This Row],[final_det]]</f>
        <v>82600</v>
      </c>
      <c r="CF173" s="3">
        <f>Wapato_Inventory[[#This Row],[crop_value]]+Wapato_Inventory[[#This Row],[final_land]]+Wapato_Inventory[[#This Row],[final_imp]]</f>
        <v>131100</v>
      </c>
      <c r="CH173" t="str">
        <f t="shared" si="2"/>
        <v>update valuation set market_land =48500, market_bldg=82600, market_total =131100, market_mdno =405, market_date ='9/10/2023' where link_id = (select link_id from parcel where parcel_year = '2024' and parcel_id = '19111041448');</v>
      </c>
    </row>
    <row r="174" spans="1:86" x14ac:dyDescent="0.25">
      <c r="A174">
        <v>19111041449</v>
      </c>
      <c r="B174">
        <v>7.0000000000000007E-2</v>
      </c>
      <c r="C174">
        <v>3125</v>
      </c>
      <c r="D174" t="s">
        <v>144</v>
      </c>
      <c r="E174" t="s">
        <v>54</v>
      </c>
      <c r="F174" t="s">
        <v>54</v>
      </c>
      <c r="G174">
        <v>3</v>
      </c>
      <c r="H174" t="s">
        <v>55</v>
      </c>
      <c r="I174">
        <v>91800</v>
      </c>
      <c r="J174">
        <v>26900</v>
      </c>
      <c r="K174">
        <v>7.0000000000000007E-2</v>
      </c>
      <c r="L174">
        <f>IF(Wapato_Inventory[[#This Row],[parcel_acres]]-Wapato_Inventory[[#This Row],[non_valued_acres]] =0,0,LN(Wapato_Inventory[[#This Row],[parcel_acres]]-Wapato_Inventory[[#This Row],[non_valued_acres]]))</f>
        <v>-2.6592600369327779</v>
      </c>
      <c r="M174">
        <v>0</v>
      </c>
      <c r="N174">
        <v>0</v>
      </c>
      <c r="O174">
        <v>0</v>
      </c>
      <c r="P174">
        <v>27904.037</v>
      </c>
      <c r="Q174">
        <v>74398</v>
      </c>
      <c r="R174" s="3">
        <f>(Wapato_Inventory[[#This Row],[ln_acres]]*Wapato_Inventory[[#This Row],[coeff]])+Wapato_Inventory[[#This Row],[const]]</f>
        <v>193.90953680640087</v>
      </c>
      <c r="S174" t="s">
        <v>66</v>
      </c>
      <c r="T174">
        <v>1</v>
      </c>
      <c r="U174" t="s">
        <v>71</v>
      </c>
      <c r="V174" t="s">
        <v>68</v>
      </c>
      <c r="W174">
        <v>0</v>
      </c>
      <c r="X174">
        <v>0</v>
      </c>
      <c r="Y174">
        <v>57</v>
      </c>
      <c r="Z174">
        <v>103</v>
      </c>
      <c r="AA174">
        <v>110</v>
      </c>
      <c r="AB174">
        <v>1000</v>
      </c>
      <c r="AC174">
        <v>760</v>
      </c>
      <c r="AD174">
        <v>760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25</v>
      </c>
      <c r="AO174">
        <v>0</v>
      </c>
      <c r="AP174">
        <v>5</v>
      </c>
      <c r="AQ174">
        <v>0</v>
      </c>
      <c r="AR174">
        <v>0</v>
      </c>
      <c r="AS174" t="s">
        <v>59</v>
      </c>
      <c r="AT174">
        <v>1</v>
      </c>
      <c r="AU174" t="s">
        <v>72</v>
      </c>
      <c r="AV174" t="s">
        <v>61</v>
      </c>
      <c r="AW174">
        <v>0</v>
      </c>
      <c r="AX174">
        <v>2</v>
      </c>
      <c r="AY174">
        <v>0</v>
      </c>
      <c r="AZ174">
        <v>0</v>
      </c>
      <c r="BA174">
        <v>100</v>
      </c>
      <c r="BB174">
        <v>100</v>
      </c>
      <c r="BC174">
        <v>100</v>
      </c>
      <c r="BD174">
        <v>100</v>
      </c>
      <c r="BE174">
        <v>1</v>
      </c>
      <c r="BF174">
        <v>15000</v>
      </c>
      <c r="BG174">
        <v>1000</v>
      </c>
      <c r="BH174" s="7">
        <f>ROUND(Wapato_Inventory[[#This Row],[detatched_value]]*Lookups!$B$22*Lookups!$H$48,-2)</f>
        <v>0</v>
      </c>
      <c r="BI174" s="7">
        <f>ROUND(((Wapato_Inventory[[#This Row],[land_extract]]*Lookups!$B$3) +(Lookups!$B$2*0.5))*Lookups!$H$48,-2)</f>
        <v>51100</v>
      </c>
      <c r="BJ174" s="7">
        <f>IF(Wapato_Inventory[[#This Row],[bldg_style]]="",0,Lookups!$B$2*0.5)</f>
        <v>53765.27</v>
      </c>
      <c r="BK174" s="7">
        <f>_xlfn.IFNA(VLOOKUP(Wapato_Inventory[[#This Row],[quality]],Lookups!$H$2:$J$14,3,FALSE),0)</f>
        <v>28034</v>
      </c>
      <c r="BL174" s="7">
        <f>_xlfn.IFNA(VLOOKUP(Wapato_Inventory[[#This Row],[condition]],Lookups!$H$17:$J$24,3,FALSE),0)</f>
        <v>52231</v>
      </c>
      <c r="BM174" s="7">
        <f>Wapato_Inventory[[#This Row],[Age]]*Lookups!$B$16</f>
        <v>-38179.597099999999</v>
      </c>
      <c r="BN174" s="7">
        <f>Wapato_Inventory[[#This Row],[Main Floor]]*Lookups!$B$17</f>
        <v>31768.56164</v>
      </c>
      <c r="BO174" s="7">
        <f>Wapato_Inventory[[#This Row],[Upper Floor]]*Lookups!$B$18</f>
        <v>0</v>
      </c>
      <c r="BP174" s="7">
        <f>Wapato_Inventory[[#This Row],[Fin BSMT]]*Lookups!$B$19</f>
        <v>0</v>
      </c>
      <c r="BQ174" s="7">
        <f>(Wapato_Inventory[[#This Row],[att_gar]]+Wapato_Inventory[[#This Row],[blt_gar]])*Lookups!$B$20</f>
        <v>0</v>
      </c>
      <c r="BR174" s="7">
        <f>Wapato_Inventory[[#This Row],[Patio]]*Lookups!$B$21</f>
        <v>0</v>
      </c>
      <c r="BS174" s="7">
        <f>SUM(Wapato_Inventory[[#This Row],[intercept]:[patio_value]])*Wapato_Inventory[[#This Row],[res_pct]]</f>
        <v>127619.23453999999</v>
      </c>
      <c r="BT174" s="7">
        <f>Wapato_Inventory[[#This Row],[land_value]]</f>
        <v>51100</v>
      </c>
      <c r="BU174" s="2">
        <f>_xlfn.IFNA(VLOOKUP(Wapato_Inventory[[#This Row],[quality]],Lookups!$A$28:$C$37,3,FALSE),1)</f>
        <v>0.96265813922927435</v>
      </c>
      <c r="BV174" s="2">
        <f>_xlfn.IFNA(VLOOKUP(Wapato_Inventory[[#This Row],[condition]],Lookups!$A$41:$C$48,3,FALSE),1)</f>
        <v>0.9832333997567807</v>
      </c>
      <c r="BW174" s="2">
        <f>IF(Wapato_Inventory[[#This Row],[decade]]="",1,_xlfn.IFNA(VLOOKUP(Wapato_Inventory[[#This Row],[decade]],Lookups!$F$28:$H$45,3,FALSE),1))</f>
        <v>0.93664589651353292</v>
      </c>
      <c r="BX174" s="2">
        <f>_xlfn.IFNA(VLOOKUP(Wapato_Inventory[[#This Row],[living_area_range]],Lookups!$K$28:$M$37,3,FALSE),1)</f>
        <v>0.99022994770196116</v>
      </c>
      <c r="BY174" s="2">
        <f>AVERAGE(Wapato_Inventory[[#This Row],[qual_adj]:[range_adj]])</f>
        <v>0.9681918458003872</v>
      </c>
      <c r="BZ174" s="7">
        <f>(Wapato_Inventory[[#This Row],[sum_land]]-IF(Wapato_Inventory[[#This Row],[no_utilities]]=1,12000,0))/IF(Wapato_Inventory[[#This Row],[unbuildable]]=1,2,1)</f>
        <v>51100</v>
      </c>
      <c r="CA174" s="7">
        <f>Wapato_Inventory[[#This Row],[pre_res]]*Wapato_Inventory[[#This Row],[overall_adj]]</f>
        <v>123559.90224891512</v>
      </c>
      <c r="CB174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174" s="3">
        <f>IF(ROUND(Wapato_Inventory[[#This Row],[adj_res]]*Lookups!$H$48,-2)&lt;Wapato_Inventory[[#This Row],[min_res]],Wapato_Inventory[[#This Row],[min_res]],ROUND(Wapato_Inventory[[#This Row],[adj_res]]*Lookups!$H$48,-2))</f>
        <v>117400</v>
      </c>
      <c r="CD174" s="3">
        <f>ROUND(Wapato_Inventory[[#This Row],[det_value]]*Lookups!$H$48,-2)</f>
        <v>0</v>
      </c>
      <c r="CE174" s="3">
        <f>Wapato_Inventory[[#This Row],[final_res]]+Wapato_Inventory[[#This Row],[final_det]]</f>
        <v>117400</v>
      </c>
      <c r="CF174" s="3">
        <f>Wapato_Inventory[[#This Row],[crop_value]]+Wapato_Inventory[[#This Row],[final_land]]+Wapato_Inventory[[#This Row],[final_imp]]</f>
        <v>165900</v>
      </c>
      <c r="CH174" t="str">
        <f t="shared" si="2"/>
        <v>update valuation set market_land =48500, market_bldg=117400, market_total =165900, market_mdno =405, market_date ='9/10/2023' where link_id = (select link_id from parcel where parcel_year = '2024' and parcel_id = '19111041449');</v>
      </c>
    </row>
    <row r="175" spans="1:86" x14ac:dyDescent="0.25">
      <c r="A175">
        <v>19111041452</v>
      </c>
      <c r="B175">
        <v>0.14000000000000001</v>
      </c>
      <c r="C175">
        <v>6250</v>
      </c>
      <c r="D175" t="s">
        <v>144</v>
      </c>
      <c r="E175" t="s">
        <v>54</v>
      </c>
      <c r="F175" t="s">
        <v>54</v>
      </c>
      <c r="G175">
        <v>3</v>
      </c>
      <c r="H175" t="s">
        <v>55</v>
      </c>
      <c r="I175">
        <v>123200</v>
      </c>
      <c r="J175">
        <v>31900</v>
      </c>
      <c r="K175">
        <v>0.14000000000000001</v>
      </c>
      <c r="L175">
        <f>IF(Wapato_Inventory[[#This Row],[parcel_acres]]-Wapato_Inventory[[#This Row],[non_valued_acres]] =0,0,LN(Wapato_Inventory[[#This Row],[parcel_acres]]-Wapato_Inventory[[#This Row],[non_valued_acres]]))</f>
        <v>-1.9661128563728327</v>
      </c>
      <c r="M175">
        <v>0</v>
      </c>
      <c r="N175">
        <v>0</v>
      </c>
      <c r="O175">
        <v>0</v>
      </c>
      <c r="P175">
        <v>27904.037</v>
      </c>
      <c r="Q175">
        <v>74398</v>
      </c>
      <c r="R175" s="3">
        <f>(Wapato_Inventory[[#This Row],[ln_acres]]*Wapato_Inventory[[#This Row],[coeff]])+Wapato_Inventory[[#This Row],[const]]</f>
        <v>19535.514109596792</v>
      </c>
      <c r="S175" t="s">
        <v>66</v>
      </c>
      <c r="T175">
        <v>1</v>
      </c>
      <c r="U175" t="s">
        <v>71</v>
      </c>
      <c r="V175" t="s">
        <v>73</v>
      </c>
      <c r="W175">
        <v>0</v>
      </c>
      <c r="X175">
        <v>0</v>
      </c>
      <c r="Y175">
        <v>50</v>
      </c>
      <c r="Z175">
        <v>73</v>
      </c>
      <c r="AA175">
        <v>80</v>
      </c>
      <c r="AB175">
        <v>1500</v>
      </c>
      <c r="AC175">
        <v>1140</v>
      </c>
      <c r="AD175">
        <v>1140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10</v>
      </c>
      <c r="AQ175">
        <v>0</v>
      </c>
      <c r="AR175">
        <v>0</v>
      </c>
      <c r="AS175" t="s">
        <v>59</v>
      </c>
      <c r="AT175">
        <v>1</v>
      </c>
      <c r="AU175" t="s">
        <v>60</v>
      </c>
      <c r="AV175" t="s">
        <v>61</v>
      </c>
      <c r="AW175">
        <v>1</v>
      </c>
      <c r="AX175">
        <v>2</v>
      </c>
      <c r="AY175">
        <v>0</v>
      </c>
      <c r="AZ175">
        <v>0</v>
      </c>
      <c r="BA175">
        <v>100</v>
      </c>
      <c r="BB175">
        <v>100</v>
      </c>
      <c r="BC175">
        <v>100</v>
      </c>
      <c r="BD175">
        <v>100</v>
      </c>
      <c r="BE175">
        <v>1</v>
      </c>
      <c r="BF175">
        <v>15000</v>
      </c>
      <c r="BG175">
        <v>1000</v>
      </c>
      <c r="BH175" s="7">
        <f>ROUND(Wapato_Inventory[[#This Row],[detatched_value]]*Lookups!$B$22*Lookups!$H$48,-2)</f>
        <v>0</v>
      </c>
      <c r="BI175" s="7">
        <f>ROUND(((Wapato_Inventory[[#This Row],[land_extract]]*Lookups!$B$3) +(Lookups!$B$2*0.5))*Lookups!$H$48,-2)</f>
        <v>53000</v>
      </c>
      <c r="BJ175" s="7">
        <f>IF(Wapato_Inventory[[#This Row],[bldg_style]]="",0,Lookups!$B$2*0.5)</f>
        <v>53765.27</v>
      </c>
      <c r="BK175" s="7">
        <f>_xlfn.IFNA(VLOOKUP(Wapato_Inventory[[#This Row],[quality]],Lookups!$H$2:$J$14,3,FALSE),0)</f>
        <v>28034</v>
      </c>
      <c r="BL175" s="7">
        <f>_xlfn.IFNA(VLOOKUP(Wapato_Inventory[[#This Row],[condition]],Lookups!$H$17:$J$24,3,FALSE),0)</f>
        <v>16276</v>
      </c>
      <c r="BM175" s="7">
        <f>Wapato_Inventory[[#This Row],[Age]]*Lookups!$B$16</f>
        <v>-27059.326100000002</v>
      </c>
      <c r="BN175" s="7">
        <f>Wapato_Inventory[[#This Row],[Main Floor]]*Lookups!$B$17</f>
        <v>47652.84246</v>
      </c>
      <c r="BO175" s="7">
        <f>Wapato_Inventory[[#This Row],[Upper Floor]]*Lookups!$B$18</f>
        <v>0</v>
      </c>
      <c r="BP175" s="7">
        <f>Wapato_Inventory[[#This Row],[Fin BSMT]]*Lookups!$B$19</f>
        <v>0</v>
      </c>
      <c r="BQ175" s="7">
        <f>(Wapato_Inventory[[#This Row],[att_gar]]+Wapato_Inventory[[#This Row],[blt_gar]])*Lookups!$B$20</f>
        <v>0</v>
      </c>
      <c r="BR175" s="7">
        <f>Wapato_Inventory[[#This Row],[Patio]]*Lookups!$B$21</f>
        <v>0</v>
      </c>
      <c r="BS175" s="7">
        <f>SUM(Wapato_Inventory[[#This Row],[intercept]:[patio_value]])*Wapato_Inventory[[#This Row],[res_pct]]</f>
        <v>118668.78635999998</v>
      </c>
      <c r="BT175" s="7">
        <f>Wapato_Inventory[[#This Row],[land_value]]</f>
        <v>53000</v>
      </c>
      <c r="BU175" s="2">
        <f>_xlfn.IFNA(VLOOKUP(Wapato_Inventory[[#This Row],[quality]],Lookups!$A$28:$C$37,3,FALSE),1)</f>
        <v>0.96265813922927435</v>
      </c>
      <c r="BV175" s="2">
        <f>_xlfn.IFNA(VLOOKUP(Wapato_Inventory[[#This Row],[condition]],Lookups!$A$41:$C$48,3,FALSE),1)</f>
        <v>0.93399385491337139</v>
      </c>
      <c r="BW175" s="2">
        <f>IF(Wapato_Inventory[[#This Row],[decade]]="",1,_xlfn.IFNA(VLOOKUP(Wapato_Inventory[[#This Row],[decade]],Lookups!$F$28:$H$45,3,FALSE),1))</f>
        <v>0.8438929209510081</v>
      </c>
      <c r="BX175" s="2">
        <f>_xlfn.IFNA(VLOOKUP(Wapato_Inventory[[#This Row],[living_area_range]],Lookups!$K$28:$M$37,3,FALSE),1)</f>
        <v>1.0061411172456287</v>
      </c>
      <c r="BY175" s="2">
        <f>AVERAGE(Wapato_Inventory[[#This Row],[qual_adj]:[range_adj]])</f>
        <v>0.93667150808482069</v>
      </c>
      <c r="BZ175" s="7">
        <f>(Wapato_Inventory[[#This Row],[sum_land]]-IF(Wapato_Inventory[[#This Row],[no_utilities]]=1,12000,0))/IF(Wapato_Inventory[[#This Row],[unbuildable]]=1,2,1)</f>
        <v>53000</v>
      </c>
      <c r="CA175" s="7">
        <f>Wapato_Inventory[[#This Row],[pre_res]]*Wapato_Inventory[[#This Row],[overall_adj]]</f>
        <v>111153.67108241658</v>
      </c>
      <c r="CB17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75" s="3">
        <f>IF(ROUND(Wapato_Inventory[[#This Row],[adj_res]]*Lookups!$H$48,-2)&lt;Wapato_Inventory[[#This Row],[min_res]],Wapato_Inventory[[#This Row],[min_res]],ROUND(Wapato_Inventory[[#This Row],[adj_res]]*Lookups!$H$48,-2))</f>
        <v>105600</v>
      </c>
      <c r="CD175" s="3">
        <f>ROUND(Wapato_Inventory[[#This Row],[det_value]]*Lookups!$H$48,-2)</f>
        <v>0</v>
      </c>
      <c r="CE175" s="3">
        <f>Wapato_Inventory[[#This Row],[final_res]]+Wapato_Inventory[[#This Row],[final_det]]</f>
        <v>105600</v>
      </c>
      <c r="CF175" s="3">
        <f>Wapato_Inventory[[#This Row],[crop_value]]+Wapato_Inventory[[#This Row],[final_land]]+Wapato_Inventory[[#This Row],[final_imp]]</f>
        <v>156000</v>
      </c>
      <c r="CH175" t="str">
        <f t="shared" si="2"/>
        <v>update valuation set market_land =50400, market_bldg=105600, market_total =156000, market_mdno =405, market_date ='9/10/2023' where link_id = (select link_id from parcel where parcel_year = '2024' and parcel_id = '19111041452');</v>
      </c>
    </row>
    <row r="176" spans="1:86" x14ac:dyDescent="0.25">
      <c r="A176">
        <v>19111041453</v>
      </c>
      <c r="B176">
        <v>0.19</v>
      </c>
      <c r="C176">
        <v>8117</v>
      </c>
      <c r="D176" t="s">
        <v>144</v>
      </c>
      <c r="E176" t="s">
        <v>54</v>
      </c>
      <c r="F176" t="s">
        <v>54</v>
      </c>
      <c r="G176">
        <v>3</v>
      </c>
      <c r="H176" t="s">
        <v>55</v>
      </c>
      <c r="I176">
        <v>126600</v>
      </c>
      <c r="J176">
        <v>34100</v>
      </c>
      <c r="K176">
        <v>0.19</v>
      </c>
      <c r="L176">
        <f>IF(Wapato_Inventory[[#This Row],[parcel_acres]]-Wapato_Inventory[[#This Row],[non_valued_acres]] =0,0,LN(Wapato_Inventory[[#This Row],[parcel_acres]]-Wapato_Inventory[[#This Row],[non_valued_acres]]))</f>
        <v>-1.6607312068216509</v>
      </c>
      <c r="M176">
        <v>0</v>
      </c>
      <c r="N176">
        <v>0</v>
      </c>
      <c r="O176">
        <v>0</v>
      </c>
      <c r="P176">
        <v>27904.037</v>
      </c>
      <c r="Q176">
        <v>74398</v>
      </c>
      <c r="R176" s="3">
        <f>(Wapato_Inventory[[#This Row],[ln_acres]]*Wapato_Inventory[[#This Row],[coeff]])+Wapato_Inventory[[#This Row],[const]]</f>
        <v>28056.894957794</v>
      </c>
      <c r="S176" t="s">
        <v>66</v>
      </c>
      <c r="T176">
        <v>1</v>
      </c>
      <c r="U176" t="s">
        <v>71</v>
      </c>
      <c r="V176" t="s">
        <v>68</v>
      </c>
      <c r="W176">
        <v>0</v>
      </c>
      <c r="X176">
        <v>0</v>
      </c>
      <c r="Y176">
        <v>55</v>
      </c>
      <c r="Z176">
        <v>98</v>
      </c>
      <c r="AA176">
        <v>100</v>
      </c>
      <c r="AB176">
        <v>1500</v>
      </c>
      <c r="AC176">
        <v>1363</v>
      </c>
      <c r="AD176">
        <v>1363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5</v>
      </c>
      <c r="AQ176">
        <v>0</v>
      </c>
      <c r="AR176">
        <v>0</v>
      </c>
      <c r="AS176" t="s">
        <v>59</v>
      </c>
      <c r="AT176">
        <v>1</v>
      </c>
      <c r="AU176" t="s">
        <v>64</v>
      </c>
      <c r="AV176" t="s">
        <v>65</v>
      </c>
      <c r="AW176">
        <v>0</v>
      </c>
      <c r="AX176">
        <v>4</v>
      </c>
      <c r="AY176">
        <v>0</v>
      </c>
      <c r="AZ176">
        <v>0</v>
      </c>
      <c r="BA176">
        <v>100</v>
      </c>
      <c r="BB176">
        <v>100</v>
      </c>
      <c r="BC176">
        <v>100</v>
      </c>
      <c r="BD176">
        <v>100</v>
      </c>
      <c r="BE176">
        <v>1</v>
      </c>
      <c r="BF176">
        <v>15000</v>
      </c>
      <c r="BG176">
        <v>1000</v>
      </c>
      <c r="BH176" s="7">
        <f>ROUND(Wapato_Inventory[[#This Row],[detatched_value]]*Lookups!$B$22*Lookups!$H$48,-2)</f>
        <v>0</v>
      </c>
      <c r="BI176" s="7">
        <f>ROUND(((Wapato_Inventory[[#This Row],[land_extract]]*Lookups!$B$3) +(Lookups!$B$2*0.5))*Lookups!$H$48,-2)</f>
        <v>53800</v>
      </c>
      <c r="BJ176" s="7">
        <f>IF(Wapato_Inventory[[#This Row],[bldg_style]]="",0,Lookups!$B$2*0.5)</f>
        <v>53765.27</v>
      </c>
      <c r="BK176" s="7">
        <f>_xlfn.IFNA(VLOOKUP(Wapato_Inventory[[#This Row],[quality]],Lookups!$H$2:$J$14,3,FALSE),0)</f>
        <v>28034</v>
      </c>
      <c r="BL176" s="7">
        <f>_xlfn.IFNA(VLOOKUP(Wapato_Inventory[[#This Row],[condition]],Lookups!$H$17:$J$24,3,FALSE),0)</f>
        <v>52231</v>
      </c>
      <c r="BM176" s="7">
        <f>Wapato_Inventory[[#This Row],[Age]]*Lookups!$B$16</f>
        <v>-36326.2186</v>
      </c>
      <c r="BN176" s="7">
        <f>Wapato_Inventory[[#This Row],[Main Floor]]*Lookups!$B$17</f>
        <v>56974.407256999999</v>
      </c>
      <c r="BO176" s="7">
        <f>Wapato_Inventory[[#This Row],[Upper Floor]]*Lookups!$B$18</f>
        <v>0</v>
      </c>
      <c r="BP176" s="7">
        <f>Wapato_Inventory[[#This Row],[Fin BSMT]]*Lookups!$B$19</f>
        <v>0</v>
      </c>
      <c r="BQ176" s="7">
        <f>(Wapato_Inventory[[#This Row],[att_gar]]+Wapato_Inventory[[#This Row],[blt_gar]])*Lookups!$B$20</f>
        <v>0</v>
      </c>
      <c r="BR176" s="7">
        <f>Wapato_Inventory[[#This Row],[Patio]]*Lookups!$B$21</f>
        <v>0</v>
      </c>
      <c r="BS176" s="7">
        <f>SUM(Wapato_Inventory[[#This Row],[intercept]:[patio_value]])*Wapato_Inventory[[#This Row],[res_pct]]</f>
        <v>154678.45865699998</v>
      </c>
      <c r="BT176" s="7">
        <f>Wapato_Inventory[[#This Row],[land_value]]</f>
        <v>53800</v>
      </c>
      <c r="BU176" s="2">
        <f>_xlfn.IFNA(VLOOKUP(Wapato_Inventory[[#This Row],[quality]],Lookups!$A$28:$C$37,3,FALSE),1)</f>
        <v>0.96265813922927435</v>
      </c>
      <c r="BV176" s="2">
        <f>_xlfn.IFNA(VLOOKUP(Wapato_Inventory[[#This Row],[condition]],Lookups!$A$41:$C$48,3,FALSE),1)</f>
        <v>0.9832333997567807</v>
      </c>
      <c r="BW176" s="2">
        <f>IF(Wapato_Inventory[[#This Row],[decade]]="",1,_xlfn.IFNA(VLOOKUP(Wapato_Inventory[[#This Row],[decade]],Lookups!$F$28:$H$45,3,FALSE),1))</f>
        <v>1.0114203040664467</v>
      </c>
      <c r="BX176" s="2">
        <f>_xlfn.IFNA(VLOOKUP(Wapato_Inventory[[#This Row],[living_area_range]],Lookups!$K$28:$M$37,3,FALSE),1)</f>
        <v>1.0061411172456287</v>
      </c>
      <c r="BY176" s="2">
        <f>AVERAGE(Wapato_Inventory[[#This Row],[qual_adj]:[range_adj]])</f>
        <v>0.99086324007453253</v>
      </c>
      <c r="BZ176" s="7">
        <f>(Wapato_Inventory[[#This Row],[sum_land]]-IF(Wapato_Inventory[[#This Row],[no_utilities]]=1,12000,0))/IF(Wapato_Inventory[[#This Row],[unbuildable]]=1,2,1)</f>
        <v>53800</v>
      </c>
      <c r="CA176" s="7">
        <f>Wapato_Inventory[[#This Row],[pre_res]]*Wapato_Inventory[[#This Row],[overall_adj]]</f>
        <v>153265.19871460964</v>
      </c>
      <c r="CB176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76" s="3">
        <f>IF(ROUND(Wapato_Inventory[[#This Row],[adj_res]]*Lookups!$H$48,-2)&lt;Wapato_Inventory[[#This Row],[min_res]],Wapato_Inventory[[#This Row],[min_res]],ROUND(Wapato_Inventory[[#This Row],[adj_res]]*Lookups!$H$48,-2))</f>
        <v>145600</v>
      </c>
      <c r="CD176" s="3">
        <f>ROUND(Wapato_Inventory[[#This Row],[det_value]]*Lookups!$H$48,-2)</f>
        <v>0</v>
      </c>
      <c r="CE176" s="3">
        <f>Wapato_Inventory[[#This Row],[final_res]]+Wapato_Inventory[[#This Row],[final_det]]</f>
        <v>145600</v>
      </c>
      <c r="CF176" s="3">
        <f>Wapato_Inventory[[#This Row],[crop_value]]+Wapato_Inventory[[#This Row],[final_land]]+Wapato_Inventory[[#This Row],[final_imp]]</f>
        <v>196700</v>
      </c>
      <c r="CH176" t="str">
        <f t="shared" si="2"/>
        <v>update valuation set market_land =51100, market_bldg=145600, market_total =196700, market_mdno =405, market_date ='9/10/2023' where link_id = (select link_id from parcel where parcel_year = '2024' and parcel_id = '19111041453');</v>
      </c>
    </row>
    <row r="177" spans="1:86" x14ac:dyDescent="0.25">
      <c r="A177">
        <v>19111041454</v>
      </c>
      <c r="B177">
        <v>0.19</v>
      </c>
      <c r="C177">
        <v>8117</v>
      </c>
      <c r="D177" t="s">
        <v>144</v>
      </c>
      <c r="E177" t="s">
        <v>54</v>
      </c>
      <c r="F177" t="s">
        <v>54</v>
      </c>
      <c r="G177">
        <v>3</v>
      </c>
      <c r="H177" t="s">
        <v>55</v>
      </c>
      <c r="I177">
        <v>75300</v>
      </c>
      <c r="J177">
        <v>34100</v>
      </c>
      <c r="K177">
        <v>0.19</v>
      </c>
      <c r="L177">
        <f>IF(Wapato_Inventory[[#This Row],[parcel_acres]]-Wapato_Inventory[[#This Row],[non_valued_acres]] =0,0,LN(Wapato_Inventory[[#This Row],[parcel_acres]]-Wapato_Inventory[[#This Row],[non_valued_acres]]))</f>
        <v>-1.6607312068216509</v>
      </c>
      <c r="M177">
        <v>0</v>
      </c>
      <c r="N177">
        <v>0</v>
      </c>
      <c r="O177">
        <v>0</v>
      </c>
      <c r="P177">
        <v>27904.037</v>
      </c>
      <c r="Q177">
        <v>74398</v>
      </c>
      <c r="R177" s="3">
        <f>(Wapato_Inventory[[#This Row],[ln_acres]]*Wapato_Inventory[[#This Row],[coeff]])+Wapato_Inventory[[#This Row],[const]]</f>
        <v>28056.894957794</v>
      </c>
      <c r="S177" t="s">
        <v>66</v>
      </c>
      <c r="T177">
        <v>1</v>
      </c>
      <c r="U177" t="s">
        <v>71</v>
      </c>
      <c r="V177" t="s">
        <v>68</v>
      </c>
      <c r="W177">
        <v>0</v>
      </c>
      <c r="X177">
        <v>0</v>
      </c>
      <c r="Y177">
        <v>55</v>
      </c>
      <c r="Z177">
        <v>98</v>
      </c>
      <c r="AA177">
        <v>100</v>
      </c>
      <c r="AB177">
        <v>500</v>
      </c>
      <c r="AC177">
        <v>477</v>
      </c>
      <c r="AD177">
        <v>477</v>
      </c>
      <c r="AE177">
        <v>0</v>
      </c>
      <c r="AF177">
        <v>0</v>
      </c>
      <c r="AG177">
        <v>0</v>
      </c>
      <c r="AH177">
        <v>64</v>
      </c>
      <c r="AI177">
        <v>0</v>
      </c>
      <c r="AJ177">
        <v>0</v>
      </c>
      <c r="AK177">
        <v>0</v>
      </c>
      <c r="AL177">
        <v>0</v>
      </c>
      <c r="AM177">
        <v>112</v>
      </c>
      <c r="AN177">
        <v>0</v>
      </c>
      <c r="AO177">
        <v>0</v>
      </c>
      <c r="AP177">
        <v>5</v>
      </c>
      <c r="AQ177">
        <v>0</v>
      </c>
      <c r="AR177">
        <v>0</v>
      </c>
      <c r="AS177" t="s">
        <v>59</v>
      </c>
      <c r="AT177">
        <v>0</v>
      </c>
      <c r="AU177" t="s">
        <v>80</v>
      </c>
      <c r="AV177" t="s">
        <v>77</v>
      </c>
      <c r="AW177">
        <v>0</v>
      </c>
      <c r="AX177">
        <v>1</v>
      </c>
      <c r="AY177">
        <v>0</v>
      </c>
      <c r="AZ177">
        <v>0</v>
      </c>
      <c r="BA177">
        <v>100</v>
      </c>
      <c r="BB177">
        <v>100</v>
      </c>
      <c r="BC177">
        <v>100</v>
      </c>
      <c r="BD177">
        <v>100</v>
      </c>
      <c r="BE177">
        <v>1</v>
      </c>
      <c r="BF177">
        <v>15000</v>
      </c>
      <c r="BG177">
        <v>1000</v>
      </c>
      <c r="BH177" s="7">
        <f>ROUND(Wapato_Inventory[[#This Row],[detatched_value]]*Lookups!$B$22*Lookups!$H$48,-2)</f>
        <v>0</v>
      </c>
      <c r="BI177" s="7">
        <f>ROUND(((Wapato_Inventory[[#This Row],[land_extract]]*Lookups!$B$3) +(Lookups!$B$2*0.5))*Lookups!$H$48,-2)</f>
        <v>53800</v>
      </c>
      <c r="BJ177" s="7">
        <f>IF(Wapato_Inventory[[#This Row],[bldg_style]]="",0,Lookups!$B$2*0.5)</f>
        <v>53765.27</v>
      </c>
      <c r="BK177" s="7">
        <f>_xlfn.IFNA(VLOOKUP(Wapato_Inventory[[#This Row],[quality]],Lookups!$H$2:$J$14,3,FALSE),0)</f>
        <v>28034</v>
      </c>
      <c r="BL177" s="7">
        <f>_xlfn.IFNA(VLOOKUP(Wapato_Inventory[[#This Row],[condition]],Lookups!$H$17:$J$24,3,FALSE),0)</f>
        <v>52231</v>
      </c>
      <c r="BM177" s="7">
        <f>Wapato_Inventory[[#This Row],[Age]]*Lookups!$B$16</f>
        <v>-36326.2186</v>
      </c>
      <c r="BN177" s="7">
        <f>Wapato_Inventory[[#This Row],[Main Floor]]*Lookups!$B$17</f>
        <v>19938.952503</v>
      </c>
      <c r="BO177" s="7">
        <f>Wapato_Inventory[[#This Row],[Upper Floor]]*Lookups!$B$18</f>
        <v>0</v>
      </c>
      <c r="BP177" s="7">
        <f>Wapato_Inventory[[#This Row],[Fin BSMT]]*Lookups!$B$19</f>
        <v>0</v>
      </c>
      <c r="BQ177" s="7">
        <f>(Wapato_Inventory[[#This Row],[att_gar]]+Wapato_Inventory[[#This Row],[blt_gar]])*Lookups!$B$20</f>
        <v>0</v>
      </c>
      <c r="BR177" s="7">
        <f>Wapato_Inventory[[#This Row],[Patio]]*Lookups!$B$21</f>
        <v>4852.285648</v>
      </c>
      <c r="BS177" s="7">
        <f>SUM(Wapato_Inventory[[#This Row],[intercept]:[patio_value]])*Wapato_Inventory[[#This Row],[res_pct]]</f>
        <v>122495.28955100001</v>
      </c>
      <c r="BT177" s="7">
        <f>Wapato_Inventory[[#This Row],[land_value]]</f>
        <v>53800</v>
      </c>
      <c r="BU177" s="2">
        <f>_xlfn.IFNA(VLOOKUP(Wapato_Inventory[[#This Row],[quality]],Lookups!$A$28:$C$37,3,FALSE),1)</f>
        <v>0.96265813922927435</v>
      </c>
      <c r="BV177" s="2">
        <f>_xlfn.IFNA(VLOOKUP(Wapato_Inventory[[#This Row],[condition]],Lookups!$A$41:$C$48,3,FALSE),1)</f>
        <v>0.9832333997567807</v>
      </c>
      <c r="BW177" s="2">
        <f>IF(Wapato_Inventory[[#This Row],[decade]]="",1,_xlfn.IFNA(VLOOKUP(Wapato_Inventory[[#This Row],[decade]],Lookups!$F$28:$H$45,3,FALSE),1))</f>
        <v>1.0114203040664467</v>
      </c>
      <c r="BX177" s="2">
        <f>_xlfn.IFNA(VLOOKUP(Wapato_Inventory[[#This Row],[living_area_range]],Lookups!$K$28:$M$37,3,FALSE),1)</f>
        <v>0.62984720518148585</v>
      </c>
      <c r="BY177" s="2">
        <f>AVERAGE(Wapato_Inventory[[#This Row],[qual_adj]:[range_adj]])</f>
        <v>0.89678976205849681</v>
      </c>
      <c r="BZ177" s="7">
        <f>(Wapato_Inventory[[#This Row],[sum_land]]-IF(Wapato_Inventory[[#This Row],[no_utilities]]=1,12000,0))/IF(Wapato_Inventory[[#This Row],[unbuildable]]=1,2,1)</f>
        <v>53800</v>
      </c>
      <c r="CA177" s="7">
        <f>Wapato_Inventory[[#This Row],[pre_res]]*Wapato_Inventory[[#This Row],[overall_adj]]</f>
        <v>109852.52156972796</v>
      </c>
      <c r="CB177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77" s="3">
        <f>IF(ROUND(Wapato_Inventory[[#This Row],[adj_res]]*Lookups!$H$48,-2)&lt;Wapato_Inventory[[#This Row],[min_res]],Wapato_Inventory[[#This Row],[min_res]],ROUND(Wapato_Inventory[[#This Row],[adj_res]]*Lookups!$H$48,-2))</f>
        <v>104400</v>
      </c>
      <c r="CD177" s="3">
        <f>ROUND(Wapato_Inventory[[#This Row],[det_value]]*Lookups!$H$48,-2)</f>
        <v>0</v>
      </c>
      <c r="CE177" s="3">
        <f>Wapato_Inventory[[#This Row],[final_res]]+Wapato_Inventory[[#This Row],[final_det]]</f>
        <v>104400</v>
      </c>
      <c r="CF177" s="3">
        <f>Wapato_Inventory[[#This Row],[crop_value]]+Wapato_Inventory[[#This Row],[final_land]]+Wapato_Inventory[[#This Row],[final_imp]]</f>
        <v>155500</v>
      </c>
      <c r="CH177" t="str">
        <f t="shared" si="2"/>
        <v>update valuation set market_land =51100, market_bldg=104400, market_total =155500, market_mdno =405, market_date ='9/10/2023' where link_id = (select link_id from parcel where parcel_year = '2024' and parcel_id = '19111041454');</v>
      </c>
    </row>
    <row r="178" spans="1:86" x14ac:dyDescent="0.25">
      <c r="A178">
        <v>19111041455</v>
      </c>
      <c r="B178">
        <v>0.2</v>
      </c>
      <c r="C178">
        <v>8741</v>
      </c>
      <c r="D178" t="s">
        <v>144</v>
      </c>
      <c r="E178" t="s">
        <v>54</v>
      </c>
      <c r="F178" t="s">
        <v>54</v>
      </c>
      <c r="G178">
        <v>3</v>
      </c>
      <c r="H178" t="s">
        <v>55</v>
      </c>
      <c r="I178">
        <v>98500</v>
      </c>
      <c r="J178">
        <v>34400</v>
      </c>
      <c r="K178">
        <v>0.2</v>
      </c>
      <c r="L178">
        <f>IF(Wapato_Inventory[[#This Row],[parcel_acres]]-Wapato_Inventory[[#This Row],[non_valued_acres]] =0,0,LN(Wapato_Inventory[[#This Row],[parcel_acres]]-Wapato_Inventory[[#This Row],[non_valued_acres]]))</f>
        <v>-1.6094379124341003</v>
      </c>
      <c r="M178">
        <v>0</v>
      </c>
      <c r="N178">
        <v>0</v>
      </c>
      <c r="O178">
        <v>0</v>
      </c>
      <c r="P178">
        <v>27904.037</v>
      </c>
      <c r="Q178">
        <v>74398</v>
      </c>
      <c r="R178" s="3">
        <f>(Wapato_Inventory[[#This Row],[ln_acres]]*Wapato_Inventory[[#This Row],[coeff]])+Wapato_Inventory[[#This Row],[const]]</f>
        <v>29488.184942236105</v>
      </c>
      <c r="S178" t="s">
        <v>66</v>
      </c>
      <c r="T178">
        <v>1</v>
      </c>
      <c r="U178" t="s">
        <v>71</v>
      </c>
      <c r="V178" t="s">
        <v>68</v>
      </c>
      <c r="W178">
        <v>0</v>
      </c>
      <c r="X178">
        <v>0</v>
      </c>
      <c r="Y178">
        <v>55</v>
      </c>
      <c r="Z178">
        <v>98</v>
      </c>
      <c r="AA178">
        <v>100</v>
      </c>
      <c r="AB178">
        <v>1000</v>
      </c>
      <c r="AC178">
        <v>785</v>
      </c>
      <c r="AD178">
        <v>785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5</v>
      </c>
      <c r="AQ178">
        <v>0</v>
      </c>
      <c r="AR178">
        <v>0</v>
      </c>
      <c r="AS178" t="s">
        <v>59</v>
      </c>
      <c r="AT178">
        <v>0</v>
      </c>
      <c r="AU178" t="s">
        <v>80</v>
      </c>
      <c r="AV178" t="s">
        <v>77</v>
      </c>
      <c r="AW178">
        <v>0</v>
      </c>
      <c r="AX178">
        <v>2</v>
      </c>
      <c r="AY178">
        <v>0</v>
      </c>
      <c r="AZ178">
        <v>6500</v>
      </c>
      <c r="BA178">
        <v>100</v>
      </c>
      <c r="BB178">
        <v>100</v>
      </c>
      <c r="BC178">
        <v>100</v>
      </c>
      <c r="BD178">
        <v>100</v>
      </c>
      <c r="BE178">
        <v>1</v>
      </c>
      <c r="BF178">
        <v>15000</v>
      </c>
      <c r="BG178">
        <v>1000</v>
      </c>
      <c r="BH178" s="7">
        <f>ROUND(Wapato_Inventory[[#This Row],[detatched_value]]*Lookups!$B$22*Lookups!$H$48,-2)</f>
        <v>5800</v>
      </c>
      <c r="BI178" s="7">
        <f>ROUND(((Wapato_Inventory[[#This Row],[land_extract]]*Lookups!$B$3) +(Lookups!$B$2*0.5))*Lookups!$H$48,-2)</f>
        <v>53900</v>
      </c>
      <c r="BJ178" s="7">
        <f>IF(Wapato_Inventory[[#This Row],[bldg_style]]="",0,Lookups!$B$2*0.5)</f>
        <v>53765.27</v>
      </c>
      <c r="BK178" s="7">
        <f>_xlfn.IFNA(VLOOKUP(Wapato_Inventory[[#This Row],[quality]],Lookups!$H$2:$J$14,3,FALSE),0)</f>
        <v>28034</v>
      </c>
      <c r="BL178" s="7">
        <f>_xlfn.IFNA(VLOOKUP(Wapato_Inventory[[#This Row],[condition]],Lookups!$H$17:$J$24,3,FALSE),0)</f>
        <v>52231</v>
      </c>
      <c r="BM178" s="7">
        <f>Wapato_Inventory[[#This Row],[Age]]*Lookups!$B$16</f>
        <v>-36326.2186</v>
      </c>
      <c r="BN178" s="7">
        <f>Wapato_Inventory[[#This Row],[Main Floor]]*Lookups!$B$17</f>
        <v>32813.580114999997</v>
      </c>
      <c r="BO178" s="7">
        <f>Wapato_Inventory[[#This Row],[Upper Floor]]*Lookups!$B$18</f>
        <v>0</v>
      </c>
      <c r="BP178" s="7">
        <f>Wapato_Inventory[[#This Row],[Fin BSMT]]*Lookups!$B$19</f>
        <v>0</v>
      </c>
      <c r="BQ178" s="7">
        <f>(Wapato_Inventory[[#This Row],[att_gar]]+Wapato_Inventory[[#This Row],[blt_gar]])*Lookups!$B$20</f>
        <v>0</v>
      </c>
      <c r="BR178" s="7">
        <f>Wapato_Inventory[[#This Row],[Patio]]*Lookups!$B$21</f>
        <v>0</v>
      </c>
      <c r="BS178" s="7">
        <f>SUM(Wapato_Inventory[[#This Row],[intercept]:[patio_value]])*Wapato_Inventory[[#This Row],[res_pct]]</f>
        <v>130517.63151499999</v>
      </c>
      <c r="BT178" s="7">
        <f>Wapato_Inventory[[#This Row],[land_value]]</f>
        <v>53900</v>
      </c>
      <c r="BU178" s="2">
        <f>_xlfn.IFNA(VLOOKUP(Wapato_Inventory[[#This Row],[quality]],Lookups!$A$28:$C$37,3,FALSE),1)</f>
        <v>0.96265813922927435</v>
      </c>
      <c r="BV178" s="2">
        <f>_xlfn.IFNA(VLOOKUP(Wapato_Inventory[[#This Row],[condition]],Lookups!$A$41:$C$48,3,FALSE),1)</f>
        <v>0.9832333997567807</v>
      </c>
      <c r="BW178" s="2">
        <f>IF(Wapato_Inventory[[#This Row],[decade]]="",1,_xlfn.IFNA(VLOOKUP(Wapato_Inventory[[#This Row],[decade]],Lookups!$F$28:$H$45,3,FALSE),1))</f>
        <v>1.0114203040664467</v>
      </c>
      <c r="BX178" s="2">
        <f>_xlfn.IFNA(VLOOKUP(Wapato_Inventory[[#This Row],[living_area_range]],Lookups!$K$28:$M$37,3,FALSE),1)</f>
        <v>0.99022994770196116</v>
      </c>
      <c r="BY178" s="2">
        <f>AVERAGE(Wapato_Inventory[[#This Row],[qual_adj]:[range_adj]])</f>
        <v>0.98688544768861564</v>
      </c>
      <c r="BZ178" s="7">
        <f>(Wapato_Inventory[[#This Row],[sum_land]]-IF(Wapato_Inventory[[#This Row],[no_utilities]]=1,12000,0))/IF(Wapato_Inventory[[#This Row],[unbuildable]]=1,2,1)</f>
        <v>53900</v>
      </c>
      <c r="CA178" s="7">
        <f>Wapato_Inventory[[#This Row],[pre_res]]*Wapato_Inventory[[#This Row],[overall_adj]]</f>
        <v>128805.95120893852</v>
      </c>
      <c r="CB178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178" s="3">
        <f>IF(ROUND(Wapato_Inventory[[#This Row],[adj_res]]*Lookups!$H$48,-2)&lt;Wapato_Inventory[[#This Row],[min_res]],Wapato_Inventory[[#This Row],[min_res]],ROUND(Wapato_Inventory[[#This Row],[adj_res]]*Lookups!$H$48,-2))</f>
        <v>122400</v>
      </c>
      <c r="CD178" s="3">
        <f>ROUND(Wapato_Inventory[[#This Row],[det_value]]*Lookups!$H$48,-2)</f>
        <v>5500</v>
      </c>
      <c r="CE178" s="3">
        <f>Wapato_Inventory[[#This Row],[final_res]]+Wapato_Inventory[[#This Row],[final_det]]</f>
        <v>127900</v>
      </c>
      <c r="CF178" s="3">
        <f>Wapato_Inventory[[#This Row],[crop_value]]+Wapato_Inventory[[#This Row],[final_land]]+Wapato_Inventory[[#This Row],[final_imp]]</f>
        <v>179100</v>
      </c>
      <c r="CH178" t="str">
        <f t="shared" si="2"/>
        <v>update valuation set market_land =51200, market_bldg=127900, market_total =179100, market_mdno =405, market_date ='9/10/2023' where link_id = (select link_id from parcel where parcel_year = '2024' and parcel_id = '19111041455');</v>
      </c>
    </row>
    <row r="179" spans="1:86" x14ac:dyDescent="0.25">
      <c r="A179">
        <v>19111041456</v>
      </c>
      <c r="B179">
        <v>0.28999999999999998</v>
      </c>
      <c r="C179">
        <v>12418</v>
      </c>
      <c r="D179" t="s">
        <v>144</v>
      </c>
      <c r="E179" t="s">
        <v>54</v>
      </c>
      <c r="F179" t="s">
        <v>54</v>
      </c>
      <c r="G179">
        <v>3</v>
      </c>
      <c r="H179" t="s">
        <v>55</v>
      </c>
      <c r="I179">
        <v>84300</v>
      </c>
      <c r="J179">
        <v>37100</v>
      </c>
      <c r="K179">
        <v>0.28999999999999998</v>
      </c>
      <c r="L179">
        <f>IF(Wapato_Inventory[[#This Row],[parcel_acres]]-Wapato_Inventory[[#This Row],[non_valued_acres]] =0,0,LN(Wapato_Inventory[[#This Row],[parcel_acres]]-Wapato_Inventory[[#This Row],[non_valued_acres]]))</f>
        <v>-1.2378743560016174</v>
      </c>
      <c r="M179">
        <v>0</v>
      </c>
      <c r="N179">
        <v>0</v>
      </c>
      <c r="O179">
        <v>0</v>
      </c>
      <c r="P179">
        <v>27904.037</v>
      </c>
      <c r="Q179">
        <v>74398</v>
      </c>
      <c r="R179" s="3">
        <f>(Wapato_Inventory[[#This Row],[ln_acres]]*Wapato_Inventory[[#This Row],[coeff]])+Wapato_Inventory[[#This Row],[const]]</f>
        <v>39856.308168779695</v>
      </c>
      <c r="S179" t="s">
        <v>66</v>
      </c>
      <c r="T179">
        <v>1</v>
      </c>
      <c r="U179" t="s">
        <v>71</v>
      </c>
      <c r="V179" t="s">
        <v>73</v>
      </c>
      <c r="W179">
        <v>0</v>
      </c>
      <c r="X179">
        <v>0</v>
      </c>
      <c r="Y179">
        <v>57</v>
      </c>
      <c r="Z179">
        <v>103</v>
      </c>
      <c r="AA179">
        <v>110</v>
      </c>
      <c r="AB179">
        <v>1500</v>
      </c>
      <c r="AC179">
        <v>1152</v>
      </c>
      <c r="AD179">
        <v>1152</v>
      </c>
      <c r="AE179">
        <v>0</v>
      </c>
      <c r="AF179">
        <v>0</v>
      </c>
      <c r="AG179">
        <v>0</v>
      </c>
      <c r="AH179">
        <v>150</v>
      </c>
      <c r="AI179">
        <v>0</v>
      </c>
      <c r="AJ179">
        <v>0</v>
      </c>
      <c r="AK179">
        <v>440</v>
      </c>
      <c r="AL179">
        <v>156</v>
      </c>
      <c r="AM179">
        <v>0</v>
      </c>
      <c r="AN179">
        <v>0</v>
      </c>
      <c r="AO179">
        <v>156</v>
      </c>
      <c r="AP179">
        <v>5</v>
      </c>
      <c r="AQ179">
        <v>0</v>
      </c>
      <c r="AR179">
        <v>0</v>
      </c>
      <c r="AS179" t="s">
        <v>59</v>
      </c>
      <c r="AT179">
        <v>0</v>
      </c>
      <c r="AU179" t="s">
        <v>80</v>
      </c>
      <c r="AV179" t="s">
        <v>65</v>
      </c>
      <c r="AW179">
        <v>0</v>
      </c>
      <c r="AX179">
        <v>3</v>
      </c>
      <c r="AY179">
        <v>0</v>
      </c>
      <c r="AZ179">
        <v>0</v>
      </c>
      <c r="BA179">
        <v>100</v>
      </c>
      <c r="BB179">
        <v>100</v>
      </c>
      <c r="BC179">
        <v>100</v>
      </c>
      <c r="BD179">
        <v>100</v>
      </c>
      <c r="BE179">
        <v>1</v>
      </c>
      <c r="BF179">
        <v>15000</v>
      </c>
      <c r="BG179">
        <v>1000</v>
      </c>
      <c r="BH179" s="7">
        <f>ROUND(Wapato_Inventory[[#This Row],[detatched_value]]*Lookups!$B$22*Lookups!$H$48,-2)</f>
        <v>0</v>
      </c>
      <c r="BI179" s="7">
        <f>ROUND(((Wapato_Inventory[[#This Row],[land_extract]]*Lookups!$B$3) +(Lookups!$B$2*0.5))*Lookups!$H$48,-2)</f>
        <v>54900</v>
      </c>
      <c r="BJ179" s="7">
        <f>IF(Wapato_Inventory[[#This Row],[bldg_style]]="",0,Lookups!$B$2*0.5)</f>
        <v>53765.27</v>
      </c>
      <c r="BK179" s="7">
        <f>_xlfn.IFNA(VLOOKUP(Wapato_Inventory[[#This Row],[quality]],Lookups!$H$2:$J$14,3,FALSE),0)</f>
        <v>28034</v>
      </c>
      <c r="BL179" s="7">
        <f>_xlfn.IFNA(VLOOKUP(Wapato_Inventory[[#This Row],[condition]],Lookups!$H$17:$J$24,3,FALSE),0)</f>
        <v>16276</v>
      </c>
      <c r="BM179" s="7">
        <f>Wapato_Inventory[[#This Row],[Age]]*Lookups!$B$16</f>
        <v>-38179.597099999999</v>
      </c>
      <c r="BN179" s="7">
        <f>Wapato_Inventory[[#This Row],[Main Floor]]*Lookups!$B$17</f>
        <v>48154.451328000003</v>
      </c>
      <c r="BO179" s="7">
        <f>Wapato_Inventory[[#This Row],[Upper Floor]]*Lookups!$B$18</f>
        <v>0</v>
      </c>
      <c r="BP179" s="7">
        <f>Wapato_Inventory[[#This Row],[Fin BSMT]]*Lookups!$B$19</f>
        <v>0</v>
      </c>
      <c r="BQ179" s="7">
        <f>(Wapato_Inventory[[#This Row],[att_gar]]+Wapato_Inventory[[#This Row],[blt_gar]])*Lookups!$B$20</f>
        <v>0</v>
      </c>
      <c r="BR179" s="7">
        <f>Wapato_Inventory[[#This Row],[Patio]]*Lookups!$B$21</f>
        <v>0</v>
      </c>
      <c r="BS179" s="7">
        <f>SUM(Wapato_Inventory[[#This Row],[intercept]:[patio_value]])*Wapato_Inventory[[#This Row],[res_pct]]</f>
        <v>108050.124228</v>
      </c>
      <c r="BT179" s="7">
        <f>Wapato_Inventory[[#This Row],[land_value]]</f>
        <v>54900</v>
      </c>
      <c r="BU179" s="2">
        <f>_xlfn.IFNA(VLOOKUP(Wapato_Inventory[[#This Row],[quality]],Lookups!$A$28:$C$37,3,FALSE),1)</f>
        <v>0.96265813922927435</v>
      </c>
      <c r="BV179" s="2">
        <f>_xlfn.IFNA(VLOOKUP(Wapato_Inventory[[#This Row],[condition]],Lookups!$A$41:$C$48,3,FALSE),1)</f>
        <v>0.93399385491337139</v>
      </c>
      <c r="BW179" s="2">
        <f>IF(Wapato_Inventory[[#This Row],[decade]]="",1,_xlfn.IFNA(VLOOKUP(Wapato_Inventory[[#This Row],[decade]],Lookups!$F$28:$H$45,3,FALSE),1))</f>
        <v>0.93664589651353292</v>
      </c>
      <c r="BX179" s="2">
        <f>_xlfn.IFNA(VLOOKUP(Wapato_Inventory[[#This Row],[living_area_range]],Lookups!$K$28:$M$37,3,FALSE),1)</f>
        <v>1.0061411172456287</v>
      </c>
      <c r="BY179" s="2">
        <f>AVERAGE(Wapato_Inventory[[#This Row],[qual_adj]:[range_adj]])</f>
        <v>0.95985975197545192</v>
      </c>
      <c r="BZ179" s="7">
        <f>(Wapato_Inventory[[#This Row],[sum_land]]-IF(Wapato_Inventory[[#This Row],[no_utilities]]=1,12000,0))/IF(Wapato_Inventory[[#This Row],[unbuildable]]=1,2,1)</f>
        <v>54900</v>
      </c>
      <c r="CA179" s="7">
        <f>Wapato_Inventory[[#This Row],[pre_res]]*Wapato_Inventory[[#This Row],[overall_adj]]</f>
        <v>103712.96544240485</v>
      </c>
      <c r="CB179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179" s="3">
        <f>IF(ROUND(Wapato_Inventory[[#This Row],[adj_res]]*Lookups!$H$48,-2)&lt;Wapato_Inventory[[#This Row],[min_res]],Wapato_Inventory[[#This Row],[min_res]],ROUND(Wapato_Inventory[[#This Row],[adj_res]]*Lookups!$H$48,-2))</f>
        <v>98500</v>
      </c>
      <c r="CD179" s="3">
        <f>ROUND(Wapato_Inventory[[#This Row],[det_value]]*Lookups!$H$48,-2)</f>
        <v>0</v>
      </c>
      <c r="CE179" s="3">
        <f>Wapato_Inventory[[#This Row],[final_res]]+Wapato_Inventory[[#This Row],[final_det]]</f>
        <v>98500</v>
      </c>
      <c r="CF179" s="3">
        <f>Wapato_Inventory[[#This Row],[crop_value]]+Wapato_Inventory[[#This Row],[final_land]]+Wapato_Inventory[[#This Row],[final_imp]]</f>
        <v>150700</v>
      </c>
      <c r="CH179" t="str">
        <f t="shared" si="2"/>
        <v>update valuation set market_land =52200, market_bldg=98500, market_total =150700, market_mdno =405, market_date ='9/10/2023' where link_id = (select link_id from parcel where parcel_year = '2024' and parcel_id = '19111041456');</v>
      </c>
    </row>
    <row r="180" spans="1:86" x14ac:dyDescent="0.25">
      <c r="A180">
        <v>19111041457</v>
      </c>
      <c r="B180">
        <v>0.14000000000000001</v>
      </c>
      <c r="C180">
        <v>6244</v>
      </c>
      <c r="D180" t="s">
        <v>144</v>
      </c>
      <c r="E180" t="s">
        <v>54</v>
      </c>
      <c r="F180" t="s">
        <v>54</v>
      </c>
      <c r="G180">
        <v>3</v>
      </c>
      <c r="H180" t="s">
        <v>55</v>
      </c>
      <c r="I180">
        <v>144800</v>
      </c>
      <c r="J180">
        <v>31900</v>
      </c>
      <c r="K180">
        <v>0.14000000000000001</v>
      </c>
      <c r="L180">
        <f>IF(Wapato_Inventory[[#This Row],[parcel_acres]]-Wapato_Inventory[[#This Row],[non_valued_acres]] =0,0,LN(Wapato_Inventory[[#This Row],[parcel_acres]]-Wapato_Inventory[[#This Row],[non_valued_acres]]))</f>
        <v>-1.9661128563728327</v>
      </c>
      <c r="M180">
        <v>0</v>
      </c>
      <c r="N180">
        <v>0</v>
      </c>
      <c r="O180">
        <v>0</v>
      </c>
      <c r="P180">
        <v>27904.037</v>
      </c>
      <c r="Q180">
        <v>74398</v>
      </c>
      <c r="R180" s="3">
        <f>(Wapato_Inventory[[#This Row],[ln_acres]]*Wapato_Inventory[[#This Row],[coeff]])+Wapato_Inventory[[#This Row],[const]]</f>
        <v>19535.514109596792</v>
      </c>
      <c r="S180" t="s">
        <v>145</v>
      </c>
      <c r="T180">
        <v>1</v>
      </c>
      <c r="U180" t="s">
        <v>71</v>
      </c>
      <c r="V180" t="s">
        <v>68</v>
      </c>
      <c r="W180">
        <v>0</v>
      </c>
      <c r="X180">
        <v>0</v>
      </c>
      <c r="Y180">
        <v>55</v>
      </c>
      <c r="Z180">
        <v>98</v>
      </c>
      <c r="AA180">
        <v>100</v>
      </c>
      <c r="AB180">
        <v>2000</v>
      </c>
      <c r="AC180">
        <v>1555</v>
      </c>
      <c r="AD180">
        <v>1555</v>
      </c>
      <c r="AE180">
        <v>0</v>
      </c>
      <c r="AF180">
        <v>0</v>
      </c>
      <c r="AG180">
        <v>0</v>
      </c>
      <c r="AH180">
        <v>100</v>
      </c>
      <c r="AI180">
        <v>0</v>
      </c>
      <c r="AJ180">
        <v>0</v>
      </c>
      <c r="AK180">
        <v>0</v>
      </c>
      <c r="AL180">
        <v>194</v>
      </c>
      <c r="AM180">
        <v>0</v>
      </c>
      <c r="AN180">
        <v>0</v>
      </c>
      <c r="AO180">
        <v>194</v>
      </c>
      <c r="AP180">
        <v>5</v>
      </c>
      <c r="AQ180">
        <v>0</v>
      </c>
      <c r="AR180">
        <v>0</v>
      </c>
      <c r="AS180" t="s">
        <v>59</v>
      </c>
      <c r="AT180">
        <v>1</v>
      </c>
      <c r="AU180" t="s">
        <v>72</v>
      </c>
      <c r="AV180" t="s">
        <v>61</v>
      </c>
      <c r="AW180">
        <v>0</v>
      </c>
      <c r="AX180">
        <v>2</v>
      </c>
      <c r="AY180">
        <v>0</v>
      </c>
      <c r="AZ180">
        <v>0</v>
      </c>
      <c r="BA180">
        <v>100</v>
      </c>
      <c r="BB180">
        <v>100</v>
      </c>
      <c r="BC180">
        <v>100</v>
      </c>
      <c r="BD180">
        <v>100</v>
      </c>
      <c r="BE180">
        <v>1</v>
      </c>
      <c r="BF180">
        <v>15000</v>
      </c>
      <c r="BG180">
        <v>1000</v>
      </c>
      <c r="BH180" s="7">
        <f>ROUND(Wapato_Inventory[[#This Row],[detatched_value]]*Lookups!$B$22*Lookups!$H$48,-2)</f>
        <v>0</v>
      </c>
      <c r="BI180" s="7">
        <f>ROUND(((Wapato_Inventory[[#This Row],[land_extract]]*Lookups!$B$3) +(Lookups!$B$2*0.5))*Lookups!$H$48,-2)</f>
        <v>53000</v>
      </c>
      <c r="BJ180" s="7">
        <f>IF(Wapato_Inventory[[#This Row],[bldg_style]]="",0,Lookups!$B$2*0.5)</f>
        <v>53765.27</v>
      </c>
      <c r="BK180" s="7">
        <f>_xlfn.IFNA(VLOOKUP(Wapato_Inventory[[#This Row],[quality]],Lookups!$H$2:$J$14,3,FALSE),0)</f>
        <v>28034</v>
      </c>
      <c r="BL180" s="7">
        <f>_xlfn.IFNA(VLOOKUP(Wapato_Inventory[[#This Row],[condition]],Lookups!$H$17:$J$24,3,FALSE),0)</f>
        <v>52231</v>
      </c>
      <c r="BM180" s="7">
        <f>Wapato_Inventory[[#This Row],[Age]]*Lookups!$B$16</f>
        <v>-36326.2186</v>
      </c>
      <c r="BN180" s="7">
        <f>Wapato_Inventory[[#This Row],[Main Floor]]*Lookups!$B$17</f>
        <v>65000.149145000003</v>
      </c>
      <c r="BO180" s="7">
        <f>Wapato_Inventory[[#This Row],[Upper Floor]]*Lookups!$B$18</f>
        <v>0</v>
      </c>
      <c r="BP180" s="7">
        <f>Wapato_Inventory[[#This Row],[Fin BSMT]]*Lookups!$B$19</f>
        <v>0</v>
      </c>
      <c r="BQ180" s="7">
        <f>(Wapato_Inventory[[#This Row],[att_gar]]+Wapato_Inventory[[#This Row],[blt_gar]])*Lookups!$B$20</f>
        <v>0</v>
      </c>
      <c r="BR180" s="7">
        <f>Wapato_Inventory[[#This Row],[Patio]]*Lookups!$B$21</f>
        <v>0</v>
      </c>
      <c r="BS180" s="7">
        <f>SUM(Wapato_Inventory[[#This Row],[intercept]:[patio_value]])*Wapato_Inventory[[#This Row],[res_pct]]</f>
        <v>162704.200545</v>
      </c>
      <c r="BT180" s="7">
        <f>Wapato_Inventory[[#This Row],[land_value]]</f>
        <v>53000</v>
      </c>
      <c r="BU180" s="2">
        <f>_xlfn.IFNA(VLOOKUP(Wapato_Inventory[[#This Row],[quality]],Lookups!$A$28:$C$37,3,FALSE),1)</f>
        <v>0.96265813922927435</v>
      </c>
      <c r="BV180" s="2">
        <f>_xlfn.IFNA(VLOOKUP(Wapato_Inventory[[#This Row],[condition]],Lookups!$A$41:$C$48,3,FALSE),1)</f>
        <v>0.9832333997567807</v>
      </c>
      <c r="BW180" s="2">
        <f>IF(Wapato_Inventory[[#This Row],[decade]]="",1,_xlfn.IFNA(VLOOKUP(Wapato_Inventory[[#This Row],[decade]],Lookups!$F$28:$H$45,3,FALSE),1))</f>
        <v>1.0114203040664467</v>
      </c>
      <c r="BX180" s="2">
        <f>_xlfn.IFNA(VLOOKUP(Wapato_Inventory[[#This Row],[living_area_range]],Lookups!$K$28:$M$37,3,FALSE),1)</f>
        <v>0.99330894324714125</v>
      </c>
      <c r="BY180" s="2">
        <f>AVERAGE(Wapato_Inventory[[#This Row],[qual_adj]:[range_adj]])</f>
        <v>0.98765519657491063</v>
      </c>
      <c r="BZ180" s="7">
        <f>(Wapato_Inventory[[#This Row],[sum_land]]-IF(Wapato_Inventory[[#This Row],[no_utilities]]=1,12000,0))/IF(Wapato_Inventory[[#This Row],[unbuildable]]=1,2,1)</f>
        <v>53000</v>
      </c>
      <c r="CA180" s="7">
        <f>Wapato_Inventory[[#This Row],[pre_res]]*Wapato_Inventory[[#This Row],[overall_adj]]</f>
        <v>160695.64917283566</v>
      </c>
      <c r="CB18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80" s="3">
        <f>IF(ROUND(Wapato_Inventory[[#This Row],[adj_res]]*Lookups!$H$48,-2)&lt;Wapato_Inventory[[#This Row],[min_res]],Wapato_Inventory[[#This Row],[min_res]],ROUND(Wapato_Inventory[[#This Row],[adj_res]]*Lookups!$H$48,-2))</f>
        <v>152700</v>
      </c>
      <c r="CD180" s="3">
        <f>ROUND(Wapato_Inventory[[#This Row],[det_value]]*Lookups!$H$48,-2)</f>
        <v>0</v>
      </c>
      <c r="CE180" s="3">
        <f>Wapato_Inventory[[#This Row],[final_res]]+Wapato_Inventory[[#This Row],[final_det]]</f>
        <v>152700</v>
      </c>
      <c r="CF180" s="3">
        <f>Wapato_Inventory[[#This Row],[crop_value]]+Wapato_Inventory[[#This Row],[final_land]]+Wapato_Inventory[[#This Row],[final_imp]]</f>
        <v>203100</v>
      </c>
      <c r="CH180" t="str">
        <f t="shared" si="2"/>
        <v>update valuation set market_land =50400, market_bldg=152700, market_total =203100, market_mdno =405, market_date ='9/10/2023' where link_id = (select link_id from parcel where parcel_year = '2024' and parcel_id = '19111041457');</v>
      </c>
    </row>
    <row r="181" spans="1:86" x14ac:dyDescent="0.25">
      <c r="A181">
        <v>19111041458</v>
      </c>
      <c r="B181">
        <v>0.1</v>
      </c>
      <c r="C181">
        <v>4371</v>
      </c>
      <c r="D181" t="s">
        <v>144</v>
      </c>
      <c r="E181" t="s">
        <v>54</v>
      </c>
      <c r="F181" t="s">
        <v>54</v>
      </c>
      <c r="G181">
        <v>3</v>
      </c>
      <c r="H181" t="s">
        <v>55</v>
      </c>
      <c r="I181">
        <v>123300</v>
      </c>
      <c r="J181">
        <v>29500</v>
      </c>
      <c r="K181">
        <v>0.1</v>
      </c>
      <c r="L181">
        <f>IF(Wapato_Inventory[[#This Row],[parcel_acres]]-Wapato_Inventory[[#This Row],[non_valued_acres]] =0,0,LN(Wapato_Inventory[[#This Row],[parcel_acres]]-Wapato_Inventory[[#This Row],[non_valued_acres]]))</f>
        <v>-2.3025850929940455</v>
      </c>
      <c r="M181">
        <v>0</v>
      </c>
      <c r="N181">
        <v>0</v>
      </c>
      <c r="O181">
        <v>0</v>
      </c>
      <c r="P181">
        <v>27904.037</v>
      </c>
      <c r="Q181">
        <v>74398</v>
      </c>
      <c r="R181" s="3">
        <f>(Wapato_Inventory[[#This Row],[ln_acres]]*Wapato_Inventory[[#This Row],[coeff]])+Wapato_Inventory[[#This Row],[const]]</f>
        <v>10146.580369445714</v>
      </c>
      <c r="S181" t="s">
        <v>66</v>
      </c>
      <c r="T181">
        <v>1</v>
      </c>
      <c r="U181" t="s">
        <v>71</v>
      </c>
      <c r="V181" t="s">
        <v>68</v>
      </c>
      <c r="W181">
        <v>0</v>
      </c>
      <c r="X181">
        <v>0</v>
      </c>
      <c r="Y181">
        <v>55</v>
      </c>
      <c r="Z181">
        <v>98</v>
      </c>
      <c r="AA181">
        <v>100</v>
      </c>
      <c r="AB181">
        <v>1500</v>
      </c>
      <c r="AC181">
        <v>1368</v>
      </c>
      <c r="AD181">
        <v>1248</v>
      </c>
      <c r="AE181">
        <v>0</v>
      </c>
      <c r="AF181">
        <v>0</v>
      </c>
      <c r="AG181">
        <v>120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5</v>
      </c>
      <c r="AQ181">
        <v>0</v>
      </c>
      <c r="AR181">
        <v>0</v>
      </c>
      <c r="AS181" t="s">
        <v>59</v>
      </c>
      <c r="AT181">
        <v>1</v>
      </c>
      <c r="AU181" t="s">
        <v>72</v>
      </c>
      <c r="AV181" t="s">
        <v>61</v>
      </c>
      <c r="AW181">
        <v>0</v>
      </c>
      <c r="AX181">
        <v>2</v>
      </c>
      <c r="AY181">
        <v>0</v>
      </c>
      <c r="AZ181">
        <v>0</v>
      </c>
      <c r="BA181">
        <v>100</v>
      </c>
      <c r="BB181">
        <v>100</v>
      </c>
      <c r="BC181">
        <v>100</v>
      </c>
      <c r="BD181">
        <v>100</v>
      </c>
      <c r="BE181">
        <v>1</v>
      </c>
      <c r="BF181">
        <v>15000</v>
      </c>
      <c r="BG181">
        <v>1000</v>
      </c>
      <c r="BH181" s="7">
        <f>ROUND(Wapato_Inventory[[#This Row],[detatched_value]]*Lookups!$B$22*Lookups!$H$48,-2)</f>
        <v>0</v>
      </c>
      <c r="BI181" s="7">
        <f>ROUND(((Wapato_Inventory[[#This Row],[land_extract]]*Lookups!$B$3) +(Lookups!$B$2*0.5))*Lookups!$H$48,-2)</f>
        <v>52100</v>
      </c>
      <c r="BJ181" s="7">
        <f>IF(Wapato_Inventory[[#This Row],[bldg_style]]="",0,Lookups!$B$2*0.5)</f>
        <v>53765.27</v>
      </c>
      <c r="BK181" s="7">
        <f>_xlfn.IFNA(VLOOKUP(Wapato_Inventory[[#This Row],[quality]],Lookups!$H$2:$J$14,3,FALSE),0)</f>
        <v>28034</v>
      </c>
      <c r="BL181" s="7">
        <f>_xlfn.IFNA(VLOOKUP(Wapato_Inventory[[#This Row],[condition]],Lookups!$H$17:$J$24,3,FALSE),0)</f>
        <v>52231</v>
      </c>
      <c r="BM181" s="7">
        <f>Wapato_Inventory[[#This Row],[Age]]*Lookups!$B$16</f>
        <v>-36326.2186</v>
      </c>
      <c r="BN181" s="7">
        <f>Wapato_Inventory[[#This Row],[Main Floor]]*Lookups!$B$17</f>
        <v>52167.322271999998</v>
      </c>
      <c r="BO181" s="7">
        <f>Wapato_Inventory[[#This Row],[Upper Floor]]*Lookups!$B$18</f>
        <v>0</v>
      </c>
      <c r="BP181" s="7">
        <f>Wapato_Inventory[[#This Row],[Fin BSMT]]*Lookups!$B$19</f>
        <v>2924.0088000000001</v>
      </c>
      <c r="BQ181" s="7">
        <f>(Wapato_Inventory[[#This Row],[att_gar]]+Wapato_Inventory[[#This Row],[blt_gar]])*Lookups!$B$20</f>
        <v>0</v>
      </c>
      <c r="BR181" s="7">
        <f>Wapato_Inventory[[#This Row],[Patio]]*Lookups!$B$21</f>
        <v>0</v>
      </c>
      <c r="BS181" s="7">
        <f>SUM(Wapato_Inventory[[#This Row],[intercept]:[patio_value]])*Wapato_Inventory[[#This Row],[res_pct]]</f>
        <v>152795.382472</v>
      </c>
      <c r="BT181" s="7">
        <f>Wapato_Inventory[[#This Row],[land_value]]</f>
        <v>52100</v>
      </c>
      <c r="BU181" s="2">
        <f>_xlfn.IFNA(VLOOKUP(Wapato_Inventory[[#This Row],[quality]],Lookups!$A$28:$C$37,3,FALSE),1)</f>
        <v>0.96265813922927435</v>
      </c>
      <c r="BV181" s="2">
        <f>_xlfn.IFNA(VLOOKUP(Wapato_Inventory[[#This Row],[condition]],Lookups!$A$41:$C$48,3,FALSE),1)</f>
        <v>0.9832333997567807</v>
      </c>
      <c r="BW181" s="2">
        <f>IF(Wapato_Inventory[[#This Row],[decade]]="",1,_xlfn.IFNA(VLOOKUP(Wapato_Inventory[[#This Row],[decade]],Lookups!$F$28:$H$45,3,FALSE),1))</f>
        <v>1.0114203040664467</v>
      </c>
      <c r="BX181" s="2">
        <f>_xlfn.IFNA(VLOOKUP(Wapato_Inventory[[#This Row],[living_area_range]],Lookups!$K$28:$M$37,3,FALSE),1)</f>
        <v>1.0061411172456287</v>
      </c>
      <c r="BY181" s="2">
        <f>AVERAGE(Wapato_Inventory[[#This Row],[qual_adj]:[range_adj]])</f>
        <v>0.99086324007453253</v>
      </c>
      <c r="BZ181" s="7">
        <f>(Wapato_Inventory[[#This Row],[sum_land]]-IF(Wapato_Inventory[[#This Row],[no_utilities]]=1,12000,0))/IF(Wapato_Inventory[[#This Row],[unbuildable]]=1,2,1)</f>
        <v>52100</v>
      </c>
      <c r="CA181" s="7">
        <f>Wapato_Inventory[[#This Row],[pre_res]]*Wapato_Inventory[[#This Row],[overall_adj]]</f>
        <v>151399.32774463337</v>
      </c>
      <c r="CB181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181" s="3">
        <f>IF(ROUND(Wapato_Inventory[[#This Row],[adj_res]]*Lookups!$H$48,-2)&lt;Wapato_Inventory[[#This Row],[min_res]],Wapato_Inventory[[#This Row],[min_res]],ROUND(Wapato_Inventory[[#This Row],[adj_res]]*Lookups!$H$48,-2))</f>
        <v>143800</v>
      </c>
      <c r="CD181" s="3">
        <f>ROUND(Wapato_Inventory[[#This Row],[det_value]]*Lookups!$H$48,-2)</f>
        <v>0</v>
      </c>
      <c r="CE181" s="3">
        <f>Wapato_Inventory[[#This Row],[final_res]]+Wapato_Inventory[[#This Row],[final_det]]</f>
        <v>143800</v>
      </c>
      <c r="CF181" s="3">
        <f>Wapato_Inventory[[#This Row],[crop_value]]+Wapato_Inventory[[#This Row],[final_land]]+Wapato_Inventory[[#This Row],[final_imp]]</f>
        <v>193300</v>
      </c>
      <c r="CH181" t="str">
        <f t="shared" si="2"/>
        <v>update valuation set market_land =49500, market_bldg=143800, market_total =193300, market_mdno =405, market_date ='9/10/2023' where link_id = (select link_id from parcel where parcel_year = '2024' and parcel_id = '19111041458');</v>
      </c>
    </row>
    <row r="182" spans="1:86" x14ac:dyDescent="0.25">
      <c r="A182">
        <v>19111041460</v>
      </c>
      <c r="B182">
        <v>0.14000000000000001</v>
      </c>
      <c r="C182">
        <v>6244</v>
      </c>
      <c r="D182" t="s">
        <v>144</v>
      </c>
      <c r="E182" t="s">
        <v>54</v>
      </c>
      <c r="F182" t="s">
        <v>54</v>
      </c>
      <c r="G182">
        <v>3</v>
      </c>
      <c r="H182" t="s">
        <v>55</v>
      </c>
      <c r="I182">
        <v>105800</v>
      </c>
      <c r="J182">
        <v>31900</v>
      </c>
      <c r="K182">
        <v>0.14000000000000001</v>
      </c>
      <c r="L182">
        <f>IF(Wapato_Inventory[[#This Row],[parcel_acres]]-Wapato_Inventory[[#This Row],[non_valued_acres]] =0,0,LN(Wapato_Inventory[[#This Row],[parcel_acres]]-Wapato_Inventory[[#This Row],[non_valued_acres]]))</f>
        <v>-1.9661128563728327</v>
      </c>
      <c r="M182">
        <v>0</v>
      </c>
      <c r="N182">
        <v>0</v>
      </c>
      <c r="O182">
        <v>0</v>
      </c>
      <c r="P182">
        <v>27904.037</v>
      </c>
      <c r="Q182">
        <v>74398</v>
      </c>
      <c r="R182" s="3">
        <f>(Wapato_Inventory[[#This Row],[ln_acres]]*Wapato_Inventory[[#This Row],[coeff]])+Wapato_Inventory[[#This Row],[const]]</f>
        <v>19535.514109596792</v>
      </c>
      <c r="S182" t="s">
        <v>66</v>
      </c>
      <c r="T182">
        <v>1</v>
      </c>
      <c r="U182" t="s">
        <v>71</v>
      </c>
      <c r="V182" t="s">
        <v>68</v>
      </c>
      <c r="W182">
        <v>0</v>
      </c>
      <c r="X182">
        <v>0</v>
      </c>
      <c r="Y182">
        <v>55</v>
      </c>
      <c r="Z182">
        <v>98</v>
      </c>
      <c r="AA182">
        <v>100</v>
      </c>
      <c r="AB182">
        <v>1000</v>
      </c>
      <c r="AC182">
        <v>832</v>
      </c>
      <c r="AD182">
        <v>832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112</v>
      </c>
      <c r="AO182">
        <v>0</v>
      </c>
      <c r="AP182">
        <v>5</v>
      </c>
      <c r="AQ182">
        <v>0</v>
      </c>
      <c r="AR182">
        <v>1</v>
      </c>
      <c r="AS182" t="s">
        <v>59</v>
      </c>
      <c r="AT182">
        <v>1</v>
      </c>
      <c r="AU182" t="s">
        <v>72</v>
      </c>
      <c r="AV182" t="s">
        <v>61</v>
      </c>
      <c r="AW182">
        <v>0</v>
      </c>
      <c r="AX182">
        <v>2</v>
      </c>
      <c r="AY182">
        <v>0</v>
      </c>
      <c r="AZ182">
        <v>0</v>
      </c>
      <c r="BA182">
        <v>100</v>
      </c>
      <c r="BB182">
        <v>100</v>
      </c>
      <c r="BC182">
        <v>100</v>
      </c>
      <c r="BD182">
        <v>100</v>
      </c>
      <c r="BE182">
        <v>1</v>
      </c>
      <c r="BF182">
        <v>15000</v>
      </c>
      <c r="BG182">
        <v>1000</v>
      </c>
      <c r="BH182" s="7">
        <f>ROUND(Wapato_Inventory[[#This Row],[detatched_value]]*Lookups!$B$22*Lookups!$H$48,-2)</f>
        <v>0</v>
      </c>
      <c r="BI182" s="7">
        <f>ROUND(((Wapato_Inventory[[#This Row],[land_extract]]*Lookups!$B$3) +(Lookups!$B$2*0.5))*Lookups!$H$48,-2)</f>
        <v>53000</v>
      </c>
      <c r="BJ182" s="7">
        <f>IF(Wapato_Inventory[[#This Row],[bldg_style]]="",0,Lookups!$B$2*0.5)</f>
        <v>53765.27</v>
      </c>
      <c r="BK182" s="7">
        <f>_xlfn.IFNA(VLOOKUP(Wapato_Inventory[[#This Row],[quality]],Lookups!$H$2:$J$14,3,FALSE),0)</f>
        <v>28034</v>
      </c>
      <c r="BL182" s="7">
        <f>_xlfn.IFNA(VLOOKUP(Wapato_Inventory[[#This Row],[condition]],Lookups!$H$17:$J$24,3,FALSE),0)</f>
        <v>52231</v>
      </c>
      <c r="BM182" s="7">
        <f>Wapato_Inventory[[#This Row],[Age]]*Lookups!$B$16</f>
        <v>-36326.2186</v>
      </c>
      <c r="BN182" s="7">
        <f>Wapato_Inventory[[#This Row],[Main Floor]]*Lookups!$B$17</f>
        <v>34778.214848000003</v>
      </c>
      <c r="BO182" s="7">
        <f>Wapato_Inventory[[#This Row],[Upper Floor]]*Lookups!$B$18</f>
        <v>0</v>
      </c>
      <c r="BP182" s="7">
        <f>Wapato_Inventory[[#This Row],[Fin BSMT]]*Lookups!$B$19</f>
        <v>0</v>
      </c>
      <c r="BQ182" s="7">
        <f>(Wapato_Inventory[[#This Row],[att_gar]]+Wapato_Inventory[[#This Row],[blt_gar]])*Lookups!$B$20</f>
        <v>0</v>
      </c>
      <c r="BR182" s="7">
        <f>Wapato_Inventory[[#This Row],[Patio]]*Lookups!$B$21</f>
        <v>0</v>
      </c>
      <c r="BS182" s="7">
        <f>SUM(Wapato_Inventory[[#This Row],[intercept]:[patio_value]])*Wapato_Inventory[[#This Row],[res_pct]]</f>
        <v>132482.266248</v>
      </c>
      <c r="BT182" s="7">
        <f>Wapato_Inventory[[#This Row],[land_value]]</f>
        <v>53000</v>
      </c>
      <c r="BU182" s="2">
        <f>_xlfn.IFNA(VLOOKUP(Wapato_Inventory[[#This Row],[quality]],Lookups!$A$28:$C$37,3,FALSE),1)</f>
        <v>0.96265813922927435</v>
      </c>
      <c r="BV182" s="2">
        <f>_xlfn.IFNA(VLOOKUP(Wapato_Inventory[[#This Row],[condition]],Lookups!$A$41:$C$48,3,FALSE),1)</f>
        <v>0.9832333997567807</v>
      </c>
      <c r="BW182" s="2">
        <f>IF(Wapato_Inventory[[#This Row],[decade]]="",1,_xlfn.IFNA(VLOOKUP(Wapato_Inventory[[#This Row],[decade]],Lookups!$F$28:$H$45,3,FALSE),1))</f>
        <v>1.0114203040664467</v>
      </c>
      <c r="BX182" s="2">
        <f>_xlfn.IFNA(VLOOKUP(Wapato_Inventory[[#This Row],[living_area_range]],Lookups!$K$28:$M$37,3,FALSE),1)</f>
        <v>0.99022994770196116</v>
      </c>
      <c r="BY182" s="2">
        <f>AVERAGE(Wapato_Inventory[[#This Row],[qual_adj]:[range_adj]])</f>
        <v>0.98688544768861564</v>
      </c>
      <c r="BZ182" s="7">
        <f>(Wapato_Inventory[[#This Row],[sum_land]]-IF(Wapato_Inventory[[#This Row],[no_utilities]]=1,12000,0))/IF(Wapato_Inventory[[#This Row],[unbuildable]]=1,2,1)</f>
        <v>53000</v>
      </c>
      <c r="CA182" s="7">
        <f>Wapato_Inventory[[#This Row],[pre_res]]*Wapato_Inventory[[#This Row],[overall_adj]]</f>
        <v>130744.82063695985</v>
      </c>
      <c r="CB18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82" s="3">
        <f>IF(ROUND(Wapato_Inventory[[#This Row],[adj_res]]*Lookups!$H$48,-2)&lt;Wapato_Inventory[[#This Row],[min_res]],Wapato_Inventory[[#This Row],[min_res]],ROUND(Wapato_Inventory[[#This Row],[adj_res]]*Lookups!$H$48,-2))</f>
        <v>124200</v>
      </c>
      <c r="CD182" s="3">
        <f>ROUND(Wapato_Inventory[[#This Row],[det_value]]*Lookups!$H$48,-2)</f>
        <v>0</v>
      </c>
      <c r="CE182" s="3">
        <f>Wapato_Inventory[[#This Row],[final_res]]+Wapato_Inventory[[#This Row],[final_det]]</f>
        <v>124200</v>
      </c>
      <c r="CF182" s="3">
        <f>Wapato_Inventory[[#This Row],[crop_value]]+Wapato_Inventory[[#This Row],[final_land]]+Wapato_Inventory[[#This Row],[final_imp]]</f>
        <v>174600</v>
      </c>
      <c r="CH182" t="str">
        <f t="shared" si="2"/>
        <v>update valuation set market_land =50400, market_bldg=124200, market_total =174600, market_mdno =405, market_date ='9/10/2023' where link_id = (select link_id from parcel where parcel_year = '2024' and parcel_id = '19111041460');</v>
      </c>
    </row>
    <row r="183" spans="1:86" x14ac:dyDescent="0.25">
      <c r="A183">
        <v>19111041461</v>
      </c>
      <c r="B183">
        <v>0.19</v>
      </c>
      <c r="C183">
        <v>8117</v>
      </c>
      <c r="D183" t="s">
        <v>144</v>
      </c>
      <c r="E183" t="s">
        <v>54</v>
      </c>
      <c r="F183" t="s">
        <v>54</v>
      </c>
      <c r="G183">
        <v>3</v>
      </c>
      <c r="H183" t="s">
        <v>55</v>
      </c>
      <c r="I183">
        <v>149200</v>
      </c>
      <c r="J183">
        <v>34100</v>
      </c>
      <c r="K183">
        <v>0.19</v>
      </c>
      <c r="L183">
        <f>IF(Wapato_Inventory[[#This Row],[parcel_acres]]-Wapato_Inventory[[#This Row],[non_valued_acres]] =0,0,LN(Wapato_Inventory[[#This Row],[parcel_acres]]-Wapato_Inventory[[#This Row],[non_valued_acres]]))</f>
        <v>-1.6607312068216509</v>
      </c>
      <c r="M183">
        <v>0</v>
      </c>
      <c r="N183">
        <v>0</v>
      </c>
      <c r="O183">
        <v>0</v>
      </c>
      <c r="P183">
        <v>27904.037</v>
      </c>
      <c r="Q183">
        <v>74398</v>
      </c>
      <c r="R183" s="3">
        <f>(Wapato_Inventory[[#This Row],[ln_acres]]*Wapato_Inventory[[#This Row],[coeff]])+Wapato_Inventory[[#This Row],[const]]</f>
        <v>28056.894957794</v>
      </c>
      <c r="S183" t="s">
        <v>66</v>
      </c>
      <c r="T183">
        <v>1</v>
      </c>
      <c r="U183" t="s">
        <v>75</v>
      </c>
      <c r="V183" t="s">
        <v>68</v>
      </c>
      <c r="W183">
        <v>0</v>
      </c>
      <c r="X183">
        <v>0</v>
      </c>
      <c r="Y183">
        <v>57</v>
      </c>
      <c r="Z183">
        <v>103</v>
      </c>
      <c r="AA183">
        <v>110</v>
      </c>
      <c r="AB183">
        <v>1500</v>
      </c>
      <c r="AC183">
        <v>1032</v>
      </c>
      <c r="AD183">
        <v>1032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504</v>
      </c>
      <c r="AL183">
        <v>0</v>
      </c>
      <c r="AM183">
        <v>0</v>
      </c>
      <c r="AN183">
        <v>132</v>
      </c>
      <c r="AO183">
        <v>0</v>
      </c>
      <c r="AP183">
        <v>8</v>
      </c>
      <c r="AQ183">
        <v>0</v>
      </c>
      <c r="AR183">
        <v>0</v>
      </c>
      <c r="AS183" t="s">
        <v>59</v>
      </c>
      <c r="AT183">
        <v>1</v>
      </c>
      <c r="AU183" t="s">
        <v>64</v>
      </c>
      <c r="AV183" t="s">
        <v>61</v>
      </c>
      <c r="AW183">
        <v>1</v>
      </c>
      <c r="AX183">
        <v>4</v>
      </c>
      <c r="AY183">
        <v>0</v>
      </c>
      <c r="AZ183">
        <v>7100</v>
      </c>
      <c r="BA183">
        <v>100</v>
      </c>
      <c r="BB183">
        <v>100</v>
      </c>
      <c r="BC183">
        <v>100</v>
      </c>
      <c r="BD183">
        <v>100</v>
      </c>
      <c r="BE183">
        <v>1</v>
      </c>
      <c r="BF183">
        <v>15000</v>
      </c>
      <c r="BG183">
        <v>1000</v>
      </c>
      <c r="BH183" s="7">
        <f>ROUND(Wapato_Inventory[[#This Row],[detatched_value]]*Lookups!$B$22*Lookups!$H$48,-2)</f>
        <v>6300</v>
      </c>
      <c r="BI183" s="7">
        <f>ROUND(((Wapato_Inventory[[#This Row],[land_extract]]*Lookups!$B$3) +(Lookups!$B$2*0.5))*Lookups!$H$48,-2)</f>
        <v>53800</v>
      </c>
      <c r="BJ183" s="7">
        <f>IF(Wapato_Inventory[[#This Row],[bldg_style]]="",0,Lookups!$B$2*0.5)</f>
        <v>53765.27</v>
      </c>
      <c r="BK183" s="7">
        <f>_xlfn.IFNA(VLOOKUP(Wapato_Inventory[[#This Row],[quality]],Lookups!$H$2:$J$14,3,FALSE),0)</f>
        <v>48043</v>
      </c>
      <c r="BL183" s="7">
        <f>_xlfn.IFNA(VLOOKUP(Wapato_Inventory[[#This Row],[condition]],Lookups!$H$17:$J$24,3,FALSE),0)</f>
        <v>52231</v>
      </c>
      <c r="BM183" s="7">
        <f>Wapato_Inventory[[#This Row],[Age]]*Lookups!$B$16</f>
        <v>-38179.597099999999</v>
      </c>
      <c r="BN183" s="7">
        <f>Wapato_Inventory[[#This Row],[Main Floor]]*Lookups!$B$17</f>
        <v>43138.362648000002</v>
      </c>
      <c r="BO183" s="7">
        <f>Wapato_Inventory[[#This Row],[Upper Floor]]*Lookups!$B$18</f>
        <v>0</v>
      </c>
      <c r="BP183" s="7">
        <f>Wapato_Inventory[[#This Row],[Fin BSMT]]*Lookups!$B$19</f>
        <v>0</v>
      </c>
      <c r="BQ183" s="7">
        <f>(Wapato_Inventory[[#This Row],[att_gar]]+Wapato_Inventory[[#This Row],[blt_gar]])*Lookups!$B$20</f>
        <v>0</v>
      </c>
      <c r="BR183" s="7">
        <f>Wapato_Inventory[[#This Row],[Patio]]*Lookups!$B$21</f>
        <v>0</v>
      </c>
      <c r="BS183" s="7">
        <f>SUM(Wapato_Inventory[[#This Row],[intercept]:[patio_value]])*Wapato_Inventory[[#This Row],[res_pct]]</f>
        <v>158998.03554799999</v>
      </c>
      <c r="BT183" s="7">
        <f>Wapato_Inventory[[#This Row],[land_value]]</f>
        <v>53800</v>
      </c>
      <c r="BU183" s="2">
        <f>_xlfn.IFNA(VLOOKUP(Wapato_Inventory[[#This Row],[quality]],Lookups!$A$28:$C$37,3,FALSE),1)</f>
        <v>0.98196844879778955</v>
      </c>
      <c r="BV183" s="2">
        <f>_xlfn.IFNA(VLOOKUP(Wapato_Inventory[[#This Row],[condition]],Lookups!$A$41:$C$48,3,FALSE),1)</f>
        <v>0.9832333997567807</v>
      </c>
      <c r="BW183" s="2">
        <f>IF(Wapato_Inventory[[#This Row],[decade]]="",1,_xlfn.IFNA(VLOOKUP(Wapato_Inventory[[#This Row],[decade]],Lookups!$F$28:$H$45,3,FALSE),1))</f>
        <v>0.93664589651353292</v>
      </c>
      <c r="BX183" s="2">
        <f>_xlfn.IFNA(VLOOKUP(Wapato_Inventory[[#This Row],[living_area_range]],Lookups!$K$28:$M$37,3,FALSE),1)</f>
        <v>1.0061411172456287</v>
      </c>
      <c r="BY183" s="2">
        <f>AVERAGE(Wapato_Inventory[[#This Row],[qual_adj]:[range_adj]])</f>
        <v>0.976997215578433</v>
      </c>
      <c r="BZ183" s="7">
        <f>(Wapato_Inventory[[#This Row],[sum_land]]-IF(Wapato_Inventory[[#This Row],[no_utilities]]=1,12000,0))/IF(Wapato_Inventory[[#This Row],[unbuildable]]=1,2,1)</f>
        <v>53800</v>
      </c>
      <c r="CA183" s="7">
        <f>Wapato_Inventory[[#This Row],[pre_res]]*Wapato_Inventory[[#This Row],[overall_adj]]</f>
        <v>155340.63801283669</v>
      </c>
      <c r="CB183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83" s="3">
        <f>IF(ROUND(Wapato_Inventory[[#This Row],[adj_res]]*Lookups!$H$48,-2)&lt;Wapato_Inventory[[#This Row],[min_res]],Wapato_Inventory[[#This Row],[min_res]],ROUND(Wapato_Inventory[[#This Row],[adj_res]]*Lookups!$H$48,-2))</f>
        <v>147600</v>
      </c>
      <c r="CD183" s="3">
        <f>ROUND(Wapato_Inventory[[#This Row],[det_value]]*Lookups!$H$48,-2)</f>
        <v>6000</v>
      </c>
      <c r="CE183" s="3">
        <f>Wapato_Inventory[[#This Row],[final_res]]+Wapato_Inventory[[#This Row],[final_det]]</f>
        <v>153600</v>
      </c>
      <c r="CF183" s="3">
        <f>Wapato_Inventory[[#This Row],[crop_value]]+Wapato_Inventory[[#This Row],[final_land]]+Wapato_Inventory[[#This Row],[final_imp]]</f>
        <v>204700</v>
      </c>
      <c r="CH183" t="str">
        <f t="shared" si="2"/>
        <v>update valuation set market_land =51100, market_bldg=153600, market_total =204700, market_mdno =405, market_date ='9/10/2023' where link_id = (select link_id from parcel where parcel_year = '2024' and parcel_id = '19111041461');</v>
      </c>
    </row>
    <row r="184" spans="1:86" x14ac:dyDescent="0.25">
      <c r="A184">
        <v>19111041462</v>
      </c>
      <c r="B184">
        <v>0.14000000000000001</v>
      </c>
      <c r="C184">
        <v>6244</v>
      </c>
      <c r="D184" t="s">
        <v>144</v>
      </c>
      <c r="E184" t="s">
        <v>54</v>
      </c>
      <c r="F184" t="s">
        <v>54</v>
      </c>
      <c r="G184">
        <v>3</v>
      </c>
      <c r="H184" t="s">
        <v>55</v>
      </c>
      <c r="I184">
        <v>232100</v>
      </c>
      <c r="J184">
        <v>31900</v>
      </c>
      <c r="K184">
        <v>0.14000000000000001</v>
      </c>
      <c r="L184">
        <f>IF(Wapato_Inventory[[#This Row],[parcel_acres]]-Wapato_Inventory[[#This Row],[non_valued_acres]] =0,0,LN(Wapato_Inventory[[#This Row],[parcel_acres]]-Wapato_Inventory[[#This Row],[non_valued_acres]]))</f>
        <v>-1.9661128563728327</v>
      </c>
      <c r="M184">
        <v>0</v>
      </c>
      <c r="N184">
        <v>0</v>
      </c>
      <c r="O184">
        <v>0</v>
      </c>
      <c r="P184">
        <v>27904.037</v>
      </c>
      <c r="Q184">
        <v>74398</v>
      </c>
      <c r="R184" s="3">
        <f>(Wapato_Inventory[[#This Row],[ln_acres]]*Wapato_Inventory[[#This Row],[coeff]])+Wapato_Inventory[[#This Row],[const]]</f>
        <v>19535.514109596792</v>
      </c>
      <c r="S184" t="s">
        <v>62</v>
      </c>
      <c r="T184">
        <v>1</v>
      </c>
      <c r="U184" t="s">
        <v>75</v>
      </c>
      <c r="V184" t="s">
        <v>69</v>
      </c>
      <c r="W184">
        <v>0</v>
      </c>
      <c r="X184">
        <v>0</v>
      </c>
      <c r="Y184">
        <v>24</v>
      </c>
      <c r="Z184">
        <v>24</v>
      </c>
      <c r="AA184">
        <v>30</v>
      </c>
      <c r="AB184">
        <v>1500</v>
      </c>
      <c r="AC184">
        <v>1232</v>
      </c>
      <c r="AD184">
        <v>1232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160</v>
      </c>
      <c r="AM184">
        <v>0</v>
      </c>
      <c r="AN184">
        <v>0</v>
      </c>
      <c r="AO184">
        <v>0</v>
      </c>
      <c r="AP184">
        <v>5</v>
      </c>
      <c r="AQ184">
        <v>0</v>
      </c>
      <c r="AR184">
        <v>0</v>
      </c>
      <c r="AS184" t="s">
        <v>59</v>
      </c>
      <c r="AT184">
        <v>1</v>
      </c>
      <c r="AU184" t="s">
        <v>64</v>
      </c>
      <c r="AV184" t="s">
        <v>65</v>
      </c>
      <c r="AW184">
        <v>1</v>
      </c>
      <c r="AX184">
        <v>3</v>
      </c>
      <c r="AY184">
        <v>0</v>
      </c>
      <c r="AZ184">
        <v>15300</v>
      </c>
      <c r="BA184">
        <v>100</v>
      </c>
      <c r="BB184">
        <v>100</v>
      </c>
      <c r="BC184">
        <v>100</v>
      </c>
      <c r="BD184">
        <v>100</v>
      </c>
      <c r="BE184">
        <v>1</v>
      </c>
      <c r="BF184">
        <v>15000</v>
      </c>
      <c r="BG184">
        <v>1000</v>
      </c>
      <c r="BH184" s="7">
        <f>ROUND(Wapato_Inventory[[#This Row],[detatched_value]]*Lookups!$B$22*Lookups!$H$48,-2)</f>
        <v>13700</v>
      </c>
      <c r="BI184" s="7">
        <f>ROUND(((Wapato_Inventory[[#This Row],[land_extract]]*Lookups!$B$3) +(Lookups!$B$2*0.5))*Lookups!$H$48,-2)</f>
        <v>53000</v>
      </c>
      <c r="BJ184" s="7">
        <f>IF(Wapato_Inventory[[#This Row],[bldg_style]]="",0,Lookups!$B$2*0.5)</f>
        <v>53765.27</v>
      </c>
      <c r="BK184" s="7">
        <f>_xlfn.IFNA(VLOOKUP(Wapato_Inventory[[#This Row],[quality]],Lookups!$H$2:$J$14,3,FALSE),0)</f>
        <v>48043</v>
      </c>
      <c r="BL184" s="7">
        <f>_xlfn.IFNA(VLOOKUP(Wapato_Inventory[[#This Row],[condition]],Lookups!$H$17:$J$24,3,FALSE),0)</f>
        <v>74543</v>
      </c>
      <c r="BM184" s="7">
        <f>Wapato_Inventory[[#This Row],[Age]]*Lookups!$B$16</f>
        <v>-8896.2168000000001</v>
      </c>
      <c r="BN184" s="7">
        <f>Wapato_Inventory[[#This Row],[Main Floor]]*Lookups!$B$17</f>
        <v>51498.510448000001</v>
      </c>
      <c r="BO184" s="7">
        <f>Wapato_Inventory[[#This Row],[Upper Floor]]*Lookups!$B$18</f>
        <v>0</v>
      </c>
      <c r="BP184" s="7">
        <f>Wapato_Inventory[[#This Row],[Fin BSMT]]*Lookups!$B$19</f>
        <v>0</v>
      </c>
      <c r="BQ184" s="7">
        <f>(Wapato_Inventory[[#This Row],[att_gar]]+Wapato_Inventory[[#This Row],[blt_gar]])*Lookups!$B$20</f>
        <v>0</v>
      </c>
      <c r="BR184" s="7">
        <f>Wapato_Inventory[[#This Row],[Patio]]*Lookups!$B$21</f>
        <v>0</v>
      </c>
      <c r="BS184" s="7">
        <f>SUM(Wapato_Inventory[[#This Row],[intercept]:[patio_value]])*Wapato_Inventory[[#This Row],[res_pct]]</f>
        <v>218953.56364800001</v>
      </c>
      <c r="BT184" s="7">
        <f>Wapato_Inventory[[#This Row],[land_value]]</f>
        <v>53000</v>
      </c>
      <c r="BU184" s="2">
        <f>_xlfn.IFNA(VLOOKUP(Wapato_Inventory[[#This Row],[quality]],Lookups!$A$28:$C$37,3,FALSE),1)</f>
        <v>0.98196844879778955</v>
      </c>
      <c r="BV184" s="2">
        <f>_xlfn.IFNA(VLOOKUP(Wapato_Inventory[[#This Row],[condition]],Lookups!$A$41:$C$48,3,FALSE),1)</f>
        <v>0.98442438223270734</v>
      </c>
      <c r="BW184" s="2">
        <f>IF(Wapato_Inventory[[#This Row],[decade]]="",1,_xlfn.IFNA(VLOOKUP(Wapato_Inventory[[#This Row],[decade]],Lookups!$F$28:$H$45,3,FALSE),1))</f>
        <v>1.0490505496896987</v>
      </c>
      <c r="BX184" s="2">
        <f>_xlfn.IFNA(VLOOKUP(Wapato_Inventory[[#This Row],[living_area_range]],Lookups!$K$28:$M$37,3,FALSE),1)</f>
        <v>1.0061411172456287</v>
      </c>
      <c r="BY184" s="2">
        <f>AVERAGE(Wapato_Inventory[[#This Row],[qual_adj]:[range_adj]])</f>
        <v>1.005396124491456</v>
      </c>
      <c r="BZ184" s="7">
        <f>(Wapato_Inventory[[#This Row],[sum_land]]-IF(Wapato_Inventory[[#This Row],[no_utilities]]=1,12000,0))/IF(Wapato_Inventory[[#This Row],[unbuildable]]=1,2,1)</f>
        <v>53000</v>
      </c>
      <c r="CA184" s="7">
        <f>Wapato_Inventory[[#This Row],[pre_res]]*Wapato_Inventory[[#This Row],[overall_adj]]</f>
        <v>220135.06433529255</v>
      </c>
      <c r="CB18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84" s="3">
        <f>IF(ROUND(Wapato_Inventory[[#This Row],[adj_res]]*Lookups!$H$48,-2)&lt;Wapato_Inventory[[#This Row],[min_res]],Wapato_Inventory[[#This Row],[min_res]],ROUND(Wapato_Inventory[[#This Row],[adj_res]]*Lookups!$H$48,-2))</f>
        <v>209100</v>
      </c>
      <c r="CD184" s="3">
        <f>ROUND(Wapato_Inventory[[#This Row],[det_value]]*Lookups!$H$48,-2)</f>
        <v>13000</v>
      </c>
      <c r="CE184" s="3">
        <f>Wapato_Inventory[[#This Row],[final_res]]+Wapato_Inventory[[#This Row],[final_det]]</f>
        <v>222100</v>
      </c>
      <c r="CF184" s="3">
        <f>Wapato_Inventory[[#This Row],[crop_value]]+Wapato_Inventory[[#This Row],[final_land]]+Wapato_Inventory[[#This Row],[final_imp]]</f>
        <v>272500</v>
      </c>
      <c r="CH184" t="str">
        <f t="shared" si="2"/>
        <v>update valuation set market_land =50400, market_bldg=222100, market_total =272500, market_mdno =405, market_date ='9/10/2023' where link_id = (select link_id from parcel where parcel_year = '2024' and parcel_id = '19111041462');</v>
      </c>
    </row>
    <row r="185" spans="1:86" x14ac:dyDescent="0.25">
      <c r="A185">
        <v>19111041463</v>
      </c>
      <c r="B185">
        <v>0.14000000000000001</v>
      </c>
      <c r="C185">
        <v>6244</v>
      </c>
      <c r="D185" t="s">
        <v>144</v>
      </c>
      <c r="E185" t="s">
        <v>54</v>
      </c>
      <c r="F185" t="s">
        <v>54</v>
      </c>
      <c r="G185">
        <v>3</v>
      </c>
      <c r="H185" t="s">
        <v>55</v>
      </c>
      <c r="I185">
        <v>46100</v>
      </c>
      <c r="J185">
        <v>31900</v>
      </c>
      <c r="K185">
        <v>0.14000000000000001</v>
      </c>
      <c r="L185">
        <f>IF(Wapato_Inventory[[#This Row],[parcel_acres]]-Wapato_Inventory[[#This Row],[non_valued_acres]] =0,0,LN(Wapato_Inventory[[#This Row],[parcel_acres]]-Wapato_Inventory[[#This Row],[non_valued_acres]]))</f>
        <v>-1.9661128563728327</v>
      </c>
      <c r="M185">
        <v>0</v>
      </c>
      <c r="N185">
        <v>0</v>
      </c>
      <c r="O185">
        <v>0</v>
      </c>
      <c r="P185">
        <v>27904.037</v>
      </c>
      <c r="Q185">
        <v>74398</v>
      </c>
      <c r="R185" s="3">
        <f>(Wapato_Inventory[[#This Row],[ln_acres]]*Wapato_Inventory[[#This Row],[coeff]])+Wapato_Inventory[[#This Row],[const]]</f>
        <v>19535.514109596792</v>
      </c>
      <c r="S185" t="s">
        <v>83</v>
      </c>
      <c r="T185">
        <v>1</v>
      </c>
      <c r="U185" t="s">
        <v>86</v>
      </c>
      <c r="V185" t="s">
        <v>84</v>
      </c>
      <c r="W185">
        <v>0</v>
      </c>
      <c r="X185">
        <v>0</v>
      </c>
      <c r="Y185">
        <v>93</v>
      </c>
      <c r="Z185">
        <v>93</v>
      </c>
      <c r="AA185">
        <v>100</v>
      </c>
      <c r="AB185">
        <v>1000</v>
      </c>
      <c r="AC185">
        <v>960</v>
      </c>
      <c r="AD185">
        <v>960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5</v>
      </c>
      <c r="AQ185">
        <v>0</v>
      </c>
      <c r="AR185">
        <v>0</v>
      </c>
      <c r="AS185" t="s">
        <v>59</v>
      </c>
      <c r="AT185">
        <v>1</v>
      </c>
      <c r="AU185" t="s">
        <v>72</v>
      </c>
      <c r="AV185" t="s">
        <v>61</v>
      </c>
      <c r="AW185">
        <v>0</v>
      </c>
      <c r="AX185">
        <v>2</v>
      </c>
      <c r="AY185">
        <v>0</v>
      </c>
      <c r="AZ185">
        <v>4300</v>
      </c>
      <c r="BA185">
        <v>100</v>
      </c>
      <c r="BB185">
        <v>100</v>
      </c>
      <c r="BC185">
        <v>100</v>
      </c>
      <c r="BD185">
        <v>100</v>
      </c>
      <c r="BE185">
        <v>1</v>
      </c>
      <c r="BF185">
        <v>15000</v>
      </c>
      <c r="BG185">
        <v>1000</v>
      </c>
      <c r="BH185" s="7">
        <f>ROUND(Wapato_Inventory[[#This Row],[detatched_value]]*Lookups!$B$22*Lookups!$H$48,-2)</f>
        <v>3800</v>
      </c>
      <c r="BI185" s="7">
        <f>ROUND(((Wapato_Inventory[[#This Row],[land_extract]]*Lookups!$B$3) +(Lookups!$B$2*0.5))*Lookups!$H$48,-2)</f>
        <v>53000</v>
      </c>
      <c r="BJ185" s="7">
        <f>IF(Wapato_Inventory[[#This Row],[bldg_style]]="",0,Lookups!$B$2*0.5)</f>
        <v>53765.27</v>
      </c>
      <c r="BK185" s="7">
        <f>_xlfn.IFNA(VLOOKUP(Wapato_Inventory[[#This Row],[quality]],Lookups!$H$2:$J$14,3,FALSE),0)</f>
        <v>0</v>
      </c>
      <c r="BL185" s="7">
        <f>_xlfn.IFNA(VLOOKUP(Wapato_Inventory[[#This Row],[condition]],Lookups!$H$17:$J$24,3,FALSE),0)</f>
        <v>0</v>
      </c>
      <c r="BM185" s="7">
        <f>Wapato_Inventory[[#This Row],[Age]]*Lookups!$B$16</f>
        <v>-34472.840100000001</v>
      </c>
      <c r="BN185" s="7">
        <f>Wapato_Inventory[[#This Row],[Main Floor]]*Lookups!$B$17</f>
        <v>40128.709439999999</v>
      </c>
      <c r="BO185" s="7">
        <f>Wapato_Inventory[[#This Row],[Upper Floor]]*Lookups!$B$18</f>
        <v>0</v>
      </c>
      <c r="BP185" s="7">
        <f>Wapato_Inventory[[#This Row],[Fin BSMT]]*Lookups!$B$19</f>
        <v>0</v>
      </c>
      <c r="BQ185" s="7">
        <f>(Wapato_Inventory[[#This Row],[att_gar]]+Wapato_Inventory[[#This Row],[blt_gar]])*Lookups!$B$20</f>
        <v>0</v>
      </c>
      <c r="BR185" s="7">
        <f>Wapato_Inventory[[#This Row],[Patio]]*Lookups!$B$21</f>
        <v>0</v>
      </c>
      <c r="BS185" s="7">
        <f>SUM(Wapato_Inventory[[#This Row],[intercept]:[patio_value]])*Wapato_Inventory[[#This Row],[res_pct]]</f>
        <v>59421.139339999994</v>
      </c>
      <c r="BT185" s="7">
        <f>Wapato_Inventory[[#This Row],[land_value]]</f>
        <v>53000</v>
      </c>
      <c r="BU185" s="2">
        <f>_xlfn.IFNA(VLOOKUP(Wapato_Inventory[[#This Row],[quality]],Lookups!$A$28:$C$37,3,FALSE),1)</f>
        <v>1.0000010866511106</v>
      </c>
      <c r="BV185" s="2">
        <f>_xlfn.IFNA(VLOOKUP(Wapato_Inventory[[#This Row],[condition]],Lookups!$A$41:$C$48,3,FALSE),1)</f>
        <v>1.0000035546274355</v>
      </c>
      <c r="BW185" s="2">
        <f>IF(Wapato_Inventory[[#This Row],[decade]]="",1,_xlfn.IFNA(VLOOKUP(Wapato_Inventory[[#This Row],[decade]],Lookups!$F$28:$H$45,3,FALSE),1))</f>
        <v>1.0114203040664467</v>
      </c>
      <c r="BX185" s="2">
        <f>_xlfn.IFNA(VLOOKUP(Wapato_Inventory[[#This Row],[living_area_range]],Lookups!$K$28:$M$37,3,FALSE),1)</f>
        <v>0.99022994770196116</v>
      </c>
      <c r="BY185" s="2">
        <f>AVERAGE(Wapato_Inventory[[#This Row],[qual_adj]:[range_adj]])</f>
        <v>1.0004137232617385</v>
      </c>
      <c r="BZ185" s="7">
        <f>(Wapato_Inventory[[#This Row],[sum_land]]-IF(Wapato_Inventory[[#This Row],[no_utilities]]=1,12000,0))/IF(Wapato_Inventory[[#This Row],[unbuildable]]=1,2,1)</f>
        <v>53000</v>
      </c>
      <c r="CA185" s="7">
        <f>Wapato_Inventory[[#This Row],[pre_res]]*Wapato_Inventory[[#This Row],[overall_adj]]</f>
        <v>59445.723247583956</v>
      </c>
      <c r="CB18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85" s="3">
        <f>IF(ROUND(Wapato_Inventory[[#This Row],[adj_res]]*Lookups!$H$48,-2)&lt;Wapato_Inventory[[#This Row],[min_res]],Wapato_Inventory[[#This Row],[min_res]],ROUND(Wapato_Inventory[[#This Row],[adj_res]]*Lookups!$H$48,-2))</f>
        <v>56500</v>
      </c>
      <c r="CD185" s="3">
        <f>ROUND(Wapato_Inventory[[#This Row],[det_value]]*Lookups!$H$48,-2)</f>
        <v>3600</v>
      </c>
      <c r="CE185" s="3">
        <f>Wapato_Inventory[[#This Row],[final_res]]+Wapato_Inventory[[#This Row],[final_det]]</f>
        <v>60100</v>
      </c>
      <c r="CF185" s="3">
        <f>Wapato_Inventory[[#This Row],[crop_value]]+Wapato_Inventory[[#This Row],[final_land]]+Wapato_Inventory[[#This Row],[final_imp]]</f>
        <v>110500</v>
      </c>
      <c r="CH185" t="str">
        <f t="shared" si="2"/>
        <v>update valuation set market_land =50400, market_bldg=60100, market_total =110500, market_mdno =405, market_date ='9/10/2023' where link_id = (select link_id from parcel where parcel_year = '2024' and parcel_id = '19111041463');</v>
      </c>
    </row>
    <row r="186" spans="1:86" x14ac:dyDescent="0.25">
      <c r="A186">
        <v>19111041465</v>
      </c>
      <c r="B186">
        <v>0.14000000000000001</v>
      </c>
      <c r="C186">
        <v>6250</v>
      </c>
      <c r="D186" t="s">
        <v>144</v>
      </c>
      <c r="E186" t="s">
        <v>54</v>
      </c>
      <c r="F186" t="s">
        <v>54</v>
      </c>
      <c r="G186">
        <v>3</v>
      </c>
      <c r="H186" t="s">
        <v>55</v>
      </c>
      <c r="I186">
        <v>70600</v>
      </c>
      <c r="J186">
        <v>31900</v>
      </c>
      <c r="K186">
        <v>0.14000000000000001</v>
      </c>
      <c r="L186">
        <f>IF(Wapato_Inventory[[#This Row],[parcel_acres]]-Wapato_Inventory[[#This Row],[non_valued_acres]] =0,0,LN(Wapato_Inventory[[#This Row],[parcel_acres]]-Wapato_Inventory[[#This Row],[non_valued_acres]]))</f>
        <v>-1.9661128563728327</v>
      </c>
      <c r="M186">
        <v>0</v>
      </c>
      <c r="N186">
        <v>0</v>
      </c>
      <c r="O186">
        <v>0</v>
      </c>
      <c r="P186">
        <v>27904.037</v>
      </c>
      <c r="Q186">
        <v>74398</v>
      </c>
      <c r="R186" s="3">
        <f>(Wapato_Inventory[[#This Row],[ln_acres]]*Wapato_Inventory[[#This Row],[coeff]])+Wapato_Inventory[[#This Row],[const]]</f>
        <v>19535.514109596792</v>
      </c>
      <c r="S186" t="s">
        <v>66</v>
      </c>
      <c r="T186">
        <v>1</v>
      </c>
      <c r="U186" t="s">
        <v>71</v>
      </c>
      <c r="V186" t="s">
        <v>73</v>
      </c>
      <c r="W186">
        <v>0</v>
      </c>
      <c r="X186">
        <v>0</v>
      </c>
      <c r="Y186">
        <v>57</v>
      </c>
      <c r="Z186">
        <v>103</v>
      </c>
      <c r="AA186">
        <v>110</v>
      </c>
      <c r="AB186">
        <v>1000</v>
      </c>
      <c r="AC186">
        <v>940</v>
      </c>
      <c r="AD186">
        <v>940</v>
      </c>
      <c r="AE186">
        <v>0</v>
      </c>
      <c r="AF186">
        <v>0</v>
      </c>
      <c r="AG186">
        <v>0</v>
      </c>
      <c r="AH186">
        <v>300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100</v>
      </c>
      <c r="AO186">
        <v>0</v>
      </c>
      <c r="AP186">
        <v>5</v>
      </c>
      <c r="AQ186">
        <v>0</v>
      </c>
      <c r="AR186">
        <v>0</v>
      </c>
      <c r="AS186" t="s">
        <v>59</v>
      </c>
      <c r="AT186">
        <v>1</v>
      </c>
      <c r="AU186" t="s">
        <v>76</v>
      </c>
      <c r="AV186" t="s">
        <v>61</v>
      </c>
      <c r="AW186">
        <v>0</v>
      </c>
      <c r="AX186">
        <v>3</v>
      </c>
      <c r="AY186">
        <v>0</v>
      </c>
      <c r="AZ186">
        <v>5300</v>
      </c>
      <c r="BA186">
        <v>100</v>
      </c>
      <c r="BB186">
        <v>100</v>
      </c>
      <c r="BC186">
        <v>100</v>
      </c>
      <c r="BD186">
        <v>100</v>
      </c>
      <c r="BE186">
        <v>1</v>
      </c>
      <c r="BF186">
        <v>15000</v>
      </c>
      <c r="BG186">
        <v>1000</v>
      </c>
      <c r="BH186" s="7">
        <f>ROUND(Wapato_Inventory[[#This Row],[detatched_value]]*Lookups!$B$22*Lookups!$H$48,-2)</f>
        <v>4700</v>
      </c>
      <c r="BI186" s="7">
        <f>ROUND(((Wapato_Inventory[[#This Row],[land_extract]]*Lookups!$B$3) +(Lookups!$B$2*0.5))*Lookups!$H$48,-2)</f>
        <v>53000</v>
      </c>
      <c r="BJ186" s="7">
        <f>IF(Wapato_Inventory[[#This Row],[bldg_style]]="",0,Lookups!$B$2*0.5)</f>
        <v>53765.27</v>
      </c>
      <c r="BK186" s="7">
        <f>_xlfn.IFNA(VLOOKUP(Wapato_Inventory[[#This Row],[quality]],Lookups!$H$2:$J$14,3,FALSE),0)</f>
        <v>28034</v>
      </c>
      <c r="BL186" s="7">
        <f>_xlfn.IFNA(VLOOKUP(Wapato_Inventory[[#This Row],[condition]],Lookups!$H$17:$J$24,3,FALSE),0)</f>
        <v>16276</v>
      </c>
      <c r="BM186" s="7">
        <f>Wapato_Inventory[[#This Row],[Age]]*Lookups!$B$16</f>
        <v>-38179.597099999999</v>
      </c>
      <c r="BN186" s="7">
        <f>Wapato_Inventory[[#This Row],[Main Floor]]*Lookups!$B$17</f>
        <v>39292.694660000001</v>
      </c>
      <c r="BO186" s="7">
        <f>Wapato_Inventory[[#This Row],[Upper Floor]]*Lookups!$B$18</f>
        <v>0</v>
      </c>
      <c r="BP186" s="7">
        <f>Wapato_Inventory[[#This Row],[Fin BSMT]]*Lookups!$B$19</f>
        <v>0</v>
      </c>
      <c r="BQ186" s="7">
        <f>(Wapato_Inventory[[#This Row],[att_gar]]+Wapato_Inventory[[#This Row],[blt_gar]])*Lookups!$B$20</f>
        <v>0</v>
      </c>
      <c r="BR186" s="7">
        <f>Wapato_Inventory[[#This Row],[Patio]]*Lookups!$B$21</f>
        <v>0</v>
      </c>
      <c r="BS186" s="7">
        <f>SUM(Wapato_Inventory[[#This Row],[intercept]:[patio_value]])*Wapato_Inventory[[#This Row],[res_pct]]</f>
        <v>99188.367559999984</v>
      </c>
      <c r="BT186" s="7">
        <f>Wapato_Inventory[[#This Row],[land_value]]</f>
        <v>53000</v>
      </c>
      <c r="BU186" s="2">
        <f>_xlfn.IFNA(VLOOKUP(Wapato_Inventory[[#This Row],[quality]],Lookups!$A$28:$C$37,3,FALSE),1)</f>
        <v>0.96265813922927435</v>
      </c>
      <c r="BV186" s="2">
        <f>_xlfn.IFNA(VLOOKUP(Wapato_Inventory[[#This Row],[condition]],Lookups!$A$41:$C$48,3,FALSE),1)</f>
        <v>0.93399385491337139</v>
      </c>
      <c r="BW186" s="2">
        <f>IF(Wapato_Inventory[[#This Row],[decade]]="",1,_xlfn.IFNA(VLOOKUP(Wapato_Inventory[[#This Row],[decade]],Lookups!$F$28:$H$45,3,FALSE),1))</f>
        <v>0.93664589651353292</v>
      </c>
      <c r="BX186" s="2">
        <f>_xlfn.IFNA(VLOOKUP(Wapato_Inventory[[#This Row],[living_area_range]],Lookups!$K$28:$M$37,3,FALSE),1)</f>
        <v>0.99022994770196116</v>
      </c>
      <c r="BY186" s="2">
        <f>AVERAGE(Wapato_Inventory[[#This Row],[qual_adj]:[range_adj]])</f>
        <v>0.95588195958953504</v>
      </c>
      <c r="BZ186" s="7">
        <f>(Wapato_Inventory[[#This Row],[sum_land]]-IF(Wapato_Inventory[[#This Row],[no_utilities]]=1,12000,0))/IF(Wapato_Inventory[[#This Row],[unbuildable]]=1,2,1)</f>
        <v>53000</v>
      </c>
      <c r="CA186" s="7">
        <f>Wapato_Inventory[[#This Row],[pre_res]]*Wapato_Inventory[[#This Row],[overall_adj]]</f>
        <v>94812.371151739848</v>
      </c>
      <c r="CB18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86" s="3">
        <f>IF(ROUND(Wapato_Inventory[[#This Row],[adj_res]]*Lookups!$H$48,-2)&lt;Wapato_Inventory[[#This Row],[min_res]],Wapato_Inventory[[#This Row],[min_res]],ROUND(Wapato_Inventory[[#This Row],[adj_res]]*Lookups!$H$48,-2))</f>
        <v>90100</v>
      </c>
      <c r="CD186" s="3">
        <f>ROUND(Wapato_Inventory[[#This Row],[det_value]]*Lookups!$H$48,-2)</f>
        <v>4500</v>
      </c>
      <c r="CE186" s="3">
        <f>Wapato_Inventory[[#This Row],[final_res]]+Wapato_Inventory[[#This Row],[final_det]]</f>
        <v>94600</v>
      </c>
      <c r="CF186" s="3">
        <f>Wapato_Inventory[[#This Row],[crop_value]]+Wapato_Inventory[[#This Row],[final_land]]+Wapato_Inventory[[#This Row],[final_imp]]</f>
        <v>145000</v>
      </c>
      <c r="CH186" t="str">
        <f t="shared" si="2"/>
        <v>update valuation set market_land =50400, market_bldg=94600, market_total =145000, market_mdno =405, market_date ='9/10/2023' where link_id = (select link_id from parcel where parcel_year = '2024' and parcel_id = '19111041465');</v>
      </c>
    </row>
    <row r="187" spans="1:86" x14ac:dyDescent="0.25">
      <c r="A187">
        <v>19111041466</v>
      </c>
      <c r="B187">
        <v>0.14000000000000001</v>
      </c>
      <c r="C187">
        <v>6250</v>
      </c>
      <c r="D187" t="s">
        <v>144</v>
      </c>
      <c r="E187" t="s">
        <v>54</v>
      </c>
      <c r="F187" t="s">
        <v>54</v>
      </c>
      <c r="G187">
        <v>3</v>
      </c>
      <c r="H187" t="s">
        <v>55</v>
      </c>
      <c r="I187">
        <v>110500</v>
      </c>
      <c r="J187">
        <v>31900</v>
      </c>
      <c r="K187">
        <v>0.14000000000000001</v>
      </c>
      <c r="L187">
        <f>IF(Wapato_Inventory[[#This Row],[parcel_acres]]-Wapato_Inventory[[#This Row],[non_valued_acres]] =0,0,LN(Wapato_Inventory[[#This Row],[parcel_acres]]-Wapato_Inventory[[#This Row],[non_valued_acres]]))</f>
        <v>-1.9661128563728327</v>
      </c>
      <c r="M187">
        <v>0</v>
      </c>
      <c r="N187">
        <v>0</v>
      </c>
      <c r="O187">
        <v>0</v>
      </c>
      <c r="P187">
        <v>27904.037</v>
      </c>
      <c r="Q187">
        <v>74398</v>
      </c>
      <c r="R187" s="3">
        <f>(Wapato_Inventory[[#This Row],[ln_acres]]*Wapato_Inventory[[#This Row],[coeff]])+Wapato_Inventory[[#This Row],[const]]</f>
        <v>19535.514109596792</v>
      </c>
      <c r="S187" t="s">
        <v>66</v>
      </c>
      <c r="T187">
        <v>1</v>
      </c>
      <c r="U187" t="s">
        <v>71</v>
      </c>
      <c r="V187" t="s">
        <v>68</v>
      </c>
      <c r="W187">
        <v>0</v>
      </c>
      <c r="X187">
        <v>0</v>
      </c>
      <c r="Y187">
        <v>50</v>
      </c>
      <c r="Z187">
        <v>73</v>
      </c>
      <c r="AA187">
        <v>80</v>
      </c>
      <c r="AB187">
        <v>1000</v>
      </c>
      <c r="AC187">
        <v>816</v>
      </c>
      <c r="AD187">
        <v>816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64</v>
      </c>
      <c r="AO187">
        <v>0</v>
      </c>
      <c r="AP187">
        <v>5</v>
      </c>
      <c r="AQ187">
        <v>1</v>
      </c>
      <c r="AR187">
        <v>0</v>
      </c>
      <c r="AS187" t="s">
        <v>59</v>
      </c>
      <c r="AT187">
        <v>0</v>
      </c>
      <c r="AU187" t="s">
        <v>80</v>
      </c>
      <c r="AV187" t="s">
        <v>65</v>
      </c>
      <c r="AW187">
        <v>0</v>
      </c>
      <c r="AX187">
        <v>4</v>
      </c>
      <c r="AY187">
        <v>0</v>
      </c>
      <c r="AZ187">
        <v>0</v>
      </c>
      <c r="BA187">
        <v>100</v>
      </c>
      <c r="BB187">
        <v>100</v>
      </c>
      <c r="BC187">
        <v>100</v>
      </c>
      <c r="BD187">
        <v>100</v>
      </c>
      <c r="BE187">
        <v>1</v>
      </c>
      <c r="BF187">
        <v>15000</v>
      </c>
      <c r="BG187">
        <v>1000</v>
      </c>
      <c r="BH187" s="7">
        <f>ROUND(Wapato_Inventory[[#This Row],[detatched_value]]*Lookups!$B$22*Lookups!$H$48,-2)</f>
        <v>0</v>
      </c>
      <c r="BI187" s="7">
        <f>ROUND(((Wapato_Inventory[[#This Row],[land_extract]]*Lookups!$B$3) +(Lookups!$B$2*0.5))*Lookups!$H$48,-2)</f>
        <v>53000</v>
      </c>
      <c r="BJ187" s="7">
        <f>IF(Wapato_Inventory[[#This Row],[bldg_style]]="",0,Lookups!$B$2*0.5)</f>
        <v>53765.27</v>
      </c>
      <c r="BK187" s="7">
        <f>_xlfn.IFNA(VLOOKUP(Wapato_Inventory[[#This Row],[quality]],Lookups!$H$2:$J$14,3,FALSE),0)</f>
        <v>28034</v>
      </c>
      <c r="BL187" s="7">
        <f>_xlfn.IFNA(VLOOKUP(Wapato_Inventory[[#This Row],[condition]],Lookups!$H$17:$J$24,3,FALSE),0)</f>
        <v>52231</v>
      </c>
      <c r="BM187" s="7">
        <f>Wapato_Inventory[[#This Row],[Age]]*Lookups!$B$16</f>
        <v>-27059.326100000002</v>
      </c>
      <c r="BN187" s="7">
        <f>Wapato_Inventory[[#This Row],[Main Floor]]*Lookups!$B$17</f>
        <v>34109.403023999999</v>
      </c>
      <c r="BO187" s="7">
        <f>Wapato_Inventory[[#This Row],[Upper Floor]]*Lookups!$B$18</f>
        <v>0</v>
      </c>
      <c r="BP187" s="7">
        <f>Wapato_Inventory[[#This Row],[Fin BSMT]]*Lookups!$B$19</f>
        <v>0</v>
      </c>
      <c r="BQ187" s="7">
        <f>(Wapato_Inventory[[#This Row],[att_gar]]+Wapato_Inventory[[#This Row],[blt_gar]])*Lookups!$B$20</f>
        <v>0</v>
      </c>
      <c r="BR187" s="7">
        <f>Wapato_Inventory[[#This Row],[Patio]]*Lookups!$B$21</f>
        <v>0</v>
      </c>
      <c r="BS187" s="7">
        <f>SUM(Wapato_Inventory[[#This Row],[intercept]:[patio_value]])*Wapato_Inventory[[#This Row],[res_pct]]</f>
        <v>141080.34692399998</v>
      </c>
      <c r="BT187" s="7">
        <f>Wapato_Inventory[[#This Row],[land_value]]</f>
        <v>53000</v>
      </c>
      <c r="BU187" s="2">
        <f>_xlfn.IFNA(VLOOKUP(Wapato_Inventory[[#This Row],[quality]],Lookups!$A$28:$C$37,3,FALSE),1)</f>
        <v>0.96265813922927435</v>
      </c>
      <c r="BV187" s="2">
        <f>_xlfn.IFNA(VLOOKUP(Wapato_Inventory[[#This Row],[condition]],Lookups!$A$41:$C$48,3,FALSE),1)</f>
        <v>0.9832333997567807</v>
      </c>
      <c r="BW187" s="2">
        <f>IF(Wapato_Inventory[[#This Row],[decade]]="",1,_xlfn.IFNA(VLOOKUP(Wapato_Inventory[[#This Row],[decade]],Lookups!$F$28:$H$45,3,FALSE),1))</f>
        <v>0.8438929209510081</v>
      </c>
      <c r="BX187" s="2">
        <f>_xlfn.IFNA(VLOOKUP(Wapato_Inventory[[#This Row],[living_area_range]],Lookups!$K$28:$M$37,3,FALSE),1)</f>
        <v>0.99022994770196116</v>
      </c>
      <c r="BY187" s="2">
        <f>AVERAGE(Wapato_Inventory[[#This Row],[qual_adj]:[range_adj]])</f>
        <v>0.94500360190975607</v>
      </c>
      <c r="BZ187" s="7">
        <f>(Wapato_Inventory[[#This Row],[sum_land]]-IF(Wapato_Inventory[[#This Row],[no_utilities]]=1,12000,0))/IF(Wapato_Inventory[[#This Row],[unbuildable]]=1,2,1)</f>
        <v>53000</v>
      </c>
      <c r="CA187" s="7">
        <f>Wapato_Inventory[[#This Row],[pre_res]]*Wapato_Inventory[[#This Row],[overall_adj]]</f>
        <v>133321.43600185795</v>
      </c>
      <c r="CB18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87" s="3">
        <f>IF(ROUND(Wapato_Inventory[[#This Row],[adj_res]]*Lookups!$H$48,-2)&lt;Wapato_Inventory[[#This Row],[min_res]],Wapato_Inventory[[#This Row],[min_res]],ROUND(Wapato_Inventory[[#This Row],[adj_res]]*Lookups!$H$48,-2))</f>
        <v>126700</v>
      </c>
      <c r="CD187" s="3">
        <f>ROUND(Wapato_Inventory[[#This Row],[det_value]]*Lookups!$H$48,-2)</f>
        <v>0</v>
      </c>
      <c r="CE187" s="3">
        <f>Wapato_Inventory[[#This Row],[final_res]]+Wapato_Inventory[[#This Row],[final_det]]</f>
        <v>126700</v>
      </c>
      <c r="CF187" s="3">
        <f>Wapato_Inventory[[#This Row],[crop_value]]+Wapato_Inventory[[#This Row],[final_land]]+Wapato_Inventory[[#This Row],[final_imp]]</f>
        <v>177100</v>
      </c>
      <c r="CH187" t="str">
        <f t="shared" si="2"/>
        <v>update valuation set market_land =50400, market_bldg=126700, market_total =177100, market_mdno =405, market_date ='9/10/2023' where link_id = (select link_id from parcel where parcel_year = '2024' and parcel_id = '19111041466');</v>
      </c>
    </row>
    <row r="188" spans="1:86" x14ac:dyDescent="0.25">
      <c r="A188">
        <v>19111041469</v>
      </c>
      <c r="B188">
        <v>0.14000000000000001</v>
      </c>
      <c r="C188">
        <v>6250</v>
      </c>
      <c r="D188" t="s">
        <v>144</v>
      </c>
      <c r="E188" t="s">
        <v>54</v>
      </c>
      <c r="F188" t="s">
        <v>54</v>
      </c>
      <c r="G188">
        <v>3</v>
      </c>
      <c r="H188" t="s">
        <v>55</v>
      </c>
      <c r="I188">
        <v>45400</v>
      </c>
      <c r="J188">
        <v>31900</v>
      </c>
      <c r="K188">
        <v>0.14000000000000001</v>
      </c>
      <c r="L188">
        <f>IF(Wapato_Inventory[[#This Row],[parcel_acres]]-Wapato_Inventory[[#This Row],[non_valued_acres]] =0,0,LN(Wapato_Inventory[[#This Row],[parcel_acres]]-Wapato_Inventory[[#This Row],[non_valued_acres]]))</f>
        <v>-1.9661128563728327</v>
      </c>
      <c r="M188">
        <v>0</v>
      </c>
      <c r="N188">
        <v>0</v>
      </c>
      <c r="O188">
        <v>0</v>
      </c>
      <c r="P188">
        <v>27904.037</v>
      </c>
      <c r="Q188">
        <v>74398</v>
      </c>
      <c r="R188" s="3">
        <f>(Wapato_Inventory[[#This Row],[ln_acres]]*Wapato_Inventory[[#This Row],[coeff]])+Wapato_Inventory[[#This Row],[const]]</f>
        <v>19535.514109596792</v>
      </c>
      <c r="S188" t="s">
        <v>66</v>
      </c>
      <c r="T188">
        <v>1</v>
      </c>
      <c r="U188" t="s">
        <v>71</v>
      </c>
      <c r="V188" t="s">
        <v>73</v>
      </c>
      <c r="W188">
        <v>0</v>
      </c>
      <c r="X188">
        <v>0</v>
      </c>
      <c r="Y188">
        <v>51</v>
      </c>
      <c r="Z188">
        <v>83</v>
      </c>
      <c r="AA188">
        <v>90</v>
      </c>
      <c r="AB188">
        <v>500</v>
      </c>
      <c r="AC188">
        <v>420</v>
      </c>
      <c r="AD188">
        <v>420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5</v>
      </c>
      <c r="AQ188">
        <v>0</v>
      </c>
      <c r="AR188">
        <v>0</v>
      </c>
      <c r="AS188" t="s">
        <v>82</v>
      </c>
      <c r="AT188">
        <v>1</v>
      </c>
      <c r="AU188" t="s">
        <v>76</v>
      </c>
      <c r="AV188" t="s">
        <v>61</v>
      </c>
      <c r="AW188">
        <v>0</v>
      </c>
      <c r="AX188">
        <v>1</v>
      </c>
      <c r="AY188">
        <v>0</v>
      </c>
      <c r="AZ188">
        <v>0</v>
      </c>
      <c r="BA188">
        <v>100</v>
      </c>
      <c r="BB188">
        <v>100</v>
      </c>
      <c r="BC188">
        <v>100</v>
      </c>
      <c r="BD188">
        <v>100</v>
      </c>
      <c r="BE188">
        <v>1</v>
      </c>
      <c r="BF188">
        <v>15000</v>
      </c>
      <c r="BG188">
        <v>1000</v>
      </c>
      <c r="BH188" s="7">
        <f>ROUND(Wapato_Inventory[[#This Row],[detatched_value]]*Lookups!$B$22*Lookups!$H$48,-2)</f>
        <v>0</v>
      </c>
      <c r="BI188" s="7">
        <f>ROUND(((Wapato_Inventory[[#This Row],[land_extract]]*Lookups!$B$3) +(Lookups!$B$2*0.5))*Lookups!$H$48,-2)</f>
        <v>53000</v>
      </c>
      <c r="BJ188" s="7">
        <f>IF(Wapato_Inventory[[#This Row],[bldg_style]]="",0,Lookups!$B$2*0.5)</f>
        <v>53765.27</v>
      </c>
      <c r="BK188" s="7">
        <f>_xlfn.IFNA(VLOOKUP(Wapato_Inventory[[#This Row],[quality]],Lookups!$H$2:$J$14,3,FALSE),0)</f>
        <v>28034</v>
      </c>
      <c r="BL188" s="7">
        <f>_xlfn.IFNA(VLOOKUP(Wapato_Inventory[[#This Row],[condition]],Lookups!$H$17:$J$24,3,FALSE),0)</f>
        <v>16276</v>
      </c>
      <c r="BM188" s="7">
        <f>Wapato_Inventory[[#This Row],[Age]]*Lookups!$B$16</f>
        <v>-30766.0831</v>
      </c>
      <c r="BN188" s="7">
        <f>Wapato_Inventory[[#This Row],[Main Floor]]*Lookups!$B$17</f>
        <v>17556.310379999999</v>
      </c>
      <c r="BO188" s="7">
        <f>Wapato_Inventory[[#This Row],[Upper Floor]]*Lookups!$B$18</f>
        <v>0</v>
      </c>
      <c r="BP188" s="7">
        <f>Wapato_Inventory[[#This Row],[Fin BSMT]]*Lookups!$B$19</f>
        <v>0</v>
      </c>
      <c r="BQ188" s="7">
        <f>(Wapato_Inventory[[#This Row],[att_gar]]+Wapato_Inventory[[#This Row],[blt_gar]])*Lookups!$B$20</f>
        <v>0</v>
      </c>
      <c r="BR188" s="7">
        <f>Wapato_Inventory[[#This Row],[Patio]]*Lookups!$B$21</f>
        <v>0</v>
      </c>
      <c r="BS188" s="7">
        <f>SUM(Wapato_Inventory[[#This Row],[intercept]:[patio_value]])*Wapato_Inventory[[#This Row],[res_pct]]</f>
        <v>84865.497279999981</v>
      </c>
      <c r="BT188" s="7">
        <f>Wapato_Inventory[[#This Row],[land_value]]</f>
        <v>53000</v>
      </c>
      <c r="BU188" s="2">
        <f>_xlfn.IFNA(VLOOKUP(Wapato_Inventory[[#This Row],[quality]],Lookups!$A$28:$C$37,3,FALSE),1)</f>
        <v>0.96265813922927435</v>
      </c>
      <c r="BV188" s="2">
        <f>_xlfn.IFNA(VLOOKUP(Wapato_Inventory[[#This Row],[condition]],Lookups!$A$41:$C$48,3,FALSE),1)</f>
        <v>0.93399385491337139</v>
      </c>
      <c r="BW188" s="2">
        <f>IF(Wapato_Inventory[[#This Row],[decade]]="",1,_xlfn.IFNA(VLOOKUP(Wapato_Inventory[[#This Row],[decade]],Lookups!$F$28:$H$45,3,FALSE),1))</f>
        <v>0.94742695999815718</v>
      </c>
      <c r="BX188" s="2">
        <f>_xlfn.IFNA(VLOOKUP(Wapato_Inventory[[#This Row],[living_area_range]],Lookups!$K$28:$M$37,3,FALSE),1)</f>
        <v>0.62984720518148585</v>
      </c>
      <c r="BY188" s="2">
        <f>AVERAGE(Wapato_Inventory[[#This Row],[qual_adj]:[range_adj]])</f>
        <v>0.86848153983057219</v>
      </c>
      <c r="BZ188" s="7">
        <f>(Wapato_Inventory[[#This Row],[sum_land]]-IF(Wapato_Inventory[[#This Row],[no_utilities]]=1,12000,0))/IF(Wapato_Inventory[[#This Row],[unbuildable]]=1,2,1)</f>
        <v>53000</v>
      </c>
      <c r="CA188" s="7">
        <f>Wapato_Inventory[[#This Row],[pre_res]]*Wapato_Inventory[[#This Row],[overall_adj]]</f>
        <v>73704.117756221618</v>
      </c>
      <c r="CB18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88" s="3">
        <f>IF(ROUND(Wapato_Inventory[[#This Row],[adj_res]]*Lookups!$H$48,-2)&lt;Wapato_Inventory[[#This Row],[min_res]],Wapato_Inventory[[#This Row],[min_res]],ROUND(Wapato_Inventory[[#This Row],[adj_res]]*Lookups!$H$48,-2))</f>
        <v>70000</v>
      </c>
      <c r="CD188" s="3">
        <f>ROUND(Wapato_Inventory[[#This Row],[det_value]]*Lookups!$H$48,-2)</f>
        <v>0</v>
      </c>
      <c r="CE188" s="3">
        <f>Wapato_Inventory[[#This Row],[final_res]]+Wapato_Inventory[[#This Row],[final_det]]</f>
        <v>70000</v>
      </c>
      <c r="CF188" s="3">
        <f>Wapato_Inventory[[#This Row],[crop_value]]+Wapato_Inventory[[#This Row],[final_land]]+Wapato_Inventory[[#This Row],[final_imp]]</f>
        <v>120400</v>
      </c>
      <c r="CH188" t="str">
        <f t="shared" si="2"/>
        <v>update valuation set market_land =50400, market_bldg=70000, market_total =120400, market_mdno =405, market_date ='9/10/2023' where link_id = (select link_id from parcel where parcel_year = '2024' and parcel_id = '19111041469');</v>
      </c>
    </row>
    <row r="189" spans="1:86" x14ac:dyDescent="0.25">
      <c r="A189">
        <v>19111041470</v>
      </c>
      <c r="B189">
        <v>0.14000000000000001</v>
      </c>
      <c r="C189">
        <v>6250</v>
      </c>
      <c r="D189" t="s">
        <v>144</v>
      </c>
      <c r="E189" t="s">
        <v>54</v>
      </c>
      <c r="F189" t="s">
        <v>54</v>
      </c>
      <c r="G189">
        <v>3</v>
      </c>
      <c r="H189" t="s">
        <v>55</v>
      </c>
      <c r="I189">
        <v>54900</v>
      </c>
      <c r="J189">
        <v>31900</v>
      </c>
      <c r="K189">
        <v>0.14000000000000001</v>
      </c>
      <c r="L189">
        <f>IF(Wapato_Inventory[[#This Row],[parcel_acres]]-Wapato_Inventory[[#This Row],[non_valued_acres]] =0,0,LN(Wapato_Inventory[[#This Row],[parcel_acres]]-Wapato_Inventory[[#This Row],[non_valued_acres]]))</f>
        <v>-1.9661128563728327</v>
      </c>
      <c r="M189">
        <v>0</v>
      </c>
      <c r="N189">
        <v>0</v>
      </c>
      <c r="O189">
        <v>0</v>
      </c>
      <c r="P189">
        <v>27904.037</v>
      </c>
      <c r="Q189">
        <v>74398</v>
      </c>
      <c r="R189" s="3">
        <f>(Wapato_Inventory[[#This Row],[ln_acres]]*Wapato_Inventory[[#This Row],[coeff]])+Wapato_Inventory[[#This Row],[const]]</f>
        <v>19535.514109596792</v>
      </c>
      <c r="S189" t="s">
        <v>83</v>
      </c>
      <c r="T189">
        <v>1</v>
      </c>
      <c r="U189" t="s">
        <v>86</v>
      </c>
      <c r="V189" t="s">
        <v>73</v>
      </c>
      <c r="W189">
        <v>0</v>
      </c>
      <c r="X189">
        <v>0</v>
      </c>
      <c r="Y189">
        <v>57</v>
      </c>
      <c r="Z189">
        <v>103</v>
      </c>
      <c r="AA189">
        <v>110</v>
      </c>
      <c r="AB189">
        <v>1000</v>
      </c>
      <c r="AC189">
        <v>960</v>
      </c>
      <c r="AD189">
        <v>960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177</v>
      </c>
      <c r="AM189">
        <v>0</v>
      </c>
      <c r="AN189">
        <v>0</v>
      </c>
      <c r="AO189">
        <v>177</v>
      </c>
      <c r="AP189">
        <v>5</v>
      </c>
      <c r="AQ189">
        <v>0</v>
      </c>
      <c r="AR189">
        <v>0</v>
      </c>
      <c r="AS189" t="s">
        <v>59</v>
      </c>
      <c r="AT189">
        <v>1</v>
      </c>
      <c r="AU189" t="s">
        <v>72</v>
      </c>
      <c r="AV189" t="s">
        <v>61</v>
      </c>
      <c r="AW189">
        <v>0</v>
      </c>
      <c r="AX189">
        <v>3</v>
      </c>
      <c r="AY189">
        <v>0</v>
      </c>
      <c r="AZ189">
        <v>0</v>
      </c>
      <c r="BA189">
        <v>100</v>
      </c>
      <c r="BB189">
        <v>100</v>
      </c>
      <c r="BC189">
        <v>100</v>
      </c>
      <c r="BD189">
        <v>100</v>
      </c>
      <c r="BE189">
        <v>1</v>
      </c>
      <c r="BF189">
        <v>15000</v>
      </c>
      <c r="BG189">
        <v>1000</v>
      </c>
      <c r="BH189" s="7">
        <f>ROUND(Wapato_Inventory[[#This Row],[detatched_value]]*Lookups!$B$22*Lookups!$H$48,-2)</f>
        <v>0</v>
      </c>
      <c r="BI189" s="7">
        <f>ROUND(((Wapato_Inventory[[#This Row],[land_extract]]*Lookups!$B$3) +(Lookups!$B$2*0.5))*Lookups!$H$48,-2)</f>
        <v>53000</v>
      </c>
      <c r="BJ189" s="7">
        <f>IF(Wapato_Inventory[[#This Row],[bldg_style]]="",0,Lookups!$B$2*0.5)</f>
        <v>53765.27</v>
      </c>
      <c r="BK189" s="7">
        <f>_xlfn.IFNA(VLOOKUP(Wapato_Inventory[[#This Row],[quality]],Lookups!$H$2:$J$14,3,FALSE),0)</f>
        <v>0</v>
      </c>
      <c r="BL189" s="7">
        <f>_xlfn.IFNA(VLOOKUP(Wapato_Inventory[[#This Row],[condition]],Lookups!$H$17:$J$24,3,FALSE),0)</f>
        <v>16276</v>
      </c>
      <c r="BM189" s="7">
        <f>Wapato_Inventory[[#This Row],[Age]]*Lookups!$B$16</f>
        <v>-38179.597099999999</v>
      </c>
      <c r="BN189" s="7">
        <f>Wapato_Inventory[[#This Row],[Main Floor]]*Lookups!$B$17</f>
        <v>40128.709439999999</v>
      </c>
      <c r="BO189" s="7">
        <f>Wapato_Inventory[[#This Row],[Upper Floor]]*Lookups!$B$18</f>
        <v>0</v>
      </c>
      <c r="BP189" s="7">
        <f>Wapato_Inventory[[#This Row],[Fin BSMT]]*Lookups!$B$19</f>
        <v>0</v>
      </c>
      <c r="BQ189" s="7">
        <f>(Wapato_Inventory[[#This Row],[att_gar]]+Wapato_Inventory[[#This Row],[blt_gar]])*Lookups!$B$20</f>
        <v>0</v>
      </c>
      <c r="BR189" s="7">
        <f>Wapato_Inventory[[#This Row],[Patio]]*Lookups!$B$21</f>
        <v>0</v>
      </c>
      <c r="BS189" s="7">
        <f>SUM(Wapato_Inventory[[#This Row],[intercept]:[patio_value]])*Wapato_Inventory[[#This Row],[res_pct]]</f>
        <v>71990.382339999982</v>
      </c>
      <c r="BT189" s="7">
        <f>Wapato_Inventory[[#This Row],[land_value]]</f>
        <v>53000</v>
      </c>
      <c r="BU189" s="2">
        <f>_xlfn.IFNA(VLOOKUP(Wapato_Inventory[[#This Row],[quality]],Lookups!$A$28:$C$37,3,FALSE),1)</f>
        <v>1.0000010866511106</v>
      </c>
      <c r="BV189" s="2">
        <f>_xlfn.IFNA(VLOOKUP(Wapato_Inventory[[#This Row],[condition]],Lookups!$A$41:$C$48,3,FALSE),1)</f>
        <v>0.93399385491337139</v>
      </c>
      <c r="BW189" s="2">
        <f>IF(Wapato_Inventory[[#This Row],[decade]]="",1,_xlfn.IFNA(VLOOKUP(Wapato_Inventory[[#This Row],[decade]],Lookups!$F$28:$H$45,3,FALSE),1))</f>
        <v>0.93664589651353292</v>
      </c>
      <c r="BX189" s="2">
        <f>_xlfn.IFNA(VLOOKUP(Wapato_Inventory[[#This Row],[living_area_range]],Lookups!$K$28:$M$37,3,FALSE),1)</f>
        <v>0.99022994770196116</v>
      </c>
      <c r="BY189" s="2">
        <f>AVERAGE(Wapato_Inventory[[#This Row],[qual_adj]:[range_adj]])</f>
        <v>0.965217696444994</v>
      </c>
      <c r="BZ189" s="7">
        <f>(Wapato_Inventory[[#This Row],[sum_land]]-IF(Wapato_Inventory[[#This Row],[no_utilities]]=1,12000,0))/IF(Wapato_Inventory[[#This Row],[unbuildable]]=1,2,1)</f>
        <v>53000</v>
      </c>
      <c r="CA189" s="7">
        <f>Wapato_Inventory[[#This Row],[pre_res]]*Wapato_Inventory[[#This Row],[overall_adj]]</f>
        <v>69486.391008409162</v>
      </c>
      <c r="CB18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89" s="3">
        <f>IF(ROUND(Wapato_Inventory[[#This Row],[adj_res]]*Lookups!$H$48,-2)&lt;Wapato_Inventory[[#This Row],[min_res]],Wapato_Inventory[[#This Row],[min_res]],ROUND(Wapato_Inventory[[#This Row],[adj_res]]*Lookups!$H$48,-2))</f>
        <v>66000</v>
      </c>
      <c r="CD189" s="3">
        <f>ROUND(Wapato_Inventory[[#This Row],[det_value]]*Lookups!$H$48,-2)</f>
        <v>0</v>
      </c>
      <c r="CE189" s="3">
        <f>Wapato_Inventory[[#This Row],[final_res]]+Wapato_Inventory[[#This Row],[final_det]]</f>
        <v>66000</v>
      </c>
      <c r="CF189" s="3">
        <f>Wapato_Inventory[[#This Row],[crop_value]]+Wapato_Inventory[[#This Row],[final_land]]+Wapato_Inventory[[#This Row],[final_imp]]</f>
        <v>116400</v>
      </c>
      <c r="CH189" t="str">
        <f t="shared" si="2"/>
        <v>update valuation set market_land =50400, market_bldg=66000, market_total =116400, market_mdno =405, market_date ='9/10/2023' where link_id = (select link_id from parcel where parcel_year = '2024' and parcel_id = '19111041470');</v>
      </c>
    </row>
    <row r="190" spans="1:86" x14ac:dyDescent="0.25">
      <c r="A190">
        <v>19111041471</v>
      </c>
      <c r="B190">
        <v>0.14000000000000001</v>
      </c>
      <c r="C190">
        <v>6250</v>
      </c>
      <c r="D190" t="s">
        <v>144</v>
      </c>
      <c r="E190" t="s">
        <v>54</v>
      </c>
      <c r="F190" t="s">
        <v>54</v>
      </c>
      <c r="G190">
        <v>3</v>
      </c>
      <c r="H190" t="s">
        <v>55</v>
      </c>
      <c r="I190">
        <v>30400</v>
      </c>
      <c r="J190">
        <v>31900</v>
      </c>
      <c r="K190">
        <v>0.14000000000000001</v>
      </c>
      <c r="L190">
        <f>IF(Wapato_Inventory[[#This Row],[parcel_acres]]-Wapato_Inventory[[#This Row],[non_valued_acres]] =0,0,LN(Wapato_Inventory[[#This Row],[parcel_acres]]-Wapato_Inventory[[#This Row],[non_valued_acres]]))</f>
        <v>-1.9661128563728327</v>
      </c>
      <c r="M190">
        <v>0</v>
      </c>
      <c r="N190">
        <v>0</v>
      </c>
      <c r="O190">
        <v>0</v>
      </c>
      <c r="P190">
        <v>27904.037</v>
      </c>
      <c r="Q190">
        <v>74398</v>
      </c>
      <c r="R190" s="3">
        <f>(Wapato_Inventory[[#This Row],[ln_acres]]*Wapato_Inventory[[#This Row],[coeff]])+Wapato_Inventory[[#This Row],[const]]</f>
        <v>19535.514109596792</v>
      </c>
      <c r="S190" t="s">
        <v>83</v>
      </c>
      <c r="T190">
        <v>1</v>
      </c>
      <c r="U190" t="s">
        <v>86</v>
      </c>
      <c r="V190" t="s">
        <v>73</v>
      </c>
      <c r="W190">
        <v>0</v>
      </c>
      <c r="X190">
        <v>0</v>
      </c>
      <c r="Y190">
        <v>57</v>
      </c>
      <c r="Z190">
        <v>103</v>
      </c>
      <c r="AA190">
        <v>110</v>
      </c>
      <c r="AB190">
        <v>500</v>
      </c>
      <c r="AC190">
        <v>432</v>
      </c>
      <c r="AD190">
        <v>432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5</v>
      </c>
      <c r="AQ190">
        <v>0</v>
      </c>
      <c r="AR190">
        <v>0</v>
      </c>
      <c r="AS190" t="s">
        <v>59</v>
      </c>
      <c r="AT190">
        <v>1</v>
      </c>
      <c r="AU190" t="s">
        <v>72</v>
      </c>
      <c r="AV190" t="s">
        <v>61</v>
      </c>
      <c r="AW190">
        <v>0</v>
      </c>
      <c r="AX190">
        <v>1</v>
      </c>
      <c r="AY190">
        <v>0</v>
      </c>
      <c r="AZ190">
        <v>0</v>
      </c>
      <c r="BA190">
        <v>100</v>
      </c>
      <c r="BB190">
        <v>100</v>
      </c>
      <c r="BC190">
        <v>100</v>
      </c>
      <c r="BD190">
        <v>100</v>
      </c>
      <c r="BE190">
        <v>1</v>
      </c>
      <c r="BF190">
        <v>15000</v>
      </c>
      <c r="BG190">
        <v>1000</v>
      </c>
      <c r="BH190" s="7">
        <f>ROUND(Wapato_Inventory[[#This Row],[detatched_value]]*Lookups!$B$22*Lookups!$H$48,-2)</f>
        <v>0</v>
      </c>
      <c r="BI190" s="7">
        <f>ROUND(((Wapato_Inventory[[#This Row],[land_extract]]*Lookups!$B$3) +(Lookups!$B$2*0.5))*Lookups!$H$48,-2)</f>
        <v>53000</v>
      </c>
      <c r="BJ190" s="7">
        <f>IF(Wapato_Inventory[[#This Row],[bldg_style]]="",0,Lookups!$B$2*0.5)</f>
        <v>53765.27</v>
      </c>
      <c r="BK190" s="7">
        <f>_xlfn.IFNA(VLOOKUP(Wapato_Inventory[[#This Row],[quality]],Lookups!$H$2:$J$14,3,FALSE),0)</f>
        <v>0</v>
      </c>
      <c r="BL190" s="7">
        <f>_xlfn.IFNA(VLOOKUP(Wapato_Inventory[[#This Row],[condition]],Lookups!$H$17:$J$24,3,FALSE),0)</f>
        <v>16276</v>
      </c>
      <c r="BM190" s="7">
        <f>Wapato_Inventory[[#This Row],[Age]]*Lookups!$B$16</f>
        <v>-38179.597099999999</v>
      </c>
      <c r="BN190" s="7">
        <f>Wapato_Inventory[[#This Row],[Main Floor]]*Lookups!$B$17</f>
        <v>18057.919247999998</v>
      </c>
      <c r="BO190" s="7">
        <f>Wapato_Inventory[[#This Row],[Upper Floor]]*Lookups!$B$18</f>
        <v>0</v>
      </c>
      <c r="BP190" s="7">
        <f>Wapato_Inventory[[#This Row],[Fin BSMT]]*Lookups!$B$19</f>
        <v>0</v>
      </c>
      <c r="BQ190" s="7">
        <f>(Wapato_Inventory[[#This Row],[att_gar]]+Wapato_Inventory[[#This Row],[blt_gar]])*Lookups!$B$20</f>
        <v>0</v>
      </c>
      <c r="BR190" s="7">
        <f>Wapato_Inventory[[#This Row],[Patio]]*Lookups!$B$21</f>
        <v>0</v>
      </c>
      <c r="BS190" s="7">
        <f>SUM(Wapato_Inventory[[#This Row],[intercept]:[patio_value]])*Wapato_Inventory[[#This Row],[res_pct]]</f>
        <v>49919.592147999989</v>
      </c>
      <c r="BT190" s="7">
        <f>Wapato_Inventory[[#This Row],[land_value]]</f>
        <v>53000</v>
      </c>
      <c r="BU190" s="2">
        <f>_xlfn.IFNA(VLOOKUP(Wapato_Inventory[[#This Row],[quality]],Lookups!$A$28:$C$37,3,FALSE),1)</f>
        <v>1.0000010866511106</v>
      </c>
      <c r="BV190" s="2">
        <f>_xlfn.IFNA(VLOOKUP(Wapato_Inventory[[#This Row],[condition]],Lookups!$A$41:$C$48,3,FALSE),1)</f>
        <v>0.93399385491337139</v>
      </c>
      <c r="BW190" s="2">
        <f>IF(Wapato_Inventory[[#This Row],[decade]]="",1,_xlfn.IFNA(VLOOKUP(Wapato_Inventory[[#This Row],[decade]],Lookups!$F$28:$H$45,3,FALSE),1))</f>
        <v>0.93664589651353292</v>
      </c>
      <c r="BX190" s="2">
        <f>_xlfn.IFNA(VLOOKUP(Wapato_Inventory[[#This Row],[living_area_range]],Lookups!$K$28:$M$37,3,FALSE),1)</f>
        <v>0.62984720518148585</v>
      </c>
      <c r="BY190" s="2">
        <f>AVERAGE(Wapato_Inventory[[#This Row],[qual_adj]:[range_adj]])</f>
        <v>0.87512201081487517</v>
      </c>
      <c r="BZ190" s="7">
        <f>(Wapato_Inventory[[#This Row],[sum_land]]-IF(Wapato_Inventory[[#This Row],[no_utilities]]=1,12000,0))/IF(Wapato_Inventory[[#This Row],[unbuildable]]=1,2,1)</f>
        <v>53000</v>
      </c>
      <c r="CA190" s="7">
        <f>Wapato_Inventory[[#This Row],[pre_res]]*Wapato_Inventory[[#This Row],[overall_adj]]</f>
        <v>43685.733859616201</v>
      </c>
      <c r="CB19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90" s="3">
        <f>IF(ROUND(Wapato_Inventory[[#This Row],[adj_res]]*Lookups!$H$48,-2)&lt;Wapato_Inventory[[#This Row],[min_res]],Wapato_Inventory[[#This Row],[min_res]],ROUND(Wapato_Inventory[[#This Row],[adj_res]]*Lookups!$H$48,-2))</f>
        <v>41500</v>
      </c>
      <c r="CD190" s="3">
        <f>ROUND(Wapato_Inventory[[#This Row],[det_value]]*Lookups!$H$48,-2)</f>
        <v>0</v>
      </c>
      <c r="CE190" s="3">
        <f>Wapato_Inventory[[#This Row],[final_res]]+Wapato_Inventory[[#This Row],[final_det]]</f>
        <v>41500</v>
      </c>
      <c r="CF190" s="3">
        <f>Wapato_Inventory[[#This Row],[crop_value]]+Wapato_Inventory[[#This Row],[final_land]]+Wapato_Inventory[[#This Row],[final_imp]]</f>
        <v>91900</v>
      </c>
      <c r="CH190" t="str">
        <f t="shared" si="2"/>
        <v>update valuation set market_land =50400, market_bldg=41500, market_total =91900, market_mdno =405, market_date ='9/10/2023' where link_id = (select link_id from parcel where parcel_year = '2024' and parcel_id = '19111041471');</v>
      </c>
    </row>
    <row r="191" spans="1:86" x14ac:dyDescent="0.25">
      <c r="A191">
        <v>19111041472</v>
      </c>
      <c r="B191">
        <v>0.14000000000000001</v>
      </c>
      <c r="C191">
        <v>6250</v>
      </c>
      <c r="D191" t="s">
        <v>144</v>
      </c>
      <c r="E191" t="s">
        <v>54</v>
      </c>
      <c r="F191" t="s">
        <v>54</v>
      </c>
      <c r="G191">
        <v>3</v>
      </c>
      <c r="H191" t="s">
        <v>55</v>
      </c>
      <c r="I191">
        <v>91400</v>
      </c>
      <c r="J191">
        <v>31900</v>
      </c>
      <c r="K191">
        <v>0.14000000000000001</v>
      </c>
      <c r="L191">
        <f>IF(Wapato_Inventory[[#This Row],[parcel_acres]]-Wapato_Inventory[[#This Row],[non_valued_acres]] =0,0,LN(Wapato_Inventory[[#This Row],[parcel_acres]]-Wapato_Inventory[[#This Row],[non_valued_acres]]))</f>
        <v>-1.9661128563728327</v>
      </c>
      <c r="M191">
        <v>0</v>
      </c>
      <c r="N191">
        <v>0</v>
      </c>
      <c r="O191">
        <v>0</v>
      </c>
      <c r="P191">
        <v>27904.037</v>
      </c>
      <c r="Q191">
        <v>74398</v>
      </c>
      <c r="R191" s="3">
        <f>(Wapato_Inventory[[#This Row],[ln_acres]]*Wapato_Inventory[[#This Row],[coeff]])+Wapato_Inventory[[#This Row],[const]]</f>
        <v>19535.514109596792</v>
      </c>
      <c r="S191" t="s">
        <v>66</v>
      </c>
      <c r="T191">
        <v>1</v>
      </c>
      <c r="U191" t="s">
        <v>71</v>
      </c>
      <c r="V191" t="s">
        <v>68</v>
      </c>
      <c r="W191">
        <v>0</v>
      </c>
      <c r="X191">
        <v>0</v>
      </c>
      <c r="Y191">
        <v>57</v>
      </c>
      <c r="Z191">
        <v>103</v>
      </c>
      <c r="AA191">
        <v>110</v>
      </c>
      <c r="AB191">
        <v>1000</v>
      </c>
      <c r="AC191">
        <v>753</v>
      </c>
      <c r="AD191">
        <v>753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84</v>
      </c>
      <c r="AO191">
        <v>0</v>
      </c>
      <c r="AP191">
        <v>5</v>
      </c>
      <c r="AQ191">
        <v>0</v>
      </c>
      <c r="AR191">
        <v>0</v>
      </c>
      <c r="AS191" t="s">
        <v>59</v>
      </c>
      <c r="AT191">
        <v>1</v>
      </c>
      <c r="AU191" t="s">
        <v>72</v>
      </c>
      <c r="AV191" t="s">
        <v>61</v>
      </c>
      <c r="AW191">
        <v>0</v>
      </c>
      <c r="AX191">
        <v>2</v>
      </c>
      <c r="AY191">
        <v>0</v>
      </c>
      <c r="AZ191">
        <v>0</v>
      </c>
      <c r="BA191">
        <v>100</v>
      </c>
      <c r="BB191">
        <v>100</v>
      </c>
      <c r="BC191">
        <v>100</v>
      </c>
      <c r="BD191">
        <v>100</v>
      </c>
      <c r="BE191">
        <v>1</v>
      </c>
      <c r="BF191">
        <v>15000</v>
      </c>
      <c r="BG191">
        <v>1000</v>
      </c>
      <c r="BH191" s="7">
        <f>ROUND(Wapato_Inventory[[#This Row],[detatched_value]]*Lookups!$B$22*Lookups!$H$48,-2)</f>
        <v>0</v>
      </c>
      <c r="BI191" s="7">
        <f>ROUND(((Wapato_Inventory[[#This Row],[land_extract]]*Lookups!$B$3) +(Lookups!$B$2*0.5))*Lookups!$H$48,-2)</f>
        <v>53000</v>
      </c>
      <c r="BJ191" s="7">
        <f>IF(Wapato_Inventory[[#This Row],[bldg_style]]="",0,Lookups!$B$2*0.5)</f>
        <v>53765.27</v>
      </c>
      <c r="BK191" s="7">
        <f>_xlfn.IFNA(VLOOKUP(Wapato_Inventory[[#This Row],[quality]],Lookups!$H$2:$J$14,3,FALSE),0)</f>
        <v>28034</v>
      </c>
      <c r="BL191" s="7">
        <f>_xlfn.IFNA(VLOOKUP(Wapato_Inventory[[#This Row],[condition]],Lookups!$H$17:$J$24,3,FALSE),0)</f>
        <v>52231</v>
      </c>
      <c r="BM191" s="7">
        <f>Wapato_Inventory[[#This Row],[Age]]*Lookups!$B$16</f>
        <v>-38179.597099999999</v>
      </c>
      <c r="BN191" s="7">
        <f>Wapato_Inventory[[#This Row],[Main Floor]]*Lookups!$B$17</f>
        <v>31475.956467</v>
      </c>
      <c r="BO191" s="7">
        <f>Wapato_Inventory[[#This Row],[Upper Floor]]*Lookups!$B$18</f>
        <v>0</v>
      </c>
      <c r="BP191" s="7">
        <f>Wapato_Inventory[[#This Row],[Fin BSMT]]*Lookups!$B$19</f>
        <v>0</v>
      </c>
      <c r="BQ191" s="7">
        <f>(Wapato_Inventory[[#This Row],[att_gar]]+Wapato_Inventory[[#This Row],[blt_gar]])*Lookups!$B$20</f>
        <v>0</v>
      </c>
      <c r="BR191" s="7">
        <f>Wapato_Inventory[[#This Row],[Patio]]*Lookups!$B$21</f>
        <v>0</v>
      </c>
      <c r="BS191" s="7">
        <f>SUM(Wapato_Inventory[[#This Row],[intercept]:[patio_value]])*Wapato_Inventory[[#This Row],[res_pct]]</f>
        <v>127326.62936699999</v>
      </c>
      <c r="BT191" s="7">
        <f>Wapato_Inventory[[#This Row],[land_value]]</f>
        <v>53000</v>
      </c>
      <c r="BU191" s="2">
        <f>_xlfn.IFNA(VLOOKUP(Wapato_Inventory[[#This Row],[quality]],Lookups!$A$28:$C$37,3,FALSE),1)</f>
        <v>0.96265813922927435</v>
      </c>
      <c r="BV191" s="2">
        <f>_xlfn.IFNA(VLOOKUP(Wapato_Inventory[[#This Row],[condition]],Lookups!$A$41:$C$48,3,FALSE),1)</f>
        <v>0.9832333997567807</v>
      </c>
      <c r="BW191" s="2">
        <f>IF(Wapato_Inventory[[#This Row],[decade]]="",1,_xlfn.IFNA(VLOOKUP(Wapato_Inventory[[#This Row],[decade]],Lookups!$F$28:$H$45,3,FALSE),1))</f>
        <v>0.93664589651353292</v>
      </c>
      <c r="BX191" s="2">
        <f>_xlfn.IFNA(VLOOKUP(Wapato_Inventory[[#This Row],[living_area_range]],Lookups!$K$28:$M$37,3,FALSE),1)</f>
        <v>0.99022994770196116</v>
      </c>
      <c r="BY191" s="2">
        <f>AVERAGE(Wapato_Inventory[[#This Row],[qual_adj]:[range_adj]])</f>
        <v>0.9681918458003872</v>
      </c>
      <c r="BZ191" s="7">
        <f>(Wapato_Inventory[[#This Row],[sum_land]]-IF(Wapato_Inventory[[#This Row],[no_utilities]]=1,12000,0))/IF(Wapato_Inventory[[#This Row],[unbuildable]]=1,2,1)</f>
        <v>53000</v>
      </c>
      <c r="CA191" s="7">
        <f>Wapato_Inventory[[#This Row],[pre_res]]*Wapato_Inventory[[#This Row],[overall_adj]]</f>
        <v>123276.6043063775</v>
      </c>
      <c r="CB19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91" s="3">
        <f>IF(ROUND(Wapato_Inventory[[#This Row],[adj_res]]*Lookups!$H$48,-2)&lt;Wapato_Inventory[[#This Row],[min_res]],Wapato_Inventory[[#This Row],[min_res]],ROUND(Wapato_Inventory[[#This Row],[adj_res]]*Lookups!$H$48,-2))</f>
        <v>117100</v>
      </c>
      <c r="CD191" s="3">
        <f>ROUND(Wapato_Inventory[[#This Row],[det_value]]*Lookups!$H$48,-2)</f>
        <v>0</v>
      </c>
      <c r="CE191" s="3">
        <f>Wapato_Inventory[[#This Row],[final_res]]+Wapato_Inventory[[#This Row],[final_det]]</f>
        <v>117100</v>
      </c>
      <c r="CF191" s="3">
        <f>Wapato_Inventory[[#This Row],[crop_value]]+Wapato_Inventory[[#This Row],[final_land]]+Wapato_Inventory[[#This Row],[final_imp]]</f>
        <v>167500</v>
      </c>
      <c r="CH191" t="str">
        <f t="shared" si="2"/>
        <v>update valuation set market_land =50400, market_bldg=117100, market_total =167500, market_mdno =405, market_date ='9/10/2023' where link_id = (select link_id from parcel where parcel_year = '2024' and parcel_id = '19111041472');</v>
      </c>
    </row>
    <row r="192" spans="1:86" x14ac:dyDescent="0.25">
      <c r="A192">
        <v>19111041473</v>
      </c>
      <c r="B192">
        <v>0.14000000000000001</v>
      </c>
      <c r="C192">
        <v>6250</v>
      </c>
      <c r="D192" t="s">
        <v>144</v>
      </c>
      <c r="E192" t="s">
        <v>54</v>
      </c>
      <c r="F192" t="s">
        <v>54</v>
      </c>
      <c r="G192">
        <v>3</v>
      </c>
      <c r="H192" t="s">
        <v>55</v>
      </c>
      <c r="I192">
        <v>60800</v>
      </c>
      <c r="J192">
        <v>31900</v>
      </c>
      <c r="K192">
        <v>0.14000000000000001</v>
      </c>
      <c r="L192">
        <f>IF(Wapato_Inventory[[#This Row],[parcel_acres]]-Wapato_Inventory[[#This Row],[non_valued_acres]] =0,0,LN(Wapato_Inventory[[#This Row],[parcel_acres]]-Wapato_Inventory[[#This Row],[non_valued_acres]]))</f>
        <v>-1.9661128563728327</v>
      </c>
      <c r="M192">
        <v>0</v>
      </c>
      <c r="N192">
        <v>0</v>
      </c>
      <c r="O192">
        <v>0</v>
      </c>
      <c r="P192">
        <v>27904.037</v>
      </c>
      <c r="Q192">
        <v>74398</v>
      </c>
      <c r="R192" s="3">
        <f>(Wapato_Inventory[[#This Row],[ln_acres]]*Wapato_Inventory[[#This Row],[coeff]])+Wapato_Inventory[[#This Row],[const]]</f>
        <v>19535.514109596792</v>
      </c>
      <c r="S192" t="s">
        <v>56</v>
      </c>
      <c r="T192">
        <v>2</v>
      </c>
      <c r="U192" t="s">
        <v>78</v>
      </c>
      <c r="V192" t="s">
        <v>84</v>
      </c>
      <c r="W192">
        <v>0</v>
      </c>
      <c r="X192">
        <v>0</v>
      </c>
      <c r="Y192">
        <v>57</v>
      </c>
      <c r="Z192">
        <v>103</v>
      </c>
      <c r="AA192">
        <v>110</v>
      </c>
      <c r="AB192">
        <v>1000</v>
      </c>
      <c r="AC192">
        <v>874</v>
      </c>
      <c r="AD192">
        <v>624</v>
      </c>
      <c r="AE192">
        <v>250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5</v>
      </c>
      <c r="AQ192">
        <v>0</v>
      </c>
      <c r="AR192">
        <v>0</v>
      </c>
      <c r="AS192" t="s">
        <v>59</v>
      </c>
      <c r="AT192">
        <v>0</v>
      </c>
      <c r="AU192" t="s">
        <v>80</v>
      </c>
      <c r="AV192" t="s">
        <v>61</v>
      </c>
      <c r="AW192">
        <v>0</v>
      </c>
      <c r="AX192">
        <v>3</v>
      </c>
      <c r="AY192">
        <v>0</v>
      </c>
      <c r="AZ192">
        <v>0</v>
      </c>
      <c r="BA192">
        <v>100</v>
      </c>
      <c r="BB192">
        <v>100</v>
      </c>
      <c r="BC192">
        <v>100</v>
      </c>
      <c r="BD192">
        <v>100</v>
      </c>
      <c r="BE192">
        <v>1</v>
      </c>
      <c r="BF192">
        <v>15000</v>
      </c>
      <c r="BG192">
        <v>1000</v>
      </c>
      <c r="BH192" s="7">
        <f>ROUND(Wapato_Inventory[[#This Row],[detatched_value]]*Lookups!$B$22*Lookups!$H$48,-2)</f>
        <v>0</v>
      </c>
      <c r="BI192" s="7">
        <f>ROUND(((Wapato_Inventory[[#This Row],[land_extract]]*Lookups!$B$3) +(Lookups!$B$2*0.5))*Lookups!$H$48,-2)</f>
        <v>53000</v>
      </c>
      <c r="BJ192" s="7">
        <f>IF(Wapato_Inventory[[#This Row],[bldg_style]]="",0,Lookups!$B$2*0.5)</f>
        <v>53765.27</v>
      </c>
      <c r="BK192" s="7">
        <f>_xlfn.IFNA(VLOOKUP(Wapato_Inventory[[#This Row],[quality]],Lookups!$H$2:$J$14,3,FALSE),0)</f>
        <v>23424</v>
      </c>
      <c r="BL192" s="7">
        <f>_xlfn.IFNA(VLOOKUP(Wapato_Inventory[[#This Row],[condition]],Lookups!$H$17:$J$24,3,FALSE),0)</f>
        <v>0</v>
      </c>
      <c r="BM192" s="7">
        <f>Wapato_Inventory[[#This Row],[Age]]*Lookups!$B$16</f>
        <v>-38179.597099999999</v>
      </c>
      <c r="BN192" s="7">
        <f>Wapato_Inventory[[#This Row],[Main Floor]]*Lookups!$B$17</f>
        <v>26083.661135999999</v>
      </c>
      <c r="BO192" s="7">
        <f>Wapato_Inventory[[#This Row],[Upper Floor]]*Lookups!$B$18</f>
        <v>12400.284750000001</v>
      </c>
      <c r="BP192" s="7">
        <f>Wapato_Inventory[[#This Row],[Fin BSMT]]*Lookups!$B$19</f>
        <v>0</v>
      </c>
      <c r="BQ192" s="7">
        <f>(Wapato_Inventory[[#This Row],[att_gar]]+Wapato_Inventory[[#This Row],[blt_gar]])*Lookups!$B$20</f>
        <v>0</v>
      </c>
      <c r="BR192" s="7">
        <f>Wapato_Inventory[[#This Row],[Patio]]*Lookups!$B$21</f>
        <v>0</v>
      </c>
      <c r="BS192" s="7">
        <f>SUM(Wapato_Inventory[[#This Row],[intercept]:[patio_value]])*Wapato_Inventory[[#This Row],[res_pct]]</f>
        <v>77493.618785999992</v>
      </c>
      <c r="BT192" s="7">
        <f>Wapato_Inventory[[#This Row],[land_value]]</f>
        <v>53000</v>
      </c>
      <c r="BU192" s="2">
        <f>_xlfn.IFNA(VLOOKUP(Wapato_Inventory[[#This Row],[quality]],Lookups!$A$28:$C$37,3,FALSE),1)</f>
        <v>1.0091195562373767</v>
      </c>
      <c r="BV192" s="2">
        <f>_xlfn.IFNA(VLOOKUP(Wapato_Inventory[[#This Row],[condition]],Lookups!$A$41:$C$48,3,FALSE),1)</f>
        <v>1.0000035546274355</v>
      </c>
      <c r="BW192" s="2">
        <f>IF(Wapato_Inventory[[#This Row],[decade]]="",1,_xlfn.IFNA(VLOOKUP(Wapato_Inventory[[#This Row],[decade]],Lookups!$F$28:$H$45,3,FALSE),1))</f>
        <v>0.93664589651353292</v>
      </c>
      <c r="BX192" s="2">
        <f>_xlfn.IFNA(VLOOKUP(Wapato_Inventory[[#This Row],[living_area_range]],Lookups!$K$28:$M$37,3,FALSE),1)</f>
        <v>0.99022994770196116</v>
      </c>
      <c r="BY192" s="2">
        <f>AVERAGE(Wapato_Inventory[[#This Row],[qual_adj]:[range_adj]])</f>
        <v>0.98399973877007663</v>
      </c>
      <c r="BZ192" s="7">
        <f>(Wapato_Inventory[[#This Row],[sum_land]]-IF(Wapato_Inventory[[#This Row],[no_utilities]]=1,12000,0))/IF(Wapato_Inventory[[#This Row],[unbuildable]]=1,2,1)</f>
        <v>53000</v>
      </c>
      <c r="CA192" s="7">
        <f>Wapato_Inventory[[#This Row],[pre_res]]*Wapato_Inventory[[#This Row],[overall_adj]]</f>
        <v>76253.700641771895</v>
      </c>
      <c r="CB19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92" s="3">
        <f>IF(ROUND(Wapato_Inventory[[#This Row],[adj_res]]*Lookups!$H$48,-2)&lt;Wapato_Inventory[[#This Row],[min_res]],Wapato_Inventory[[#This Row],[min_res]],ROUND(Wapato_Inventory[[#This Row],[adj_res]]*Lookups!$H$48,-2))</f>
        <v>72400</v>
      </c>
      <c r="CD192" s="3">
        <f>ROUND(Wapato_Inventory[[#This Row],[det_value]]*Lookups!$H$48,-2)</f>
        <v>0</v>
      </c>
      <c r="CE192" s="3">
        <f>Wapato_Inventory[[#This Row],[final_res]]+Wapato_Inventory[[#This Row],[final_det]]</f>
        <v>72400</v>
      </c>
      <c r="CF192" s="3">
        <f>Wapato_Inventory[[#This Row],[crop_value]]+Wapato_Inventory[[#This Row],[final_land]]+Wapato_Inventory[[#This Row],[final_imp]]</f>
        <v>122800</v>
      </c>
      <c r="CH192" t="str">
        <f t="shared" si="2"/>
        <v>update valuation set market_land =50400, market_bldg=72400, market_total =122800, market_mdno =405, market_date ='9/10/2023' where link_id = (select link_id from parcel where parcel_year = '2024' and parcel_id = '19111041473');</v>
      </c>
    </row>
    <row r="193" spans="1:86" x14ac:dyDescent="0.25">
      <c r="A193">
        <v>19111041475</v>
      </c>
      <c r="B193">
        <v>0.14000000000000001</v>
      </c>
      <c r="C193">
        <v>6250</v>
      </c>
      <c r="D193" t="s">
        <v>144</v>
      </c>
      <c r="E193" t="s">
        <v>54</v>
      </c>
      <c r="F193" t="s">
        <v>54</v>
      </c>
      <c r="G193">
        <v>3</v>
      </c>
      <c r="H193" t="s">
        <v>55</v>
      </c>
      <c r="I193">
        <v>190900</v>
      </c>
      <c r="J193">
        <v>31900</v>
      </c>
      <c r="K193">
        <v>0.14000000000000001</v>
      </c>
      <c r="L193">
        <f>IF(Wapato_Inventory[[#This Row],[parcel_acres]]-Wapato_Inventory[[#This Row],[non_valued_acres]] =0,0,LN(Wapato_Inventory[[#This Row],[parcel_acres]]-Wapato_Inventory[[#This Row],[non_valued_acres]]))</f>
        <v>-1.9661128563728327</v>
      </c>
      <c r="M193">
        <v>0</v>
      </c>
      <c r="N193">
        <v>0</v>
      </c>
      <c r="O193">
        <v>0</v>
      </c>
      <c r="P193">
        <v>27904.037</v>
      </c>
      <c r="Q193">
        <v>74398</v>
      </c>
      <c r="R193" s="3">
        <f>(Wapato_Inventory[[#This Row],[ln_acres]]*Wapato_Inventory[[#This Row],[coeff]])+Wapato_Inventory[[#This Row],[const]]</f>
        <v>19535.514109596792</v>
      </c>
      <c r="S193" t="s">
        <v>66</v>
      </c>
      <c r="T193">
        <v>1</v>
      </c>
      <c r="U193" t="s">
        <v>75</v>
      </c>
      <c r="V193" t="s">
        <v>68</v>
      </c>
      <c r="W193">
        <v>0</v>
      </c>
      <c r="X193">
        <v>0</v>
      </c>
      <c r="Y193">
        <v>51</v>
      </c>
      <c r="Z193">
        <v>83</v>
      </c>
      <c r="AA193">
        <v>90</v>
      </c>
      <c r="AB193">
        <v>2000</v>
      </c>
      <c r="AC193">
        <v>1695</v>
      </c>
      <c r="AD193">
        <v>1695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8</v>
      </c>
      <c r="AQ193">
        <v>0</v>
      </c>
      <c r="AR193">
        <v>0</v>
      </c>
      <c r="AS193" t="s">
        <v>59</v>
      </c>
      <c r="AT193">
        <v>1</v>
      </c>
      <c r="AU193" t="s">
        <v>64</v>
      </c>
      <c r="AV193" t="s">
        <v>61</v>
      </c>
      <c r="AW193">
        <v>0</v>
      </c>
      <c r="AX193">
        <v>3</v>
      </c>
      <c r="AY193">
        <v>0</v>
      </c>
      <c r="AZ193">
        <v>0</v>
      </c>
      <c r="BA193">
        <v>100</v>
      </c>
      <c r="BB193">
        <v>100</v>
      </c>
      <c r="BC193">
        <v>100</v>
      </c>
      <c r="BD193">
        <v>100</v>
      </c>
      <c r="BE193">
        <v>1</v>
      </c>
      <c r="BF193">
        <v>15000</v>
      </c>
      <c r="BG193">
        <v>1000</v>
      </c>
      <c r="BH193" s="7">
        <f>ROUND(Wapato_Inventory[[#This Row],[detatched_value]]*Lookups!$B$22*Lookups!$H$48,-2)</f>
        <v>0</v>
      </c>
      <c r="BI193" s="7">
        <f>ROUND(((Wapato_Inventory[[#This Row],[land_extract]]*Lookups!$B$3) +(Lookups!$B$2*0.5))*Lookups!$H$48,-2)</f>
        <v>53000</v>
      </c>
      <c r="BJ193" s="7">
        <f>IF(Wapato_Inventory[[#This Row],[bldg_style]]="",0,Lookups!$B$2*0.5)</f>
        <v>53765.27</v>
      </c>
      <c r="BK193" s="7">
        <f>_xlfn.IFNA(VLOOKUP(Wapato_Inventory[[#This Row],[quality]],Lookups!$H$2:$J$14,3,FALSE),0)</f>
        <v>48043</v>
      </c>
      <c r="BL193" s="7">
        <f>_xlfn.IFNA(VLOOKUP(Wapato_Inventory[[#This Row],[condition]],Lookups!$H$17:$J$24,3,FALSE),0)</f>
        <v>52231</v>
      </c>
      <c r="BM193" s="7">
        <f>Wapato_Inventory[[#This Row],[Age]]*Lookups!$B$16</f>
        <v>-30766.0831</v>
      </c>
      <c r="BN193" s="7">
        <f>Wapato_Inventory[[#This Row],[Main Floor]]*Lookups!$B$17</f>
        <v>70852.252605000001</v>
      </c>
      <c r="BO193" s="7">
        <f>Wapato_Inventory[[#This Row],[Upper Floor]]*Lookups!$B$18</f>
        <v>0</v>
      </c>
      <c r="BP193" s="7">
        <f>Wapato_Inventory[[#This Row],[Fin BSMT]]*Lookups!$B$19</f>
        <v>0</v>
      </c>
      <c r="BQ193" s="7">
        <f>(Wapato_Inventory[[#This Row],[att_gar]]+Wapato_Inventory[[#This Row],[blt_gar]])*Lookups!$B$20</f>
        <v>0</v>
      </c>
      <c r="BR193" s="7">
        <f>Wapato_Inventory[[#This Row],[Patio]]*Lookups!$B$21</f>
        <v>0</v>
      </c>
      <c r="BS193" s="7">
        <f>SUM(Wapato_Inventory[[#This Row],[intercept]:[patio_value]])*Wapato_Inventory[[#This Row],[res_pct]]</f>
        <v>194125.43950499999</v>
      </c>
      <c r="BT193" s="7">
        <f>Wapato_Inventory[[#This Row],[land_value]]</f>
        <v>53000</v>
      </c>
      <c r="BU193" s="2">
        <f>_xlfn.IFNA(VLOOKUP(Wapato_Inventory[[#This Row],[quality]],Lookups!$A$28:$C$37,3,FALSE),1)</f>
        <v>0.98196844879778955</v>
      </c>
      <c r="BV193" s="2">
        <f>_xlfn.IFNA(VLOOKUP(Wapato_Inventory[[#This Row],[condition]],Lookups!$A$41:$C$48,3,FALSE),1)</f>
        <v>0.9832333997567807</v>
      </c>
      <c r="BW193" s="2">
        <f>IF(Wapato_Inventory[[#This Row],[decade]]="",1,_xlfn.IFNA(VLOOKUP(Wapato_Inventory[[#This Row],[decade]],Lookups!$F$28:$H$45,3,FALSE),1))</f>
        <v>0.94742695999815718</v>
      </c>
      <c r="BX193" s="2">
        <f>_xlfn.IFNA(VLOOKUP(Wapato_Inventory[[#This Row],[living_area_range]],Lookups!$K$28:$M$37,3,FALSE),1)</f>
        <v>0.99330894324714125</v>
      </c>
      <c r="BY193" s="2">
        <f>AVERAGE(Wapato_Inventory[[#This Row],[qual_adj]:[range_adj]])</f>
        <v>0.97648443794996709</v>
      </c>
      <c r="BZ193" s="7">
        <f>(Wapato_Inventory[[#This Row],[sum_land]]-IF(Wapato_Inventory[[#This Row],[no_utilities]]=1,12000,0))/IF(Wapato_Inventory[[#This Row],[unbuildable]]=1,2,1)</f>
        <v>53000</v>
      </c>
      <c r="CA193" s="7">
        <f>Wapato_Inventory[[#This Row],[pre_res]]*Wapato_Inventory[[#This Row],[overall_adj]]</f>
        <v>189560.47068683026</v>
      </c>
      <c r="CB19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93" s="3">
        <f>IF(ROUND(Wapato_Inventory[[#This Row],[adj_res]]*Lookups!$H$48,-2)&lt;Wapato_Inventory[[#This Row],[min_res]],Wapato_Inventory[[#This Row],[min_res]],ROUND(Wapato_Inventory[[#This Row],[adj_res]]*Lookups!$H$48,-2))</f>
        <v>180100</v>
      </c>
      <c r="CD193" s="3">
        <f>ROUND(Wapato_Inventory[[#This Row],[det_value]]*Lookups!$H$48,-2)</f>
        <v>0</v>
      </c>
      <c r="CE193" s="3">
        <f>Wapato_Inventory[[#This Row],[final_res]]+Wapato_Inventory[[#This Row],[final_det]]</f>
        <v>180100</v>
      </c>
      <c r="CF193" s="3">
        <f>Wapato_Inventory[[#This Row],[crop_value]]+Wapato_Inventory[[#This Row],[final_land]]+Wapato_Inventory[[#This Row],[final_imp]]</f>
        <v>230500</v>
      </c>
      <c r="CH193" t="str">
        <f t="shared" si="2"/>
        <v>update valuation set market_land =50400, market_bldg=180100, market_total =230500, market_mdno =405, market_date ='9/10/2023' where link_id = (select link_id from parcel where parcel_year = '2024' and parcel_id = '19111041475');</v>
      </c>
    </row>
    <row r="194" spans="1:86" x14ac:dyDescent="0.25">
      <c r="A194">
        <v>19111041476</v>
      </c>
      <c r="B194">
        <v>0.14000000000000001</v>
      </c>
      <c r="C194">
        <v>6250</v>
      </c>
      <c r="D194" t="s">
        <v>144</v>
      </c>
      <c r="E194" t="s">
        <v>54</v>
      </c>
      <c r="F194" t="s">
        <v>54</v>
      </c>
      <c r="G194">
        <v>3</v>
      </c>
      <c r="H194" t="s">
        <v>55</v>
      </c>
      <c r="I194">
        <v>120400</v>
      </c>
      <c r="J194">
        <v>31900</v>
      </c>
      <c r="K194">
        <v>0.14000000000000001</v>
      </c>
      <c r="L194">
        <f>IF(Wapato_Inventory[[#This Row],[parcel_acres]]-Wapato_Inventory[[#This Row],[non_valued_acres]] =0,0,LN(Wapato_Inventory[[#This Row],[parcel_acres]]-Wapato_Inventory[[#This Row],[non_valued_acres]]))</f>
        <v>-1.9661128563728327</v>
      </c>
      <c r="M194">
        <v>0</v>
      </c>
      <c r="N194">
        <v>0</v>
      </c>
      <c r="O194">
        <v>0</v>
      </c>
      <c r="P194">
        <v>27904.037</v>
      </c>
      <c r="Q194">
        <v>74398</v>
      </c>
      <c r="R194" s="3">
        <f>(Wapato_Inventory[[#This Row],[ln_acres]]*Wapato_Inventory[[#This Row],[coeff]])+Wapato_Inventory[[#This Row],[const]]</f>
        <v>19535.514109596792</v>
      </c>
      <c r="S194" t="s">
        <v>66</v>
      </c>
      <c r="T194">
        <v>1</v>
      </c>
      <c r="U194" t="s">
        <v>75</v>
      </c>
      <c r="V194" t="s">
        <v>73</v>
      </c>
      <c r="W194">
        <v>0</v>
      </c>
      <c r="X194">
        <v>0</v>
      </c>
      <c r="Y194">
        <v>53</v>
      </c>
      <c r="Z194">
        <v>93</v>
      </c>
      <c r="AA194">
        <v>100</v>
      </c>
      <c r="AB194">
        <v>1500</v>
      </c>
      <c r="AC194">
        <v>1100</v>
      </c>
      <c r="AD194">
        <v>1100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130</v>
      </c>
      <c r="AM194">
        <v>130</v>
      </c>
      <c r="AN194">
        <v>0</v>
      </c>
      <c r="AO194">
        <v>0</v>
      </c>
      <c r="AP194">
        <v>7</v>
      </c>
      <c r="AQ194">
        <v>0</v>
      </c>
      <c r="AR194">
        <v>0</v>
      </c>
      <c r="AS194" t="s">
        <v>59</v>
      </c>
      <c r="AT194">
        <v>1</v>
      </c>
      <c r="AU194" t="s">
        <v>64</v>
      </c>
      <c r="AV194" t="s">
        <v>61</v>
      </c>
      <c r="AW194">
        <v>0</v>
      </c>
      <c r="AX194">
        <v>3</v>
      </c>
      <c r="AY194">
        <v>0</v>
      </c>
      <c r="AZ194">
        <v>0</v>
      </c>
      <c r="BA194">
        <v>100</v>
      </c>
      <c r="BB194">
        <v>100</v>
      </c>
      <c r="BC194">
        <v>100</v>
      </c>
      <c r="BD194">
        <v>100</v>
      </c>
      <c r="BE194">
        <v>1</v>
      </c>
      <c r="BF194">
        <v>15000</v>
      </c>
      <c r="BG194">
        <v>1000</v>
      </c>
      <c r="BH194" s="7">
        <f>ROUND(Wapato_Inventory[[#This Row],[detatched_value]]*Lookups!$B$22*Lookups!$H$48,-2)</f>
        <v>0</v>
      </c>
      <c r="BI194" s="7">
        <f>ROUND(((Wapato_Inventory[[#This Row],[land_extract]]*Lookups!$B$3) +(Lookups!$B$2*0.5))*Lookups!$H$48,-2)</f>
        <v>53000</v>
      </c>
      <c r="BJ194" s="7">
        <f>IF(Wapato_Inventory[[#This Row],[bldg_style]]="",0,Lookups!$B$2*0.5)</f>
        <v>53765.27</v>
      </c>
      <c r="BK194" s="7">
        <f>_xlfn.IFNA(VLOOKUP(Wapato_Inventory[[#This Row],[quality]],Lookups!$H$2:$J$14,3,FALSE),0)</f>
        <v>48043</v>
      </c>
      <c r="BL194" s="7">
        <f>_xlfn.IFNA(VLOOKUP(Wapato_Inventory[[#This Row],[condition]],Lookups!$H$17:$J$24,3,FALSE),0)</f>
        <v>16276</v>
      </c>
      <c r="BM194" s="7">
        <f>Wapato_Inventory[[#This Row],[Age]]*Lookups!$B$16</f>
        <v>-34472.840100000001</v>
      </c>
      <c r="BN194" s="7">
        <f>Wapato_Inventory[[#This Row],[Main Floor]]*Lookups!$B$17</f>
        <v>45980.812899999997</v>
      </c>
      <c r="BO194" s="7">
        <f>Wapato_Inventory[[#This Row],[Upper Floor]]*Lookups!$B$18</f>
        <v>0</v>
      </c>
      <c r="BP194" s="7">
        <f>Wapato_Inventory[[#This Row],[Fin BSMT]]*Lookups!$B$19</f>
        <v>0</v>
      </c>
      <c r="BQ194" s="7">
        <f>(Wapato_Inventory[[#This Row],[att_gar]]+Wapato_Inventory[[#This Row],[blt_gar]])*Lookups!$B$20</f>
        <v>0</v>
      </c>
      <c r="BR194" s="7">
        <f>Wapato_Inventory[[#This Row],[Patio]]*Lookups!$B$21</f>
        <v>5632.1172699999997</v>
      </c>
      <c r="BS194" s="7">
        <f>SUM(Wapato_Inventory[[#This Row],[intercept]:[patio_value]])*Wapato_Inventory[[#This Row],[res_pct]]</f>
        <v>135224.36006999997</v>
      </c>
      <c r="BT194" s="7">
        <f>Wapato_Inventory[[#This Row],[land_value]]</f>
        <v>53000</v>
      </c>
      <c r="BU194" s="2">
        <f>_xlfn.IFNA(VLOOKUP(Wapato_Inventory[[#This Row],[quality]],Lookups!$A$28:$C$37,3,FALSE),1)</f>
        <v>0.98196844879778955</v>
      </c>
      <c r="BV194" s="2">
        <f>_xlfn.IFNA(VLOOKUP(Wapato_Inventory[[#This Row],[condition]],Lookups!$A$41:$C$48,3,FALSE),1)</f>
        <v>0.93399385491337139</v>
      </c>
      <c r="BW194" s="2">
        <f>IF(Wapato_Inventory[[#This Row],[decade]]="",1,_xlfn.IFNA(VLOOKUP(Wapato_Inventory[[#This Row],[decade]],Lookups!$F$28:$H$45,3,FALSE),1))</f>
        <v>1.0114203040664467</v>
      </c>
      <c r="BX194" s="2">
        <f>_xlfn.IFNA(VLOOKUP(Wapato_Inventory[[#This Row],[living_area_range]],Lookups!$K$28:$M$37,3,FALSE),1)</f>
        <v>1.0061411172456287</v>
      </c>
      <c r="BY194" s="2">
        <f>AVERAGE(Wapato_Inventory[[#This Row],[qual_adj]:[range_adj]])</f>
        <v>0.98338093125580905</v>
      </c>
      <c r="BZ194" s="7">
        <f>(Wapato_Inventory[[#This Row],[sum_land]]-IF(Wapato_Inventory[[#This Row],[no_utilities]]=1,12000,0))/IF(Wapato_Inventory[[#This Row],[unbuildable]]=1,2,1)</f>
        <v>53000</v>
      </c>
      <c r="CA194" s="7">
        <f>Wapato_Inventory[[#This Row],[pre_res]]*Wapato_Inventory[[#This Row],[overall_adj]]</f>
        <v>132977.0571341074</v>
      </c>
      <c r="CB19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94" s="3">
        <f>IF(ROUND(Wapato_Inventory[[#This Row],[adj_res]]*Lookups!$H$48,-2)&lt;Wapato_Inventory[[#This Row],[min_res]],Wapato_Inventory[[#This Row],[min_res]],ROUND(Wapato_Inventory[[#This Row],[adj_res]]*Lookups!$H$48,-2))</f>
        <v>126300</v>
      </c>
      <c r="CD194" s="3">
        <f>ROUND(Wapato_Inventory[[#This Row],[det_value]]*Lookups!$H$48,-2)</f>
        <v>0</v>
      </c>
      <c r="CE194" s="3">
        <f>Wapato_Inventory[[#This Row],[final_res]]+Wapato_Inventory[[#This Row],[final_det]]</f>
        <v>126300</v>
      </c>
      <c r="CF194" s="3">
        <f>Wapato_Inventory[[#This Row],[crop_value]]+Wapato_Inventory[[#This Row],[final_land]]+Wapato_Inventory[[#This Row],[final_imp]]</f>
        <v>176700</v>
      </c>
      <c r="CH194" t="str">
        <f t="shared" ref="CH194:CH257" si="3">"update valuation set market_land ="&amp;CB194&amp;", market_bldg="&amp;CE194&amp;", market_total ="&amp;CF194&amp;", market_mdno ="&amp;$CH$1&amp;", market_date ='"&amp;TEXT($CI$1,"m/d/yyyy")&amp;"' where link_id = (select link_id from parcel where parcel_year = '2024' and parcel_id = '"&amp;A194&amp;"');"</f>
        <v>update valuation set market_land =50400, market_bldg=126300, market_total =176700, market_mdno =405, market_date ='9/10/2023' where link_id = (select link_id from parcel where parcel_year = '2024' and parcel_id = '19111041476');</v>
      </c>
    </row>
    <row r="195" spans="1:86" x14ac:dyDescent="0.25">
      <c r="A195">
        <v>19111041477</v>
      </c>
      <c r="B195">
        <v>0.14000000000000001</v>
      </c>
      <c r="C195">
        <v>6251</v>
      </c>
      <c r="D195" t="s">
        <v>144</v>
      </c>
      <c r="E195" t="s">
        <v>54</v>
      </c>
      <c r="F195" t="s">
        <v>54</v>
      </c>
      <c r="G195">
        <v>3</v>
      </c>
      <c r="H195" t="s">
        <v>55</v>
      </c>
      <c r="I195">
        <v>161100</v>
      </c>
      <c r="J195">
        <v>31900</v>
      </c>
      <c r="K195">
        <v>0.14000000000000001</v>
      </c>
      <c r="L195">
        <f>IF(Wapato_Inventory[[#This Row],[parcel_acres]]-Wapato_Inventory[[#This Row],[non_valued_acres]] =0,0,LN(Wapato_Inventory[[#This Row],[parcel_acres]]-Wapato_Inventory[[#This Row],[non_valued_acres]]))</f>
        <v>-1.9661128563728327</v>
      </c>
      <c r="M195">
        <v>0</v>
      </c>
      <c r="N195">
        <v>0</v>
      </c>
      <c r="O195">
        <v>0</v>
      </c>
      <c r="P195">
        <v>27904.037</v>
      </c>
      <c r="Q195">
        <v>74398</v>
      </c>
      <c r="R195" s="3">
        <f>(Wapato_Inventory[[#This Row],[ln_acres]]*Wapato_Inventory[[#This Row],[coeff]])+Wapato_Inventory[[#This Row],[const]]</f>
        <v>19535.514109596792</v>
      </c>
      <c r="S195" t="s">
        <v>66</v>
      </c>
      <c r="T195">
        <v>1</v>
      </c>
      <c r="U195" t="s">
        <v>78</v>
      </c>
      <c r="V195" t="s">
        <v>69</v>
      </c>
      <c r="W195">
        <v>0</v>
      </c>
      <c r="X195">
        <v>0</v>
      </c>
      <c r="Y195">
        <v>51</v>
      </c>
      <c r="Z195">
        <v>83</v>
      </c>
      <c r="AA195">
        <v>90</v>
      </c>
      <c r="AB195">
        <v>1000</v>
      </c>
      <c r="AC195">
        <v>1000</v>
      </c>
      <c r="AD195">
        <v>1000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32</v>
      </c>
      <c r="AO195">
        <v>0</v>
      </c>
      <c r="AP195">
        <v>5</v>
      </c>
      <c r="AQ195">
        <v>0</v>
      </c>
      <c r="AR195">
        <v>0</v>
      </c>
      <c r="AS195" t="s">
        <v>59</v>
      </c>
      <c r="AT195">
        <v>1</v>
      </c>
      <c r="AU195" t="s">
        <v>72</v>
      </c>
      <c r="AV195" t="s">
        <v>61</v>
      </c>
      <c r="AW195">
        <v>0</v>
      </c>
      <c r="AX195">
        <v>2</v>
      </c>
      <c r="AY195">
        <v>0</v>
      </c>
      <c r="AZ195">
        <v>0</v>
      </c>
      <c r="BA195">
        <v>100</v>
      </c>
      <c r="BB195">
        <v>100</v>
      </c>
      <c r="BC195">
        <v>100</v>
      </c>
      <c r="BD195">
        <v>100</v>
      </c>
      <c r="BE195">
        <v>1</v>
      </c>
      <c r="BF195">
        <v>15000</v>
      </c>
      <c r="BG195">
        <v>1000</v>
      </c>
      <c r="BH195" s="7">
        <f>ROUND(Wapato_Inventory[[#This Row],[detatched_value]]*Lookups!$B$22*Lookups!$H$48,-2)</f>
        <v>0</v>
      </c>
      <c r="BI195" s="7">
        <f>ROUND(((Wapato_Inventory[[#This Row],[land_extract]]*Lookups!$B$3) +(Lookups!$B$2*0.5))*Lookups!$H$48,-2)</f>
        <v>53000</v>
      </c>
      <c r="BJ195" s="7">
        <f>IF(Wapato_Inventory[[#This Row],[bldg_style]]="",0,Lookups!$B$2*0.5)</f>
        <v>53765.27</v>
      </c>
      <c r="BK195" s="7">
        <f>_xlfn.IFNA(VLOOKUP(Wapato_Inventory[[#This Row],[quality]],Lookups!$H$2:$J$14,3,FALSE),0)</f>
        <v>23424</v>
      </c>
      <c r="BL195" s="7">
        <f>_xlfn.IFNA(VLOOKUP(Wapato_Inventory[[#This Row],[condition]],Lookups!$H$17:$J$24,3,FALSE),0)</f>
        <v>74543</v>
      </c>
      <c r="BM195" s="7">
        <f>Wapato_Inventory[[#This Row],[Age]]*Lookups!$B$16</f>
        <v>-30766.0831</v>
      </c>
      <c r="BN195" s="7">
        <f>Wapato_Inventory[[#This Row],[Main Floor]]*Lookups!$B$17</f>
        <v>41800.739000000001</v>
      </c>
      <c r="BO195" s="7">
        <f>Wapato_Inventory[[#This Row],[Upper Floor]]*Lookups!$B$18</f>
        <v>0</v>
      </c>
      <c r="BP195" s="7">
        <f>Wapato_Inventory[[#This Row],[Fin BSMT]]*Lookups!$B$19</f>
        <v>0</v>
      </c>
      <c r="BQ195" s="7">
        <f>(Wapato_Inventory[[#This Row],[att_gar]]+Wapato_Inventory[[#This Row],[blt_gar]])*Lookups!$B$20</f>
        <v>0</v>
      </c>
      <c r="BR195" s="7">
        <f>Wapato_Inventory[[#This Row],[Patio]]*Lookups!$B$21</f>
        <v>0</v>
      </c>
      <c r="BS195" s="7">
        <f>SUM(Wapato_Inventory[[#This Row],[intercept]:[patio_value]])*Wapato_Inventory[[#This Row],[res_pct]]</f>
        <v>162766.92589999997</v>
      </c>
      <c r="BT195" s="7">
        <f>Wapato_Inventory[[#This Row],[land_value]]</f>
        <v>53000</v>
      </c>
      <c r="BU195" s="2">
        <f>_xlfn.IFNA(VLOOKUP(Wapato_Inventory[[#This Row],[quality]],Lookups!$A$28:$C$37,3,FALSE),1)</f>
        <v>1.0091195562373767</v>
      </c>
      <c r="BV195" s="2">
        <f>_xlfn.IFNA(VLOOKUP(Wapato_Inventory[[#This Row],[condition]],Lookups!$A$41:$C$48,3,FALSE),1)</f>
        <v>0.98442438223270734</v>
      </c>
      <c r="BW195" s="2">
        <f>IF(Wapato_Inventory[[#This Row],[decade]]="",1,_xlfn.IFNA(VLOOKUP(Wapato_Inventory[[#This Row],[decade]],Lookups!$F$28:$H$45,3,FALSE),1))</f>
        <v>0.94742695999815718</v>
      </c>
      <c r="BX195" s="2">
        <f>_xlfn.IFNA(VLOOKUP(Wapato_Inventory[[#This Row],[living_area_range]],Lookups!$K$28:$M$37,3,FALSE),1)</f>
        <v>0.99022994770196116</v>
      </c>
      <c r="BY195" s="2">
        <f>AVERAGE(Wapato_Inventory[[#This Row],[qual_adj]:[range_adj]])</f>
        <v>0.98280021154255059</v>
      </c>
      <c r="BZ195" s="7">
        <f>(Wapato_Inventory[[#This Row],[sum_land]]-IF(Wapato_Inventory[[#This Row],[no_utilities]]=1,12000,0))/IF(Wapato_Inventory[[#This Row],[unbuildable]]=1,2,1)</f>
        <v>53000</v>
      </c>
      <c r="CA195" s="7">
        <f>Wapato_Inventory[[#This Row],[pre_res]]*Wapato_Inventory[[#This Row],[overall_adj]]</f>
        <v>159967.36920665062</v>
      </c>
      <c r="CB19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95" s="3">
        <f>IF(ROUND(Wapato_Inventory[[#This Row],[adj_res]]*Lookups!$H$48,-2)&lt;Wapato_Inventory[[#This Row],[min_res]],Wapato_Inventory[[#This Row],[min_res]],ROUND(Wapato_Inventory[[#This Row],[adj_res]]*Lookups!$H$48,-2))</f>
        <v>152000</v>
      </c>
      <c r="CD195" s="3">
        <f>ROUND(Wapato_Inventory[[#This Row],[det_value]]*Lookups!$H$48,-2)</f>
        <v>0</v>
      </c>
      <c r="CE195" s="3">
        <f>Wapato_Inventory[[#This Row],[final_res]]+Wapato_Inventory[[#This Row],[final_det]]</f>
        <v>152000</v>
      </c>
      <c r="CF195" s="3">
        <f>Wapato_Inventory[[#This Row],[crop_value]]+Wapato_Inventory[[#This Row],[final_land]]+Wapato_Inventory[[#This Row],[final_imp]]</f>
        <v>202400</v>
      </c>
      <c r="CH195" t="str">
        <f t="shared" si="3"/>
        <v>update valuation set market_land =50400, market_bldg=152000, market_total =202400, market_mdno =405, market_date ='9/10/2023' where link_id = (select link_id from parcel where parcel_year = '2024' and parcel_id = '19111041477');</v>
      </c>
    </row>
    <row r="196" spans="1:86" x14ac:dyDescent="0.25">
      <c r="A196">
        <v>19111041478</v>
      </c>
      <c r="B196">
        <v>0.14000000000000001</v>
      </c>
      <c r="C196">
        <v>6249</v>
      </c>
      <c r="D196" t="s">
        <v>144</v>
      </c>
      <c r="E196" t="s">
        <v>54</v>
      </c>
      <c r="F196" t="s">
        <v>54</v>
      </c>
      <c r="G196">
        <v>3</v>
      </c>
      <c r="H196" t="s">
        <v>55</v>
      </c>
      <c r="I196">
        <v>121800</v>
      </c>
      <c r="J196">
        <v>31900</v>
      </c>
      <c r="K196">
        <v>0.14000000000000001</v>
      </c>
      <c r="L196">
        <f>IF(Wapato_Inventory[[#This Row],[parcel_acres]]-Wapato_Inventory[[#This Row],[non_valued_acres]] =0,0,LN(Wapato_Inventory[[#This Row],[parcel_acres]]-Wapato_Inventory[[#This Row],[non_valued_acres]]))</f>
        <v>-1.9661128563728327</v>
      </c>
      <c r="M196">
        <v>0</v>
      </c>
      <c r="N196">
        <v>0</v>
      </c>
      <c r="O196">
        <v>0</v>
      </c>
      <c r="P196">
        <v>27904.037</v>
      </c>
      <c r="Q196">
        <v>74398</v>
      </c>
      <c r="R196" s="3">
        <f>(Wapato_Inventory[[#This Row],[ln_acres]]*Wapato_Inventory[[#This Row],[coeff]])+Wapato_Inventory[[#This Row],[const]]</f>
        <v>19535.514109596792</v>
      </c>
      <c r="S196" t="s">
        <v>66</v>
      </c>
      <c r="T196">
        <v>1</v>
      </c>
      <c r="U196" t="s">
        <v>78</v>
      </c>
      <c r="V196" t="s">
        <v>68</v>
      </c>
      <c r="W196">
        <v>0</v>
      </c>
      <c r="X196">
        <v>0</v>
      </c>
      <c r="Y196">
        <v>60</v>
      </c>
      <c r="Z196">
        <v>108</v>
      </c>
      <c r="AA196">
        <v>110</v>
      </c>
      <c r="AB196">
        <v>1000</v>
      </c>
      <c r="AC196">
        <v>980</v>
      </c>
      <c r="AD196">
        <v>980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5</v>
      </c>
      <c r="AQ196">
        <v>0</v>
      </c>
      <c r="AR196">
        <v>0</v>
      </c>
      <c r="AS196" t="s">
        <v>59</v>
      </c>
      <c r="AT196">
        <v>0</v>
      </c>
      <c r="AU196" t="s">
        <v>80</v>
      </c>
      <c r="AV196" t="s">
        <v>61</v>
      </c>
      <c r="AW196">
        <v>0</v>
      </c>
      <c r="AX196">
        <v>3</v>
      </c>
      <c r="AY196">
        <v>0</v>
      </c>
      <c r="AZ196">
        <v>0</v>
      </c>
      <c r="BA196">
        <v>100</v>
      </c>
      <c r="BB196">
        <v>100</v>
      </c>
      <c r="BC196">
        <v>100</v>
      </c>
      <c r="BD196">
        <v>100</v>
      </c>
      <c r="BE196">
        <v>1</v>
      </c>
      <c r="BF196">
        <v>15000</v>
      </c>
      <c r="BG196">
        <v>1000</v>
      </c>
      <c r="BH196" s="7">
        <f>ROUND(Wapato_Inventory[[#This Row],[detatched_value]]*Lookups!$B$22*Lookups!$H$48,-2)</f>
        <v>0</v>
      </c>
      <c r="BI196" s="7">
        <f>ROUND(((Wapato_Inventory[[#This Row],[land_extract]]*Lookups!$B$3) +(Lookups!$B$2*0.5))*Lookups!$H$48,-2)</f>
        <v>53000</v>
      </c>
      <c r="BJ196" s="7">
        <f>IF(Wapato_Inventory[[#This Row],[bldg_style]]="",0,Lookups!$B$2*0.5)</f>
        <v>53765.27</v>
      </c>
      <c r="BK196" s="7">
        <f>_xlfn.IFNA(VLOOKUP(Wapato_Inventory[[#This Row],[quality]],Lookups!$H$2:$J$14,3,FALSE),0)</f>
        <v>23424</v>
      </c>
      <c r="BL196" s="7">
        <f>_xlfn.IFNA(VLOOKUP(Wapato_Inventory[[#This Row],[condition]],Lookups!$H$17:$J$24,3,FALSE),0)</f>
        <v>52231</v>
      </c>
      <c r="BM196" s="7">
        <f>Wapato_Inventory[[#This Row],[Age]]*Lookups!$B$16</f>
        <v>-40032.975599999998</v>
      </c>
      <c r="BN196" s="7">
        <f>Wapato_Inventory[[#This Row],[Main Floor]]*Lookups!$B$17</f>
        <v>40964.724220000004</v>
      </c>
      <c r="BO196" s="7">
        <f>Wapato_Inventory[[#This Row],[Upper Floor]]*Lookups!$B$18</f>
        <v>0</v>
      </c>
      <c r="BP196" s="7">
        <f>Wapato_Inventory[[#This Row],[Fin BSMT]]*Lookups!$B$19</f>
        <v>0</v>
      </c>
      <c r="BQ196" s="7">
        <f>(Wapato_Inventory[[#This Row],[att_gar]]+Wapato_Inventory[[#This Row],[blt_gar]])*Lookups!$B$20</f>
        <v>0</v>
      </c>
      <c r="BR196" s="7">
        <f>Wapato_Inventory[[#This Row],[Patio]]*Lookups!$B$21</f>
        <v>0</v>
      </c>
      <c r="BS196" s="7">
        <f>SUM(Wapato_Inventory[[#This Row],[intercept]:[patio_value]])*Wapato_Inventory[[#This Row],[res_pct]]</f>
        <v>130352.01861999999</v>
      </c>
      <c r="BT196" s="7">
        <f>Wapato_Inventory[[#This Row],[land_value]]</f>
        <v>53000</v>
      </c>
      <c r="BU196" s="2">
        <f>_xlfn.IFNA(VLOOKUP(Wapato_Inventory[[#This Row],[quality]],Lookups!$A$28:$C$37,3,FALSE),1)</f>
        <v>1.0091195562373767</v>
      </c>
      <c r="BV196" s="2">
        <f>_xlfn.IFNA(VLOOKUP(Wapato_Inventory[[#This Row],[condition]],Lookups!$A$41:$C$48,3,FALSE),1)</f>
        <v>0.9832333997567807</v>
      </c>
      <c r="BW196" s="2">
        <f>IF(Wapato_Inventory[[#This Row],[decade]]="",1,_xlfn.IFNA(VLOOKUP(Wapato_Inventory[[#This Row],[decade]],Lookups!$F$28:$H$45,3,FALSE),1))</f>
        <v>0.93664589651353292</v>
      </c>
      <c r="BX196" s="2">
        <f>_xlfn.IFNA(VLOOKUP(Wapato_Inventory[[#This Row],[living_area_range]],Lookups!$K$28:$M$37,3,FALSE),1)</f>
        <v>0.99022994770196116</v>
      </c>
      <c r="BY196" s="2">
        <f>AVERAGE(Wapato_Inventory[[#This Row],[qual_adj]:[range_adj]])</f>
        <v>0.97980720005241284</v>
      </c>
      <c r="BZ196" s="7">
        <f>(Wapato_Inventory[[#This Row],[sum_land]]-IF(Wapato_Inventory[[#This Row],[no_utilities]]=1,12000,0))/IF(Wapato_Inventory[[#This Row],[unbuildable]]=1,2,1)</f>
        <v>53000</v>
      </c>
      <c r="CA196" s="7">
        <f>Wapato_Inventory[[#This Row],[pre_res]]*Wapato_Inventory[[#This Row],[overall_adj]]</f>
        <v>127719.84638524217</v>
      </c>
      <c r="CB19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96" s="3">
        <f>IF(ROUND(Wapato_Inventory[[#This Row],[adj_res]]*Lookups!$H$48,-2)&lt;Wapato_Inventory[[#This Row],[min_res]],Wapato_Inventory[[#This Row],[min_res]],ROUND(Wapato_Inventory[[#This Row],[adj_res]]*Lookups!$H$48,-2))</f>
        <v>121300</v>
      </c>
      <c r="CD196" s="3">
        <f>ROUND(Wapato_Inventory[[#This Row],[det_value]]*Lookups!$H$48,-2)</f>
        <v>0</v>
      </c>
      <c r="CE196" s="3">
        <f>Wapato_Inventory[[#This Row],[final_res]]+Wapato_Inventory[[#This Row],[final_det]]</f>
        <v>121300</v>
      </c>
      <c r="CF196" s="3">
        <f>Wapato_Inventory[[#This Row],[crop_value]]+Wapato_Inventory[[#This Row],[final_land]]+Wapato_Inventory[[#This Row],[final_imp]]</f>
        <v>171700</v>
      </c>
      <c r="CH196" t="str">
        <f t="shared" si="3"/>
        <v>update valuation set market_land =50400, market_bldg=121300, market_total =171700, market_mdno =405, market_date ='9/10/2023' where link_id = (select link_id from parcel where parcel_year = '2024' and parcel_id = '19111041478');</v>
      </c>
    </row>
    <row r="197" spans="1:86" x14ac:dyDescent="0.25">
      <c r="A197">
        <v>19111041481</v>
      </c>
      <c r="B197">
        <v>0.14000000000000001</v>
      </c>
      <c r="C197">
        <v>6250</v>
      </c>
      <c r="D197" t="s">
        <v>144</v>
      </c>
      <c r="E197" t="s">
        <v>54</v>
      </c>
      <c r="F197" t="s">
        <v>54</v>
      </c>
      <c r="G197">
        <v>3</v>
      </c>
      <c r="H197" t="s">
        <v>55</v>
      </c>
      <c r="I197">
        <v>103000</v>
      </c>
      <c r="J197">
        <v>31900</v>
      </c>
      <c r="K197">
        <v>0.14000000000000001</v>
      </c>
      <c r="L197">
        <f>IF(Wapato_Inventory[[#This Row],[parcel_acres]]-Wapato_Inventory[[#This Row],[non_valued_acres]] =0,0,LN(Wapato_Inventory[[#This Row],[parcel_acres]]-Wapato_Inventory[[#This Row],[non_valued_acres]]))</f>
        <v>-1.9661128563728327</v>
      </c>
      <c r="M197">
        <v>0</v>
      </c>
      <c r="N197">
        <v>0</v>
      </c>
      <c r="O197">
        <v>0</v>
      </c>
      <c r="P197">
        <v>27904.037</v>
      </c>
      <c r="Q197">
        <v>74398</v>
      </c>
      <c r="R197" s="3">
        <f>(Wapato_Inventory[[#This Row],[ln_acres]]*Wapato_Inventory[[#This Row],[coeff]])+Wapato_Inventory[[#This Row],[const]]</f>
        <v>19535.514109596792</v>
      </c>
      <c r="S197" t="s">
        <v>66</v>
      </c>
      <c r="T197">
        <v>1</v>
      </c>
      <c r="U197" t="s">
        <v>71</v>
      </c>
      <c r="V197" t="s">
        <v>68</v>
      </c>
      <c r="W197">
        <v>0</v>
      </c>
      <c r="X197">
        <v>0</v>
      </c>
      <c r="Y197">
        <v>53</v>
      </c>
      <c r="Z197">
        <v>93</v>
      </c>
      <c r="AA197">
        <v>100</v>
      </c>
      <c r="AB197">
        <v>1000</v>
      </c>
      <c r="AC197">
        <v>963</v>
      </c>
      <c r="AD197">
        <v>963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126</v>
      </c>
      <c r="AN197">
        <v>27</v>
      </c>
      <c r="AO197">
        <v>0</v>
      </c>
      <c r="AP197">
        <v>5</v>
      </c>
      <c r="AQ197">
        <v>0</v>
      </c>
      <c r="AR197">
        <v>0</v>
      </c>
      <c r="AS197" t="s">
        <v>59</v>
      </c>
      <c r="AT197">
        <v>1</v>
      </c>
      <c r="AU197" t="s">
        <v>76</v>
      </c>
      <c r="AV197" t="s">
        <v>61</v>
      </c>
      <c r="AW197">
        <v>0</v>
      </c>
      <c r="AX197">
        <v>2</v>
      </c>
      <c r="AY197">
        <v>0</v>
      </c>
      <c r="AZ197">
        <v>0</v>
      </c>
      <c r="BA197">
        <v>100</v>
      </c>
      <c r="BB197">
        <v>100</v>
      </c>
      <c r="BC197">
        <v>100</v>
      </c>
      <c r="BD197">
        <v>100</v>
      </c>
      <c r="BE197">
        <v>1</v>
      </c>
      <c r="BF197">
        <v>15000</v>
      </c>
      <c r="BG197">
        <v>1000</v>
      </c>
      <c r="BH197" s="7">
        <f>ROUND(Wapato_Inventory[[#This Row],[detatched_value]]*Lookups!$B$22*Lookups!$H$48,-2)</f>
        <v>0</v>
      </c>
      <c r="BI197" s="7">
        <f>ROUND(((Wapato_Inventory[[#This Row],[land_extract]]*Lookups!$B$3) +(Lookups!$B$2*0.5))*Lookups!$H$48,-2)</f>
        <v>53000</v>
      </c>
      <c r="BJ197" s="7">
        <f>IF(Wapato_Inventory[[#This Row],[bldg_style]]="",0,Lookups!$B$2*0.5)</f>
        <v>53765.27</v>
      </c>
      <c r="BK197" s="7">
        <f>_xlfn.IFNA(VLOOKUP(Wapato_Inventory[[#This Row],[quality]],Lookups!$H$2:$J$14,3,FALSE),0)</f>
        <v>28034</v>
      </c>
      <c r="BL197" s="7">
        <f>_xlfn.IFNA(VLOOKUP(Wapato_Inventory[[#This Row],[condition]],Lookups!$H$17:$J$24,3,FALSE),0)</f>
        <v>52231</v>
      </c>
      <c r="BM197" s="7">
        <f>Wapato_Inventory[[#This Row],[Age]]*Lookups!$B$16</f>
        <v>-34472.840100000001</v>
      </c>
      <c r="BN197" s="7">
        <f>Wapato_Inventory[[#This Row],[Main Floor]]*Lookups!$B$17</f>
        <v>40254.111657000001</v>
      </c>
      <c r="BO197" s="7">
        <f>Wapato_Inventory[[#This Row],[Upper Floor]]*Lookups!$B$18</f>
        <v>0</v>
      </c>
      <c r="BP197" s="7">
        <f>Wapato_Inventory[[#This Row],[Fin BSMT]]*Lookups!$B$19</f>
        <v>0</v>
      </c>
      <c r="BQ197" s="7">
        <f>(Wapato_Inventory[[#This Row],[att_gar]]+Wapato_Inventory[[#This Row],[blt_gar]])*Lookups!$B$20</f>
        <v>0</v>
      </c>
      <c r="BR197" s="7">
        <f>Wapato_Inventory[[#This Row],[Patio]]*Lookups!$B$21</f>
        <v>5458.8213540000006</v>
      </c>
      <c r="BS197" s="7">
        <f>SUM(Wapato_Inventory[[#This Row],[intercept]:[patio_value]])*Wapato_Inventory[[#This Row],[res_pct]]</f>
        <v>145270.362911</v>
      </c>
      <c r="BT197" s="7">
        <f>Wapato_Inventory[[#This Row],[land_value]]</f>
        <v>53000</v>
      </c>
      <c r="BU197" s="2">
        <f>_xlfn.IFNA(VLOOKUP(Wapato_Inventory[[#This Row],[quality]],Lookups!$A$28:$C$37,3,FALSE),1)</f>
        <v>0.96265813922927435</v>
      </c>
      <c r="BV197" s="2">
        <f>_xlfn.IFNA(VLOOKUP(Wapato_Inventory[[#This Row],[condition]],Lookups!$A$41:$C$48,3,FALSE),1)</f>
        <v>0.9832333997567807</v>
      </c>
      <c r="BW197" s="2">
        <f>IF(Wapato_Inventory[[#This Row],[decade]]="",1,_xlfn.IFNA(VLOOKUP(Wapato_Inventory[[#This Row],[decade]],Lookups!$F$28:$H$45,3,FALSE),1))</f>
        <v>1.0114203040664467</v>
      </c>
      <c r="BX197" s="2">
        <f>_xlfn.IFNA(VLOOKUP(Wapato_Inventory[[#This Row],[living_area_range]],Lookups!$K$28:$M$37,3,FALSE),1)</f>
        <v>0.99022994770196116</v>
      </c>
      <c r="BY197" s="2">
        <f>AVERAGE(Wapato_Inventory[[#This Row],[qual_adj]:[range_adj]])</f>
        <v>0.98688544768861564</v>
      </c>
      <c r="BZ197" s="7">
        <f>(Wapato_Inventory[[#This Row],[sum_land]]-IF(Wapato_Inventory[[#This Row],[no_utilities]]=1,12000,0))/IF(Wapato_Inventory[[#This Row],[unbuildable]]=1,2,1)</f>
        <v>53000</v>
      </c>
      <c r="CA197" s="7">
        <f>Wapato_Inventory[[#This Row],[pre_res]]*Wapato_Inventory[[#This Row],[overall_adj]]</f>
        <v>143365.20713730992</v>
      </c>
      <c r="CB19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97" s="3">
        <f>IF(ROUND(Wapato_Inventory[[#This Row],[adj_res]]*Lookups!$H$48,-2)&lt;Wapato_Inventory[[#This Row],[min_res]],Wapato_Inventory[[#This Row],[min_res]],ROUND(Wapato_Inventory[[#This Row],[adj_res]]*Lookups!$H$48,-2))</f>
        <v>136200</v>
      </c>
      <c r="CD197" s="3">
        <f>ROUND(Wapato_Inventory[[#This Row],[det_value]]*Lookups!$H$48,-2)</f>
        <v>0</v>
      </c>
      <c r="CE197" s="3">
        <f>Wapato_Inventory[[#This Row],[final_res]]+Wapato_Inventory[[#This Row],[final_det]]</f>
        <v>136200</v>
      </c>
      <c r="CF197" s="3">
        <f>Wapato_Inventory[[#This Row],[crop_value]]+Wapato_Inventory[[#This Row],[final_land]]+Wapato_Inventory[[#This Row],[final_imp]]</f>
        <v>186600</v>
      </c>
      <c r="CH197" t="str">
        <f t="shared" si="3"/>
        <v>update valuation set market_land =50400, market_bldg=136200, market_total =186600, market_mdno =405, market_date ='9/10/2023' where link_id = (select link_id from parcel where parcel_year = '2024' and parcel_id = '19111041481');</v>
      </c>
    </row>
    <row r="198" spans="1:86" x14ac:dyDescent="0.25">
      <c r="A198">
        <v>19111041483</v>
      </c>
      <c r="B198">
        <v>0.14000000000000001</v>
      </c>
      <c r="C198">
        <v>6250</v>
      </c>
      <c r="D198" t="s">
        <v>144</v>
      </c>
      <c r="E198" t="s">
        <v>54</v>
      </c>
      <c r="F198" t="s">
        <v>54</v>
      </c>
      <c r="G198">
        <v>3</v>
      </c>
      <c r="H198" t="s">
        <v>55</v>
      </c>
      <c r="I198">
        <v>178100</v>
      </c>
      <c r="J198">
        <v>31900</v>
      </c>
      <c r="K198">
        <v>0.14000000000000001</v>
      </c>
      <c r="L198">
        <f>IF(Wapato_Inventory[[#This Row],[parcel_acres]]-Wapato_Inventory[[#This Row],[non_valued_acres]] =0,0,LN(Wapato_Inventory[[#This Row],[parcel_acres]]-Wapato_Inventory[[#This Row],[non_valued_acres]]))</f>
        <v>-1.9661128563728327</v>
      </c>
      <c r="M198">
        <v>0</v>
      </c>
      <c r="N198">
        <v>0</v>
      </c>
      <c r="O198">
        <v>0</v>
      </c>
      <c r="P198">
        <v>27904.037</v>
      </c>
      <c r="Q198">
        <v>74398</v>
      </c>
      <c r="R198" s="3">
        <f>(Wapato_Inventory[[#This Row],[ln_acres]]*Wapato_Inventory[[#This Row],[coeff]])+Wapato_Inventory[[#This Row],[const]]</f>
        <v>19535.514109596792</v>
      </c>
      <c r="S198" t="s">
        <v>66</v>
      </c>
      <c r="T198">
        <v>1</v>
      </c>
      <c r="U198" t="s">
        <v>75</v>
      </c>
      <c r="V198" t="s">
        <v>68</v>
      </c>
      <c r="W198">
        <v>0</v>
      </c>
      <c r="X198">
        <v>0</v>
      </c>
      <c r="Y198">
        <v>53</v>
      </c>
      <c r="Z198">
        <v>93</v>
      </c>
      <c r="AA198">
        <v>100</v>
      </c>
      <c r="AB198">
        <v>2000</v>
      </c>
      <c r="AC198">
        <v>1750</v>
      </c>
      <c r="AD198">
        <v>1750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440</v>
      </c>
      <c r="AL198">
        <v>0</v>
      </c>
      <c r="AM198">
        <v>234</v>
      </c>
      <c r="AN198">
        <v>0</v>
      </c>
      <c r="AO198">
        <v>234</v>
      </c>
      <c r="AP198">
        <v>10</v>
      </c>
      <c r="AQ198">
        <v>0</v>
      </c>
      <c r="AR198">
        <v>0</v>
      </c>
      <c r="AS198" t="s">
        <v>59</v>
      </c>
      <c r="AT198">
        <v>1</v>
      </c>
      <c r="AU198" t="s">
        <v>76</v>
      </c>
      <c r="AV198" t="s">
        <v>61</v>
      </c>
      <c r="AW198">
        <v>0</v>
      </c>
      <c r="AX198">
        <v>5</v>
      </c>
      <c r="AY198">
        <v>0</v>
      </c>
      <c r="AZ198">
        <v>3000</v>
      </c>
      <c r="BA198">
        <v>100</v>
      </c>
      <c r="BB198">
        <v>100</v>
      </c>
      <c r="BC198">
        <v>100</v>
      </c>
      <c r="BD198">
        <v>100</v>
      </c>
      <c r="BE198">
        <v>1</v>
      </c>
      <c r="BF198">
        <v>15000</v>
      </c>
      <c r="BG198">
        <v>1000</v>
      </c>
      <c r="BH198" s="7">
        <f>ROUND(Wapato_Inventory[[#This Row],[detatched_value]]*Lookups!$B$22*Lookups!$H$48,-2)</f>
        <v>2700</v>
      </c>
      <c r="BI198" s="7">
        <f>ROUND(((Wapato_Inventory[[#This Row],[land_extract]]*Lookups!$B$3) +(Lookups!$B$2*0.5))*Lookups!$H$48,-2)</f>
        <v>53000</v>
      </c>
      <c r="BJ198" s="7">
        <f>IF(Wapato_Inventory[[#This Row],[bldg_style]]="",0,Lookups!$B$2*0.5)</f>
        <v>53765.27</v>
      </c>
      <c r="BK198" s="7">
        <f>_xlfn.IFNA(VLOOKUP(Wapato_Inventory[[#This Row],[quality]],Lookups!$H$2:$J$14,3,FALSE),0)</f>
        <v>48043</v>
      </c>
      <c r="BL198" s="7">
        <f>_xlfn.IFNA(VLOOKUP(Wapato_Inventory[[#This Row],[condition]],Lookups!$H$17:$J$24,3,FALSE),0)</f>
        <v>52231</v>
      </c>
      <c r="BM198" s="7">
        <f>Wapato_Inventory[[#This Row],[Age]]*Lookups!$B$16</f>
        <v>-34472.840100000001</v>
      </c>
      <c r="BN198" s="7">
        <f>Wapato_Inventory[[#This Row],[Main Floor]]*Lookups!$B$17</f>
        <v>73151.293250000002</v>
      </c>
      <c r="BO198" s="7">
        <f>Wapato_Inventory[[#This Row],[Upper Floor]]*Lookups!$B$18</f>
        <v>0</v>
      </c>
      <c r="BP198" s="7">
        <f>Wapato_Inventory[[#This Row],[Fin BSMT]]*Lookups!$B$19</f>
        <v>0</v>
      </c>
      <c r="BQ198" s="7">
        <f>(Wapato_Inventory[[#This Row],[att_gar]]+Wapato_Inventory[[#This Row],[blt_gar]])*Lookups!$B$20</f>
        <v>0</v>
      </c>
      <c r="BR198" s="7">
        <f>Wapato_Inventory[[#This Row],[Patio]]*Lookups!$B$21</f>
        <v>10137.811086</v>
      </c>
      <c r="BS198" s="7">
        <f>SUM(Wapato_Inventory[[#This Row],[intercept]:[patio_value]])*Wapato_Inventory[[#This Row],[res_pct]]</f>
        <v>202855.53423599998</v>
      </c>
      <c r="BT198" s="7">
        <f>Wapato_Inventory[[#This Row],[land_value]]</f>
        <v>53000</v>
      </c>
      <c r="BU198" s="2">
        <f>_xlfn.IFNA(VLOOKUP(Wapato_Inventory[[#This Row],[quality]],Lookups!$A$28:$C$37,3,FALSE),1)</f>
        <v>0.98196844879778955</v>
      </c>
      <c r="BV198" s="2">
        <f>_xlfn.IFNA(VLOOKUP(Wapato_Inventory[[#This Row],[condition]],Lookups!$A$41:$C$48,3,FALSE),1)</f>
        <v>0.9832333997567807</v>
      </c>
      <c r="BW198" s="2">
        <f>IF(Wapato_Inventory[[#This Row],[decade]]="",1,_xlfn.IFNA(VLOOKUP(Wapato_Inventory[[#This Row],[decade]],Lookups!$F$28:$H$45,3,FALSE),1))</f>
        <v>1.0114203040664467</v>
      </c>
      <c r="BX198" s="2">
        <f>_xlfn.IFNA(VLOOKUP(Wapato_Inventory[[#This Row],[living_area_range]],Lookups!$K$28:$M$37,3,FALSE),1)</f>
        <v>0.99330894324714125</v>
      </c>
      <c r="BY198" s="2">
        <f>AVERAGE(Wapato_Inventory[[#This Row],[qual_adj]:[range_adj]])</f>
        <v>0.99248277396703954</v>
      </c>
      <c r="BZ198" s="7">
        <f>(Wapato_Inventory[[#This Row],[sum_land]]-IF(Wapato_Inventory[[#This Row],[no_utilities]]=1,12000,0))/IF(Wapato_Inventory[[#This Row],[unbuildable]]=1,2,1)</f>
        <v>53000</v>
      </c>
      <c r="CA198" s="7">
        <f>Wapato_Inventory[[#This Row],[pre_res]]*Wapato_Inventory[[#This Row],[overall_adj]]</f>
        <v>201330.62333311103</v>
      </c>
      <c r="CB19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98" s="3">
        <f>IF(ROUND(Wapato_Inventory[[#This Row],[adj_res]]*Lookups!$H$48,-2)&lt;Wapato_Inventory[[#This Row],[min_res]],Wapato_Inventory[[#This Row],[min_res]],ROUND(Wapato_Inventory[[#This Row],[adj_res]]*Lookups!$H$48,-2))</f>
        <v>191300</v>
      </c>
      <c r="CD198" s="3">
        <f>ROUND(Wapato_Inventory[[#This Row],[det_value]]*Lookups!$H$48,-2)</f>
        <v>2600</v>
      </c>
      <c r="CE198" s="3">
        <f>Wapato_Inventory[[#This Row],[final_res]]+Wapato_Inventory[[#This Row],[final_det]]</f>
        <v>193900</v>
      </c>
      <c r="CF198" s="3">
        <f>Wapato_Inventory[[#This Row],[crop_value]]+Wapato_Inventory[[#This Row],[final_land]]+Wapato_Inventory[[#This Row],[final_imp]]</f>
        <v>244300</v>
      </c>
      <c r="CH198" t="str">
        <f t="shared" si="3"/>
        <v>update valuation set market_land =50400, market_bldg=193900, market_total =244300, market_mdno =405, market_date ='9/10/2023' where link_id = (select link_id from parcel where parcel_year = '2024' and parcel_id = '19111041483');</v>
      </c>
    </row>
    <row r="199" spans="1:86" x14ac:dyDescent="0.25">
      <c r="A199">
        <v>19111041484</v>
      </c>
      <c r="B199">
        <v>0.14000000000000001</v>
      </c>
      <c r="C199">
        <v>6253</v>
      </c>
      <c r="D199" t="s">
        <v>144</v>
      </c>
      <c r="E199" t="s">
        <v>54</v>
      </c>
      <c r="F199" t="s">
        <v>54</v>
      </c>
      <c r="G199">
        <v>3</v>
      </c>
      <c r="H199" t="s">
        <v>55</v>
      </c>
      <c r="I199">
        <v>114100</v>
      </c>
      <c r="J199">
        <v>31900</v>
      </c>
      <c r="K199">
        <v>0.14000000000000001</v>
      </c>
      <c r="L199">
        <f>IF(Wapato_Inventory[[#This Row],[parcel_acres]]-Wapato_Inventory[[#This Row],[non_valued_acres]] =0,0,LN(Wapato_Inventory[[#This Row],[parcel_acres]]-Wapato_Inventory[[#This Row],[non_valued_acres]]))</f>
        <v>-1.9661128563728327</v>
      </c>
      <c r="M199">
        <v>0</v>
      </c>
      <c r="N199">
        <v>0</v>
      </c>
      <c r="O199">
        <v>0</v>
      </c>
      <c r="P199">
        <v>27904.037</v>
      </c>
      <c r="Q199">
        <v>74398</v>
      </c>
      <c r="R199" s="3">
        <f>(Wapato_Inventory[[#This Row],[ln_acres]]*Wapato_Inventory[[#This Row],[coeff]])+Wapato_Inventory[[#This Row],[const]]</f>
        <v>19535.514109596792</v>
      </c>
      <c r="S199" t="s">
        <v>66</v>
      </c>
      <c r="T199">
        <v>1</v>
      </c>
      <c r="U199" t="s">
        <v>71</v>
      </c>
      <c r="V199" t="s">
        <v>68</v>
      </c>
      <c r="W199">
        <v>0</v>
      </c>
      <c r="X199">
        <v>0</v>
      </c>
      <c r="Y199">
        <v>52</v>
      </c>
      <c r="Z199">
        <v>88</v>
      </c>
      <c r="AA199">
        <v>90</v>
      </c>
      <c r="AB199">
        <v>1500</v>
      </c>
      <c r="AC199">
        <v>1120</v>
      </c>
      <c r="AD199">
        <v>1120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5</v>
      </c>
      <c r="AQ199">
        <v>0</v>
      </c>
      <c r="AR199">
        <v>0</v>
      </c>
      <c r="AS199" t="s">
        <v>59</v>
      </c>
      <c r="AT199">
        <v>1</v>
      </c>
      <c r="AU199" t="s">
        <v>76</v>
      </c>
      <c r="AV199" t="s">
        <v>61</v>
      </c>
      <c r="AW199">
        <v>0</v>
      </c>
      <c r="AX199">
        <v>3</v>
      </c>
      <c r="AY199">
        <v>0</v>
      </c>
      <c r="AZ199">
        <v>0</v>
      </c>
      <c r="BA199">
        <v>100</v>
      </c>
      <c r="BB199">
        <v>100</v>
      </c>
      <c r="BC199">
        <v>100</v>
      </c>
      <c r="BD199">
        <v>100</v>
      </c>
      <c r="BE199">
        <v>1</v>
      </c>
      <c r="BF199">
        <v>15000</v>
      </c>
      <c r="BG199">
        <v>1000</v>
      </c>
      <c r="BH199" s="7">
        <f>ROUND(Wapato_Inventory[[#This Row],[detatched_value]]*Lookups!$B$22*Lookups!$H$48,-2)</f>
        <v>0</v>
      </c>
      <c r="BI199" s="7">
        <f>ROUND(((Wapato_Inventory[[#This Row],[land_extract]]*Lookups!$B$3) +(Lookups!$B$2*0.5))*Lookups!$H$48,-2)</f>
        <v>53000</v>
      </c>
      <c r="BJ199" s="7">
        <f>IF(Wapato_Inventory[[#This Row],[bldg_style]]="",0,Lookups!$B$2*0.5)</f>
        <v>53765.27</v>
      </c>
      <c r="BK199" s="7">
        <f>_xlfn.IFNA(VLOOKUP(Wapato_Inventory[[#This Row],[quality]],Lookups!$H$2:$J$14,3,FALSE),0)</f>
        <v>28034</v>
      </c>
      <c r="BL199" s="7">
        <f>_xlfn.IFNA(VLOOKUP(Wapato_Inventory[[#This Row],[condition]],Lookups!$H$17:$J$24,3,FALSE),0)</f>
        <v>52231</v>
      </c>
      <c r="BM199" s="7">
        <f>Wapato_Inventory[[#This Row],[Age]]*Lookups!$B$16</f>
        <v>-32619.461600000002</v>
      </c>
      <c r="BN199" s="7">
        <f>Wapato_Inventory[[#This Row],[Main Floor]]*Lookups!$B$17</f>
        <v>46816.827680000002</v>
      </c>
      <c r="BO199" s="7">
        <f>Wapato_Inventory[[#This Row],[Upper Floor]]*Lookups!$B$18</f>
        <v>0</v>
      </c>
      <c r="BP199" s="7">
        <f>Wapato_Inventory[[#This Row],[Fin BSMT]]*Lookups!$B$19</f>
        <v>0</v>
      </c>
      <c r="BQ199" s="7">
        <f>(Wapato_Inventory[[#This Row],[att_gar]]+Wapato_Inventory[[#This Row],[blt_gar]])*Lookups!$B$20</f>
        <v>0</v>
      </c>
      <c r="BR199" s="7">
        <f>Wapato_Inventory[[#This Row],[Patio]]*Lookups!$B$21</f>
        <v>0</v>
      </c>
      <c r="BS199" s="7">
        <f>SUM(Wapato_Inventory[[#This Row],[intercept]:[patio_value]])*Wapato_Inventory[[#This Row],[res_pct]]</f>
        <v>148227.63607999997</v>
      </c>
      <c r="BT199" s="7">
        <f>Wapato_Inventory[[#This Row],[land_value]]</f>
        <v>53000</v>
      </c>
      <c r="BU199" s="2">
        <f>_xlfn.IFNA(VLOOKUP(Wapato_Inventory[[#This Row],[quality]],Lookups!$A$28:$C$37,3,FALSE),1)</f>
        <v>0.96265813922927435</v>
      </c>
      <c r="BV199" s="2">
        <f>_xlfn.IFNA(VLOOKUP(Wapato_Inventory[[#This Row],[condition]],Lookups!$A$41:$C$48,3,FALSE),1)</f>
        <v>0.9832333997567807</v>
      </c>
      <c r="BW199" s="2">
        <f>IF(Wapato_Inventory[[#This Row],[decade]]="",1,_xlfn.IFNA(VLOOKUP(Wapato_Inventory[[#This Row],[decade]],Lookups!$F$28:$H$45,3,FALSE),1))</f>
        <v>0.94742695999815718</v>
      </c>
      <c r="BX199" s="2">
        <f>_xlfn.IFNA(VLOOKUP(Wapato_Inventory[[#This Row],[living_area_range]],Lookups!$K$28:$M$37,3,FALSE),1)</f>
        <v>1.0061411172456287</v>
      </c>
      <c r="BY199" s="2">
        <f>AVERAGE(Wapato_Inventory[[#This Row],[qual_adj]:[range_adj]])</f>
        <v>0.97486490405746018</v>
      </c>
      <c r="BZ199" s="7">
        <f>(Wapato_Inventory[[#This Row],[sum_land]]-IF(Wapato_Inventory[[#This Row],[no_utilities]]=1,12000,0))/IF(Wapato_Inventory[[#This Row],[unbuildable]]=1,2,1)</f>
        <v>53000</v>
      </c>
      <c r="CA199" s="7">
        <f>Wapato_Inventory[[#This Row],[pre_res]]*Wapato_Inventory[[#This Row],[overall_adj]]</f>
        <v>144501.92022579329</v>
      </c>
      <c r="CB19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99" s="3">
        <f>IF(ROUND(Wapato_Inventory[[#This Row],[adj_res]]*Lookups!$H$48,-2)&lt;Wapato_Inventory[[#This Row],[min_res]],Wapato_Inventory[[#This Row],[min_res]],ROUND(Wapato_Inventory[[#This Row],[adj_res]]*Lookups!$H$48,-2))</f>
        <v>137300</v>
      </c>
      <c r="CD199" s="3">
        <f>ROUND(Wapato_Inventory[[#This Row],[det_value]]*Lookups!$H$48,-2)</f>
        <v>0</v>
      </c>
      <c r="CE199" s="3">
        <f>Wapato_Inventory[[#This Row],[final_res]]+Wapato_Inventory[[#This Row],[final_det]]</f>
        <v>137300</v>
      </c>
      <c r="CF199" s="3">
        <f>Wapato_Inventory[[#This Row],[crop_value]]+Wapato_Inventory[[#This Row],[final_land]]+Wapato_Inventory[[#This Row],[final_imp]]</f>
        <v>187700</v>
      </c>
      <c r="CH199" t="str">
        <f t="shared" si="3"/>
        <v>update valuation set market_land =50400, market_bldg=137300, market_total =187700, market_mdno =405, market_date ='9/10/2023' where link_id = (select link_id from parcel where parcel_year = '2024' and parcel_id = '19111041484');</v>
      </c>
    </row>
    <row r="200" spans="1:86" x14ac:dyDescent="0.25">
      <c r="A200">
        <v>19111041485</v>
      </c>
      <c r="B200">
        <v>0.14000000000000001</v>
      </c>
      <c r="C200">
        <v>6244</v>
      </c>
      <c r="D200" t="s">
        <v>144</v>
      </c>
      <c r="E200" t="s">
        <v>54</v>
      </c>
      <c r="F200" t="s">
        <v>54</v>
      </c>
      <c r="G200">
        <v>3</v>
      </c>
      <c r="H200" t="s">
        <v>55</v>
      </c>
      <c r="I200">
        <v>148000</v>
      </c>
      <c r="J200">
        <v>31900</v>
      </c>
      <c r="K200">
        <v>0.14000000000000001</v>
      </c>
      <c r="L200">
        <f>IF(Wapato_Inventory[[#This Row],[parcel_acres]]-Wapato_Inventory[[#This Row],[non_valued_acres]] =0,0,LN(Wapato_Inventory[[#This Row],[parcel_acres]]-Wapato_Inventory[[#This Row],[non_valued_acres]]))</f>
        <v>-1.9661128563728327</v>
      </c>
      <c r="M200">
        <v>0</v>
      </c>
      <c r="N200">
        <v>0</v>
      </c>
      <c r="O200">
        <v>0</v>
      </c>
      <c r="P200">
        <v>27904.037</v>
      </c>
      <c r="Q200">
        <v>74398</v>
      </c>
      <c r="R200" s="3">
        <f>(Wapato_Inventory[[#This Row],[ln_acres]]*Wapato_Inventory[[#This Row],[coeff]])+Wapato_Inventory[[#This Row],[const]]</f>
        <v>19535.514109596792</v>
      </c>
      <c r="S200" t="s">
        <v>66</v>
      </c>
      <c r="T200">
        <v>1</v>
      </c>
      <c r="U200" t="s">
        <v>71</v>
      </c>
      <c r="V200" t="s">
        <v>69</v>
      </c>
      <c r="W200">
        <v>0</v>
      </c>
      <c r="X200">
        <v>0</v>
      </c>
      <c r="Y200">
        <v>51</v>
      </c>
      <c r="Z200">
        <v>83</v>
      </c>
      <c r="AA200">
        <v>90</v>
      </c>
      <c r="AB200">
        <v>1000</v>
      </c>
      <c r="AC200">
        <v>792</v>
      </c>
      <c r="AD200">
        <v>792</v>
      </c>
      <c r="AE200">
        <v>0</v>
      </c>
      <c r="AF200">
        <v>0</v>
      </c>
      <c r="AG200">
        <v>0</v>
      </c>
      <c r="AH200">
        <v>100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35</v>
      </c>
      <c r="AO200">
        <v>0</v>
      </c>
      <c r="AP200">
        <v>5</v>
      </c>
      <c r="AQ200">
        <v>0</v>
      </c>
      <c r="AR200">
        <v>0</v>
      </c>
      <c r="AS200" t="s">
        <v>59</v>
      </c>
      <c r="AT200">
        <v>1</v>
      </c>
      <c r="AU200" t="s">
        <v>72</v>
      </c>
      <c r="AV200" t="s">
        <v>61</v>
      </c>
      <c r="AW200">
        <v>0</v>
      </c>
      <c r="AX200">
        <v>2</v>
      </c>
      <c r="AY200">
        <v>0</v>
      </c>
      <c r="AZ200">
        <v>12100</v>
      </c>
      <c r="BA200">
        <v>100</v>
      </c>
      <c r="BB200">
        <v>100</v>
      </c>
      <c r="BC200">
        <v>100</v>
      </c>
      <c r="BD200">
        <v>100</v>
      </c>
      <c r="BE200">
        <v>1</v>
      </c>
      <c r="BF200">
        <v>15000</v>
      </c>
      <c r="BG200">
        <v>1000</v>
      </c>
      <c r="BH200" s="7">
        <f>ROUND(Wapato_Inventory[[#This Row],[detatched_value]]*Lookups!$B$22*Lookups!$H$48,-2)</f>
        <v>10800</v>
      </c>
      <c r="BI200" s="7">
        <f>ROUND(((Wapato_Inventory[[#This Row],[land_extract]]*Lookups!$B$3) +(Lookups!$B$2*0.5))*Lookups!$H$48,-2)</f>
        <v>53000</v>
      </c>
      <c r="BJ200" s="7">
        <f>IF(Wapato_Inventory[[#This Row],[bldg_style]]="",0,Lookups!$B$2*0.5)</f>
        <v>53765.27</v>
      </c>
      <c r="BK200" s="7">
        <f>_xlfn.IFNA(VLOOKUP(Wapato_Inventory[[#This Row],[quality]],Lookups!$H$2:$J$14,3,FALSE),0)</f>
        <v>28034</v>
      </c>
      <c r="BL200" s="7">
        <f>_xlfn.IFNA(VLOOKUP(Wapato_Inventory[[#This Row],[condition]],Lookups!$H$17:$J$24,3,FALSE),0)</f>
        <v>74543</v>
      </c>
      <c r="BM200" s="7">
        <f>Wapato_Inventory[[#This Row],[Age]]*Lookups!$B$16</f>
        <v>-30766.0831</v>
      </c>
      <c r="BN200" s="7">
        <f>Wapato_Inventory[[#This Row],[Main Floor]]*Lookups!$B$17</f>
        <v>33106.185288000001</v>
      </c>
      <c r="BO200" s="7">
        <f>Wapato_Inventory[[#This Row],[Upper Floor]]*Lookups!$B$18</f>
        <v>0</v>
      </c>
      <c r="BP200" s="7">
        <f>Wapato_Inventory[[#This Row],[Fin BSMT]]*Lookups!$B$19</f>
        <v>0</v>
      </c>
      <c r="BQ200" s="7">
        <f>(Wapato_Inventory[[#This Row],[att_gar]]+Wapato_Inventory[[#This Row],[blt_gar]])*Lookups!$B$20</f>
        <v>0</v>
      </c>
      <c r="BR200" s="7">
        <f>Wapato_Inventory[[#This Row],[Patio]]*Lookups!$B$21</f>
        <v>0</v>
      </c>
      <c r="BS200" s="7">
        <f>SUM(Wapato_Inventory[[#This Row],[intercept]:[patio_value]])*Wapato_Inventory[[#This Row],[res_pct]]</f>
        <v>158682.37218799998</v>
      </c>
      <c r="BT200" s="7">
        <f>Wapato_Inventory[[#This Row],[land_value]]</f>
        <v>53000</v>
      </c>
      <c r="BU200" s="2">
        <f>_xlfn.IFNA(VLOOKUP(Wapato_Inventory[[#This Row],[quality]],Lookups!$A$28:$C$37,3,FALSE),1)</f>
        <v>0.96265813922927435</v>
      </c>
      <c r="BV200" s="2">
        <f>_xlfn.IFNA(VLOOKUP(Wapato_Inventory[[#This Row],[condition]],Lookups!$A$41:$C$48,3,FALSE),1)</f>
        <v>0.98442438223270734</v>
      </c>
      <c r="BW200" s="2">
        <f>IF(Wapato_Inventory[[#This Row],[decade]]="",1,_xlfn.IFNA(VLOOKUP(Wapato_Inventory[[#This Row],[decade]],Lookups!$F$28:$H$45,3,FALSE),1))</f>
        <v>0.94742695999815718</v>
      </c>
      <c r="BX200" s="2">
        <f>_xlfn.IFNA(VLOOKUP(Wapato_Inventory[[#This Row],[living_area_range]],Lookups!$K$28:$M$37,3,FALSE),1)</f>
        <v>0.99022994770196116</v>
      </c>
      <c r="BY200" s="2">
        <f>AVERAGE(Wapato_Inventory[[#This Row],[qual_adj]:[range_adj]])</f>
        <v>0.97118485729052495</v>
      </c>
      <c r="BZ200" s="7">
        <f>(Wapato_Inventory[[#This Row],[sum_land]]-IF(Wapato_Inventory[[#This Row],[no_utilities]]=1,12000,0))/IF(Wapato_Inventory[[#This Row],[unbuildable]]=1,2,1)</f>
        <v>53000</v>
      </c>
      <c r="CA200" s="7">
        <f>Wapato_Inventory[[#This Row],[pre_res]]*Wapato_Inventory[[#This Row],[overall_adj]]</f>
        <v>154109.91698792472</v>
      </c>
      <c r="CB20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00" s="3">
        <f>IF(ROUND(Wapato_Inventory[[#This Row],[adj_res]]*Lookups!$H$48,-2)&lt;Wapato_Inventory[[#This Row],[min_res]],Wapato_Inventory[[#This Row],[min_res]],ROUND(Wapato_Inventory[[#This Row],[adj_res]]*Lookups!$H$48,-2))</f>
        <v>146400</v>
      </c>
      <c r="CD200" s="3">
        <f>ROUND(Wapato_Inventory[[#This Row],[det_value]]*Lookups!$H$48,-2)</f>
        <v>10300</v>
      </c>
      <c r="CE200" s="3">
        <f>Wapato_Inventory[[#This Row],[final_res]]+Wapato_Inventory[[#This Row],[final_det]]</f>
        <v>156700</v>
      </c>
      <c r="CF200" s="3">
        <f>Wapato_Inventory[[#This Row],[crop_value]]+Wapato_Inventory[[#This Row],[final_land]]+Wapato_Inventory[[#This Row],[final_imp]]</f>
        <v>207100</v>
      </c>
      <c r="CH200" t="str">
        <f t="shared" si="3"/>
        <v>update valuation set market_land =50400, market_bldg=156700, market_total =207100, market_mdno =405, market_date ='9/10/2023' where link_id = (select link_id from parcel where parcel_year = '2024' and parcel_id = '19111041485');</v>
      </c>
    </row>
    <row r="201" spans="1:86" x14ac:dyDescent="0.25">
      <c r="A201">
        <v>19111041486</v>
      </c>
      <c r="B201">
        <v>0.14000000000000001</v>
      </c>
      <c r="C201">
        <v>6244</v>
      </c>
      <c r="D201" t="s">
        <v>144</v>
      </c>
      <c r="E201" t="s">
        <v>54</v>
      </c>
      <c r="F201" t="s">
        <v>54</v>
      </c>
      <c r="G201">
        <v>3</v>
      </c>
      <c r="H201" t="s">
        <v>55</v>
      </c>
      <c r="I201">
        <v>98800</v>
      </c>
      <c r="J201">
        <v>31900</v>
      </c>
      <c r="K201">
        <v>0.14000000000000001</v>
      </c>
      <c r="L201">
        <f>IF(Wapato_Inventory[[#This Row],[parcel_acres]]-Wapato_Inventory[[#This Row],[non_valued_acres]] =0,0,LN(Wapato_Inventory[[#This Row],[parcel_acres]]-Wapato_Inventory[[#This Row],[non_valued_acres]]))</f>
        <v>-1.9661128563728327</v>
      </c>
      <c r="M201">
        <v>0</v>
      </c>
      <c r="N201">
        <v>0</v>
      </c>
      <c r="O201">
        <v>0</v>
      </c>
      <c r="P201">
        <v>27904.037</v>
      </c>
      <c r="Q201">
        <v>74398</v>
      </c>
      <c r="R201" s="3">
        <f>(Wapato_Inventory[[#This Row],[ln_acres]]*Wapato_Inventory[[#This Row],[coeff]])+Wapato_Inventory[[#This Row],[const]]</f>
        <v>19535.514109596792</v>
      </c>
      <c r="S201" t="s">
        <v>66</v>
      </c>
      <c r="T201">
        <v>1</v>
      </c>
      <c r="U201" t="s">
        <v>71</v>
      </c>
      <c r="V201" t="s">
        <v>68</v>
      </c>
      <c r="W201">
        <v>0</v>
      </c>
      <c r="X201">
        <v>0</v>
      </c>
      <c r="Y201">
        <v>55</v>
      </c>
      <c r="Z201">
        <v>98</v>
      </c>
      <c r="AA201">
        <v>100</v>
      </c>
      <c r="AB201">
        <v>1000</v>
      </c>
      <c r="AC201">
        <v>1000</v>
      </c>
      <c r="AD201">
        <v>1000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20</v>
      </c>
      <c r="AO201">
        <v>0</v>
      </c>
      <c r="AP201">
        <v>5</v>
      </c>
      <c r="AQ201">
        <v>0</v>
      </c>
      <c r="AR201">
        <v>0</v>
      </c>
      <c r="AS201" t="s">
        <v>82</v>
      </c>
      <c r="AT201">
        <v>1</v>
      </c>
      <c r="AU201" t="s">
        <v>72</v>
      </c>
      <c r="AV201" t="s">
        <v>65</v>
      </c>
      <c r="AW201">
        <v>0</v>
      </c>
      <c r="AX201">
        <v>3</v>
      </c>
      <c r="AY201">
        <v>0</v>
      </c>
      <c r="AZ201">
        <v>0</v>
      </c>
      <c r="BA201">
        <v>100</v>
      </c>
      <c r="BB201">
        <v>100</v>
      </c>
      <c r="BC201">
        <v>100</v>
      </c>
      <c r="BD201">
        <v>100</v>
      </c>
      <c r="BE201">
        <v>1</v>
      </c>
      <c r="BF201">
        <v>15000</v>
      </c>
      <c r="BG201">
        <v>1000</v>
      </c>
      <c r="BH201" s="7">
        <f>ROUND(Wapato_Inventory[[#This Row],[detatched_value]]*Lookups!$B$22*Lookups!$H$48,-2)</f>
        <v>0</v>
      </c>
      <c r="BI201" s="7">
        <f>ROUND(((Wapato_Inventory[[#This Row],[land_extract]]*Lookups!$B$3) +(Lookups!$B$2*0.5))*Lookups!$H$48,-2)</f>
        <v>53000</v>
      </c>
      <c r="BJ201" s="7">
        <f>IF(Wapato_Inventory[[#This Row],[bldg_style]]="",0,Lookups!$B$2*0.5)</f>
        <v>53765.27</v>
      </c>
      <c r="BK201" s="7">
        <f>_xlfn.IFNA(VLOOKUP(Wapato_Inventory[[#This Row],[quality]],Lookups!$H$2:$J$14,3,FALSE),0)</f>
        <v>28034</v>
      </c>
      <c r="BL201" s="7">
        <f>_xlfn.IFNA(VLOOKUP(Wapato_Inventory[[#This Row],[condition]],Lookups!$H$17:$J$24,3,FALSE),0)</f>
        <v>52231</v>
      </c>
      <c r="BM201" s="7">
        <f>Wapato_Inventory[[#This Row],[Age]]*Lookups!$B$16</f>
        <v>-36326.2186</v>
      </c>
      <c r="BN201" s="7">
        <f>Wapato_Inventory[[#This Row],[Main Floor]]*Lookups!$B$17</f>
        <v>41800.739000000001</v>
      </c>
      <c r="BO201" s="7">
        <f>Wapato_Inventory[[#This Row],[Upper Floor]]*Lookups!$B$18</f>
        <v>0</v>
      </c>
      <c r="BP201" s="7">
        <f>Wapato_Inventory[[#This Row],[Fin BSMT]]*Lookups!$B$19</f>
        <v>0</v>
      </c>
      <c r="BQ201" s="7">
        <f>(Wapato_Inventory[[#This Row],[att_gar]]+Wapato_Inventory[[#This Row],[blt_gar]])*Lookups!$B$20</f>
        <v>0</v>
      </c>
      <c r="BR201" s="7">
        <f>Wapato_Inventory[[#This Row],[Patio]]*Lookups!$B$21</f>
        <v>0</v>
      </c>
      <c r="BS201" s="7">
        <f>SUM(Wapato_Inventory[[#This Row],[intercept]:[patio_value]])*Wapato_Inventory[[#This Row],[res_pct]]</f>
        <v>139504.7904</v>
      </c>
      <c r="BT201" s="7">
        <f>Wapato_Inventory[[#This Row],[land_value]]</f>
        <v>53000</v>
      </c>
      <c r="BU201" s="2">
        <f>_xlfn.IFNA(VLOOKUP(Wapato_Inventory[[#This Row],[quality]],Lookups!$A$28:$C$37,3,FALSE),1)</f>
        <v>0.96265813922927435</v>
      </c>
      <c r="BV201" s="2">
        <f>_xlfn.IFNA(VLOOKUP(Wapato_Inventory[[#This Row],[condition]],Lookups!$A$41:$C$48,3,FALSE),1)</f>
        <v>0.9832333997567807</v>
      </c>
      <c r="BW201" s="2">
        <f>IF(Wapato_Inventory[[#This Row],[decade]]="",1,_xlfn.IFNA(VLOOKUP(Wapato_Inventory[[#This Row],[decade]],Lookups!$F$28:$H$45,3,FALSE),1))</f>
        <v>1.0114203040664467</v>
      </c>
      <c r="BX201" s="2">
        <f>_xlfn.IFNA(VLOOKUP(Wapato_Inventory[[#This Row],[living_area_range]],Lookups!$K$28:$M$37,3,FALSE),1)</f>
        <v>0.99022994770196116</v>
      </c>
      <c r="BY201" s="2">
        <f>AVERAGE(Wapato_Inventory[[#This Row],[qual_adj]:[range_adj]])</f>
        <v>0.98688544768861564</v>
      </c>
      <c r="BZ201" s="7">
        <f>(Wapato_Inventory[[#This Row],[sum_land]]-IF(Wapato_Inventory[[#This Row],[no_utilities]]=1,12000,0))/IF(Wapato_Inventory[[#This Row],[unbuildable]]=1,2,1)</f>
        <v>53000</v>
      </c>
      <c r="CA201" s="7">
        <f>Wapato_Inventory[[#This Row],[pre_res]]*Wapato_Inventory[[#This Row],[overall_adj]]</f>
        <v>137675.24752861049</v>
      </c>
      <c r="CB20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01" s="3">
        <f>IF(ROUND(Wapato_Inventory[[#This Row],[adj_res]]*Lookups!$H$48,-2)&lt;Wapato_Inventory[[#This Row],[min_res]],Wapato_Inventory[[#This Row],[min_res]],ROUND(Wapato_Inventory[[#This Row],[adj_res]]*Lookups!$H$48,-2))</f>
        <v>130800</v>
      </c>
      <c r="CD201" s="3">
        <f>ROUND(Wapato_Inventory[[#This Row],[det_value]]*Lookups!$H$48,-2)</f>
        <v>0</v>
      </c>
      <c r="CE201" s="3">
        <f>Wapato_Inventory[[#This Row],[final_res]]+Wapato_Inventory[[#This Row],[final_det]]</f>
        <v>130800</v>
      </c>
      <c r="CF201" s="3">
        <f>Wapato_Inventory[[#This Row],[crop_value]]+Wapato_Inventory[[#This Row],[final_land]]+Wapato_Inventory[[#This Row],[final_imp]]</f>
        <v>181200</v>
      </c>
      <c r="CH201" t="str">
        <f t="shared" si="3"/>
        <v>update valuation set market_land =50400, market_bldg=130800, market_total =181200, market_mdno =405, market_date ='9/10/2023' where link_id = (select link_id from parcel where parcel_year = '2024' and parcel_id = '19111041486');</v>
      </c>
    </row>
    <row r="202" spans="1:86" x14ac:dyDescent="0.25">
      <c r="A202">
        <v>19111041487</v>
      </c>
      <c r="B202">
        <v>0.22</v>
      </c>
      <c r="C202">
        <v>9365</v>
      </c>
      <c r="D202" t="s">
        <v>144</v>
      </c>
      <c r="E202" t="s">
        <v>54</v>
      </c>
      <c r="F202" t="s">
        <v>54</v>
      </c>
      <c r="G202">
        <v>3</v>
      </c>
      <c r="H202" t="s">
        <v>55</v>
      </c>
      <c r="I202">
        <v>116800</v>
      </c>
      <c r="J202">
        <v>35100</v>
      </c>
      <c r="K202">
        <v>0.22</v>
      </c>
      <c r="L202">
        <f>IF(Wapato_Inventory[[#This Row],[parcel_acres]]-Wapato_Inventory[[#This Row],[non_valued_acres]] =0,0,LN(Wapato_Inventory[[#This Row],[parcel_acres]]-Wapato_Inventory[[#This Row],[non_valued_acres]]))</f>
        <v>-1.5141277326297755</v>
      </c>
      <c r="M202">
        <v>0</v>
      </c>
      <c r="N202">
        <v>0</v>
      </c>
      <c r="O202">
        <v>0</v>
      </c>
      <c r="P202">
        <v>27904.037</v>
      </c>
      <c r="Q202">
        <v>74398</v>
      </c>
      <c r="R202" s="3">
        <f>(Wapato_Inventory[[#This Row],[ln_acres]]*Wapato_Inventory[[#This Row],[coeff]])+Wapato_Inventory[[#This Row],[const]]</f>
        <v>32147.723725972639</v>
      </c>
      <c r="S202" t="s">
        <v>66</v>
      </c>
      <c r="T202">
        <v>1</v>
      </c>
      <c r="U202" t="s">
        <v>71</v>
      </c>
      <c r="V202" t="s">
        <v>68</v>
      </c>
      <c r="W202">
        <v>0</v>
      </c>
      <c r="X202">
        <v>0</v>
      </c>
      <c r="Y202">
        <v>57</v>
      </c>
      <c r="Z202">
        <v>103</v>
      </c>
      <c r="AA202">
        <v>110</v>
      </c>
      <c r="AB202">
        <v>1000</v>
      </c>
      <c r="AC202">
        <v>990</v>
      </c>
      <c r="AD202">
        <v>990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80</v>
      </c>
      <c r="AM202">
        <v>0</v>
      </c>
      <c r="AN202">
        <v>0</v>
      </c>
      <c r="AO202">
        <v>0</v>
      </c>
      <c r="AP202">
        <v>5</v>
      </c>
      <c r="AQ202">
        <v>0</v>
      </c>
      <c r="AR202">
        <v>0</v>
      </c>
      <c r="AS202" t="s">
        <v>82</v>
      </c>
      <c r="AT202">
        <v>1</v>
      </c>
      <c r="AU202" t="s">
        <v>72</v>
      </c>
      <c r="AV202" t="s">
        <v>61</v>
      </c>
      <c r="AW202">
        <v>0</v>
      </c>
      <c r="AX202">
        <v>2</v>
      </c>
      <c r="AY202">
        <v>0</v>
      </c>
      <c r="AZ202">
        <v>8200</v>
      </c>
      <c r="BA202">
        <v>100</v>
      </c>
      <c r="BB202">
        <v>100</v>
      </c>
      <c r="BC202">
        <v>100</v>
      </c>
      <c r="BD202">
        <v>100</v>
      </c>
      <c r="BE202">
        <v>1</v>
      </c>
      <c r="BF202">
        <v>15000</v>
      </c>
      <c r="BG202">
        <v>1000</v>
      </c>
      <c r="BH202" s="7">
        <f>ROUND(Wapato_Inventory[[#This Row],[detatched_value]]*Lookups!$B$22*Lookups!$H$48,-2)</f>
        <v>7300</v>
      </c>
      <c r="BI202" s="7">
        <f>ROUND(((Wapato_Inventory[[#This Row],[land_extract]]*Lookups!$B$3) +(Lookups!$B$2*0.5))*Lookups!$H$48,-2)</f>
        <v>54200</v>
      </c>
      <c r="BJ202" s="7">
        <f>IF(Wapato_Inventory[[#This Row],[bldg_style]]="",0,Lookups!$B$2*0.5)</f>
        <v>53765.27</v>
      </c>
      <c r="BK202" s="7">
        <f>_xlfn.IFNA(VLOOKUP(Wapato_Inventory[[#This Row],[quality]],Lookups!$H$2:$J$14,3,FALSE),0)</f>
        <v>28034</v>
      </c>
      <c r="BL202" s="7">
        <f>_xlfn.IFNA(VLOOKUP(Wapato_Inventory[[#This Row],[condition]],Lookups!$H$17:$J$24,3,FALSE),0)</f>
        <v>52231</v>
      </c>
      <c r="BM202" s="7">
        <f>Wapato_Inventory[[#This Row],[Age]]*Lookups!$B$16</f>
        <v>-38179.597099999999</v>
      </c>
      <c r="BN202" s="7">
        <f>Wapato_Inventory[[#This Row],[Main Floor]]*Lookups!$B$17</f>
        <v>41382.731610000003</v>
      </c>
      <c r="BO202" s="7">
        <f>Wapato_Inventory[[#This Row],[Upper Floor]]*Lookups!$B$18</f>
        <v>0</v>
      </c>
      <c r="BP202" s="7">
        <f>Wapato_Inventory[[#This Row],[Fin BSMT]]*Lookups!$B$19</f>
        <v>0</v>
      </c>
      <c r="BQ202" s="7">
        <f>(Wapato_Inventory[[#This Row],[att_gar]]+Wapato_Inventory[[#This Row],[blt_gar]])*Lookups!$B$20</f>
        <v>0</v>
      </c>
      <c r="BR202" s="7">
        <f>Wapato_Inventory[[#This Row],[Patio]]*Lookups!$B$21</f>
        <v>0</v>
      </c>
      <c r="BS202" s="7">
        <f>SUM(Wapato_Inventory[[#This Row],[intercept]:[patio_value]])*Wapato_Inventory[[#This Row],[res_pct]]</f>
        <v>137233.40450999999</v>
      </c>
      <c r="BT202" s="7">
        <f>Wapato_Inventory[[#This Row],[land_value]]</f>
        <v>54200</v>
      </c>
      <c r="BU202" s="2">
        <f>_xlfn.IFNA(VLOOKUP(Wapato_Inventory[[#This Row],[quality]],Lookups!$A$28:$C$37,3,FALSE),1)</f>
        <v>0.96265813922927435</v>
      </c>
      <c r="BV202" s="2">
        <f>_xlfn.IFNA(VLOOKUP(Wapato_Inventory[[#This Row],[condition]],Lookups!$A$41:$C$48,3,FALSE),1)</f>
        <v>0.9832333997567807</v>
      </c>
      <c r="BW202" s="2">
        <f>IF(Wapato_Inventory[[#This Row],[decade]]="",1,_xlfn.IFNA(VLOOKUP(Wapato_Inventory[[#This Row],[decade]],Lookups!$F$28:$H$45,3,FALSE),1))</f>
        <v>0.93664589651353292</v>
      </c>
      <c r="BX202" s="2">
        <f>_xlfn.IFNA(VLOOKUP(Wapato_Inventory[[#This Row],[living_area_range]],Lookups!$K$28:$M$37,3,FALSE),1)</f>
        <v>0.99022994770196116</v>
      </c>
      <c r="BY202" s="2">
        <f>AVERAGE(Wapato_Inventory[[#This Row],[qual_adj]:[range_adj]])</f>
        <v>0.9681918458003872</v>
      </c>
      <c r="BZ202" s="7">
        <f>(Wapato_Inventory[[#This Row],[sum_land]]-IF(Wapato_Inventory[[#This Row],[no_utilities]]=1,12000,0))/IF(Wapato_Inventory[[#This Row],[unbuildable]]=1,2,1)</f>
        <v>54200</v>
      </c>
      <c r="CA202" s="7">
        <f>Wapato_Inventory[[#This Row],[pre_res]]*Wapato_Inventory[[#This Row],[overall_adj]]</f>
        <v>132868.26321800807</v>
      </c>
      <c r="CB202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202" s="3">
        <f>IF(ROUND(Wapato_Inventory[[#This Row],[adj_res]]*Lookups!$H$48,-2)&lt;Wapato_Inventory[[#This Row],[min_res]],Wapato_Inventory[[#This Row],[min_res]],ROUND(Wapato_Inventory[[#This Row],[adj_res]]*Lookups!$H$48,-2))</f>
        <v>126200</v>
      </c>
      <c r="CD202" s="3">
        <f>ROUND(Wapato_Inventory[[#This Row],[det_value]]*Lookups!$H$48,-2)</f>
        <v>6900</v>
      </c>
      <c r="CE202" s="3">
        <f>Wapato_Inventory[[#This Row],[final_res]]+Wapato_Inventory[[#This Row],[final_det]]</f>
        <v>133100</v>
      </c>
      <c r="CF202" s="3">
        <f>Wapato_Inventory[[#This Row],[crop_value]]+Wapato_Inventory[[#This Row],[final_land]]+Wapato_Inventory[[#This Row],[final_imp]]</f>
        <v>184600</v>
      </c>
      <c r="CH202" t="str">
        <f t="shared" si="3"/>
        <v>update valuation set market_land =51500, market_bldg=133100, market_total =184600, market_mdno =405, market_date ='9/10/2023' where link_id = (select link_id from parcel where parcel_year = '2024' and parcel_id = '19111041487');</v>
      </c>
    </row>
    <row r="203" spans="1:86" x14ac:dyDescent="0.25">
      <c r="A203">
        <v>19111041488</v>
      </c>
      <c r="B203">
        <v>0.22</v>
      </c>
      <c r="C203">
        <v>9365</v>
      </c>
      <c r="D203" t="s">
        <v>144</v>
      </c>
      <c r="E203" t="s">
        <v>54</v>
      </c>
      <c r="F203" t="s">
        <v>54</v>
      </c>
      <c r="G203">
        <v>3</v>
      </c>
      <c r="H203" t="s">
        <v>55</v>
      </c>
      <c r="I203">
        <v>150900</v>
      </c>
      <c r="J203">
        <v>35100</v>
      </c>
      <c r="K203">
        <v>0.22</v>
      </c>
      <c r="L203">
        <f>IF(Wapato_Inventory[[#This Row],[parcel_acres]]-Wapato_Inventory[[#This Row],[non_valued_acres]] =0,0,LN(Wapato_Inventory[[#This Row],[parcel_acres]]-Wapato_Inventory[[#This Row],[non_valued_acres]]))</f>
        <v>-1.5141277326297755</v>
      </c>
      <c r="M203">
        <v>0</v>
      </c>
      <c r="N203">
        <v>0</v>
      </c>
      <c r="O203">
        <v>0</v>
      </c>
      <c r="P203">
        <v>27904.037</v>
      </c>
      <c r="Q203">
        <v>74398</v>
      </c>
      <c r="R203" s="3">
        <f>(Wapato_Inventory[[#This Row],[ln_acres]]*Wapato_Inventory[[#This Row],[coeff]])+Wapato_Inventory[[#This Row],[const]]</f>
        <v>32147.723725972639</v>
      </c>
      <c r="S203" t="s">
        <v>66</v>
      </c>
      <c r="T203">
        <v>1</v>
      </c>
      <c r="U203" t="s">
        <v>71</v>
      </c>
      <c r="V203" t="s">
        <v>69</v>
      </c>
      <c r="W203">
        <v>0</v>
      </c>
      <c r="X203">
        <v>0</v>
      </c>
      <c r="Y203">
        <v>57</v>
      </c>
      <c r="Z203">
        <v>103</v>
      </c>
      <c r="AA203">
        <v>110</v>
      </c>
      <c r="AB203">
        <v>1500</v>
      </c>
      <c r="AC203">
        <v>1242</v>
      </c>
      <c r="AD203">
        <v>1242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5</v>
      </c>
      <c r="AQ203">
        <v>0</v>
      </c>
      <c r="AR203">
        <v>0</v>
      </c>
      <c r="AS203" t="s">
        <v>59</v>
      </c>
      <c r="AT203">
        <v>1</v>
      </c>
      <c r="AU203" t="s">
        <v>76</v>
      </c>
      <c r="AV203" t="s">
        <v>61</v>
      </c>
      <c r="AW203">
        <v>0</v>
      </c>
      <c r="AX203">
        <v>2</v>
      </c>
      <c r="AY203">
        <v>0</v>
      </c>
      <c r="AZ203">
        <v>0</v>
      </c>
      <c r="BA203">
        <v>100</v>
      </c>
      <c r="BB203">
        <v>100</v>
      </c>
      <c r="BC203">
        <v>100</v>
      </c>
      <c r="BD203">
        <v>100</v>
      </c>
      <c r="BE203">
        <v>1</v>
      </c>
      <c r="BF203">
        <v>15000</v>
      </c>
      <c r="BG203">
        <v>1000</v>
      </c>
      <c r="BH203" s="7">
        <f>ROUND(Wapato_Inventory[[#This Row],[detatched_value]]*Lookups!$B$22*Lookups!$H$48,-2)</f>
        <v>0</v>
      </c>
      <c r="BI203" s="7">
        <f>ROUND(((Wapato_Inventory[[#This Row],[land_extract]]*Lookups!$B$3) +(Lookups!$B$2*0.5))*Lookups!$H$48,-2)</f>
        <v>54200</v>
      </c>
      <c r="BJ203" s="7">
        <f>IF(Wapato_Inventory[[#This Row],[bldg_style]]="",0,Lookups!$B$2*0.5)</f>
        <v>53765.27</v>
      </c>
      <c r="BK203" s="7">
        <f>_xlfn.IFNA(VLOOKUP(Wapato_Inventory[[#This Row],[quality]],Lookups!$H$2:$J$14,3,FALSE),0)</f>
        <v>28034</v>
      </c>
      <c r="BL203" s="7">
        <f>_xlfn.IFNA(VLOOKUP(Wapato_Inventory[[#This Row],[condition]],Lookups!$H$17:$J$24,3,FALSE),0)</f>
        <v>74543</v>
      </c>
      <c r="BM203" s="7">
        <f>Wapato_Inventory[[#This Row],[Age]]*Lookups!$B$16</f>
        <v>-38179.597099999999</v>
      </c>
      <c r="BN203" s="7">
        <f>Wapato_Inventory[[#This Row],[Main Floor]]*Lookups!$B$17</f>
        <v>51916.517838</v>
      </c>
      <c r="BO203" s="7">
        <f>Wapato_Inventory[[#This Row],[Upper Floor]]*Lookups!$B$18</f>
        <v>0</v>
      </c>
      <c r="BP203" s="7">
        <f>Wapato_Inventory[[#This Row],[Fin BSMT]]*Lookups!$B$19</f>
        <v>0</v>
      </c>
      <c r="BQ203" s="7">
        <f>(Wapato_Inventory[[#This Row],[att_gar]]+Wapato_Inventory[[#This Row],[blt_gar]])*Lookups!$B$20</f>
        <v>0</v>
      </c>
      <c r="BR203" s="7">
        <f>Wapato_Inventory[[#This Row],[Patio]]*Lookups!$B$21</f>
        <v>0</v>
      </c>
      <c r="BS203" s="7">
        <f>SUM(Wapato_Inventory[[#This Row],[intercept]:[patio_value]])*Wapato_Inventory[[#This Row],[res_pct]]</f>
        <v>170079.19073799998</v>
      </c>
      <c r="BT203" s="7">
        <f>Wapato_Inventory[[#This Row],[land_value]]</f>
        <v>54200</v>
      </c>
      <c r="BU203" s="2">
        <f>_xlfn.IFNA(VLOOKUP(Wapato_Inventory[[#This Row],[quality]],Lookups!$A$28:$C$37,3,FALSE),1)</f>
        <v>0.96265813922927435</v>
      </c>
      <c r="BV203" s="2">
        <f>_xlfn.IFNA(VLOOKUP(Wapato_Inventory[[#This Row],[condition]],Lookups!$A$41:$C$48,3,FALSE),1)</f>
        <v>0.98442438223270734</v>
      </c>
      <c r="BW203" s="2">
        <f>IF(Wapato_Inventory[[#This Row],[decade]]="",1,_xlfn.IFNA(VLOOKUP(Wapato_Inventory[[#This Row],[decade]],Lookups!$F$28:$H$45,3,FALSE),1))</f>
        <v>0.93664589651353292</v>
      </c>
      <c r="BX203" s="2">
        <f>_xlfn.IFNA(VLOOKUP(Wapato_Inventory[[#This Row],[living_area_range]],Lookups!$K$28:$M$37,3,FALSE),1)</f>
        <v>1.0061411172456287</v>
      </c>
      <c r="BY203" s="2">
        <f>AVERAGE(Wapato_Inventory[[#This Row],[qual_adj]:[range_adj]])</f>
        <v>0.97246738380528575</v>
      </c>
      <c r="BZ203" s="7">
        <f>(Wapato_Inventory[[#This Row],[sum_land]]-IF(Wapato_Inventory[[#This Row],[no_utilities]]=1,12000,0))/IF(Wapato_Inventory[[#This Row],[unbuildable]]=1,2,1)</f>
        <v>54200</v>
      </c>
      <c r="CA203" s="7">
        <f>Wapato_Inventory[[#This Row],[pre_res]]*Wapato_Inventory[[#This Row],[overall_adj]]</f>
        <v>165396.46565670302</v>
      </c>
      <c r="CB203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203" s="3">
        <f>IF(ROUND(Wapato_Inventory[[#This Row],[adj_res]]*Lookups!$H$48,-2)&lt;Wapato_Inventory[[#This Row],[min_res]],Wapato_Inventory[[#This Row],[min_res]],ROUND(Wapato_Inventory[[#This Row],[adj_res]]*Lookups!$H$48,-2))</f>
        <v>157100</v>
      </c>
      <c r="CD203" s="3">
        <f>ROUND(Wapato_Inventory[[#This Row],[det_value]]*Lookups!$H$48,-2)</f>
        <v>0</v>
      </c>
      <c r="CE203" s="3">
        <f>Wapato_Inventory[[#This Row],[final_res]]+Wapato_Inventory[[#This Row],[final_det]]</f>
        <v>157100</v>
      </c>
      <c r="CF203" s="3">
        <f>Wapato_Inventory[[#This Row],[crop_value]]+Wapato_Inventory[[#This Row],[final_land]]+Wapato_Inventory[[#This Row],[final_imp]]</f>
        <v>208600</v>
      </c>
      <c r="CH203" t="str">
        <f t="shared" si="3"/>
        <v>update valuation set market_land =51500, market_bldg=157100, market_total =208600, market_mdno =405, market_date ='9/10/2023' where link_id = (select link_id from parcel where parcel_year = '2024' and parcel_id = '19111041488');</v>
      </c>
    </row>
    <row r="204" spans="1:86" x14ac:dyDescent="0.25">
      <c r="A204">
        <v>19111041489</v>
      </c>
      <c r="B204">
        <v>0.14000000000000001</v>
      </c>
      <c r="C204">
        <v>6244</v>
      </c>
      <c r="D204" t="s">
        <v>144</v>
      </c>
      <c r="E204" t="s">
        <v>54</v>
      </c>
      <c r="F204" t="s">
        <v>54</v>
      </c>
      <c r="G204">
        <v>3</v>
      </c>
      <c r="H204" t="s">
        <v>55</v>
      </c>
      <c r="I204">
        <v>94500</v>
      </c>
      <c r="J204">
        <v>31900</v>
      </c>
      <c r="K204">
        <v>0.14000000000000001</v>
      </c>
      <c r="L204">
        <f>IF(Wapato_Inventory[[#This Row],[parcel_acres]]-Wapato_Inventory[[#This Row],[non_valued_acres]] =0,0,LN(Wapato_Inventory[[#This Row],[parcel_acres]]-Wapato_Inventory[[#This Row],[non_valued_acres]]))</f>
        <v>-1.9661128563728327</v>
      </c>
      <c r="M204">
        <v>0</v>
      </c>
      <c r="N204">
        <v>0</v>
      </c>
      <c r="O204">
        <v>0</v>
      </c>
      <c r="P204">
        <v>27904.037</v>
      </c>
      <c r="Q204">
        <v>74398</v>
      </c>
      <c r="R204" s="3">
        <f>(Wapato_Inventory[[#This Row],[ln_acres]]*Wapato_Inventory[[#This Row],[coeff]])+Wapato_Inventory[[#This Row],[const]]</f>
        <v>19535.514109596792</v>
      </c>
      <c r="S204" t="s">
        <v>66</v>
      </c>
      <c r="T204">
        <v>1</v>
      </c>
      <c r="U204" t="s">
        <v>78</v>
      </c>
      <c r="V204" t="s">
        <v>68</v>
      </c>
      <c r="W204">
        <v>0</v>
      </c>
      <c r="X204">
        <v>0</v>
      </c>
      <c r="Y204">
        <v>57</v>
      </c>
      <c r="Z204">
        <v>103</v>
      </c>
      <c r="AA204">
        <v>110</v>
      </c>
      <c r="AB204">
        <v>1000</v>
      </c>
      <c r="AC204">
        <v>700</v>
      </c>
      <c r="AD204">
        <v>700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5</v>
      </c>
      <c r="AQ204">
        <v>0</v>
      </c>
      <c r="AR204">
        <v>0</v>
      </c>
      <c r="AS204" t="s">
        <v>59</v>
      </c>
      <c r="AT204">
        <v>0</v>
      </c>
      <c r="AU204" t="s">
        <v>80</v>
      </c>
      <c r="AV204" t="s">
        <v>65</v>
      </c>
      <c r="AW204">
        <v>0</v>
      </c>
      <c r="AX204">
        <v>1</v>
      </c>
      <c r="AY204">
        <v>0</v>
      </c>
      <c r="AZ204">
        <v>0</v>
      </c>
      <c r="BA204">
        <v>100</v>
      </c>
      <c r="BB204">
        <v>100</v>
      </c>
      <c r="BC204">
        <v>100</v>
      </c>
      <c r="BD204">
        <v>100</v>
      </c>
      <c r="BE204">
        <v>1</v>
      </c>
      <c r="BF204">
        <v>15000</v>
      </c>
      <c r="BG204">
        <v>1000</v>
      </c>
      <c r="BH204" s="7">
        <f>ROUND(Wapato_Inventory[[#This Row],[detatched_value]]*Lookups!$B$22*Lookups!$H$48,-2)</f>
        <v>0</v>
      </c>
      <c r="BI204" s="7">
        <f>ROUND(((Wapato_Inventory[[#This Row],[land_extract]]*Lookups!$B$3) +(Lookups!$B$2*0.5))*Lookups!$H$48,-2)</f>
        <v>53000</v>
      </c>
      <c r="BJ204" s="7">
        <f>IF(Wapato_Inventory[[#This Row],[bldg_style]]="",0,Lookups!$B$2*0.5)</f>
        <v>53765.27</v>
      </c>
      <c r="BK204" s="7">
        <f>_xlfn.IFNA(VLOOKUP(Wapato_Inventory[[#This Row],[quality]],Lookups!$H$2:$J$14,3,FALSE),0)</f>
        <v>23424</v>
      </c>
      <c r="BL204" s="7">
        <f>_xlfn.IFNA(VLOOKUP(Wapato_Inventory[[#This Row],[condition]],Lookups!$H$17:$J$24,3,FALSE),0)</f>
        <v>52231</v>
      </c>
      <c r="BM204" s="7">
        <f>Wapato_Inventory[[#This Row],[Age]]*Lookups!$B$16</f>
        <v>-38179.597099999999</v>
      </c>
      <c r="BN204" s="7">
        <f>Wapato_Inventory[[#This Row],[Main Floor]]*Lookups!$B$17</f>
        <v>29260.5173</v>
      </c>
      <c r="BO204" s="7">
        <f>Wapato_Inventory[[#This Row],[Upper Floor]]*Lookups!$B$18</f>
        <v>0</v>
      </c>
      <c r="BP204" s="7">
        <f>Wapato_Inventory[[#This Row],[Fin BSMT]]*Lookups!$B$19</f>
        <v>0</v>
      </c>
      <c r="BQ204" s="7">
        <f>(Wapato_Inventory[[#This Row],[att_gar]]+Wapato_Inventory[[#This Row],[blt_gar]])*Lookups!$B$20</f>
        <v>0</v>
      </c>
      <c r="BR204" s="7">
        <f>Wapato_Inventory[[#This Row],[Patio]]*Lookups!$B$21</f>
        <v>0</v>
      </c>
      <c r="BS204" s="7">
        <f>SUM(Wapato_Inventory[[#This Row],[intercept]:[patio_value]])*Wapato_Inventory[[#This Row],[res_pct]]</f>
        <v>120501.19019999998</v>
      </c>
      <c r="BT204" s="7">
        <f>Wapato_Inventory[[#This Row],[land_value]]</f>
        <v>53000</v>
      </c>
      <c r="BU204" s="2">
        <f>_xlfn.IFNA(VLOOKUP(Wapato_Inventory[[#This Row],[quality]],Lookups!$A$28:$C$37,3,FALSE),1)</f>
        <v>1.0091195562373767</v>
      </c>
      <c r="BV204" s="2">
        <f>_xlfn.IFNA(VLOOKUP(Wapato_Inventory[[#This Row],[condition]],Lookups!$A$41:$C$48,3,FALSE),1)</f>
        <v>0.9832333997567807</v>
      </c>
      <c r="BW204" s="2">
        <f>IF(Wapato_Inventory[[#This Row],[decade]]="",1,_xlfn.IFNA(VLOOKUP(Wapato_Inventory[[#This Row],[decade]],Lookups!$F$28:$H$45,3,FALSE),1))</f>
        <v>0.93664589651353292</v>
      </c>
      <c r="BX204" s="2">
        <f>_xlfn.IFNA(VLOOKUP(Wapato_Inventory[[#This Row],[living_area_range]],Lookups!$K$28:$M$37,3,FALSE),1)</f>
        <v>0.99022994770196116</v>
      </c>
      <c r="BY204" s="2">
        <f>AVERAGE(Wapato_Inventory[[#This Row],[qual_adj]:[range_adj]])</f>
        <v>0.97980720005241284</v>
      </c>
      <c r="BZ204" s="7">
        <f>(Wapato_Inventory[[#This Row],[sum_land]]-IF(Wapato_Inventory[[#This Row],[no_utilities]]=1,12000,0))/IF(Wapato_Inventory[[#This Row],[unbuildable]]=1,2,1)</f>
        <v>53000</v>
      </c>
      <c r="CA204" s="7">
        <f>Wapato_Inventory[[#This Row],[pre_res]]*Wapato_Inventory[[#This Row],[overall_adj]]</f>
        <v>118067.93377284524</v>
      </c>
      <c r="CB20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04" s="3">
        <f>IF(ROUND(Wapato_Inventory[[#This Row],[adj_res]]*Lookups!$H$48,-2)&lt;Wapato_Inventory[[#This Row],[min_res]],Wapato_Inventory[[#This Row],[min_res]],ROUND(Wapato_Inventory[[#This Row],[adj_res]]*Lookups!$H$48,-2))</f>
        <v>112200</v>
      </c>
      <c r="CD204" s="3">
        <f>ROUND(Wapato_Inventory[[#This Row],[det_value]]*Lookups!$H$48,-2)</f>
        <v>0</v>
      </c>
      <c r="CE204" s="3">
        <f>Wapato_Inventory[[#This Row],[final_res]]+Wapato_Inventory[[#This Row],[final_det]]</f>
        <v>112200</v>
      </c>
      <c r="CF204" s="3">
        <f>Wapato_Inventory[[#This Row],[crop_value]]+Wapato_Inventory[[#This Row],[final_land]]+Wapato_Inventory[[#This Row],[final_imp]]</f>
        <v>162600</v>
      </c>
      <c r="CH204" t="str">
        <f t="shared" si="3"/>
        <v>update valuation set market_land =50400, market_bldg=112200, market_total =162600, market_mdno =405, market_date ='9/10/2023' where link_id = (select link_id from parcel where parcel_year = '2024' and parcel_id = '19111041489');</v>
      </c>
    </row>
    <row r="205" spans="1:86" x14ac:dyDescent="0.25">
      <c r="A205">
        <v>19111041490</v>
      </c>
      <c r="B205">
        <v>0.14000000000000001</v>
      </c>
      <c r="C205">
        <v>6244</v>
      </c>
      <c r="D205" t="s">
        <v>144</v>
      </c>
      <c r="E205" t="s">
        <v>54</v>
      </c>
      <c r="F205" t="s">
        <v>54</v>
      </c>
      <c r="G205">
        <v>3</v>
      </c>
      <c r="H205" t="s">
        <v>55</v>
      </c>
      <c r="I205">
        <v>89100</v>
      </c>
      <c r="J205">
        <v>31900</v>
      </c>
      <c r="K205">
        <v>0.14000000000000001</v>
      </c>
      <c r="L205">
        <f>IF(Wapato_Inventory[[#This Row],[parcel_acres]]-Wapato_Inventory[[#This Row],[non_valued_acres]] =0,0,LN(Wapato_Inventory[[#This Row],[parcel_acres]]-Wapato_Inventory[[#This Row],[non_valued_acres]]))</f>
        <v>-1.9661128563728327</v>
      </c>
      <c r="M205">
        <v>0</v>
      </c>
      <c r="N205">
        <v>0</v>
      </c>
      <c r="O205">
        <v>0</v>
      </c>
      <c r="P205">
        <v>27904.037</v>
      </c>
      <c r="Q205">
        <v>74398</v>
      </c>
      <c r="R205" s="3">
        <f>(Wapato_Inventory[[#This Row],[ln_acres]]*Wapato_Inventory[[#This Row],[coeff]])+Wapato_Inventory[[#This Row],[const]]</f>
        <v>19535.514109596792</v>
      </c>
      <c r="S205" t="s">
        <v>66</v>
      </c>
      <c r="T205">
        <v>1</v>
      </c>
      <c r="U205" t="s">
        <v>71</v>
      </c>
      <c r="V205" t="s">
        <v>68</v>
      </c>
      <c r="W205">
        <v>0</v>
      </c>
      <c r="X205">
        <v>0</v>
      </c>
      <c r="Y205">
        <v>57</v>
      </c>
      <c r="Z205">
        <v>103</v>
      </c>
      <c r="AA205">
        <v>110</v>
      </c>
      <c r="AB205">
        <v>1000</v>
      </c>
      <c r="AC205">
        <v>682</v>
      </c>
      <c r="AD205">
        <v>682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64</v>
      </c>
      <c r="AN205">
        <v>16</v>
      </c>
      <c r="AO205">
        <v>64</v>
      </c>
      <c r="AP205">
        <v>5</v>
      </c>
      <c r="AQ205">
        <v>0</v>
      </c>
      <c r="AR205">
        <v>0</v>
      </c>
      <c r="AS205" t="s">
        <v>59</v>
      </c>
      <c r="AT205">
        <v>0</v>
      </c>
      <c r="AU205" t="s">
        <v>80</v>
      </c>
      <c r="AV205" t="s">
        <v>65</v>
      </c>
      <c r="AW205">
        <v>0</v>
      </c>
      <c r="AX205">
        <v>1</v>
      </c>
      <c r="AY205">
        <v>0</v>
      </c>
      <c r="AZ205">
        <v>4400</v>
      </c>
      <c r="BA205">
        <v>100</v>
      </c>
      <c r="BB205">
        <v>100</v>
      </c>
      <c r="BC205">
        <v>100</v>
      </c>
      <c r="BD205">
        <v>100</v>
      </c>
      <c r="BE205">
        <v>1</v>
      </c>
      <c r="BF205">
        <v>15000</v>
      </c>
      <c r="BG205">
        <v>1000</v>
      </c>
      <c r="BH205" s="7">
        <f>ROUND(Wapato_Inventory[[#This Row],[detatched_value]]*Lookups!$B$22*Lookups!$H$48,-2)</f>
        <v>3900</v>
      </c>
      <c r="BI205" s="7">
        <f>ROUND(((Wapato_Inventory[[#This Row],[land_extract]]*Lookups!$B$3) +(Lookups!$B$2*0.5))*Lookups!$H$48,-2)</f>
        <v>53000</v>
      </c>
      <c r="BJ205" s="7">
        <f>IF(Wapato_Inventory[[#This Row],[bldg_style]]="",0,Lookups!$B$2*0.5)</f>
        <v>53765.27</v>
      </c>
      <c r="BK205" s="7">
        <f>_xlfn.IFNA(VLOOKUP(Wapato_Inventory[[#This Row],[quality]],Lookups!$H$2:$J$14,3,FALSE),0)</f>
        <v>28034</v>
      </c>
      <c r="BL205" s="7">
        <f>_xlfn.IFNA(VLOOKUP(Wapato_Inventory[[#This Row],[condition]],Lookups!$H$17:$J$24,3,FALSE),0)</f>
        <v>52231</v>
      </c>
      <c r="BM205" s="7">
        <f>Wapato_Inventory[[#This Row],[Age]]*Lookups!$B$16</f>
        <v>-38179.597099999999</v>
      </c>
      <c r="BN205" s="7">
        <f>Wapato_Inventory[[#This Row],[Main Floor]]*Lookups!$B$17</f>
        <v>28508.103997999999</v>
      </c>
      <c r="BO205" s="7">
        <f>Wapato_Inventory[[#This Row],[Upper Floor]]*Lookups!$B$18</f>
        <v>0</v>
      </c>
      <c r="BP205" s="7">
        <f>Wapato_Inventory[[#This Row],[Fin BSMT]]*Lookups!$B$19</f>
        <v>0</v>
      </c>
      <c r="BQ205" s="7">
        <f>(Wapato_Inventory[[#This Row],[att_gar]]+Wapato_Inventory[[#This Row],[blt_gar]])*Lookups!$B$20</f>
        <v>0</v>
      </c>
      <c r="BR205" s="7">
        <f>Wapato_Inventory[[#This Row],[Patio]]*Lookups!$B$21</f>
        <v>2772.7346560000001</v>
      </c>
      <c r="BS205" s="7">
        <f>SUM(Wapato_Inventory[[#This Row],[intercept]:[patio_value]])*Wapato_Inventory[[#This Row],[res_pct]]</f>
        <v>127131.51155399998</v>
      </c>
      <c r="BT205" s="7">
        <f>Wapato_Inventory[[#This Row],[land_value]]</f>
        <v>53000</v>
      </c>
      <c r="BU205" s="2">
        <f>_xlfn.IFNA(VLOOKUP(Wapato_Inventory[[#This Row],[quality]],Lookups!$A$28:$C$37,3,FALSE),1)</f>
        <v>0.96265813922927435</v>
      </c>
      <c r="BV205" s="2">
        <f>_xlfn.IFNA(VLOOKUP(Wapato_Inventory[[#This Row],[condition]],Lookups!$A$41:$C$48,3,FALSE),1)</f>
        <v>0.9832333997567807</v>
      </c>
      <c r="BW205" s="2">
        <f>IF(Wapato_Inventory[[#This Row],[decade]]="",1,_xlfn.IFNA(VLOOKUP(Wapato_Inventory[[#This Row],[decade]],Lookups!$F$28:$H$45,3,FALSE),1))</f>
        <v>0.93664589651353292</v>
      </c>
      <c r="BX205" s="2">
        <f>_xlfn.IFNA(VLOOKUP(Wapato_Inventory[[#This Row],[living_area_range]],Lookups!$K$28:$M$37,3,FALSE),1)</f>
        <v>0.99022994770196116</v>
      </c>
      <c r="BY205" s="2">
        <f>AVERAGE(Wapato_Inventory[[#This Row],[qual_adj]:[range_adj]])</f>
        <v>0.9681918458003872</v>
      </c>
      <c r="BZ205" s="7">
        <f>(Wapato_Inventory[[#This Row],[sum_land]]-IF(Wapato_Inventory[[#This Row],[no_utilities]]=1,12000,0))/IF(Wapato_Inventory[[#This Row],[unbuildable]]=1,2,1)</f>
        <v>53000</v>
      </c>
      <c r="CA205" s="7">
        <f>Wapato_Inventory[[#This Row],[pre_res]]*Wapato_Inventory[[#This Row],[overall_adj]]</f>
        <v>123087.6928308605</v>
      </c>
      <c r="CB20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05" s="3">
        <f>IF(ROUND(Wapato_Inventory[[#This Row],[adj_res]]*Lookups!$H$48,-2)&lt;Wapato_Inventory[[#This Row],[min_res]],Wapato_Inventory[[#This Row],[min_res]],ROUND(Wapato_Inventory[[#This Row],[adj_res]]*Lookups!$H$48,-2))</f>
        <v>116900</v>
      </c>
      <c r="CD205" s="3">
        <f>ROUND(Wapato_Inventory[[#This Row],[det_value]]*Lookups!$H$48,-2)</f>
        <v>3700</v>
      </c>
      <c r="CE205" s="3">
        <f>Wapato_Inventory[[#This Row],[final_res]]+Wapato_Inventory[[#This Row],[final_det]]</f>
        <v>120600</v>
      </c>
      <c r="CF205" s="3">
        <f>Wapato_Inventory[[#This Row],[crop_value]]+Wapato_Inventory[[#This Row],[final_land]]+Wapato_Inventory[[#This Row],[final_imp]]</f>
        <v>171000</v>
      </c>
      <c r="CH205" t="str">
        <f t="shared" si="3"/>
        <v>update valuation set market_land =50400, market_bldg=120600, market_total =171000, market_mdno =405, market_date ='9/10/2023' where link_id = (select link_id from parcel where parcel_year = '2024' and parcel_id = '19111041490');</v>
      </c>
    </row>
    <row r="206" spans="1:86" x14ac:dyDescent="0.25">
      <c r="A206">
        <v>19111041491</v>
      </c>
      <c r="B206">
        <v>0.14000000000000001</v>
      </c>
      <c r="C206">
        <v>6244</v>
      </c>
      <c r="D206" t="s">
        <v>144</v>
      </c>
      <c r="E206" t="s">
        <v>54</v>
      </c>
      <c r="F206" t="s">
        <v>54</v>
      </c>
      <c r="G206">
        <v>3</v>
      </c>
      <c r="H206" t="s">
        <v>55</v>
      </c>
      <c r="I206">
        <v>60300</v>
      </c>
      <c r="J206">
        <v>31900</v>
      </c>
      <c r="K206">
        <v>0.14000000000000001</v>
      </c>
      <c r="L206">
        <f>IF(Wapato_Inventory[[#This Row],[parcel_acres]]-Wapato_Inventory[[#This Row],[non_valued_acres]] =0,0,LN(Wapato_Inventory[[#This Row],[parcel_acres]]-Wapato_Inventory[[#This Row],[non_valued_acres]]))</f>
        <v>-1.9661128563728327</v>
      </c>
      <c r="M206">
        <v>0</v>
      </c>
      <c r="N206">
        <v>0</v>
      </c>
      <c r="O206">
        <v>0</v>
      </c>
      <c r="P206">
        <v>27904.037</v>
      </c>
      <c r="Q206">
        <v>74398</v>
      </c>
      <c r="R206" s="3">
        <f>(Wapato_Inventory[[#This Row],[ln_acres]]*Wapato_Inventory[[#This Row],[coeff]])+Wapato_Inventory[[#This Row],[const]]</f>
        <v>19535.514109596792</v>
      </c>
      <c r="S206" t="s">
        <v>66</v>
      </c>
      <c r="T206">
        <v>1</v>
      </c>
      <c r="U206" t="s">
        <v>71</v>
      </c>
      <c r="V206" t="s">
        <v>73</v>
      </c>
      <c r="W206">
        <v>0</v>
      </c>
      <c r="X206">
        <v>0</v>
      </c>
      <c r="Y206">
        <v>57</v>
      </c>
      <c r="Z206">
        <v>103</v>
      </c>
      <c r="AA206">
        <v>110</v>
      </c>
      <c r="AB206">
        <v>1000</v>
      </c>
      <c r="AC206">
        <v>780</v>
      </c>
      <c r="AD206">
        <v>780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5</v>
      </c>
      <c r="AQ206">
        <v>0</v>
      </c>
      <c r="AR206">
        <v>0</v>
      </c>
      <c r="AS206" t="s">
        <v>59</v>
      </c>
      <c r="AT206">
        <v>1</v>
      </c>
      <c r="AU206" t="s">
        <v>72</v>
      </c>
      <c r="AV206" t="s">
        <v>61</v>
      </c>
      <c r="AW206">
        <v>0</v>
      </c>
      <c r="AX206">
        <v>2</v>
      </c>
      <c r="AY206">
        <v>0</v>
      </c>
      <c r="AZ206">
        <v>0</v>
      </c>
      <c r="BA206">
        <v>100</v>
      </c>
      <c r="BB206">
        <v>100</v>
      </c>
      <c r="BC206">
        <v>100</v>
      </c>
      <c r="BD206">
        <v>100</v>
      </c>
      <c r="BE206">
        <v>1</v>
      </c>
      <c r="BF206">
        <v>15000</v>
      </c>
      <c r="BG206">
        <v>1000</v>
      </c>
      <c r="BH206" s="7">
        <f>ROUND(Wapato_Inventory[[#This Row],[detatched_value]]*Lookups!$B$22*Lookups!$H$48,-2)</f>
        <v>0</v>
      </c>
      <c r="BI206" s="7">
        <f>ROUND(((Wapato_Inventory[[#This Row],[land_extract]]*Lookups!$B$3) +(Lookups!$B$2*0.5))*Lookups!$H$48,-2)</f>
        <v>53000</v>
      </c>
      <c r="BJ206" s="7">
        <f>IF(Wapato_Inventory[[#This Row],[bldg_style]]="",0,Lookups!$B$2*0.5)</f>
        <v>53765.27</v>
      </c>
      <c r="BK206" s="7">
        <f>_xlfn.IFNA(VLOOKUP(Wapato_Inventory[[#This Row],[quality]],Lookups!$H$2:$J$14,3,FALSE),0)</f>
        <v>28034</v>
      </c>
      <c r="BL206" s="7">
        <f>_xlfn.IFNA(VLOOKUP(Wapato_Inventory[[#This Row],[condition]],Lookups!$H$17:$J$24,3,FALSE),0)</f>
        <v>16276</v>
      </c>
      <c r="BM206" s="7">
        <f>Wapato_Inventory[[#This Row],[Age]]*Lookups!$B$16</f>
        <v>-38179.597099999999</v>
      </c>
      <c r="BN206" s="7">
        <f>Wapato_Inventory[[#This Row],[Main Floor]]*Lookups!$B$17</f>
        <v>32604.576420000001</v>
      </c>
      <c r="BO206" s="7">
        <f>Wapato_Inventory[[#This Row],[Upper Floor]]*Lookups!$B$18</f>
        <v>0</v>
      </c>
      <c r="BP206" s="7">
        <f>Wapato_Inventory[[#This Row],[Fin BSMT]]*Lookups!$B$19</f>
        <v>0</v>
      </c>
      <c r="BQ206" s="7">
        <f>(Wapato_Inventory[[#This Row],[att_gar]]+Wapato_Inventory[[#This Row],[blt_gar]])*Lookups!$B$20</f>
        <v>0</v>
      </c>
      <c r="BR206" s="7">
        <f>Wapato_Inventory[[#This Row],[Patio]]*Lookups!$B$21</f>
        <v>0</v>
      </c>
      <c r="BS206" s="7">
        <f>SUM(Wapato_Inventory[[#This Row],[intercept]:[patio_value]])*Wapato_Inventory[[#This Row],[res_pct]]</f>
        <v>92500.249319999988</v>
      </c>
      <c r="BT206" s="7">
        <f>Wapato_Inventory[[#This Row],[land_value]]</f>
        <v>53000</v>
      </c>
      <c r="BU206" s="2">
        <f>_xlfn.IFNA(VLOOKUP(Wapato_Inventory[[#This Row],[quality]],Lookups!$A$28:$C$37,3,FALSE),1)</f>
        <v>0.96265813922927435</v>
      </c>
      <c r="BV206" s="2">
        <f>_xlfn.IFNA(VLOOKUP(Wapato_Inventory[[#This Row],[condition]],Lookups!$A$41:$C$48,3,FALSE),1)</f>
        <v>0.93399385491337139</v>
      </c>
      <c r="BW206" s="2">
        <f>IF(Wapato_Inventory[[#This Row],[decade]]="",1,_xlfn.IFNA(VLOOKUP(Wapato_Inventory[[#This Row],[decade]],Lookups!$F$28:$H$45,3,FALSE),1))</f>
        <v>0.93664589651353292</v>
      </c>
      <c r="BX206" s="2">
        <f>_xlfn.IFNA(VLOOKUP(Wapato_Inventory[[#This Row],[living_area_range]],Lookups!$K$28:$M$37,3,FALSE),1)</f>
        <v>0.99022994770196116</v>
      </c>
      <c r="BY206" s="2">
        <f>AVERAGE(Wapato_Inventory[[#This Row],[qual_adj]:[range_adj]])</f>
        <v>0.95588195958953504</v>
      </c>
      <c r="BZ206" s="7">
        <f>(Wapato_Inventory[[#This Row],[sum_land]]-IF(Wapato_Inventory[[#This Row],[no_utilities]]=1,12000,0))/IF(Wapato_Inventory[[#This Row],[unbuildable]]=1,2,1)</f>
        <v>53000</v>
      </c>
      <c r="CA206" s="7">
        <f>Wapato_Inventory[[#This Row],[pre_res]]*Wapato_Inventory[[#This Row],[overall_adj]]</f>
        <v>88419.319582522148</v>
      </c>
      <c r="CB20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06" s="3">
        <f>IF(ROUND(Wapato_Inventory[[#This Row],[adj_res]]*Lookups!$H$48,-2)&lt;Wapato_Inventory[[#This Row],[min_res]],Wapato_Inventory[[#This Row],[min_res]],ROUND(Wapato_Inventory[[#This Row],[adj_res]]*Lookups!$H$48,-2))</f>
        <v>84000</v>
      </c>
      <c r="CD206" s="3">
        <f>ROUND(Wapato_Inventory[[#This Row],[det_value]]*Lookups!$H$48,-2)</f>
        <v>0</v>
      </c>
      <c r="CE206" s="3">
        <f>Wapato_Inventory[[#This Row],[final_res]]+Wapato_Inventory[[#This Row],[final_det]]</f>
        <v>84000</v>
      </c>
      <c r="CF206" s="3">
        <f>Wapato_Inventory[[#This Row],[crop_value]]+Wapato_Inventory[[#This Row],[final_land]]+Wapato_Inventory[[#This Row],[final_imp]]</f>
        <v>134400</v>
      </c>
      <c r="CH206" t="str">
        <f t="shared" si="3"/>
        <v>update valuation set market_land =50400, market_bldg=84000, market_total =134400, market_mdno =405, market_date ='9/10/2023' where link_id = (select link_id from parcel where parcel_year = '2024' and parcel_id = '19111041491');</v>
      </c>
    </row>
    <row r="207" spans="1:86" x14ac:dyDescent="0.25">
      <c r="A207">
        <v>19111041494</v>
      </c>
      <c r="B207">
        <v>0.14000000000000001</v>
      </c>
      <c r="C207">
        <v>6215</v>
      </c>
      <c r="D207" t="s">
        <v>144</v>
      </c>
      <c r="E207" t="s">
        <v>54</v>
      </c>
      <c r="F207" t="s">
        <v>54</v>
      </c>
      <c r="G207">
        <v>3</v>
      </c>
      <c r="H207" t="s">
        <v>55</v>
      </c>
      <c r="I207">
        <v>117000</v>
      </c>
      <c r="J207">
        <v>31900</v>
      </c>
      <c r="K207">
        <v>0.14000000000000001</v>
      </c>
      <c r="L207">
        <f>IF(Wapato_Inventory[[#This Row],[parcel_acres]]-Wapato_Inventory[[#This Row],[non_valued_acres]] =0,0,LN(Wapato_Inventory[[#This Row],[parcel_acres]]-Wapato_Inventory[[#This Row],[non_valued_acres]]))</f>
        <v>-1.9661128563728327</v>
      </c>
      <c r="M207">
        <v>0</v>
      </c>
      <c r="N207">
        <v>0</v>
      </c>
      <c r="O207">
        <v>0</v>
      </c>
      <c r="P207">
        <v>27904.037</v>
      </c>
      <c r="Q207">
        <v>74398</v>
      </c>
      <c r="R207" s="3">
        <f>(Wapato_Inventory[[#This Row],[ln_acres]]*Wapato_Inventory[[#This Row],[coeff]])+Wapato_Inventory[[#This Row],[const]]</f>
        <v>19535.514109596792</v>
      </c>
      <c r="S207" t="s">
        <v>66</v>
      </c>
      <c r="T207">
        <v>1</v>
      </c>
      <c r="U207" t="s">
        <v>71</v>
      </c>
      <c r="V207" t="s">
        <v>68</v>
      </c>
      <c r="W207">
        <v>0</v>
      </c>
      <c r="X207">
        <v>0</v>
      </c>
      <c r="Y207">
        <v>53</v>
      </c>
      <c r="Z207">
        <v>93</v>
      </c>
      <c r="AA207">
        <v>100</v>
      </c>
      <c r="AB207">
        <v>1500</v>
      </c>
      <c r="AC207">
        <v>1064</v>
      </c>
      <c r="AD207">
        <v>1064</v>
      </c>
      <c r="AE207">
        <v>0</v>
      </c>
      <c r="AF207">
        <v>0</v>
      </c>
      <c r="AG207">
        <v>0</v>
      </c>
      <c r="AH207">
        <v>1008</v>
      </c>
      <c r="AI207">
        <v>0</v>
      </c>
      <c r="AJ207">
        <v>0</v>
      </c>
      <c r="AK207">
        <v>0</v>
      </c>
      <c r="AL207">
        <v>0</v>
      </c>
      <c r="AM207">
        <v>288</v>
      </c>
      <c r="AN207">
        <v>0</v>
      </c>
      <c r="AO207">
        <v>0</v>
      </c>
      <c r="AP207">
        <v>5</v>
      </c>
      <c r="AQ207">
        <v>0</v>
      </c>
      <c r="AR207">
        <v>0</v>
      </c>
      <c r="AS207" t="s">
        <v>59</v>
      </c>
      <c r="AT207">
        <v>1</v>
      </c>
      <c r="AU207" t="s">
        <v>72</v>
      </c>
      <c r="AV207" t="s">
        <v>61</v>
      </c>
      <c r="AW207">
        <v>0</v>
      </c>
      <c r="AX207">
        <v>2</v>
      </c>
      <c r="AY207">
        <v>0</v>
      </c>
      <c r="AZ207">
        <v>0</v>
      </c>
      <c r="BA207">
        <v>100</v>
      </c>
      <c r="BB207">
        <v>100</v>
      </c>
      <c r="BC207">
        <v>100</v>
      </c>
      <c r="BD207">
        <v>100</v>
      </c>
      <c r="BE207">
        <v>1</v>
      </c>
      <c r="BF207">
        <v>15000</v>
      </c>
      <c r="BG207">
        <v>1000</v>
      </c>
      <c r="BH207" s="7">
        <f>ROUND(Wapato_Inventory[[#This Row],[detatched_value]]*Lookups!$B$22*Lookups!$H$48,-2)</f>
        <v>0</v>
      </c>
      <c r="BI207" s="7">
        <f>ROUND(((Wapato_Inventory[[#This Row],[land_extract]]*Lookups!$B$3) +(Lookups!$B$2*0.5))*Lookups!$H$48,-2)</f>
        <v>53000</v>
      </c>
      <c r="BJ207" s="7">
        <f>IF(Wapato_Inventory[[#This Row],[bldg_style]]="",0,Lookups!$B$2*0.5)</f>
        <v>53765.27</v>
      </c>
      <c r="BK207" s="7">
        <f>_xlfn.IFNA(VLOOKUP(Wapato_Inventory[[#This Row],[quality]],Lookups!$H$2:$J$14,3,FALSE),0)</f>
        <v>28034</v>
      </c>
      <c r="BL207" s="7">
        <f>_xlfn.IFNA(VLOOKUP(Wapato_Inventory[[#This Row],[condition]],Lookups!$H$17:$J$24,3,FALSE),0)</f>
        <v>52231</v>
      </c>
      <c r="BM207" s="7">
        <f>Wapato_Inventory[[#This Row],[Age]]*Lookups!$B$16</f>
        <v>-34472.840100000001</v>
      </c>
      <c r="BN207" s="7">
        <f>Wapato_Inventory[[#This Row],[Main Floor]]*Lookups!$B$17</f>
        <v>44475.986296000003</v>
      </c>
      <c r="BO207" s="7">
        <f>Wapato_Inventory[[#This Row],[Upper Floor]]*Lookups!$B$18</f>
        <v>0</v>
      </c>
      <c r="BP207" s="7">
        <f>Wapato_Inventory[[#This Row],[Fin BSMT]]*Lookups!$B$19</f>
        <v>0</v>
      </c>
      <c r="BQ207" s="7">
        <f>(Wapato_Inventory[[#This Row],[att_gar]]+Wapato_Inventory[[#This Row],[blt_gar]])*Lookups!$B$20</f>
        <v>0</v>
      </c>
      <c r="BR207" s="7">
        <f>Wapato_Inventory[[#This Row],[Patio]]*Lookups!$B$21</f>
        <v>12477.305952000001</v>
      </c>
      <c r="BS207" s="7">
        <f>SUM(Wapato_Inventory[[#This Row],[intercept]:[patio_value]])*Wapato_Inventory[[#This Row],[res_pct]]</f>
        <v>156510.722148</v>
      </c>
      <c r="BT207" s="7">
        <f>Wapato_Inventory[[#This Row],[land_value]]</f>
        <v>53000</v>
      </c>
      <c r="BU207" s="2">
        <f>_xlfn.IFNA(VLOOKUP(Wapato_Inventory[[#This Row],[quality]],Lookups!$A$28:$C$37,3,FALSE),1)</f>
        <v>0.96265813922927435</v>
      </c>
      <c r="BV207" s="2">
        <f>_xlfn.IFNA(VLOOKUP(Wapato_Inventory[[#This Row],[condition]],Lookups!$A$41:$C$48,3,FALSE),1)</f>
        <v>0.9832333997567807</v>
      </c>
      <c r="BW207" s="2">
        <f>IF(Wapato_Inventory[[#This Row],[decade]]="",1,_xlfn.IFNA(VLOOKUP(Wapato_Inventory[[#This Row],[decade]],Lookups!$F$28:$H$45,3,FALSE),1))</f>
        <v>1.0114203040664467</v>
      </c>
      <c r="BX207" s="2">
        <f>_xlfn.IFNA(VLOOKUP(Wapato_Inventory[[#This Row],[living_area_range]],Lookups!$K$28:$M$37,3,FALSE),1)</f>
        <v>1.0061411172456287</v>
      </c>
      <c r="BY207" s="2">
        <f>AVERAGE(Wapato_Inventory[[#This Row],[qual_adj]:[range_adj]])</f>
        <v>0.99086324007453253</v>
      </c>
      <c r="BZ207" s="7">
        <f>(Wapato_Inventory[[#This Row],[sum_land]]-IF(Wapato_Inventory[[#This Row],[no_utilities]]=1,12000,0))/IF(Wapato_Inventory[[#This Row],[unbuildable]]=1,2,1)</f>
        <v>53000</v>
      </c>
      <c r="CA207" s="7">
        <f>Wapato_Inventory[[#This Row],[pre_res]]*Wapato_Inventory[[#This Row],[overall_adj]]</f>
        <v>155080.72125397218</v>
      </c>
      <c r="CB20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07" s="3">
        <f>IF(ROUND(Wapato_Inventory[[#This Row],[adj_res]]*Lookups!$H$48,-2)&lt;Wapato_Inventory[[#This Row],[min_res]],Wapato_Inventory[[#This Row],[min_res]],ROUND(Wapato_Inventory[[#This Row],[adj_res]]*Lookups!$H$48,-2))</f>
        <v>147300</v>
      </c>
      <c r="CD207" s="3">
        <f>ROUND(Wapato_Inventory[[#This Row],[det_value]]*Lookups!$H$48,-2)</f>
        <v>0</v>
      </c>
      <c r="CE207" s="3">
        <f>Wapato_Inventory[[#This Row],[final_res]]+Wapato_Inventory[[#This Row],[final_det]]</f>
        <v>147300</v>
      </c>
      <c r="CF207" s="3">
        <f>Wapato_Inventory[[#This Row],[crop_value]]+Wapato_Inventory[[#This Row],[final_land]]+Wapato_Inventory[[#This Row],[final_imp]]</f>
        <v>197700</v>
      </c>
      <c r="CH207" t="str">
        <f t="shared" si="3"/>
        <v>update valuation set market_land =50400, market_bldg=147300, market_total =197700, market_mdno =405, market_date ='9/10/2023' where link_id = (select link_id from parcel where parcel_year = '2024' and parcel_id = '19111041494');</v>
      </c>
    </row>
    <row r="208" spans="1:86" x14ac:dyDescent="0.25">
      <c r="A208">
        <v>19111041496</v>
      </c>
      <c r="B208">
        <v>0.14000000000000001</v>
      </c>
      <c r="C208">
        <v>6226</v>
      </c>
      <c r="D208" t="s">
        <v>144</v>
      </c>
      <c r="E208" t="s">
        <v>54</v>
      </c>
      <c r="F208" t="s">
        <v>54</v>
      </c>
      <c r="G208">
        <v>3</v>
      </c>
      <c r="H208" t="s">
        <v>55</v>
      </c>
      <c r="I208">
        <v>118800</v>
      </c>
      <c r="J208">
        <v>31900</v>
      </c>
      <c r="K208">
        <v>0.14000000000000001</v>
      </c>
      <c r="L208">
        <f>IF(Wapato_Inventory[[#This Row],[parcel_acres]]-Wapato_Inventory[[#This Row],[non_valued_acres]] =0,0,LN(Wapato_Inventory[[#This Row],[parcel_acres]]-Wapato_Inventory[[#This Row],[non_valued_acres]]))</f>
        <v>-1.9661128563728327</v>
      </c>
      <c r="M208">
        <v>0</v>
      </c>
      <c r="N208">
        <v>0</v>
      </c>
      <c r="O208">
        <v>0</v>
      </c>
      <c r="P208">
        <v>27904.037</v>
      </c>
      <c r="Q208">
        <v>74398</v>
      </c>
      <c r="R208" s="3">
        <f>(Wapato_Inventory[[#This Row],[ln_acres]]*Wapato_Inventory[[#This Row],[coeff]])+Wapato_Inventory[[#This Row],[const]]</f>
        <v>19535.514109596792</v>
      </c>
      <c r="S208" t="s">
        <v>66</v>
      </c>
      <c r="T208">
        <v>1</v>
      </c>
      <c r="U208" t="s">
        <v>71</v>
      </c>
      <c r="V208" t="s">
        <v>68</v>
      </c>
      <c r="W208">
        <v>0</v>
      </c>
      <c r="X208">
        <v>0</v>
      </c>
      <c r="Y208">
        <v>53</v>
      </c>
      <c r="Z208">
        <v>93</v>
      </c>
      <c r="AA208">
        <v>100</v>
      </c>
      <c r="AB208">
        <v>1000</v>
      </c>
      <c r="AC208">
        <v>720</v>
      </c>
      <c r="AD208">
        <v>720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120</v>
      </c>
      <c r="AM208">
        <v>0</v>
      </c>
      <c r="AN208">
        <v>0</v>
      </c>
      <c r="AO208">
        <v>0</v>
      </c>
      <c r="AP208">
        <v>5</v>
      </c>
      <c r="AQ208">
        <v>0</v>
      </c>
      <c r="AR208">
        <v>0</v>
      </c>
      <c r="AS208" t="s">
        <v>59</v>
      </c>
      <c r="AT208">
        <v>0</v>
      </c>
      <c r="AU208" t="s">
        <v>80</v>
      </c>
      <c r="AV208" t="s">
        <v>61</v>
      </c>
      <c r="AW208">
        <v>0</v>
      </c>
      <c r="AX208">
        <v>2</v>
      </c>
      <c r="AY208">
        <v>0</v>
      </c>
      <c r="AZ208">
        <v>15000</v>
      </c>
      <c r="BA208">
        <v>100</v>
      </c>
      <c r="BB208">
        <v>100</v>
      </c>
      <c r="BC208">
        <v>100</v>
      </c>
      <c r="BD208">
        <v>100</v>
      </c>
      <c r="BE208">
        <v>1</v>
      </c>
      <c r="BF208">
        <v>15000</v>
      </c>
      <c r="BG208">
        <v>1000</v>
      </c>
      <c r="BH208" s="7">
        <f>ROUND(Wapato_Inventory[[#This Row],[detatched_value]]*Lookups!$B$22*Lookups!$H$48,-2)</f>
        <v>13400</v>
      </c>
      <c r="BI208" s="7">
        <f>ROUND(((Wapato_Inventory[[#This Row],[land_extract]]*Lookups!$B$3) +(Lookups!$B$2*0.5))*Lookups!$H$48,-2)</f>
        <v>53000</v>
      </c>
      <c r="BJ208" s="7">
        <f>IF(Wapato_Inventory[[#This Row],[bldg_style]]="",0,Lookups!$B$2*0.5)</f>
        <v>53765.27</v>
      </c>
      <c r="BK208" s="7">
        <f>_xlfn.IFNA(VLOOKUP(Wapato_Inventory[[#This Row],[quality]],Lookups!$H$2:$J$14,3,FALSE),0)</f>
        <v>28034</v>
      </c>
      <c r="BL208" s="7">
        <f>_xlfn.IFNA(VLOOKUP(Wapato_Inventory[[#This Row],[condition]],Lookups!$H$17:$J$24,3,FALSE),0)</f>
        <v>52231</v>
      </c>
      <c r="BM208" s="7">
        <f>Wapato_Inventory[[#This Row],[Age]]*Lookups!$B$16</f>
        <v>-34472.840100000001</v>
      </c>
      <c r="BN208" s="7">
        <f>Wapato_Inventory[[#This Row],[Main Floor]]*Lookups!$B$17</f>
        <v>30096.532080000001</v>
      </c>
      <c r="BO208" s="7">
        <f>Wapato_Inventory[[#This Row],[Upper Floor]]*Lookups!$B$18</f>
        <v>0</v>
      </c>
      <c r="BP208" s="7">
        <f>Wapato_Inventory[[#This Row],[Fin BSMT]]*Lookups!$B$19</f>
        <v>0</v>
      </c>
      <c r="BQ208" s="7">
        <f>(Wapato_Inventory[[#This Row],[att_gar]]+Wapato_Inventory[[#This Row],[blt_gar]])*Lookups!$B$20</f>
        <v>0</v>
      </c>
      <c r="BR208" s="7">
        <f>Wapato_Inventory[[#This Row],[Patio]]*Lookups!$B$21</f>
        <v>0</v>
      </c>
      <c r="BS208" s="7">
        <f>SUM(Wapato_Inventory[[#This Row],[intercept]:[patio_value]])*Wapato_Inventory[[#This Row],[res_pct]]</f>
        <v>129653.96197999999</v>
      </c>
      <c r="BT208" s="7">
        <f>Wapato_Inventory[[#This Row],[land_value]]</f>
        <v>53000</v>
      </c>
      <c r="BU208" s="2">
        <f>_xlfn.IFNA(VLOOKUP(Wapato_Inventory[[#This Row],[quality]],Lookups!$A$28:$C$37,3,FALSE),1)</f>
        <v>0.96265813922927435</v>
      </c>
      <c r="BV208" s="2">
        <f>_xlfn.IFNA(VLOOKUP(Wapato_Inventory[[#This Row],[condition]],Lookups!$A$41:$C$48,3,FALSE),1)</f>
        <v>0.9832333997567807</v>
      </c>
      <c r="BW208" s="2">
        <f>IF(Wapato_Inventory[[#This Row],[decade]]="",1,_xlfn.IFNA(VLOOKUP(Wapato_Inventory[[#This Row],[decade]],Lookups!$F$28:$H$45,3,FALSE),1))</f>
        <v>1.0114203040664467</v>
      </c>
      <c r="BX208" s="2">
        <f>_xlfn.IFNA(VLOOKUP(Wapato_Inventory[[#This Row],[living_area_range]],Lookups!$K$28:$M$37,3,FALSE),1)</f>
        <v>0.99022994770196116</v>
      </c>
      <c r="BY208" s="2">
        <f>AVERAGE(Wapato_Inventory[[#This Row],[qual_adj]:[range_adj]])</f>
        <v>0.98688544768861564</v>
      </c>
      <c r="BZ208" s="7">
        <f>(Wapato_Inventory[[#This Row],[sum_land]]-IF(Wapato_Inventory[[#This Row],[no_utilities]]=1,12000,0))/IF(Wapato_Inventory[[#This Row],[unbuildable]]=1,2,1)</f>
        <v>53000</v>
      </c>
      <c r="CA208" s="7">
        <f>Wapato_Inventory[[#This Row],[pre_res]]*Wapato_Inventory[[#This Row],[overall_adj]]</f>
        <v>127953.60831323505</v>
      </c>
      <c r="CB20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08" s="3">
        <f>IF(ROUND(Wapato_Inventory[[#This Row],[adj_res]]*Lookups!$H$48,-2)&lt;Wapato_Inventory[[#This Row],[min_res]],Wapato_Inventory[[#This Row],[min_res]],ROUND(Wapato_Inventory[[#This Row],[adj_res]]*Lookups!$H$48,-2))</f>
        <v>121600</v>
      </c>
      <c r="CD208" s="3">
        <f>ROUND(Wapato_Inventory[[#This Row],[det_value]]*Lookups!$H$48,-2)</f>
        <v>12700</v>
      </c>
      <c r="CE208" s="3">
        <f>Wapato_Inventory[[#This Row],[final_res]]+Wapato_Inventory[[#This Row],[final_det]]</f>
        <v>134300</v>
      </c>
      <c r="CF208" s="3">
        <f>Wapato_Inventory[[#This Row],[crop_value]]+Wapato_Inventory[[#This Row],[final_land]]+Wapato_Inventory[[#This Row],[final_imp]]</f>
        <v>184700</v>
      </c>
      <c r="CH208" t="str">
        <f t="shared" si="3"/>
        <v>update valuation set market_land =50400, market_bldg=134300, market_total =184700, market_mdno =405, market_date ='9/10/2023' where link_id = (select link_id from parcel where parcel_year = '2024' and parcel_id = '19111041496');</v>
      </c>
    </row>
    <row r="209" spans="1:86" x14ac:dyDescent="0.25">
      <c r="A209">
        <v>19111041497</v>
      </c>
      <c r="B209">
        <v>0.14000000000000001</v>
      </c>
      <c r="C209">
        <v>6244</v>
      </c>
      <c r="D209" t="s">
        <v>144</v>
      </c>
      <c r="E209" t="s">
        <v>54</v>
      </c>
      <c r="F209" t="s">
        <v>54</v>
      </c>
      <c r="G209">
        <v>3</v>
      </c>
      <c r="H209" t="s">
        <v>55</v>
      </c>
      <c r="I209">
        <v>74400</v>
      </c>
      <c r="J209">
        <v>31900</v>
      </c>
      <c r="K209">
        <v>0.14000000000000001</v>
      </c>
      <c r="L209">
        <f>IF(Wapato_Inventory[[#This Row],[parcel_acres]]-Wapato_Inventory[[#This Row],[non_valued_acres]] =0,0,LN(Wapato_Inventory[[#This Row],[parcel_acres]]-Wapato_Inventory[[#This Row],[non_valued_acres]]))</f>
        <v>-1.9661128563728327</v>
      </c>
      <c r="M209">
        <v>0</v>
      </c>
      <c r="N209">
        <v>0</v>
      </c>
      <c r="O209">
        <v>0</v>
      </c>
      <c r="P209">
        <v>27904.037</v>
      </c>
      <c r="Q209">
        <v>74398</v>
      </c>
      <c r="R209" s="3">
        <f>(Wapato_Inventory[[#This Row],[ln_acres]]*Wapato_Inventory[[#This Row],[coeff]])+Wapato_Inventory[[#This Row],[const]]</f>
        <v>19535.514109596792</v>
      </c>
      <c r="S209" t="s">
        <v>66</v>
      </c>
      <c r="T209">
        <v>1</v>
      </c>
      <c r="U209" t="s">
        <v>71</v>
      </c>
      <c r="V209" t="s">
        <v>73</v>
      </c>
      <c r="W209">
        <v>0</v>
      </c>
      <c r="X209">
        <v>0</v>
      </c>
      <c r="Y209">
        <v>57</v>
      </c>
      <c r="Z209">
        <v>103</v>
      </c>
      <c r="AA209">
        <v>110</v>
      </c>
      <c r="AB209">
        <v>1000</v>
      </c>
      <c r="AC209">
        <v>860</v>
      </c>
      <c r="AD209">
        <v>860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200</v>
      </c>
      <c r="AL209">
        <v>0</v>
      </c>
      <c r="AM209">
        <v>0</v>
      </c>
      <c r="AN209">
        <v>0</v>
      </c>
      <c r="AO209">
        <v>0</v>
      </c>
      <c r="AP209">
        <v>5</v>
      </c>
      <c r="AQ209">
        <v>0</v>
      </c>
      <c r="AR209">
        <v>0</v>
      </c>
      <c r="AS209" t="s">
        <v>59</v>
      </c>
      <c r="AT209">
        <v>1</v>
      </c>
      <c r="AU209" t="s">
        <v>64</v>
      </c>
      <c r="AV209" t="s">
        <v>61</v>
      </c>
      <c r="AW209">
        <v>0</v>
      </c>
      <c r="AX209">
        <v>2</v>
      </c>
      <c r="AY209">
        <v>0</v>
      </c>
      <c r="AZ209">
        <v>0</v>
      </c>
      <c r="BA209">
        <v>100</v>
      </c>
      <c r="BB209">
        <v>100</v>
      </c>
      <c r="BC209">
        <v>100</v>
      </c>
      <c r="BD209">
        <v>100</v>
      </c>
      <c r="BE209">
        <v>1</v>
      </c>
      <c r="BF209">
        <v>15000</v>
      </c>
      <c r="BG209">
        <v>1000</v>
      </c>
      <c r="BH209" s="7">
        <f>ROUND(Wapato_Inventory[[#This Row],[detatched_value]]*Lookups!$B$22*Lookups!$H$48,-2)</f>
        <v>0</v>
      </c>
      <c r="BI209" s="7">
        <f>ROUND(((Wapato_Inventory[[#This Row],[land_extract]]*Lookups!$B$3) +(Lookups!$B$2*0.5))*Lookups!$H$48,-2)</f>
        <v>53000</v>
      </c>
      <c r="BJ209" s="7">
        <f>IF(Wapato_Inventory[[#This Row],[bldg_style]]="",0,Lookups!$B$2*0.5)</f>
        <v>53765.27</v>
      </c>
      <c r="BK209" s="7">
        <f>_xlfn.IFNA(VLOOKUP(Wapato_Inventory[[#This Row],[quality]],Lookups!$H$2:$J$14,3,FALSE),0)</f>
        <v>28034</v>
      </c>
      <c r="BL209" s="7">
        <f>_xlfn.IFNA(VLOOKUP(Wapato_Inventory[[#This Row],[condition]],Lookups!$H$17:$J$24,3,FALSE),0)</f>
        <v>16276</v>
      </c>
      <c r="BM209" s="7">
        <f>Wapato_Inventory[[#This Row],[Age]]*Lookups!$B$16</f>
        <v>-38179.597099999999</v>
      </c>
      <c r="BN209" s="7">
        <f>Wapato_Inventory[[#This Row],[Main Floor]]*Lookups!$B$17</f>
        <v>35948.635540000003</v>
      </c>
      <c r="BO209" s="7">
        <f>Wapato_Inventory[[#This Row],[Upper Floor]]*Lookups!$B$18</f>
        <v>0</v>
      </c>
      <c r="BP209" s="7">
        <f>Wapato_Inventory[[#This Row],[Fin BSMT]]*Lookups!$B$19</f>
        <v>0</v>
      </c>
      <c r="BQ209" s="7">
        <f>(Wapato_Inventory[[#This Row],[att_gar]]+Wapato_Inventory[[#This Row],[blt_gar]])*Lookups!$B$20</f>
        <v>0</v>
      </c>
      <c r="BR209" s="7">
        <f>Wapato_Inventory[[#This Row],[Patio]]*Lookups!$B$21</f>
        <v>0</v>
      </c>
      <c r="BS209" s="7">
        <f>SUM(Wapato_Inventory[[#This Row],[intercept]:[patio_value]])*Wapato_Inventory[[#This Row],[res_pct]]</f>
        <v>95844.308439999993</v>
      </c>
      <c r="BT209" s="7">
        <f>Wapato_Inventory[[#This Row],[land_value]]</f>
        <v>53000</v>
      </c>
      <c r="BU209" s="2">
        <f>_xlfn.IFNA(VLOOKUP(Wapato_Inventory[[#This Row],[quality]],Lookups!$A$28:$C$37,3,FALSE),1)</f>
        <v>0.96265813922927435</v>
      </c>
      <c r="BV209" s="2">
        <f>_xlfn.IFNA(VLOOKUP(Wapato_Inventory[[#This Row],[condition]],Lookups!$A$41:$C$48,3,FALSE),1)</f>
        <v>0.93399385491337139</v>
      </c>
      <c r="BW209" s="2">
        <f>IF(Wapato_Inventory[[#This Row],[decade]]="",1,_xlfn.IFNA(VLOOKUP(Wapato_Inventory[[#This Row],[decade]],Lookups!$F$28:$H$45,3,FALSE),1))</f>
        <v>0.93664589651353292</v>
      </c>
      <c r="BX209" s="2">
        <f>_xlfn.IFNA(VLOOKUP(Wapato_Inventory[[#This Row],[living_area_range]],Lookups!$K$28:$M$37,3,FALSE),1)</f>
        <v>0.99022994770196116</v>
      </c>
      <c r="BY209" s="2">
        <f>AVERAGE(Wapato_Inventory[[#This Row],[qual_adj]:[range_adj]])</f>
        <v>0.95588195958953504</v>
      </c>
      <c r="BZ209" s="7">
        <f>(Wapato_Inventory[[#This Row],[sum_land]]-IF(Wapato_Inventory[[#This Row],[no_utilities]]=1,12000,0))/IF(Wapato_Inventory[[#This Row],[unbuildable]]=1,2,1)</f>
        <v>53000</v>
      </c>
      <c r="CA209" s="7">
        <f>Wapato_Inventory[[#This Row],[pre_res]]*Wapato_Inventory[[#This Row],[overall_adj]]</f>
        <v>91615.845367131013</v>
      </c>
      <c r="CB20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09" s="3">
        <f>IF(ROUND(Wapato_Inventory[[#This Row],[adj_res]]*Lookups!$H$48,-2)&lt;Wapato_Inventory[[#This Row],[min_res]],Wapato_Inventory[[#This Row],[min_res]],ROUND(Wapato_Inventory[[#This Row],[adj_res]]*Lookups!$H$48,-2))</f>
        <v>87000</v>
      </c>
      <c r="CD209" s="3">
        <f>ROUND(Wapato_Inventory[[#This Row],[det_value]]*Lookups!$H$48,-2)</f>
        <v>0</v>
      </c>
      <c r="CE209" s="3">
        <f>Wapato_Inventory[[#This Row],[final_res]]+Wapato_Inventory[[#This Row],[final_det]]</f>
        <v>87000</v>
      </c>
      <c r="CF209" s="3">
        <f>Wapato_Inventory[[#This Row],[crop_value]]+Wapato_Inventory[[#This Row],[final_land]]+Wapato_Inventory[[#This Row],[final_imp]]</f>
        <v>137400</v>
      </c>
      <c r="CH209" t="str">
        <f t="shared" si="3"/>
        <v>update valuation set market_land =50400, market_bldg=87000, market_total =137400, market_mdno =405, market_date ='9/10/2023' where link_id = (select link_id from parcel where parcel_year = '2024' and parcel_id = '19111041497');</v>
      </c>
    </row>
    <row r="210" spans="1:86" x14ac:dyDescent="0.25">
      <c r="A210">
        <v>19111041498</v>
      </c>
      <c r="B210">
        <v>0.14000000000000001</v>
      </c>
      <c r="C210">
        <v>6244</v>
      </c>
      <c r="D210" t="s">
        <v>144</v>
      </c>
      <c r="E210" t="s">
        <v>54</v>
      </c>
      <c r="F210" t="s">
        <v>54</v>
      </c>
      <c r="G210">
        <v>3</v>
      </c>
      <c r="H210" t="s">
        <v>55</v>
      </c>
      <c r="I210">
        <v>68000</v>
      </c>
      <c r="J210">
        <v>31900</v>
      </c>
      <c r="K210">
        <v>0.14000000000000001</v>
      </c>
      <c r="L210">
        <f>IF(Wapato_Inventory[[#This Row],[parcel_acres]]-Wapato_Inventory[[#This Row],[non_valued_acres]] =0,0,LN(Wapato_Inventory[[#This Row],[parcel_acres]]-Wapato_Inventory[[#This Row],[non_valued_acres]]))</f>
        <v>-1.9661128563728327</v>
      </c>
      <c r="M210">
        <v>0</v>
      </c>
      <c r="N210">
        <v>0</v>
      </c>
      <c r="O210">
        <v>0</v>
      </c>
      <c r="P210">
        <v>27904.037</v>
      </c>
      <c r="Q210">
        <v>74398</v>
      </c>
      <c r="R210" s="3">
        <f>(Wapato_Inventory[[#This Row],[ln_acres]]*Wapato_Inventory[[#This Row],[coeff]])+Wapato_Inventory[[#This Row],[const]]</f>
        <v>19535.514109596792</v>
      </c>
      <c r="S210" t="s">
        <v>56</v>
      </c>
      <c r="T210">
        <v>2</v>
      </c>
      <c r="U210" t="s">
        <v>71</v>
      </c>
      <c r="V210" t="s">
        <v>84</v>
      </c>
      <c r="W210">
        <v>0</v>
      </c>
      <c r="X210">
        <v>0</v>
      </c>
      <c r="Y210">
        <v>56</v>
      </c>
      <c r="Z210">
        <v>100</v>
      </c>
      <c r="AA210">
        <v>100</v>
      </c>
      <c r="AB210">
        <v>1500</v>
      </c>
      <c r="AC210">
        <v>1224</v>
      </c>
      <c r="AD210">
        <v>860</v>
      </c>
      <c r="AE210">
        <v>364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5</v>
      </c>
      <c r="AQ210">
        <v>0</v>
      </c>
      <c r="AR210">
        <v>0</v>
      </c>
      <c r="AS210" t="s">
        <v>59</v>
      </c>
      <c r="AT210">
        <v>0</v>
      </c>
      <c r="AU210" t="s">
        <v>80</v>
      </c>
      <c r="AV210" t="s">
        <v>77</v>
      </c>
      <c r="AW210">
        <v>0</v>
      </c>
      <c r="AX210">
        <v>3</v>
      </c>
      <c r="AY210">
        <v>0</v>
      </c>
      <c r="AZ210">
        <v>6800</v>
      </c>
      <c r="BA210">
        <v>100</v>
      </c>
      <c r="BB210">
        <v>100</v>
      </c>
      <c r="BC210">
        <v>100</v>
      </c>
      <c r="BD210">
        <v>100</v>
      </c>
      <c r="BE210">
        <v>1</v>
      </c>
      <c r="BF210">
        <v>15000</v>
      </c>
      <c r="BG210">
        <v>1000</v>
      </c>
      <c r="BH210" s="7">
        <f>ROUND(Wapato_Inventory[[#This Row],[detatched_value]]*Lookups!$B$22*Lookups!$H$48,-2)</f>
        <v>6100</v>
      </c>
      <c r="BI210" s="7">
        <f>ROUND(((Wapato_Inventory[[#This Row],[land_extract]]*Lookups!$B$3) +(Lookups!$B$2*0.5))*Lookups!$H$48,-2)</f>
        <v>53000</v>
      </c>
      <c r="BJ210" s="7">
        <f>IF(Wapato_Inventory[[#This Row],[bldg_style]]="",0,Lookups!$B$2*0.5)</f>
        <v>53765.27</v>
      </c>
      <c r="BK210" s="7">
        <f>_xlfn.IFNA(VLOOKUP(Wapato_Inventory[[#This Row],[quality]],Lookups!$H$2:$J$14,3,FALSE),0)</f>
        <v>28034</v>
      </c>
      <c r="BL210" s="7">
        <f>_xlfn.IFNA(VLOOKUP(Wapato_Inventory[[#This Row],[condition]],Lookups!$H$17:$J$24,3,FALSE),0)</f>
        <v>0</v>
      </c>
      <c r="BM210" s="7">
        <f>Wapato_Inventory[[#This Row],[Age]]*Lookups!$B$16</f>
        <v>-37067.57</v>
      </c>
      <c r="BN210" s="7">
        <f>Wapato_Inventory[[#This Row],[Main Floor]]*Lookups!$B$17</f>
        <v>35948.635540000003</v>
      </c>
      <c r="BO210" s="7">
        <f>Wapato_Inventory[[#This Row],[Upper Floor]]*Lookups!$B$18</f>
        <v>18054.814596</v>
      </c>
      <c r="BP210" s="7">
        <f>Wapato_Inventory[[#This Row],[Fin BSMT]]*Lookups!$B$19</f>
        <v>0</v>
      </c>
      <c r="BQ210" s="7">
        <f>(Wapato_Inventory[[#This Row],[att_gar]]+Wapato_Inventory[[#This Row],[blt_gar]])*Lookups!$B$20</f>
        <v>0</v>
      </c>
      <c r="BR210" s="7">
        <f>Wapato_Inventory[[#This Row],[Patio]]*Lookups!$B$21</f>
        <v>0</v>
      </c>
      <c r="BS210" s="7">
        <f>SUM(Wapato_Inventory[[#This Row],[intercept]:[patio_value]])*Wapato_Inventory[[#This Row],[res_pct]]</f>
        <v>98735.150135999997</v>
      </c>
      <c r="BT210" s="7">
        <f>Wapato_Inventory[[#This Row],[land_value]]</f>
        <v>53000</v>
      </c>
      <c r="BU210" s="2">
        <f>_xlfn.IFNA(VLOOKUP(Wapato_Inventory[[#This Row],[quality]],Lookups!$A$28:$C$37,3,FALSE),1)</f>
        <v>0.96265813922927435</v>
      </c>
      <c r="BV210" s="2">
        <f>_xlfn.IFNA(VLOOKUP(Wapato_Inventory[[#This Row],[condition]],Lookups!$A$41:$C$48,3,FALSE),1)</f>
        <v>1.0000035546274355</v>
      </c>
      <c r="BW210" s="2">
        <f>IF(Wapato_Inventory[[#This Row],[decade]]="",1,_xlfn.IFNA(VLOOKUP(Wapato_Inventory[[#This Row],[decade]],Lookups!$F$28:$H$45,3,FALSE),1))</f>
        <v>1.0114203040664467</v>
      </c>
      <c r="BX210" s="2">
        <f>_xlfn.IFNA(VLOOKUP(Wapato_Inventory[[#This Row],[living_area_range]],Lookups!$K$28:$M$37,3,FALSE),1)</f>
        <v>1.0061411172456287</v>
      </c>
      <c r="BY210" s="2">
        <f>AVERAGE(Wapato_Inventory[[#This Row],[qual_adj]:[range_adj]])</f>
        <v>0.99505577879219631</v>
      </c>
      <c r="BZ210" s="7">
        <f>(Wapato_Inventory[[#This Row],[sum_land]]-IF(Wapato_Inventory[[#This Row],[no_utilities]]=1,12000,0))/IF(Wapato_Inventory[[#This Row],[unbuildable]]=1,2,1)</f>
        <v>53000</v>
      </c>
      <c r="CA210" s="7">
        <f>Wapato_Inventory[[#This Row],[pre_res]]*Wapato_Inventory[[#This Row],[overall_adj]]</f>
        <v>98246.981712741908</v>
      </c>
      <c r="CB21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10" s="3">
        <f>IF(ROUND(Wapato_Inventory[[#This Row],[adj_res]]*Lookups!$H$48,-2)&lt;Wapato_Inventory[[#This Row],[min_res]],Wapato_Inventory[[#This Row],[min_res]],ROUND(Wapato_Inventory[[#This Row],[adj_res]]*Lookups!$H$48,-2))</f>
        <v>93300</v>
      </c>
      <c r="CD210" s="3">
        <f>ROUND(Wapato_Inventory[[#This Row],[det_value]]*Lookups!$H$48,-2)</f>
        <v>5800</v>
      </c>
      <c r="CE210" s="3">
        <f>Wapato_Inventory[[#This Row],[final_res]]+Wapato_Inventory[[#This Row],[final_det]]</f>
        <v>99100</v>
      </c>
      <c r="CF210" s="3">
        <f>Wapato_Inventory[[#This Row],[crop_value]]+Wapato_Inventory[[#This Row],[final_land]]+Wapato_Inventory[[#This Row],[final_imp]]</f>
        <v>149500</v>
      </c>
      <c r="CH210" t="str">
        <f t="shared" si="3"/>
        <v>update valuation set market_land =50400, market_bldg=99100, market_total =149500, market_mdno =405, market_date ='9/10/2023' where link_id = (select link_id from parcel where parcel_year = '2024' and parcel_id = '19111041498');</v>
      </c>
    </row>
    <row r="211" spans="1:86" x14ac:dyDescent="0.25">
      <c r="A211">
        <v>19111041499</v>
      </c>
      <c r="B211">
        <v>0.14000000000000001</v>
      </c>
      <c r="C211">
        <v>6244</v>
      </c>
      <c r="D211" t="s">
        <v>144</v>
      </c>
      <c r="E211" t="s">
        <v>54</v>
      </c>
      <c r="F211" t="s">
        <v>54</v>
      </c>
      <c r="G211">
        <v>3</v>
      </c>
      <c r="H211" t="s">
        <v>55</v>
      </c>
      <c r="I211">
        <v>175000</v>
      </c>
      <c r="J211">
        <v>31900</v>
      </c>
      <c r="K211">
        <v>0.14000000000000001</v>
      </c>
      <c r="L211">
        <f>IF(Wapato_Inventory[[#This Row],[parcel_acres]]-Wapato_Inventory[[#This Row],[non_valued_acres]] =0,0,LN(Wapato_Inventory[[#This Row],[parcel_acres]]-Wapato_Inventory[[#This Row],[non_valued_acres]]))</f>
        <v>-1.9661128563728327</v>
      </c>
      <c r="M211">
        <v>0</v>
      </c>
      <c r="N211">
        <v>0</v>
      </c>
      <c r="O211">
        <v>0</v>
      </c>
      <c r="P211">
        <v>27904.037</v>
      </c>
      <c r="Q211">
        <v>74398</v>
      </c>
      <c r="R211" s="3">
        <f>(Wapato_Inventory[[#This Row],[ln_acres]]*Wapato_Inventory[[#This Row],[coeff]])+Wapato_Inventory[[#This Row],[const]]</f>
        <v>19535.514109596792</v>
      </c>
      <c r="S211" t="s">
        <v>66</v>
      </c>
      <c r="T211">
        <v>1</v>
      </c>
      <c r="U211" t="s">
        <v>75</v>
      </c>
      <c r="V211" t="s">
        <v>69</v>
      </c>
      <c r="W211">
        <v>0</v>
      </c>
      <c r="X211">
        <v>0</v>
      </c>
      <c r="Y211">
        <v>56</v>
      </c>
      <c r="Z211">
        <v>101</v>
      </c>
      <c r="AA211">
        <v>110</v>
      </c>
      <c r="AB211">
        <v>1000</v>
      </c>
      <c r="AC211">
        <v>924</v>
      </c>
      <c r="AD211">
        <v>924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5</v>
      </c>
      <c r="AQ211">
        <v>0</v>
      </c>
      <c r="AR211">
        <v>0</v>
      </c>
      <c r="AS211" t="s">
        <v>59</v>
      </c>
      <c r="AT211">
        <v>0</v>
      </c>
      <c r="AU211" t="s">
        <v>80</v>
      </c>
      <c r="AV211" t="s">
        <v>61</v>
      </c>
      <c r="AW211">
        <v>0</v>
      </c>
      <c r="AX211">
        <v>2</v>
      </c>
      <c r="AY211">
        <v>0</v>
      </c>
      <c r="AZ211">
        <v>0</v>
      </c>
      <c r="BA211">
        <v>100</v>
      </c>
      <c r="BB211">
        <v>100</v>
      </c>
      <c r="BC211">
        <v>100</v>
      </c>
      <c r="BD211">
        <v>100</v>
      </c>
      <c r="BE211">
        <v>1</v>
      </c>
      <c r="BF211">
        <v>15000</v>
      </c>
      <c r="BG211">
        <v>1000</v>
      </c>
      <c r="BH211" s="7">
        <f>ROUND(Wapato_Inventory[[#This Row],[detatched_value]]*Lookups!$B$22*Lookups!$H$48,-2)</f>
        <v>0</v>
      </c>
      <c r="BI211" s="7">
        <f>ROUND(((Wapato_Inventory[[#This Row],[land_extract]]*Lookups!$B$3) +(Lookups!$B$2*0.5))*Lookups!$H$48,-2)</f>
        <v>53000</v>
      </c>
      <c r="BJ211" s="7">
        <f>IF(Wapato_Inventory[[#This Row],[bldg_style]]="",0,Lookups!$B$2*0.5)</f>
        <v>53765.27</v>
      </c>
      <c r="BK211" s="7">
        <f>_xlfn.IFNA(VLOOKUP(Wapato_Inventory[[#This Row],[quality]],Lookups!$H$2:$J$14,3,FALSE),0)</f>
        <v>48043</v>
      </c>
      <c r="BL211" s="7">
        <f>_xlfn.IFNA(VLOOKUP(Wapato_Inventory[[#This Row],[condition]],Lookups!$H$17:$J$24,3,FALSE),0)</f>
        <v>74543</v>
      </c>
      <c r="BM211" s="7">
        <f>Wapato_Inventory[[#This Row],[Age]]*Lookups!$B$16</f>
        <v>-37438.245699999999</v>
      </c>
      <c r="BN211" s="7">
        <f>Wapato_Inventory[[#This Row],[Main Floor]]*Lookups!$B$17</f>
        <v>38623.882835999997</v>
      </c>
      <c r="BO211" s="7">
        <f>Wapato_Inventory[[#This Row],[Upper Floor]]*Lookups!$B$18</f>
        <v>0</v>
      </c>
      <c r="BP211" s="7">
        <f>Wapato_Inventory[[#This Row],[Fin BSMT]]*Lookups!$B$19</f>
        <v>0</v>
      </c>
      <c r="BQ211" s="7">
        <f>(Wapato_Inventory[[#This Row],[att_gar]]+Wapato_Inventory[[#This Row],[blt_gar]])*Lookups!$B$20</f>
        <v>0</v>
      </c>
      <c r="BR211" s="7">
        <f>Wapato_Inventory[[#This Row],[Patio]]*Lookups!$B$21</f>
        <v>0</v>
      </c>
      <c r="BS211" s="7">
        <f>SUM(Wapato_Inventory[[#This Row],[intercept]:[patio_value]])*Wapato_Inventory[[#This Row],[res_pct]]</f>
        <v>177536.90713599999</v>
      </c>
      <c r="BT211" s="7">
        <f>Wapato_Inventory[[#This Row],[land_value]]</f>
        <v>53000</v>
      </c>
      <c r="BU211" s="2">
        <f>_xlfn.IFNA(VLOOKUP(Wapato_Inventory[[#This Row],[quality]],Lookups!$A$28:$C$37,3,FALSE),1)</f>
        <v>0.98196844879778955</v>
      </c>
      <c r="BV211" s="2">
        <f>_xlfn.IFNA(VLOOKUP(Wapato_Inventory[[#This Row],[condition]],Lookups!$A$41:$C$48,3,FALSE),1)</f>
        <v>0.98442438223270734</v>
      </c>
      <c r="BW211" s="2">
        <f>IF(Wapato_Inventory[[#This Row],[decade]]="",1,_xlfn.IFNA(VLOOKUP(Wapato_Inventory[[#This Row],[decade]],Lookups!$F$28:$H$45,3,FALSE),1))</f>
        <v>0.93664589651353292</v>
      </c>
      <c r="BX211" s="2">
        <f>_xlfn.IFNA(VLOOKUP(Wapato_Inventory[[#This Row],[living_area_range]],Lookups!$K$28:$M$37,3,FALSE),1)</f>
        <v>0.99022994770196116</v>
      </c>
      <c r="BY211" s="2">
        <f>AVERAGE(Wapato_Inventory[[#This Row],[qual_adj]:[range_adj]])</f>
        <v>0.97331716881149777</v>
      </c>
      <c r="BZ211" s="7">
        <f>(Wapato_Inventory[[#This Row],[sum_land]]-IF(Wapato_Inventory[[#This Row],[no_utilities]]=1,12000,0))/IF(Wapato_Inventory[[#This Row],[unbuildable]]=1,2,1)</f>
        <v>53000</v>
      </c>
      <c r="CA211" s="7">
        <f>Wapato_Inventory[[#This Row],[pre_res]]*Wapato_Inventory[[#This Row],[overall_adj]]</f>
        <v>172799.7198131613</v>
      </c>
      <c r="CB21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11" s="3">
        <f>IF(ROUND(Wapato_Inventory[[#This Row],[adj_res]]*Lookups!$H$48,-2)&lt;Wapato_Inventory[[#This Row],[min_res]],Wapato_Inventory[[#This Row],[min_res]],ROUND(Wapato_Inventory[[#This Row],[adj_res]]*Lookups!$H$48,-2))</f>
        <v>164200</v>
      </c>
      <c r="CD211" s="3">
        <f>ROUND(Wapato_Inventory[[#This Row],[det_value]]*Lookups!$H$48,-2)</f>
        <v>0</v>
      </c>
      <c r="CE211" s="3">
        <f>Wapato_Inventory[[#This Row],[final_res]]+Wapato_Inventory[[#This Row],[final_det]]</f>
        <v>164200</v>
      </c>
      <c r="CF211" s="3">
        <f>Wapato_Inventory[[#This Row],[crop_value]]+Wapato_Inventory[[#This Row],[final_land]]+Wapato_Inventory[[#This Row],[final_imp]]</f>
        <v>214600</v>
      </c>
      <c r="CH211" t="str">
        <f t="shared" si="3"/>
        <v>update valuation set market_land =50400, market_bldg=164200, market_total =214600, market_mdno =405, market_date ='9/10/2023' where link_id = (select link_id from parcel where parcel_year = '2024' and parcel_id = '19111041499');</v>
      </c>
    </row>
    <row r="212" spans="1:86" x14ac:dyDescent="0.25">
      <c r="A212">
        <v>19111041500</v>
      </c>
      <c r="B212">
        <v>0.14000000000000001</v>
      </c>
      <c r="C212">
        <v>6244</v>
      </c>
      <c r="D212" t="s">
        <v>144</v>
      </c>
      <c r="E212" t="s">
        <v>54</v>
      </c>
      <c r="F212" t="s">
        <v>54</v>
      </c>
      <c r="G212">
        <v>3</v>
      </c>
      <c r="H212" t="s">
        <v>55</v>
      </c>
      <c r="I212">
        <v>180800</v>
      </c>
      <c r="J212">
        <v>31900</v>
      </c>
      <c r="K212">
        <v>0.14000000000000001</v>
      </c>
      <c r="L212">
        <f>IF(Wapato_Inventory[[#This Row],[parcel_acres]]-Wapato_Inventory[[#This Row],[non_valued_acres]] =0,0,LN(Wapato_Inventory[[#This Row],[parcel_acres]]-Wapato_Inventory[[#This Row],[non_valued_acres]]))</f>
        <v>-1.9661128563728327</v>
      </c>
      <c r="M212">
        <v>0</v>
      </c>
      <c r="N212">
        <v>0</v>
      </c>
      <c r="O212">
        <v>0</v>
      </c>
      <c r="P212">
        <v>27904.037</v>
      </c>
      <c r="Q212">
        <v>74398</v>
      </c>
      <c r="R212" s="3">
        <f>(Wapato_Inventory[[#This Row],[ln_acres]]*Wapato_Inventory[[#This Row],[coeff]])+Wapato_Inventory[[#This Row],[const]]</f>
        <v>19535.514109596792</v>
      </c>
      <c r="S212" t="s">
        <v>66</v>
      </c>
      <c r="T212">
        <v>1</v>
      </c>
      <c r="U212" t="s">
        <v>71</v>
      </c>
      <c r="V212" t="s">
        <v>69</v>
      </c>
      <c r="W212">
        <v>0</v>
      </c>
      <c r="X212">
        <v>0</v>
      </c>
      <c r="Y212">
        <v>57</v>
      </c>
      <c r="Z212">
        <v>103</v>
      </c>
      <c r="AA212">
        <v>110</v>
      </c>
      <c r="AB212">
        <v>1000</v>
      </c>
      <c r="AC212">
        <v>984</v>
      </c>
      <c r="AD212">
        <v>984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133</v>
      </c>
      <c r="AM212">
        <v>0</v>
      </c>
      <c r="AN212">
        <v>0</v>
      </c>
      <c r="AO212">
        <v>133</v>
      </c>
      <c r="AP212">
        <v>5</v>
      </c>
      <c r="AQ212">
        <v>0</v>
      </c>
      <c r="AR212">
        <v>0</v>
      </c>
      <c r="AS212" t="s">
        <v>82</v>
      </c>
      <c r="AT212">
        <v>1</v>
      </c>
      <c r="AU212" t="s">
        <v>60</v>
      </c>
      <c r="AV212" t="s">
        <v>61</v>
      </c>
      <c r="AW212">
        <v>1</v>
      </c>
      <c r="AX212">
        <v>1</v>
      </c>
      <c r="AY212">
        <v>0</v>
      </c>
      <c r="AZ212">
        <v>4900</v>
      </c>
      <c r="BA212">
        <v>100</v>
      </c>
      <c r="BB212">
        <v>100</v>
      </c>
      <c r="BC212">
        <v>100</v>
      </c>
      <c r="BD212">
        <v>100</v>
      </c>
      <c r="BE212">
        <v>1</v>
      </c>
      <c r="BF212">
        <v>15000</v>
      </c>
      <c r="BG212">
        <v>1000</v>
      </c>
      <c r="BH212" s="7">
        <f>ROUND(Wapato_Inventory[[#This Row],[detatched_value]]*Lookups!$B$22*Lookups!$H$48,-2)</f>
        <v>4400</v>
      </c>
      <c r="BI212" s="7">
        <f>ROUND(((Wapato_Inventory[[#This Row],[land_extract]]*Lookups!$B$3) +(Lookups!$B$2*0.5))*Lookups!$H$48,-2)</f>
        <v>53000</v>
      </c>
      <c r="BJ212" s="7">
        <f>IF(Wapato_Inventory[[#This Row],[bldg_style]]="",0,Lookups!$B$2*0.5)</f>
        <v>53765.27</v>
      </c>
      <c r="BK212" s="7">
        <f>_xlfn.IFNA(VLOOKUP(Wapato_Inventory[[#This Row],[quality]],Lookups!$H$2:$J$14,3,FALSE),0)</f>
        <v>28034</v>
      </c>
      <c r="BL212" s="7">
        <f>_xlfn.IFNA(VLOOKUP(Wapato_Inventory[[#This Row],[condition]],Lookups!$H$17:$J$24,3,FALSE),0)</f>
        <v>74543</v>
      </c>
      <c r="BM212" s="7">
        <f>Wapato_Inventory[[#This Row],[Age]]*Lookups!$B$16</f>
        <v>-38179.597099999999</v>
      </c>
      <c r="BN212" s="7">
        <f>Wapato_Inventory[[#This Row],[Main Floor]]*Lookups!$B$17</f>
        <v>41131.927175999997</v>
      </c>
      <c r="BO212" s="7">
        <f>Wapato_Inventory[[#This Row],[Upper Floor]]*Lookups!$B$18</f>
        <v>0</v>
      </c>
      <c r="BP212" s="7">
        <f>Wapato_Inventory[[#This Row],[Fin BSMT]]*Lookups!$B$19</f>
        <v>0</v>
      </c>
      <c r="BQ212" s="7">
        <f>(Wapato_Inventory[[#This Row],[att_gar]]+Wapato_Inventory[[#This Row],[blt_gar]])*Lookups!$B$20</f>
        <v>0</v>
      </c>
      <c r="BR212" s="7">
        <f>Wapato_Inventory[[#This Row],[Patio]]*Lookups!$B$21</f>
        <v>0</v>
      </c>
      <c r="BS212" s="7">
        <f>SUM(Wapato_Inventory[[#This Row],[intercept]:[patio_value]])*Wapato_Inventory[[#This Row],[res_pct]]</f>
        <v>159294.60007599997</v>
      </c>
      <c r="BT212" s="7">
        <f>Wapato_Inventory[[#This Row],[land_value]]</f>
        <v>53000</v>
      </c>
      <c r="BU212" s="2">
        <f>_xlfn.IFNA(VLOOKUP(Wapato_Inventory[[#This Row],[quality]],Lookups!$A$28:$C$37,3,FALSE),1)</f>
        <v>0.96265813922927435</v>
      </c>
      <c r="BV212" s="2">
        <f>_xlfn.IFNA(VLOOKUP(Wapato_Inventory[[#This Row],[condition]],Lookups!$A$41:$C$48,3,FALSE),1)</f>
        <v>0.98442438223270734</v>
      </c>
      <c r="BW212" s="2">
        <f>IF(Wapato_Inventory[[#This Row],[decade]]="",1,_xlfn.IFNA(VLOOKUP(Wapato_Inventory[[#This Row],[decade]],Lookups!$F$28:$H$45,3,FALSE),1))</f>
        <v>0.93664589651353292</v>
      </c>
      <c r="BX212" s="2">
        <f>_xlfn.IFNA(VLOOKUP(Wapato_Inventory[[#This Row],[living_area_range]],Lookups!$K$28:$M$37,3,FALSE),1)</f>
        <v>0.99022994770196116</v>
      </c>
      <c r="BY212" s="2">
        <f>AVERAGE(Wapato_Inventory[[#This Row],[qual_adj]:[range_adj]])</f>
        <v>0.96848959141936886</v>
      </c>
      <c r="BZ212" s="7">
        <f>(Wapato_Inventory[[#This Row],[sum_land]]-IF(Wapato_Inventory[[#This Row],[no_utilities]]=1,12000,0))/IF(Wapato_Inventory[[#This Row],[unbuildable]]=1,2,1)</f>
        <v>53000</v>
      </c>
      <c r="CA212" s="7">
        <f>Wapato_Inventory[[#This Row],[pre_res]]*Wapato_Inventory[[#This Row],[overall_adj]]</f>
        <v>154275.16214291699</v>
      </c>
      <c r="CB21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12" s="3">
        <f>IF(ROUND(Wapato_Inventory[[#This Row],[adj_res]]*Lookups!$H$48,-2)&lt;Wapato_Inventory[[#This Row],[min_res]],Wapato_Inventory[[#This Row],[min_res]],ROUND(Wapato_Inventory[[#This Row],[adj_res]]*Lookups!$H$48,-2))</f>
        <v>146600</v>
      </c>
      <c r="CD212" s="3">
        <f>ROUND(Wapato_Inventory[[#This Row],[det_value]]*Lookups!$H$48,-2)</f>
        <v>4200</v>
      </c>
      <c r="CE212" s="3">
        <f>Wapato_Inventory[[#This Row],[final_res]]+Wapato_Inventory[[#This Row],[final_det]]</f>
        <v>150800</v>
      </c>
      <c r="CF212" s="3">
        <f>Wapato_Inventory[[#This Row],[crop_value]]+Wapato_Inventory[[#This Row],[final_land]]+Wapato_Inventory[[#This Row],[final_imp]]</f>
        <v>201200</v>
      </c>
      <c r="CH212" t="str">
        <f t="shared" si="3"/>
        <v>update valuation set market_land =50400, market_bldg=150800, market_total =201200, market_mdno =405, market_date ='9/10/2023' where link_id = (select link_id from parcel where parcel_year = '2024' and parcel_id = '19111041500');</v>
      </c>
    </row>
    <row r="213" spans="1:86" x14ac:dyDescent="0.25">
      <c r="A213">
        <v>19111041501</v>
      </c>
      <c r="B213">
        <v>0.14000000000000001</v>
      </c>
      <c r="C213">
        <v>6244</v>
      </c>
      <c r="D213" t="s">
        <v>144</v>
      </c>
      <c r="E213" t="s">
        <v>54</v>
      </c>
      <c r="F213" t="s">
        <v>54</v>
      </c>
      <c r="G213">
        <v>3</v>
      </c>
      <c r="H213" t="s">
        <v>55</v>
      </c>
      <c r="I213">
        <v>146700</v>
      </c>
      <c r="J213">
        <v>31900</v>
      </c>
      <c r="K213">
        <v>0.14000000000000001</v>
      </c>
      <c r="L213">
        <f>IF(Wapato_Inventory[[#This Row],[parcel_acres]]-Wapato_Inventory[[#This Row],[non_valued_acres]] =0,0,LN(Wapato_Inventory[[#This Row],[parcel_acres]]-Wapato_Inventory[[#This Row],[non_valued_acres]]))</f>
        <v>-1.9661128563728327</v>
      </c>
      <c r="M213">
        <v>0</v>
      </c>
      <c r="N213">
        <v>0</v>
      </c>
      <c r="O213">
        <v>0</v>
      </c>
      <c r="P213">
        <v>27904.037</v>
      </c>
      <c r="Q213">
        <v>74398</v>
      </c>
      <c r="R213" s="3">
        <f>(Wapato_Inventory[[#This Row],[ln_acres]]*Wapato_Inventory[[#This Row],[coeff]])+Wapato_Inventory[[#This Row],[const]]</f>
        <v>19535.514109596792</v>
      </c>
      <c r="S213" t="s">
        <v>66</v>
      </c>
      <c r="T213">
        <v>1</v>
      </c>
      <c r="U213" t="s">
        <v>71</v>
      </c>
      <c r="V213" t="s">
        <v>69</v>
      </c>
      <c r="W213">
        <v>0</v>
      </c>
      <c r="X213">
        <v>0</v>
      </c>
      <c r="Y213">
        <v>68</v>
      </c>
      <c r="Z213">
        <v>116</v>
      </c>
      <c r="AA213">
        <v>120</v>
      </c>
      <c r="AB213">
        <v>1500</v>
      </c>
      <c r="AC213">
        <v>1184</v>
      </c>
      <c r="AD213">
        <v>1184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160</v>
      </c>
      <c r="AP213">
        <v>8</v>
      </c>
      <c r="AQ213">
        <v>0</v>
      </c>
      <c r="AR213">
        <v>0</v>
      </c>
      <c r="AS213" t="s">
        <v>59</v>
      </c>
      <c r="AT213">
        <v>1</v>
      </c>
      <c r="AU213" t="s">
        <v>72</v>
      </c>
      <c r="AV213" t="s">
        <v>61</v>
      </c>
      <c r="AW213">
        <v>0</v>
      </c>
      <c r="AX213">
        <v>2</v>
      </c>
      <c r="AY213">
        <v>0</v>
      </c>
      <c r="AZ213">
        <v>0</v>
      </c>
      <c r="BA213">
        <v>100</v>
      </c>
      <c r="BB213">
        <v>100</v>
      </c>
      <c r="BC213">
        <v>100</v>
      </c>
      <c r="BD213">
        <v>100</v>
      </c>
      <c r="BE213">
        <v>1</v>
      </c>
      <c r="BF213">
        <v>15000</v>
      </c>
      <c r="BG213">
        <v>1000</v>
      </c>
      <c r="BH213" s="7">
        <f>ROUND(Wapato_Inventory[[#This Row],[detatched_value]]*Lookups!$B$22*Lookups!$H$48,-2)</f>
        <v>0</v>
      </c>
      <c r="BI213" s="7">
        <f>ROUND(((Wapato_Inventory[[#This Row],[land_extract]]*Lookups!$B$3) +(Lookups!$B$2*0.5))*Lookups!$H$48,-2)</f>
        <v>53000</v>
      </c>
      <c r="BJ213" s="7">
        <f>IF(Wapato_Inventory[[#This Row],[bldg_style]]="",0,Lookups!$B$2*0.5)</f>
        <v>53765.27</v>
      </c>
      <c r="BK213" s="7">
        <f>_xlfn.IFNA(VLOOKUP(Wapato_Inventory[[#This Row],[quality]],Lookups!$H$2:$J$14,3,FALSE),0)</f>
        <v>28034</v>
      </c>
      <c r="BL213" s="7">
        <f>_xlfn.IFNA(VLOOKUP(Wapato_Inventory[[#This Row],[condition]],Lookups!$H$17:$J$24,3,FALSE),0)</f>
        <v>74543</v>
      </c>
      <c r="BM213" s="7">
        <f>Wapato_Inventory[[#This Row],[Age]]*Lookups!$B$16</f>
        <v>-42998.381200000003</v>
      </c>
      <c r="BN213" s="7">
        <f>Wapato_Inventory[[#This Row],[Main Floor]]*Lookups!$B$17</f>
        <v>49492.074976000004</v>
      </c>
      <c r="BO213" s="7">
        <f>Wapato_Inventory[[#This Row],[Upper Floor]]*Lookups!$B$18</f>
        <v>0</v>
      </c>
      <c r="BP213" s="7">
        <f>Wapato_Inventory[[#This Row],[Fin BSMT]]*Lookups!$B$19</f>
        <v>0</v>
      </c>
      <c r="BQ213" s="7">
        <f>(Wapato_Inventory[[#This Row],[att_gar]]+Wapato_Inventory[[#This Row],[blt_gar]])*Lookups!$B$20</f>
        <v>0</v>
      </c>
      <c r="BR213" s="7">
        <f>Wapato_Inventory[[#This Row],[Patio]]*Lookups!$B$21</f>
        <v>0</v>
      </c>
      <c r="BS213" s="7">
        <f>SUM(Wapato_Inventory[[#This Row],[intercept]:[patio_value]])*Wapato_Inventory[[#This Row],[res_pct]]</f>
        <v>162835.96377599999</v>
      </c>
      <c r="BT213" s="7">
        <f>Wapato_Inventory[[#This Row],[land_value]]</f>
        <v>53000</v>
      </c>
      <c r="BU213" s="2">
        <f>_xlfn.IFNA(VLOOKUP(Wapato_Inventory[[#This Row],[quality]],Lookups!$A$28:$C$37,3,FALSE),1)</f>
        <v>0.96265813922927435</v>
      </c>
      <c r="BV213" s="2">
        <f>_xlfn.IFNA(VLOOKUP(Wapato_Inventory[[#This Row],[condition]],Lookups!$A$41:$C$48,3,FALSE),1)</f>
        <v>0.98442438223270734</v>
      </c>
      <c r="BW213" s="2">
        <f>IF(Wapato_Inventory[[#This Row],[decade]]="",1,_xlfn.IFNA(VLOOKUP(Wapato_Inventory[[#This Row],[decade]],Lookups!$F$28:$H$45,3,FALSE),1))</f>
        <v>0.93664589651353292</v>
      </c>
      <c r="BX213" s="2">
        <f>_xlfn.IFNA(VLOOKUP(Wapato_Inventory[[#This Row],[living_area_range]],Lookups!$K$28:$M$37,3,FALSE),1)</f>
        <v>1.0061411172456287</v>
      </c>
      <c r="BY213" s="2">
        <f>AVERAGE(Wapato_Inventory[[#This Row],[qual_adj]:[range_adj]])</f>
        <v>0.97246738380528575</v>
      </c>
      <c r="BZ213" s="7">
        <f>(Wapato_Inventory[[#This Row],[sum_land]]-IF(Wapato_Inventory[[#This Row],[no_utilities]]=1,12000,0))/IF(Wapato_Inventory[[#This Row],[unbuildable]]=1,2,1)</f>
        <v>53000</v>
      </c>
      <c r="CA213" s="7">
        <f>Wapato_Inventory[[#This Row],[pre_res]]*Wapato_Inventory[[#This Row],[overall_adj]]</f>
        <v>158352.66368265898</v>
      </c>
      <c r="CB21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13" s="3">
        <f>IF(ROUND(Wapato_Inventory[[#This Row],[adj_res]]*Lookups!$H$48,-2)&lt;Wapato_Inventory[[#This Row],[min_res]],Wapato_Inventory[[#This Row],[min_res]],ROUND(Wapato_Inventory[[#This Row],[adj_res]]*Lookups!$H$48,-2))</f>
        <v>150400</v>
      </c>
      <c r="CD213" s="3">
        <f>ROUND(Wapato_Inventory[[#This Row],[det_value]]*Lookups!$H$48,-2)</f>
        <v>0</v>
      </c>
      <c r="CE213" s="3">
        <f>Wapato_Inventory[[#This Row],[final_res]]+Wapato_Inventory[[#This Row],[final_det]]</f>
        <v>150400</v>
      </c>
      <c r="CF213" s="3">
        <f>Wapato_Inventory[[#This Row],[crop_value]]+Wapato_Inventory[[#This Row],[final_land]]+Wapato_Inventory[[#This Row],[final_imp]]</f>
        <v>200800</v>
      </c>
      <c r="CH213" t="str">
        <f t="shared" si="3"/>
        <v>update valuation set market_land =50400, market_bldg=150400, market_total =200800, market_mdno =405, market_date ='9/10/2023' where link_id = (select link_id from parcel where parcel_year = '2024' and parcel_id = '19111041501');</v>
      </c>
    </row>
    <row r="214" spans="1:86" x14ac:dyDescent="0.25">
      <c r="A214">
        <v>19111041502</v>
      </c>
      <c r="B214">
        <v>0.14000000000000001</v>
      </c>
      <c r="C214">
        <v>6244</v>
      </c>
      <c r="D214" t="s">
        <v>144</v>
      </c>
      <c r="E214" t="s">
        <v>54</v>
      </c>
      <c r="F214" t="s">
        <v>54</v>
      </c>
      <c r="G214">
        <v>3</v>
      </c>
      <c r="H214" t="s">
        <v>55</v>
      </c>
      <c r="I214">
        <v>122400</v>
      </c>
      <c r="J214">
        <v>31900</v>
      </c>
      <c r="K214">
        <v>0.14000000000000001</v>
      </c>
      <c r="L214">
        <f>IF(Wapato_Inventory[[#This Row],[parcel_acres]]-Wapato_Inventory[[#This Row],[non_valued_acres]] =0,0,LN(Wapato_Inventory[[#This Row],[parcel_acres]]-Wapato_Inventory[[#This Row],[non_valued_acres]]))</f>
        <v>-1.9661128563728327</v>
      </c>
      <c r="M214">
        <v>0</v>
      </c>
      <c r="N214">
        <v>0</v>
      </c>
      <c r="O214">
        <v>0</v>
      </c>
      <c r="P214">
        <v>27904.037</v>
      </c>
      <c r="Q214">
        <v>74398</v>
      </c>
      <c r="R214" s="3">
        <f>(Wapato_Inventory[[#This Row],[ln_acres]]*Wapato_Inventory[[#This Row],[coeff]])+Wapato_Inventory[[#This Row],[const]]</f>
        <v>19535.514109596792</v>
      </c>
      <c r="S214" t="s">
        <v>66</v>
      </c>
      <c r="T214">
        <v>1</v>
      </c>
      <c r="U214" t="s">
        <v>71</v>
      </c>
      <c r="V214" t="s">
        <v>68</v>
      </c>
      <c r="W214">
        <v>0</v>
      </c>
      <c r="X214">
        <v>0</v>
      </c>
      <c r="Y214">
        <v>57</v>
      </c>
      <c r="Z214">
        <v>103</v>
      </c>
      <c r="AA214">
        <v>110</v>
      </c>
      <c r="AB214">
        <v>1500</v>
      </c>
      <c r="AC214">
        <v>1120</v>
      </c>
      <c r="AD214">
        <v>1120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300</v>
      </c>
      <c r="AL214">
        <v>0</v>
      </c>
      <c r="AM214">
        <v>0</v>
      </c>
      <c r="AN214">
        <v>0</v>
      </c>
      <c r="AO214">
        <v>168</v>
      </c>
      <c r="AP214">
        <v>5</v>
      </c>
      <c r="AQ214">
        <v>0</v>
      </c>
      <c r="AR214">
        <v>0</v>
      </c>
      <c r="AS214" t="s">
        <v>59</v>
      </c>
      <c r="AT214">
        <v>0</v>
      </c>
      <c r="AU214" t="s">
        <v>80</v>
      </c>
      <c r="AV214" t="s">
        <v>61</v>
      </c>
      <c r="AW214">
        <v>0</v>
      </c>
      <c r="AX214">
        <v>2</v>
      </c>
      <c r="AY214">
        <v>0</v>
      </c>
      <c r="AZ214">
        <v>0</v>
      </c>
      <c r="BA214">
        <v>100</v>
      </c>
      <c r="BB214">
        <v>100</v>
      </c>
      <c r="BC214">
        <v>100</v>
      </c>
      <c r="BD214">
        <v>100</v>
      </c>
      <c r="BE214">
        <v>1</v>
      </c>
      <c r="BF214">
        <v>15000</v>
      </c>
      <c r="BG214">
        <v>1000</v>
      </c>
      <c r="BH214" s="7">
        <f>ROUND(Wapato_Inventory[[#This Row],[detatched_value]]*Lookups!$B$22*Lookups!$H$48,-2)</f>
        <v>0</v>
      </c>
      <c r="BI214" s="7">
        <f>ROUND(((Wapato_Inventory[[#This Row],[land_extract]]*Lookups!$B$3) +(Lookups!$B$2*0.5))*Lookups!$H$48,-2)</f>
        <v>53000</v>
      </c>
      <c r="BJ214" s="7">
        <f>IF(Wapato_Inventory[[#This Row],[bldg_style]]="",0,Lookups!$B$2*0.5)</f>
        <v>53765.27</v>
      </c>
      <c r="BK214" s="7">
        <f>_xlfn.IFNA(VLOOKUP(Wapato_Inventory[[#This Row],[quality]],Lookups!$H$2:$J$14,3,FALSE),0)</f>
        <v>28034</v>
      </c>
      <c r="BL214" s="7">
        <f>_xlfn.IFNA(VLOOKUP(Wapato_Inventory[[#This Row],[condition]],Lookups!$H$17:$J$24,3,FALSE),0)</f>
        <v>52231</v>
      </c>
      <c r="BM214" s="7">
        <f>Wapato_Inventory[[#This Row],[Age]]*Lookups!$B$16</f>
        <v>-38179.597099999999</v>
      </c>
      <c r="BN214" s="7">
        <f>Wapato_Inventory[[#This Row],[Main Floor]]*Lookups!$B$17</f>
        <v>46816.827680000002</v>
      </c>
      <c r="BO214" s="7">
        <f>Wapato_Inventory[[#This Row],[Upper Floor]]*Lookups!$B$18</f>
        <v>0</v>
      </c>
      <c r="BP214" s="7">
        <f>Wapato_Inventory[[#This Row],[Fin BSMT]]*Lookups!$B$19</f>
        <v>0</v>
      </c>
      <c r="BQ214" s="7">
        <f>(Wapato_Inventory[[#This Row],[att_gar]]+Wapato_Inventory[[#This Row],[blt_gar]])*Lookups!$B$20</f>
        <v>0</v>
      </c>
      <c r="BR214" s="7">
        <f>Wapato_Inventory[[#This Row],[Patio]]*Lookups!$B$21</f>
        <v>0</v>
      </c>
      <c r="BS214" s="7">
        <f>SUM(Wapato_Inventory[[#This Row],[intercept]:[patio_value]])*Wapato_Inventory[[#This Row],[res_pct]]</f>
        <v>142667.50057999999</v>
      </c>
      <c r="BT214" s="7">
        <f>Wapato_Inventory[[#This Row],[land_value]]</f>
        <v>53000</v>
      </c>
      <c r="BU214" s="2">
        <f>_xlfn.IFNA(VLOOKUP(Wapato_Inventory[[#This Row],[quality]],Lookups!$A$28:$C$37,3,FALSE),1)</f>
        <v>0.96265813922927435</v>
      </c>
      <c r="BV214" s="2">
        <f>_xlfn.IFNA(VLOOKUP(Wapato_Inventory[[#This Row],[condition]],Lookups!$A$41:$C$48,3,FALSE),1)</f>
        <v>0.9832333997567807</v>
      </c>
      <c r="BW214" s="2">
        <f>IF(Wapato_Inventory[[#This Row],[decade]]="",1,_xlfn.IFNA(VLOOKUP(Wapato_Inventory[[#This Row],[decade]],Lookups!$F$28:$H$45,3,FALSE),1))</f>
        <v>0.93664589651353292</v>
      </c>
      <c r="BX214" s="2">
        <f>_xlfn.IFNA(VLOOKUP(Wapato_Inventory[[#This Row],[living_area_range]],Lookups!$K$28:$M$37,3,FALSE),1)</f>
        <v>1.0061411172456287</v>
      </c>
      <c r="BY214" s="2">
        <f>AVERAGE(Wapato_Inventory[[#This Row],[qual_adj]:[range_adj]])</f>
        <v>0.97216963818630409</v>
      </c>
      <c r="BZ214" s="7">
        <f>(Wapato_Inventory[[#This Row],[sum_land]]-IF(Wapato_Inventory[[#This Row],[no_utilities]]=1,12000,0))/IF(Wapato_Inventory[[#This Row],[unbuildable]]=1,2,1)</f>
        <v>53000</v>
      </c>
      <c r="CA214" s="7">
        <f>Wapato_Inventory[[#This Row],[pre_res]]*Wapato_Inventory[[#This Row],[overall_adj]]</f>
        <v>138697.01241980292</v>
      </c>
      <c r="CB21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14" s="3">
        <f>IF(ROUND(Wapato_Inventory[[#This Row],[adj_res]]*Lookups!$H$48,-2)&lt;Wapato_Inventory[[#This Row],[min_res]],Wapato_Inventory[[#This Row],[min_res]],ROUND(Wapato_Inventory[[#This Row],[adj_res]]*Lookups!$H$48,-2))</f>
        <v>131800</v>
      </c>
      <c r="CD214" s="3">
        <f>ROUND(Wapato_Inventory[[#This Row],[det_value]]*Lookups!$H$48,-2)</f>
        <v>0</v>
      </c>
      <c r="CE214" s="3">
        <f>Wapato_Inventory[[#This Row],[final_res]]+Wapato_Inventory[[#This Row],[final_det]]</f>
        <v>131800</v>
      </c>
      <c r="CF214" s="3">
        <f>Wapato_Inventory[[#This Row],[crop_value]]+Wapato_Inventory[[#This Row],[final_land]]+Wapato_Inventory[[#This Row],[final_imp]]</f>
        <v>182200</v>
      </c>
      <c r="CH214" t="str">
        <f t="shared" si="3"/>
        <v>update valuation set market_land =50400, market_bldg=131800, market_total =182200, market_mdno =405, market_date ='9/10/2023' where link_id = (select link_id from parcel where parcel_year = '2024' and parcel_id = '19111041502');</v>
      </c>
    </row>
    <row r="215" spans="1:86" x14ac:dyDescent="0.25">
      <c r="A215">
        <v>19111041503</v>
      </c>
      <c r="B215">
        <v>0.14000000000000001</v>
      </c>
      <c r="C215">
        <v>6244</v>
      </c>
      <c r="D215" t="s">
        <v>144</v>
      </c>
      <c r="E215" t="s">
        <v>54</v>
      </c>
      <c r="F215" t="s">
        <v>54</v>
      </c>
      <c r="G215">
        <v>3</v>
      </c>
      <c r="H215" t="s">
        <v>55</v>
      </c>
      <c r="I215">
        <v>112200</v>
      </c>
      <c r="J215">
        <v>31900</v>
      </c>
      <c r="K215">
        <v>0.14000000000000001</v>
      </c>
      <c r="L215">
        <f>IF(Wapato_Inventory[[#This Row],[parcel_acres]]-Wapato_Inventory[[#This Row],[non_valued_acres]] =0,0,LN(Wapato_Inventory[[#This Row],[parcel_acres]]-Wapato_Inventory[[#This Row],[non_valued_acres]]))</f>
        <v>-1.9661128563728327</v>
      </c>
      <c r="M215">
        <v>0</v>
      </c>
      <c r="N215">
        <v>0</v>
      </c>
      <c r="O215">
        <v>0</v>
      </c>
      <c r="P215">
        <v>27904.037</v>
      </c>
      <c r="Q215">
        <v>74398</v>
      </c>
      <c r="R215" s="3">
        <f>(Wapato_Inventory[[#This Row],[ln_acres]]*Wapato_Inventory[[#This Row],[coeff]])+Wapato_Inventory[[#This Row],[const]]</f>
        <v>19535.514109596792</v>
      </c>
      <c r="S215" t="s">
        <v>66</v>
      </c>
      <c r="T215">
        <v>1</v>
      </c>
      <c r="U215" t="s">
        <v>71</v>
      </c>
      <c r="V215" t="s">
        <v>73</v>
      </c>
      <c r="W215">
        <v>0</v>
      </c>
      <c r="X215">
        <v>0</v>
      </c>
      <c r="Y215">
        <v>53</v>
      </c>
      <c r="Z215">
        <v>93</v>
      </c>
      <c r="AA215">
        <v>100</v>
      </c>
      <c r="AB215">
        <v>1000</v>
      </c>
      <c r="AC215">
        <v>1000</v>
      </c>
      <c r="AD215">
        <v>1000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6</v>
      </c>
      <c r="AQ215">
        <v>1</v>
      </c>
      <c r="AR215">
        <v>0</v>
      </c>
      <c r="AS215" t="s">
        <v>59</v>
      </c>
      <c r="AT215">
        <v>1</v>
      </c>
      <c r="AU215" t="s">
        <v>60</v>
      </c>
      <c r="AV215" t="s">
        <v>61</v>
      </c>
      <c r="AW215">
        <v>1</v>
      </c>
      <c r="AX215">
        <v>2</v>
      </c>
      <c r="AY215">
        <v>0</v>
      </c>
      <c r="AZ215">
        <v>0</v>
      </c>
      <c r="BA215">
        <v>100</v>
      </c>
      <c r="BB215">
        <v>100</v>
      </c>
      <c r="BC215">
        <v>100</v>
      </c>
      <c r="BD215">
        <v>100</v>
      </c>
      <c r="BE215">
        <v>1</v>
      </c>
      <c r="BF215">
        <v>15000</v>
      </c>
      <c r="BG215">
        <v>1000</v>
      </c>
      <c r="BH215" s="7">
        <f>ROUND(Wapato_Inventory[[#This Row],[detatched_value]]*Lookups!$B$22*Lookups!$H$48,-2)</f>
        <v>0</v>
      </c>
      <c r="BI215" s="7">
        <f>ROUND(((Wapato_Inventory[[#This Row],[land_extract]]*Lookups!$B$3) +(Lookups!$B$2*0.5))*Lookups!$H$48,-2)</f>
        <v>53000</v>
      </c>
      <c r="BJ215" s="7">
        <f>IF(Wapato_Inventory[[#This Row],[bldg_style]]="",0,Lookups!$B$2*0.5)</f>
        <v>53765.27</v>
      </c>
      <c r="BK215" s="7">
        <f>_xlfn.IFNA(VLOOKUP(Wapato_Inventory[[#This Row],[quality]],Lookups!$H$2:$J$14,3,FALSE),0)</f>
        <v>28034</v>
      </c>
      <c r="BL215" s="7">
        <f>_xlfn.IFNA(VLOOKUP(Wapato_Inventory[[#This Row],[condition]],Lookups!$H$17:$J$24,3,FALSE),0)</f>
        <v>16276</v>
      </c>
      <c r="BM215" s="7">
        <f>Wapato_Inventory[[#This Row],[Age]]*Lookups!$B$16</f>
        <v>-34472.840100000001</v>
      </c>
      <c r="BN215" s="7">
        <f>Wapato_Inventory[[#This Row],[Main Floor]]*Lookups!$B$17</f>
        <v>41800.739000000001</v>
      </c>
      <c r="BO215" s="7">
        <f>Wapato_Inventory[[#This Row],[Upper Floor]]*Lookups!$B$18</f>
        <v>0</v>
      </c>
      <c r="BP215" s="7">
        <f>Wapato_Inventory[[#This Row],[Fin BSMT]]*Lookups!$B$19</f>
        <v>0</v>
      </c>
      <c r="BQ215" s="7">
        <f>(Wapato_Inventory[[#This Row],[att_gar]]+Wapato_Inventory[[#This Row],[blt_gar]])*Lookups!$B$20</f>
        <v>0</v>
      </c>
      <c r="BR215" s="7">
        <f>Wapato_Inventory[[#This Row],[Patio]]*Lookups!$B$21</f>
        <v>0</v>
      </c>
      <c r="BS215" s="7">
        <f>SUM(Wapato_Inventory[[#This Row],[intercept]:[patio_value]])*Wapato_Inventory[[#This Row],[res_pct]]</f>
        <v>105403.16889999999</v>
      </c>
      <c r="BT215" s="7">
        <f>Wapato_Inventory[[#This Row],[land_value]]</f>
        <v>53000</v>
      </c>
      <c r="BU215" s="2">
        <f>_xlfn.IFNA(VLOOKUP(Wapato_Inventory[[#This Row],[quality]],Lookups!$A$28:$C$37,3,FALSE),1)</f>
        <v>0.96265813922927435</v>
      </c>
      <c r="BV215" s="2">
        <f>_xlfn.IFNA(VLOOKUP(Wapato_Inventory[[#This Row],[condition]],Lookups!$A$41:$C$48,3,FALSE),1)</f>
        <v>0.93399385491337139</v>
      </c>
      <c r="BW215" s="2">
        <f>IF(Wapato_Inventory[[#This Row],[decade]]="",1,_xlfn.IFNA(VLOOKUP(Wapato_Inventory[[#This Row],[decade]],Lookups!$F$28:$H$45,3,FALSE),1))</f>
        <v>1.0114203040664467</v>
      </c>
      <c r="BX215" s="2">
        <f>_xlfn.IFNA(VLOOKUP(Wapato_Inventory[[#This Row],[living_area_range]],Lookups!$K$28:$M$37,3,FALSE),1)</f>
        <v>0.99022994770196116</v>
      </c>
      <c r="BY215" s="2">
        <f>AVERAGE(Wapato_Inventory[[#This Row],[qual_adj]:[range_adj]])</f>
        <v>0.97457556147776347</v>
      </c>
      <c r="BZ215" s="7">
        <f>(Wapato_Inventory[[#This Row],[sum_land]]-IF(Wapato_Inventory[[#This Row],[no_utilities]]=1,12000,0))/IF(Wapato_Inventory[[#This Row],[unbuildable]]=1,2,1)</f>
        <v>53000</v>
      </c>
      <c r="CA215" s="7">
        <f>Wapato_Inventory[[#This Row],[pre_res]]*Wapato_Inventory[[#This Row],[overall_adj]]</f>
        <v>102723.35251225303</v>
      </c>
      <c r="CB21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15" s="3">
        <f>IF(ROUND(Wapato_Inventory[[#This Row],[adj_res]]*Lookups!$H$48,-2)&lt;Wapato_Inventory[[#This Row],[min_res]],Wapato_Inventory[[#This Row],[min_res]],ROUND(Wapato_Inventory[[#This Row],[adj_res]]*Lookups!$H$48,-2))</f>
        <v>97600</v>
      </c>
      <c r="CD215" s="3">
        <f>ROUND(Wapato_Inventory[[#This Row],[det_value]]*Lookups!$H$48,-2)</f>
        <v>0</v>
      </c>
      <c r="CE215" s="3">
        <f>Wapato_Inventory[[#This Row],[final_res]]+Wapato_Inventory[[#This Row],[final_det]]</f>
        <v>97600</v>
      </c>
      <c r="CF215" s="3">
        <f>Wapato_Inventory[[#This Row],[crop_value]]+Wapato_Inventory[[#This Row],[final_land]]+Wapato_Inventory[[#This Row],[final_imp]]</f>
        <v>148000</v>
      </c>
      <c r="CH215" t="str">
        <f t="shared" si="3"/>
        <v>update valuation set market_land =50400, market_bldg=97600, market_total =148000, market_mdno =405, market_date ='9/10/2023' where link_id = (select link_id from parcel where parcel_year = '2024' and parcel_id = '19111041503');</v>
      </c>
    </row>
    <row r="216" spans="1:86" x14ac:dyDescent="0.25">
      <c r="A216">
        <v>19111041504</v>
      </c>
      <c r="B216">
        <v>0.14000000000000001</v>
      </c>
      <c r="C216">
        <v>6244</v>
      </c>
      <c r="D216" t="s">
        <v>144</v>
      </c>
      <c r="E216" t="s">
        <v>54</v>
      </c>
      <c r="F216" t="s">
        <v>54</v>
      </c>
      <c r="G216">
        <v>3</v>
      </c>
      <c r="H216" t="s">
        <v>55</v>
      </c>
      <c r="I216">
        <v>110900</v>
      </c>
      <c r="J216">
        <v>31900</v>
      </c>
      <c r="K216">
        <v>0.14000000000000001</v>
      </c>
      <c r="L216">
        <f>IF(Wapato_Inventory[[#This Row],[parcel_acres]]-Wapato_Inventory[[#This Row],[non_valued_acres]] =0,0,LN(Wapato_Inventory[[#This Row],[parcel_acres]]-Wapato_Inventory[[#This Row],[non_valued_acres]]))</f>
        <v>-1.9661128563728327</v>
      </c>
      <c r="M216">
        <v>0</v>
      </c>
      <c r="N216">
        <v>0</v>
      </c>
      <c r="O216">
        <v>0</v>
      </c>
      <c r="P216">
        <v>27904.037</v>
      </c>
      <c r="Q216">
        <v>74398</v>
      </c>
      <c r="R216" s="3">
        <f>(Wapato_Inventory[[#This Row],[ln_acres]]*Wapato_Inventory[[#This Row],[coeff]])+Wapato_Inventory[[#This Row],[const]]</f>
        <v>19535.514109596792</v>
      </c>
      <c r="S216" t="s">
        <v>66</v>
      </c>
      <c r="T216">
        <v>1</v>
      </c>
      <c r="U216" t="s">
        <v>71</v>
      </c>
      <c r="V216" t="s">
        <v>68</v>
      </c>
      <c r="W216">
        <v>0</v>
      </c>
      <c r="X216">
        <v>0</v>
      </c>
      <c r="Y216">
        <v>57</v>
      </c>
      <c r="Z216">
        <v>103</v>
      </c>
      <c r="AA216">
        <v>110</v>
      </c>
      <c r="AB216">
        <v>1000</v>
      </c>
      <c r="AC216">
        <v>921</v>
      </c>
      <c r="AD216">
        <v>921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5</v>
      </c>
      <c r="AQ216">
        <v>0</v>
      </c>
      <c r="AR216">
        <v>0</v>
      </c>
      <c r="AS216" t="s">
        <v>59</v>
      </c>
      <c r="AT216">
        <v>0</v>
      </c>
      <c r="AU216" t="s">
        <v>80</v>
      </c>
      <c r="AV216" t="s">
        <v>61</v>
      </c>
      <c r="AW216">
        <v>0</v>
      </c>
      <c r="AX216">
        <v>2</v>
      </c>
      <c r="AY216">
        <v>0</v>
      </c>
      <c r="AZ216">
        <v>0</v>
      </c>
      <c r="BA216">
        <v>100</v>
      </c>
      <c r="BB216">
        <v>100</v>
      </c>
      <c r="BC216">
        <v>100</v>
      </c>
      <c r="BD216">
        <v>100</v>
      </c>
      <c r="BE216">
        <v>1</v>
      </c>
      <c r="BF216">
        <v>15000</v>
      </c>
      <c r="BG216">
        <v>1000</v>
      </c>
      <c r="BH216" s="7">
        <f>ROUND(Wapato_Inventory[[#This Row],[detatched_value]]*Lookups!$B$22*Lookups!$H$48,-2)</f>
        <v>0</v>
      </c>
      <c r="BI216" s="7">
        <f>ROUND(((Wapato_Inventory[[#This Row],[land_extract]]*Lookups!$B$3) +(Lookups!$B$2*0.5))*Lookups!$H$48,-2)</f>
        <v>53000</v>
      </c>
      <c r="BJ216" s="7">
        <f>IF(Wapato_Inventory[[#This Row],[bldg_style]]="",0,Lookups!$B$2*0.5)</f>
        <v>53765.27</v>
      </c>
      <c r="BK216" s="7">
        <f>_xlfn.IFNA(VLOOKUP(Wapato_Inventory[[#This Row],[quality]],Lookups!$H$2:$J$14,3,FALSE),0)</f>
        <v>28034</v>
      </c>
      <c r="BL216" s="7">
        <f>_xlfn.IFNA(VLOOKUP(Wapato_Inventory[[#This Row],[condition]],Lookups!$H$17:$J$24,3,FALSE),0)</f>
        <v>52231</v>
      </c>
      <c r="BM216" s="7">
        <f>Wapato_Inventory[[#This Row],[Age]]*Lookups!$B$16</f>
        <v>-38179.597099999999</v>
      </c>
      <c r="BN216" s="7">
        <f>Wapato_Inventory[[#This Row],[Main Floor]]*Lookups!$B$17</f>
        <v>38498.480619000002</v>
      </c>
      <c r="BO216" s="7">
        <f>Wapato_Inventory[[#This Row],[Upper Floor]]*Lookups!$B$18</f>
        <v>0</v>
      </c>
      <c r="BP216" s="7">
        <f>Wapato_Inventory[[#This Row],[Fin BSMT]]*Lookups!$B$19</f>
        <v>0</v>
      </c>
      <c r="BQ216" s="7">
        <f>(Wapato_Inventory[[#This Row],[att_gar]]+Wapato_Inventory[[#This Row],[blt_gar]])*Lookups!$B$20</f>
        <v>0</v>
      </c>
      <c r="BR216" s="7">
        <f>Wapato_Inventory[[#This Row],[Patio]]*Lookups!$B$21</f>
        <v>0</v>
      </c>
      <c r="BS216" s="7">
        <f>SUM(Wapato_Inventory[[#This Row],[intercept]:[patio_value]])*Wapato_Inventory[[#This Row],[res_pct]]</f>
        <v>134349.15351899998</v>
      </c>
      <c r="BT216" s="7">
        <f>Wapato_Inventory[[#This Row],[land_value]]</f>
        <v>53000</v>
      </c>
      <c r="BU216" s="2">
        <f>_xlfn.IFNA(VLOOKUP(Wapato_Inventory[[#This Row],[quality]],Lookups!$A$28:$C$37,3,FALSE),1)</f>
        <v>0.96265813922927435</v>
      </c>
      <c r="BV216" s="2">
        <f>_xlfn.IFNA(VLOOKUP(Wapato_Inventory[[#This Row],[condition]],Lookups!$A$41:$C$48,3,FALSE),1)</f>
        <v>0.9832333997567807</v>
      </c>
      <c r="BW216" s="2">
        <f>IF(Wapato_Inventory[[#This Row],[decade]]="",1,_xlfn.IFNA(VLOOKUP(Wapato_Inventory[[#This Row],[decade]],Lookups!$F$28:$H$45,3,FALSE),1))</f>
        <v>0.93664589651353292</v>
      </c>
      <c r="BX216" s="2">
        <f>_xlfn.IFNA(VLOOKUP(Wapato_Inventory[[#This Row],[living_area_range]],Lookups!$K$28:$M$37,3,FALSE),1)</f>
        <v>0.99022994770196116</v>
      </c>
      <c r="BY216" s="2">
        <f>AVERAGE(Wapato_Inventory[[#This Row],[qual_adj]:[range_adj]])</f>
        <v>0.9681918458003872</v>
      </c>
      <c r="BZ216" s="7">
        <f>(Wapato_Inventory[[#This Row],[sum_land]]-IF(Wapato_Inventory[[#This Row],[no_utilities]]=1,12000,0))/IF(Wapato_Inventory[[#This Row],[unbuildable]]=1,2,1)</f>
        <v>53000</v>
      </c>
      <c r="CA216" s="7">
        <f>Wapato_Inventory[[#This Row],[pre_res]]*Wapato_Inventory[[#This Row],[overall_adj]]</f>
        <v>130075.75492728018</v>
      </c>
      <c r="CB21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16" s="3">
        <f>IF(ROUND(Wapato_Inventory[[#This Row],[adj_res]]*Lookups!$H$48,-2)&lt;Wapato_Inventory[[#This Row],[min_res]],Wapato_Inventory[[#This Row],[min_res]],ROUND(Wapato_Inventory[[#This Row],[adj_res]]*Lookups!$H$48,-2))</f>
        <v>123600</v>
      </c>
      <c r="CD216" s="3">
        <f>ROUND(Wapato_Inventory[[#This Row],[det_value]]*Lookups!$H$48,-2)</f>
        <v>0</v>
      </c>
      <c r="CE216" s="3">
        <f>Wapato_Inventory[[#This Row],[final_res]]+Wapato_Inventory[[#This Row],[final_det]]</f>
        <v>123600</v>
      </c>
      <c r="CF216" s="3">
        <f>Wapato_Inventory[[#This Row],[crop_value]]+Wapato_Inventory[[#This Row],[final_land]]+Wapato_Inventory[[#This Row],[final_imp]]</f>
        <v>174000</v>
      </c>
      <c r="CH216" t="str">
        <f t="shared" si="3"/>
        <v>update valuation set market_land =50400, market_bldg=123600, market_total =174000, market_mdno =405, market_date ='9/10/2023' where link_id = (select link_id from parcel where parcel_year = '2024' and parcel_id = '19111041504');</v>
      </c>
    </row>
    <row r="217" spans="1:86" x14ac:dyDescent="0.25">
      <c r="A217">
        <v>19111041505</v>
      </c>
      <c r="B217">
        <v>0.14000000000000001</v>
      </c>
      <c r="C217">
        <v>6244</v>
      </c>
      <c r="D217" t="s">
        <v>144</v>
      </c>
      <c r="E217" t="s">
        <v>54</v>
      </c>
      <c r="F217" t="s">
        <v>54</v>
      </c>
      <c r="G217">
        <v>3</v>
      </c>
      <c r="H217" t="s">
        <v>55</v>
      </c>
      <c r="I217">
        <v>143100</v>
      </c>
      <c r="J217">
        <v>31900</v>
      </c>
      <c r="K217">
        <v>0.14000000000000001</v>
      </c>
      <c r="L217">
        <f>IF(Wapato_Inventory[[#This Row],[parcel_acres]]-Wapato_Inventory[[#This Row],[non_valued_acres]] =0,0,LN(Wapato_Inventory[[#This Row],[parcel_acres]]-Wapato_Inventory[[#This Row],[non_valued_acres]]))</f>
        <v>-1.9661128563728327</v>
      </c>
      <c r="M217">
        <v>0</v>
      </c>
      <c r="N217">
        <v>0</v>
      </c>
      <c r="O217">
        <v>0</v>
      </c>
      <c r="P217">
        <v>27904.037</v>
      </c>
      <c r="Q217">
        <v>74398</v>
      </c>
      <c r="R217" s="3">
        <f>(Wapato_Inventory[[#This Row],[ln_acres]]*Wapato_Inventory[[#This Row],[coeff]])+Wapato_Inventory[[#This Row],[const]]</f>
        <v>19535.514109596792</v>
      </c>
      <c r="S217" t="s">
        <v>66</v>
      </c>
      <c r="T217">
        <v>1</v>
      </c>
      <c r="U217" t="s">
        <v>75</v>
      </c>
      <c r="V217" t="s">
        <v>68</v>
      </c>
      <c r="W217">
        <v>0</v>
      </c>
      <c r="X217">
        <v>0</v>
      </c>
      <c r="Y217">
        <v>55</v>
      </c>
      <c r="Z217">
        <v>98</v>
      </c>
      <c r="AA217">
        <v>100</v>
      </c>
      <c r="AB217">
        <v>1000</v>
      </c>
      <c r="AC217">
        <v>1000</v>
      </c>
      <c r="AD217">
        <v>1000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49</v>
      </c>
      <c r="AN217">
        <v>24</v>
      </c>
      <c r="AO217">
        <v>0</v>
      </c>
      <c r="AP217">
        <v>5</v>
      </c>
      <c r="AQ217">
        <v>0</v>
      </c>
      <c r="AR217">
        <v>0</v>
      </c>
      <c r="AS217" t="s">
        <v>59</v>
      </c>
      <c r="AT217">
        <v>1</v>
      </c>
      <c r="AU217" t="s">
        <v>148</v>
      </c>
      <c r="AV217" t="s">
        <v>61</v>
      </c>
      <c r="AW217">
        <v>1</v>
      </c>
      <c r="AX217">
        <v>2</v>
      </c>
      <c r="AY217">
        <v>0</v>
      </c>
      <c r="AZ217">
        <v>0</v>
      </c>
      <c r="BA217">
        <v>100</v>
      </c>
      <c r="BB217">
        <v>100</v>
      </c>
      <c r="BC217">
        <v>100</v>
      </c>
      <c r="BD217">
        <v>100</v>
      </c>
      <c r="BE217">
        <v>1</v>
      </c>
      <c r="BF217">
        <v>15000</v>
      </c>
      <c r="BG217">
        <v>1000</v>
      </c>
      <c r="BH217" s="7">
        <f>ROUND(Wapato_Inventory[[#This Row],[detatched_value]]*Lookups!$B$22*Lookups!$H$48,-2)</f>
        <v>0</v>
      </c>
      <c r="BI217" s="7">
        <f>ROUND(((Wapato_Inventory[[#This Row],[land_extract]]*Lookups!$B$3) +(Lookups!$B$2*0.5))*Lookups!$H$48,-2)</f>
        <v>53000</v>
      </c>
      <c r="BJ217" s="7">
        <f>IF(Wapato_Inventory[[#This Row],[bldg_style]]="",0,Lookups!$B$2*0.5)</f>
        <v>53765.27</v>
      </c>
      <c r="BK217" s="7">
        <f>_xlfn.IFNA(VLOOKUP(Wapato_Inventory[[#This Row],[quality]],Lookups!$H$2:$J$14,3,FALSE),0)</f>
        <v>48043</v>
      </c>
      <c r="BL217" s="7">
        <f>_xlfn.IFNA(VLOOKUP(Wapato_Inventory[[#This Row],[condition]],Lookups!$H$17:$J$24,3,FALSE),0)</f>
        <v>52231</v>
      </c>
      <c r="BM217" s="7">
        <f>Wapato_Inventory[[#This Row],[Age]]*Lookups!$B$16</f>
        <v>-36326.2186</v>
      </c>
      <c r="BN217" s="7">
        <f>Wapato_Inventory[[#This Row],[Main Floor]]*Lookups!$B$17</f>
        <v>41800.739000000001</v>
      </c>
      <c r="BO217" s="7">
        <f>Wapato_Inventory[[#This Row],[Upper Floor]]*Lookups!$B$18</f>
        <v>0</v>
      </c>
      <c r="BP217" s="7">
        <f>Wapato_Inventory[[#This Row],[Fin BSMT]]*Lookups!$B$19</f>
        <v>0</v>
      </c>
      <c r="BQ217" s="7">
        <f>(Wapato_Inventory[[#This Row],[att_gar]]+Wapato_Inventory[[#This Row],[blt_gar]])*Lookups!$B$20</f>
        <v>0</v>
      </c>
      <c r="BR217" s="7">
        <f>Wapato_Inventory[[#This Row],[Patio]]*Lookups!$B$21</f>
        <v>2122.8749710000002</v>
      </c>
      <c r="BS217" s="7">
        <f>SUM(Wapato_Inventory[[#This Row],[intercept]:[patio_value]])*Wapato_Inventory[[#This Row],[res_pct]]</f>
        <v>161636.66537100001</v>
      </c>
      <c r="BT217" s="7">
        <f>Wapato_Inventory[[#This Row],[land_value]]</f>
        <v>53000</v>
      </c>
      <c r="BU217" s="2">
        <f>_xlfn.IFNA(VLOOKUP(Wapato_Inventory[[#This Row],[quality]],Lookups!$A$28:$C$37,3,FALSE),1)</f>
        <v>0.98196844879778955</v>
      </c>
      <c r="BV217" s="2">
        <f>_xlfn.IFNA(VLOOKUP(Wapato_Inventory[[#This Row],[condition]],Lookups!$A$41:$C$48,3,FALSE),1)</f>
        <v>0.9832333997567807</v>
      </c>
      <c r="BW217" s="2">
        <f>IF(Wapato_Inventory[[#This Row],[decade]]="",1,_xlfn.IFNA(VLOOKUP(Wapato_Inventory[[#This Row],[decade]],Lookups!$F$28:$H$45,3,FALSE),1))</f>
        <v>1.0114203040664467</v>
      </c>
      <c r="BX217" s="2">
        <f>_xlfn.IFNA(VLOOKUP(Wapato_Inventory[[#This Row],[living_area_range]],Lookups!$K$28:$M$37,3,FALSE),1)</f>
        <v>0.99022994770196116</v>
      </c>
      <c r="BY217" s="2">
        <f>AVERAGE(Wapato_Inventory[[#This Row],[qual_adj]:[range_adj]])</f>
        <v>0.99171302508074455</v>
      </c>
      <c r="BZ217" s="7">
        <f>(Wapato_Inventory[[#This Row],[sum_land]]-IF(Wapato_Inventory[[#This Row],[no_utilities]]=1,12000,0))/IF(Wapato_Inventory[[#This Row],[unbuildable]]=1,2,1)</f>
        <v>53000</v>
      </c>
      <c r="CA217" s="7">
        <f>Wapato_Inventory[[#This Row],[pre_res]]*Wapato_Inventory[[#This Row],[overall_adj]]</f>
        <v>160297.18637903844</v>
      </c>
      <c r="CB21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17" s="3">
        <f>IF(ROUND(Wapato_Inventory[[#This Row],[adj_res]]*Lookups!$H$48,-2)&lt;Wapato_Inventory[[#This Row],[min_res]],Wapato_Inventory[[#This Row],[min_res]],ROUND(Wapato_Inventory[[#This Row],[adj_res]]*Lookups!$H$48,-2))</f>
        <v>152300</v>
      </c>
      <c r="CD217" s="3">
        <f>ROUND(Wapato_Inventory[[#This Row],[det_value]]*Lookups!$H$48,-2)</f>
        <v>0</v>
      </c>
      <c r="CE217" s="3">
        <f>Wapato_Inventory[[#This Row],[final_res]]+Wapato_Inventory[[#This Row],[final_det]]</f>
        <v>152300</v>
      </c>
      <c r="CF217" s="3">
        <f>Wapato_Inventory[[#This Row],[crop_value]]+Wapato_Inventory[[#This Row],[final_land]]+Wapato_Inventory[[#This Row],[final_imp]]</f>
        <v>202700</v>
      </c>
      <c r="CH217" t="str">
        <f t="shared" si="3"/>
        <v>update valuation set market_land =50400, market_bldg=152300, market_total =202700, market_mdno =405, market_date ='9/10/2023' where link_id = (select link_id from parcel where parcel_year = '2024' and parcel_id = '19111041505');</v>
      </c>
    </row>
    <row r="218" spans="1:86" x14ac:dyDescent="0.25">
      <c r="A218">
        <v>19111041506</v>
      </c>
      <c r="B218">
        <v>0.14000000000000001</v>
      </c>
      <c r="C218">
        <v>6244</v>
      </c>
      <c r="D218" t="s">
        <v>144</v>
      </c>
      <c r="E218" t="s">
        <v>54</v>
      </c>
      <c r="F218" t="s">
        <v>54</v>
      </c>
      <c r="G218">
        <v>3</v>
      </c>
      <c r="H218" t="s">
        <v>55</v>
      </c>
      <c r="I218">
        <v>110600</v>
      </c>
      <c r="J218">
        <v>31900</v>
      </c>
      <c r="K218">
        <v>0.14000000000000001</v>
      </c>
      <c r="L218">
        <f>IF(Wapato_Inventory[[#This Row],[parcel_acres]]-Wapato_Inventory[[#This Row],[non_valued_acres]] =0,0,LN(Wapato_Inventory[[#This Row],[parcel_acres]]-Wapato_Inventory[[#This Row],[non_valued_acres]]))</f>
        <v>-1.9661128563728327</v>
      </c>
      <c r="M218">
        <v>0</v>
      </c>
      <c r="N218">
        <v>0</v>
      </c>
      <c r="O218">
        <v>0</v>
      </c>
      <c r="P218">
        <v>27904.037</v>
      </c>
      <c r="Q218">
        <v>74398</v>
      </c>
      <c r="R218" s="3">
        <f>(Wapato_Inventory[[#This Row],[ln_acres]]*Wapato_Inventory[[#This Row],[coeff]])+Wapato_Inventory[[#This Row],[const]]</f>
        <v>19535.514109596792</v>
      </c>
      <c r="S218" t="s">
        <v>66</v>
      </c>
      <c r="T218">
        <v>1</v>
      </c>
      <c r="U218" t="s">
        <v>71</v>
      </c>
      <c r="V218" t="s">
        <v>68</v>
      </c>
      <c r="W218">
        <v>0</v>
      </c>
      <c r="X218">
        <v>0</v>
      </c>
      <c r="Y218">
        <v>55</v>
      </c>
      <c r="Z218">
        <v>98</v>
      </c>
      <c r="AA218">
        <v>100</v>
      </c>
      <c r="AB218">
        <v>1000</v>
      </c>
      <c r="AC218">
        <v>720</v>
      </c>
      <c r="AD218">
        <v>720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72</v>
      </c>
      <c r="AN218">
        <v>0</v>
      </c>
      <c r="AO218">
        <v>72</v>
      </c>
      <c r="AP218">
        <v>5</v>
      </c>
      <c r="AQ218">
        <v>0</v>
      </c>
      <c r="AR218">
        <v>0</v>
      </c>
      <c r="AS218" t="s">
        <v>59</v>
      </c>
      <c r="AT218">
        <v>0</v>
      </c>
      <c r="AU218" t="s">
        <v>80</v>
      </c>
      <c r="AV218" t="s">
        <v>65</v>
      </c>
      <c r="AW218">
        <v>0</v>
      </c>
      <c r="AX218">
        <v>2</v>
      </c>
      <c r="AY218">
        <v>0</v>
      </c>
      <c r="AZ218">
        <v>24100</v>
      </c>
      <c r="BA218">
        <v>100</v>
      </c>
      <c r="BB218">
        <v>100</v>
      </c>
      <c r="BC218">
        <v>100</v>
      </c>
      <c r="BD218">
        <v>100</v>
      </c>
      <c r="BE218">
        <v>1</v>
      </c>
      <c r="BF218">
        <v>15000</v>
      </c>
      <c r="BG218">
        <v>1000</v>
      </c>
      <c r="BH218" s="7">
        <f>ROUND(Wapato_Inventory[[#This Row],[detatched_value]]*Lookups!$B$22*Lookups!$H$48,-2)</f>
        <v>21500</v>
      </c>
      <c r="BI218" s="7">
        <f>ROUND(((Wapato_Inventory[[#This Row],[land_extract]]*Lookups!$B$3) +(Lookups!$B$2*0.5))*Lookups!$H$48,-2)</f>
        <v>53000</v>
      </c>
      <c r="BJ218" s="7">
        <f>IF(Wapato_Inventory[[#This Row],[bldg_style]]="",0,Lookups!$B$2*0.5)</f>
        <v>53765.27</v>
      </c>
      <c r="BK218" s="7">
        <f>_xlfn.IFNA(VLOOKUP(Wapato_Inventory[[#This Row],[quality]],Lookups!$H$2:$J$14,3,FALSE),0)</f>
        <v>28034</v>
      </c>
      <c r="BL218" s="7">
        <f>_xlfn.IFNA(VLOOKUP(Wapato_Inventory[[#This Row],[condition]],Lookups!$H$17:$J$24,3,FALSE),0)</f>
        <v>52231</v>
      </c>
      <c r="BM218" s="7">
        <f>Wapato_Inventory[[#This Row],[Age]]*Lookups!$B$16</f>
        <v>-36326.2186</v>
      </c>
      <c r="BN218" s="7">
        <f>Wapato_Inventory[[#This Row],[Main Floor]]*Lookups!$B$17</f>
        <v>30096.532080000001</v>
      </c>
      <c r="BO218" s="7">
        <f>Wapato_Inventory[[#This Row],[Upper Floor]]*Lookups!$B$18</f>
        <v>0</v>
      </c>
      <c r="BP218" s="7">
        <f>Wapato_Inventory[[#This Row],[Fin BSMT]]*Lookups!$B$19</f>
        <v>0</v>
      </c>
      <c r="BQ218" s="7">
        <f>(Wapato_Inventory[[#This Row],[att_gar]]+Wapato_Inventory[[#This Row],[blt_gar]])*Lookups!$B$20</f>
        <v>0</v>
      </c>
      <c r="BR218" s="7">
        <f>Wapato_Inventory[[#This Row],[Patio]]*Lookups!$B$21</f>
        <v>3119.3264880000002</v>
      </c>
      <c r="BS218" s="7">
        <f>SUM(Wapato_Inventory[[#This Row],[intercept]:[patio_value]])*Wapato_Inventory[[#This Row],[res_pct]]</f>
        <v>130919.90996800001</v>
      </c>
      <c r="BT218" s="7">
        <f>Wapato_Inventory[[#This Row],[land_value]]</f>
        <v>53000</v>
      </c>
      <c r="BU218" s="2">
        <f>_xlfn.IFNA(VLOOKUP(Wapato_Inventory[[#This Row],[quality]],Lookups!$A$28:$C$37,3,FALSE),1)</f>
        <v>0.96265813922927435</v>
      </c>
      <c r="BV218" s="2">
        <f>_xlfn.IFNA(VLOOKUP(Wapato_Inventory[[#This Row],[condition]],Lookups!$A$41:$C$48,3,FALSE),1)</f>
        <v>0.9832333997567807</v>
      </c>
      <c r="BW218" s="2">
        <f>IF(Wapato_Inventory[[#This Row],[decade]]="",1,_xlfn.IFNA(VLOOKUP(Wapato_Inventory[[#This Row],[decade]],Lookups!$F$28:$H$45,3,FALSE),1))</f>
        <v>1.0114203040664467</v>
      </c>
      <c r="BX218" s="2">
        <f>_xlfn.IFNA(VLOOKUP(Wapato_Inventory[[#This Row],[living_area_range]],Lookups!$K$28:$M$37,3,FALSE),1)</f>
        <v>0.99022994770196116</v>
      </c>
      <c r="BY218" s="2">
        <f>AVERAGE(Wapato_Inventory[[#This Row],[qual_adj]:[range_adj]])</f>
        <v>0.98688544768861564</v>
      </c>
      <c r="BZ218" s="7">
        <f>(Wapato_Inventory[[#This Row],[sum_land]]-IF(Wapato_Inventory[[#This Row],[no_utilities]]=1,12000,0))/IF(Wapato_Inventory[[#This Row],[unbuildable]]=1,2,1)</f>
        <v>53000</v>
      </c>
      <c r="CA218" s="7">
        <f>Wapato_Inventory[[#This Row],[pre_res]]*Wapato_Inventory[[#This Row],[overall_adj]]</f>
        <v>129202.95396012293</v>
      </c>
      <c r="CB21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18" s="3">
        <f>IF(ROUND(Wapato_Inventory[[#This Row],[adj_res]]*Lookups!$H$48,-2)&lt;Wapato_Inventory[[#This Row],[min_res]],Wapato_Inventory[[#This Row],[min_res]],ROUND(Wapato_Inventory[[#This Row],[adj_res]]*Lookups!$H$48,-2))</f>
        <v>122700</v>
      </c>
      <c r="CD218" s="3">
        <f>ROUND(Wapato_Inventory[[#This Row],[det_value]]*Lookups!$H$48,-2)</f>
        <v>20400</v>
      </c>
      <c r="CE218" s="3">
        <f>Wapato_Inventory[[#This Row],[final_res]]+Wapato_Inventory[[#This Row],[final_det]]</f>
        <v>143100</v>
      </c>
      <c r="CF218" s="3">
        <f>Wapato_Inventory[[#This Row],[crop_value]]+Wapato_Inventory[[#This Row],[final_land]]+Wapato_Inventory[[#This Row],[final_imp]]</f>
        <v>193500</v>
      </c>
      <c r="CH218" t="str">
        <f t="shared" si="3"/>
        <v>update valuation set market_land =50400, market_bldg=143100, market_total =193500, market_mdno =405, market_date ='9/10/2023' where link_id = (select link_id from parcel where parcel_year = '2024' and parcel_id = '19111041506');</v>
      </c>
    </row>
    <row r="219" spans="1:86" x14ac:dyDescent="0.25">
      <c r="A219">
        <v>19111041507</v>
      </c>
      <c r="B219">
        <v>0.14000000000000001</v>
      </c>
      <c r="C219">
        <v>6244</v>
      </c>
      <c r="D219" t="s">
        <v>144</v>
      </c>
      <c r="E219" t="s">
        <v>54</v>
      </c>
      <c r="F219" t="s">
        <v>54</v>
      </c>
      <c r="G219">
        <v>3</v>
      </c>
      <c r="H219" t="s">
        <v>55</v>
      </c>
      <c r="I219">
        <v>89200</v>
      </c>
      <c r="J219">
        <v>31900</v>
      </c>
      <c r="K219">
        <v>0.14000000000000001</v>
      </c>
      <c r="L219">
        <f>IF(Wapato_Inventory[[#This Row],[parcel_acres]]-Wapato_Inventory[[#This Row],[non_valued_acres]] =0,0,LN(Wapato_Inventory[[#This Row],[parcel_acres]]-Wapato_Inventory[[#This Row],[non_valued_acres]]))</f>
        <v>-1.9661128563728327</v>
      </c>
      <c r="M219">
        <v>0</v>
      </c>
      <c r="N219">
        <v>0</v>
      </c>
      <c r="O219">
        <v>0</v>
      </c>
      <c r="P219">
        <v>27904.037</v>
      </c>
      <c r="Q219">
        <v>74398</v>
      </c>
      <c r="R219" s="3">
        <f>(Wapato_Inventory[[#This Row],[ln_acres]]*Wapato_Inventory[[#This Row],[coeff]])+Wapato_Inventory[[#This Row],[const]]</f>
        <v>19535.514109596792</v>
      </c>
      <c r="S219" t="s">
        <v>66</v>
      </c>
      <c r="T219">
        <v>1</v>
      </c>
      <c r="U219" t="s">
        <v>71</v>
      </c>
      <c r="V219" t="s">
        <v>73</v>
      </c>
      <c r="W219">
        <v>0</v>
      </c>
      <c r="X219">
        <v>0</v>
      </c>
      <c r="Y219">
        <v>57</v>
      </c>
      <c r="Z219">
        <v>103</v>
      </c>
      <c r="AA219">
        <v>110</v>
      </c>
      <c r="AB219">
        <v>1500</v>
      </c>
      <c r="AC219">
        <v>1032</v>
      </c>
      <c r="AD219">
        <v>1032</v>
      </c>
      <c r="AE219">
        <v>0</v>
      </c>
      <c r="AF219">
        <v>0</v>
      </c>
      <c r="AG219">
        <v>0</v>
      </c>
      <c r="AH219">
        <v>120</v>
      </c>
      <c r="AI219">
        <v>0</v>
      </c>
      <c r="AJ219">
        <v>0</v>
      </c>
      <c r="AK219">
        <v>0</v>
      </c>
      <c r="AL219">
        <v>0</v>
      </c>
      <c r="AM219">
        <v>90</v>
      </c>
      <c r="AN219">
        <v>0</v>
      </c>
      <c r="AO219">
        <v>65</v>
      </c>
      <c r="AP219">
        <v>5</v>
      </c>
      <c r="AQ219">
        <v>0</v>
      </c>
      <c r="AR219">
        <v>0</v>
      </c>
      <c r="AS219" t="s">
        <v>59</v>
      </c>
      <c r="AT219">
        <v>0</v>
      </c>
      <c r="AU219" t="s">
        <v>80</v>
      </c>
      <c r="AV219" t="s">
        <v>61</v>
      </c>
      <c r="AW219">
        <v>0</v>
      </c>
      <c r="AX219">
        <v>2</v>
      </c>
      <c r="AY219">
        <v>0</v>
      </c>
      <c r="AZ219">
        <v>4700</v>
      </c>
      <c r="BA219">
        <v>100</v>
      </c>
      <c r="BB219">
        <v>100</v>
      </c>
      <c r="BC219">
        <v>100</v>
      </c>
      <c r="BD219">
        <v>100</v>
      </c>
      <c r="BE219">
        <v>1</v>
      </c>
      <c r="BF219">
        <v>15000</v>
      </c>
      <c r="BG219">
        <v>1000</v>
      </c>
      <c r="BH219" s="7">
        <f>ROUND(Wapato_Inventory[[#This Row],[detatched_value]]*Lookups!$B$22*Lookups!$H$48,-2)</f>
        <v>4200</v>
      </c>
      <c r="BI219" s="7">
        <f>ROUND(((Wapato_Inventory[[#This Row],[land_extract]]*Lookups!$B$3) +(Lookups!$B$2*0.5))*Lookups!$H$48,-2)</f>
        <v>53000</v>
      </c>
      <c r="BJ219" s="7">
        <f>IF(Wapato_Inventory[[#This Row],[bldg_style]]="",0,Lookups!$B$2*0.5)</f>
        <v>53765.27</v>
      </c>
      <c r="BK219" s="7">
        <f>_xlfn.IFNA(VLOOKUP(Wapato_Inventory[[#This Row],[quality]],Lookups!$H$2:$J$14,3,FALSE),0)</f>
        <v>28034</v>
      </c>
      <c r="BL219" s="7">
        <f>_xlfn.IFNA(VLOOKUP(Wapato_Inventory[[#This Row],[condition]],Lookups!$H$17:$J$24,3,FALSE),0)</f>
        <v>16276</v>
      </c>
      <c r="BM219" s="7">
        <f>Wapato_Inventory[[#This Row],[Age]]*Lookups!$B$16</f>
        <v>-38179.597099999999</v>
      </c>
      <c r="BN219" s="7">
        <f>Wapato_Inventory[[#This Row],[Main Floor]]*Lookups!$B$17</f>
        <v>43138.362648000002</v>
      </c>
      <c r="BO219" s="7">
        <f>Wapato_Inventory[[#This Row],[Upper Floor]]*Lookups!$B$18</f>
        <v>0</v>
      </c>
      <c r="BP219" s="7">
        <f>Wapato_Inventory[[#This Row],[Fin BSMT]]*Lookups!$B$19</f>
        <v>0</v>
      </c>
      <c r="BQ219" s="7">
        <f>(Wapato_Inventory[[#This Row],[att_gar]]+Wapato_Inventory[[#This Row],[blt_gar]])*Lookups!$B$20</f>
        <v>0</v>
      </c>
      <c r="BR219" s="7">
        <f>Wapato_Inventory[[#This Row],[Patio]]*Lookups!$B$21</f>
        <v>3899.1581100000003</v>
      </c>
      <c r="BS219" s="7">
        <f>SUM(Wapato_Inventory[[#This Row],[intercept]:[patio_value]])*Wapato_Inventory[[#This Row],[res_pct]]</f>
        <v>106933.19365799999</v>
      </c>
      <c r="BT219" s="7">
        <f>Wapato_Inventory[[#This Row],[land_value]]</f>
        <v>53000</v>
      </c>
      <c r="BU219" s="2">
        <f>_xlfn.IFNA(VLOOKUP(Wapato_Inventory[[#This Row],[quality]],Lookups!$A$28:$C$37,3,FALSE),1)</f>
        <v>0.96265813922927435</v>
      </c>
      <c r="BV219" s="2">
        <f>_xlfn.IFNA(VLOOKUP(Wapato_Inventory[[#This Row],[condition]],Lookups!$A$41:$C$48,3,FALSE),1)</f>
        <v>0.93399385491337139</v>
      </c>
      <c r="BW219" s="2">
        <f>IF(Wapato_Inventory[[#This Row],[decade]]="",1,_xlfn.IFNA(VLOOKUP(Wapato_Inventory[[#This Row],[decade]],Lookups!$F$28:$H$45,3,FALSE),1))</f>
        <v>0.93664589651353292</v>
      </c>
      <c r="BX219" s="2">
        <f>_xlfn.IFNA(VLOOKUP(Wapato_Inventory[[#This Row],[living_area_range]],Lookups!$K$28:$M$37,3,FALSE),1)</f>
        <v>1.0061411172456287</v>
      </c>
      <c r="BY219" s="2">
        <f>AVERAGE(Wapato_Inventory[[#This Row],[qual_adj]:[range_adj]])</f>
        <v>0.95985975197545192</v>
      </c>
      <c r="BZ219" s="7">
        <f>(Wapato_Inventory[[#This Row],[sum_land]]-IF(Wapato_Inventory[[#This Row],[no_utilities]]=1,12000,0))/IF(Wapato_Inventory[[#This Row],[unbuildable]]=1,2,1)</f>
        <v>53000</v>
      </c>
      <c r="CA219" s="7">
        <f>Wapato_Inventory[[#This Row],[pre_res]]*Wapato_Inventory[[#This Row],[overall_adj]]</f>
        <v>102640.86874251084</v>
      </c>
      <c r="CB21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19" s="3">
        <f>IF(ROUND(Wapato_Inventory[[#This Row],[adj_res]]*Lookups!$H$48,-2)&lt;Wapato_Inventory[[#This Row],[min_res]],Wapato_Inventory[[#This Row],[min_res]],ROUND(Wapato_Inventory[[#This Row],[adj_res]]*Lookups!$H$48,-2))</f>
        <v>97500</v>
      </c>
      <c r="CD219" s="3">
        <f>ROUND(Wapato_Inventory[[#This Row],[det_value]]*Lookups!$H$48,-2)</f>
        <v>4000</v>
      </c>
      <c r="CE219" s="3">
        <f>Wapato_Inventory[[#This Row],[final_res]]+Wapato_Inventory[[#This Row],[final_det]]</f>
        <v>101500</v>
      </c>
      <c r="CF219" s="3">
        <f>Wapato_Inventory[[#This Row],[crop_value]]+Wapato_Inventory[[#This Row],[final_land]]+Wapato_Inventory[[#This Row],[final_imp]]</f>
        <v>151900</v>
      </c>
      <c r="CH219" t="str">
        <f t="shared" si="3"/>
        <v>update valuation set market_land =50400, market_bldg=101500, market_total =151900, market_mdno =405, market_date ='9/10/2023' where link_id = (select link_id from parcel where parcel_year = '2024' and parcel_id = '19111041507');</v>
      </c>
    </row>
    <row r="220" spans="1:86" x14ac:dyDescent="0.25">
      <c r="A220">
        <v>19111041509</v>
      </c>
      <c r="B220">
        <v>0.22</v>
      </c>
      <c r="C220">
        <v>9365</v>
      </c>
      <c r="D220" t="s">
        <v>144</v>
      </c>
      <c r="E220" t="s">
        <v>54</v>
      </c>
      <c r="F220" t="s">
        <v>54</v>
      </c>
      <c r="G220">
        <v>3</v>
      </c>
      <c r="H220" t="s">
        <v>55</v>
      </c>
      <c r="I220">
        <v>69500</v>
      </c>
      <c r="J220">
        <v>35100</v>
      </c>
      <c r="K220">
        <v>0.22</v>
      </c>
      <c r="L220">
        <f>IF(Wapato_Inventory[[#This Row],[parcel_acres]]-Wapato_Inventory[[#This Row],[non_valued_acres]] =0,0,LN(Wapato_Inventory[[#This Row],[parcel_acres]]-Wapato_Inventory[[#This Row],[non_valued_acres]]))</f>
        <v>-1.5141277326297755</v>
      </c>
      <c r="M220">
        <v>0</v>
      </c>
      <c r="N220">
        <v>0</v>
      </c>
      <c r="O220">
        <v>0</v>
      </c>
      <c r="P220">
        <v>27904.037</v>
      </c>
      <c r="Q220">
        <v>74398</v>
      </c>
      <c r="R220" s="3">
        <f>(Wapato_Inventory[[#This Row],[ln_acres]]*Wapato_Inventory[[#This Row],[coeff]])+Wapato_Inventory[[#This Row],[const]]</f>
        <v>32147.723725972639</v>
      </c>
      <c r="S220" t="s">
        <v>66</v>
      </c>
      <c r="T220">
        <v>1</v>
      </c>
      <c r="U220" t="s">
        <v>71</v>
      </c>
      <c r="V220" t="s">
        <v>73</v>
      </c>
      <c r="W220">
        <v>0</v>
      </c>
      <c r="X220">
        <v>0</v>
      </c>
      <c r="Y220">
        <v>57</v>
      </c>
      <c r="Z220">
        <v>103</v>
      </c>
      <c r="AA220">
        <v>110</v>
      </c>
      <c r="AB220">
        <v>1000</v>
      </c>
      <c r="AC220">
        <v>968</v>
      </c>
      <c r="AD220">
        <v>968</v>
      </c>
      <c r="AE220">
        <v>0</v>
      </c>
      <c r="AF220">
        <v>0</v>
      </c>
      <c r="AG220">
        <v>0</v>
      </c>
      <c r="AH220">
        <v>100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5</v>
      </c>
      <c r="AQ220">
        <v>0</v>
      </c>
      <c r="AR220">
        <v>0</v>
      </c>
      <c r="AS220" t="s">
        <v>82</v>
      </c>
      <c r="AT220">
        <v>1</v>
      </c>
      <c r="AU220" t="s">
        <v>76</v>
      </c>
      <c r="AV220" t="s">
        <v>65</v>
      </c>
      <c r="AW220">
        <v>0</v>
      </c>
      <c r="AX220">
        <v>2</v>
      </c>
      <c r="AY220">
        <v>0</v>
      </c>
      <c r="AZ220">
        <v>13600</v>
      </c>
      <c r="BA220">
        <v>100</v>
      </c>
      <c r="BB220">
        <v>100</v>
      </c>
      <c r="BC220">
        <v>100</v>
      </c>
      <c r="BD220">
        <v>100</v>
      </c>
      <c r="BE220">
        <v>1</v>
      </c>
      <c r="BF220">
        <v>15000</v>
      </c>
      <c r="BG220">
        <v>1000</v>
      </c>
      <c r="BH220" s="7">
        <f>ROUND(Wapato_Inventory[[#This Row],[detatched_value]]*Lookups!$B$22*Lookups!$H$48,-2)</f>
        <v>12100</v>
      </c>
      <c r="BI220" s="7">
        <f>ROUND(((Wapato_Inventory[[#This Row],[land_extract]]*Lookups!$B$3) +(Lookups!$B$2*0.5))*Lookups!$H$48,-2)</f>
        <v>54200</v>
      </c>
      <c r="BJ220" s="7">
        <f>IF(Wapato_Inventory[[#This Row],[bldg_style]]="",0,Lookups!$B$2*0.5)</f>
        <v>53765.27</v>
      </c>
      <c r="BK220" s="7">
        <f>_xlfn.IFNA(VLOOKUP(Wapato_Inventory[[#This Row],[quality]],Lookups!$H$2:$J$14,3,FALSE),0)</f>
        <v>28034</v>
      </c>
      <c r="BL220" s="7">
        <f>_xlfn.IFNA(VLOOKUP(Wapato_Inventory[[#This Row],[condition]],Lookups!$H$17:$J$24,3,FALSE),0)</f>
        <v>16276</v>
      </c>
      <c r="BM220" s="7">
        <f>Wapato_Inventory[[#This Row],[Age]]*Lookups!$B$16</f>
        <v>-38179.597099999999</v>
      </c>
      <c r="BN220" s="7">
        <f>Wapato_Inventory[[#This Row],[Main Floor]]*Lookups!$B$17</f>
        <v>40463.115352000001</v>
      </c>
      <c r="BO220" s="7">
        <f>Wapato_Inventory[[#This Row],[Upper Floor]]*Lookups!$B$18</f>
        <v>0</v>
      </c>
      <c r="BP220" s="7">
        <f>Wapato_Inventory[[#This Row],[Fin BSMT]]*Lookups!$B$19</f>
        <v>0</v>
      </c>
      <c r="BQ220" s="7">
        <f>(Wapato_Inventory[[#This Row],[att_gar]]+Wapato_Inventory[[#This Row],[blt_gar]])*Lookups!$B$20</f>
        <v>0</v>
      </c>
      <c r="BR220" s="7">
        <f>Wapato_Inventory[[#This Row],[Patio]]*Lookups!$B$21</f>
        <v>0</v>
      </c>
      <c r="BS220" s="7">
        <f>SUM(Wapato_Inventory[[#This Row],[intercept]:[patio_value]])*Wapato_Inventory[[#This Row],[res_pct]]</f>
        <v>100358.788252</v>
      </c>
      <c r="BT220" s="7">
        <f>Wapato_Inventory[[#This Row],[land_value]]</f>
        <v>54200</v>
      </c>
      <c r="BU220" s="2">
        <f>_xlfn.IFNA(VLOOKUP(Wapato_Inventory[[#This Row],[quality]],Lookups!$A$28:$C$37,3,FALSE),1)</f>
        <v>0.96265813922927435</v>
      </c>
      <c r="BV220" s="2">
        <f>_xlfn.IFNA(VLOOKUP(Wapato_Inventory[[#This Row],[condition]],Lookups!$A$41:$C$48,3,FALSE),1)</f>
        <v>0.93399385491337139</v>
      </c>
      <c r="BW220" s="2">
        <f>IF(Wapato_Inventory[[#This Row],[decade]]="",1,_xlfn.IFNA(VLOOKUP(Wapato_Inventory[[#This Row],[decade]],Lookups!$F$28:$H$45,3,FALSE),1))</f>
        <v>0.93664589651353292</v>
      </c>
      <c r="BX220" s="2">
        <f>_xlfn.IFNA(VLOOKUP(Wapato_Inventory[[#This Row],[living_area_range]],Lookups!$K$28:$M$37,3,FALSE),1)</f>
        <v>0.99022994770196116</v>
      </c>
      <c r="BY220" s="2">
        <f>AVERAGE(Wapato_Inventory[[#This Row],[qual_adj]:[range_adj]])</f>
        <v>0.95588195958953504</v>
      </c>
      <c r="BZ220" s="7">
        <f>(Wapato_Inventory[[#This Row],[sum_land]]-IF(Wapato_Inventory[[#This Row],[no_utilities]]=1,12000,0))/IF(Wapato_Inventory[[#This Row],[unbuildable]]=1,2,1)</f>
        <v>54200</v>
      </c>
      <c r="CA220" s="7">
        <f>Wapato_Inventory[[#This Row],[pre_res]]*Wapato_Inventory[[#This Row],[overall_adj]]</f>
        <v>95931.155176352971</v>
      </c>
      <c r="CB220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220" s="3">
        <f>IF(ROUND(Wapato_Inventory[[#This Row],[adj_res]]*Lookups!$H$48,-2)&lt;Wapato_Inventory[[#This Row],[min_res]],Wapato_Inventory[[#This Row],[min_res]],ROUND(Wapato_Inventory[[#This Row],[adj_res]]*Lookups!$H$48,-2))</f>
        <v>91100</v>
      </c>
      <c r="CD220" s="3">
        <f>ROUND(Wapato_Inventory[[#This Row],[det_value]]*Lookups!$H$48,-2)</f>
        <v>11500</v>
      </c>
      <c r="CE220" s="3">
        <f>Wapato_Inventory[[#This Row],[final_res]]+Wapato_Inventory[[#This Row],[final_det]]</f>
        <v>102600</v>
      </c>
      <c r="CF220" s="3">
        <f>Wapato_Inventory[[#This Row],[crop_value]]+Wapato_Inventory[[#This Row],[final_land]]+Wapato_Inventory[[#This Row],[final_imp]]</f>
        <v>154100</v>
      </c>
      <c r="CH220" t="str">
        <f t="shared" si="3"/>
        <v>update valuation set market_land =51500, market_bldg=102600, market_total =154100, market_mdno =405, market_date ='9/10/2023' where link_id = (select link_id from parcel where parcel_year = '2024' and parcel_id = '19111041509');</v>
      </c>
    </row>
    <row r="221" spans="1:86" x14ac:dyDescent="0.25">
      <c r="A221">
        <v>19111041510</v>
      </c>
      <c r="B221">
        <v>0.22</v>
      </c>
      <c r="C221">
        <v>9365</v>
      </c>
      <c r="D221" t="s">
        <v>144</v>
      </c>
      <c r="E221" t="s">
        <v>54</v>
      </c>
      <c r="F221" t="s">
        <v>54</v>
      </c>
      <c r="G221">
        <v>3</v>
      </c>
      <c r="H221" t="s">
        <v>55</v>
      </c>
      <c r="I221">
        <v>68300</v>
      </c>
      <c r="J221">
        <v>35100</v>
      </c>
      <c r="K221">
        <v>0.22</v>
      </c>
      <c r="L221">
        <f>IF(Wapato_Inventory[[#This Row],[parcel_acres]]-Wapato_Inventory[[#This Row],[non_valued_acres]] =0,0,LN(Wapato_Inventory[[#This Row],[parcel_acres]]-Wapato_Inventory[[#This Row],[non_valued_acres]]))</f>
        <v>-1.5141277326297755</v>
      </c>
      <c r="M221">
        <v>0</v>
      </c>
      <c r="N221">
        <v>0</v>
      </c>
      <c r="O221">
        <v>0</v>
      </c>
      <c r="P221">
        <v>27904.037</v>
      </c>
      <c r="Q221">
        <v>74398</v>
      </c>
      <c r="R221" s="3">
        <f>(Wapato_Inventory[[#This Row],[ln_acres]]*Wapato_Inventory[[#This Row],[coeff]])+Wapato_Inventory[[#This Row],[const]]</f>
        <v>32147.723725972639</v>
      </c>
      <c r="S221" t="s">
        <v>66</v>
      </c>
      <c r="T221">
        <v>1</v>
      </c>
      <c r="U221" t="s">
        <v>71</v>
      </c>
      <c r="V221" t="s">
        <v>69</v>
      </c>
      <c r="W221">
        <v>0</v>
      </c>
      <c r="X221">
        <v>0</v>
      </c>
      <c r="Y221">
        <v>57</v>
      </c>
      <c r="Z221">
        <v>103</v>
      </c>
      <c r="AA221">
        <v>110</v>
      </c>
      <c r="AB221">
        <v>1000</v>
      </c>
      <c r="AC221">
        <v>704</v>
      </c>
      <c r="AD221">
        <v>704</v>
      </c>
      <c r="AE221">
        <v>0</v>
      </c>
      <c r="AF221">
        <v>0</v>
      </c>
      <c r="AG221">
        <v>0</v>
      </c>
      <c r="AH221">
        <v>100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64</v>
      </c>
      <c r="AO221">
        <v>0</v>
      </c>
      <c r="AP221">
        <v>5</v>
      </c>
      <c r="AQ221">
        <v>1</v>
      </c>
      <c r="AR221">
        <v>0</v>
      </c>
      <c r="AS221" t="s">
        <v>82</v>
      </c>
      <c r="AT221">
        <v>0</v>
      </c>
      <c r="AU221" t="s">
        <v>80</v>
      </c>
      <c r="AV221" t="s">
        <v>65</v>
      </c>
      <c r="AW221">
        <v>0</v>
      </c>
      <c r="AX221">
        <v>2</v>
      </c>
      <c r="AY221">
        <v>0</v>
      </c>
      <c r="AZ221">
        <v>7200</v>
      </c>
      <c r="BA221">
        <v>100</v>
      </c>
      <c r="BB221">
        <v>100</v>
      </c>
      <c r="BC221">
        <v>100</v>
      </c>
      <c r="BD221">
        <v>100</v>
      </c>
      <c r="BE221">
        <v>1</v>
      </c>
      <c r="BF221">
        <v>15000</v>
      </c>
      <c r="BG221">
        <v>1000</v>
      </c>
      <c r="BH221" s="7">
        <f>ROUND(Wapato_Inventory[[#This Row],[detatched_value]]*Lookups!$B$22*Lookups!$H$48,-2)</f>
        <v>6400</v>
      </c>
      <c r="BI221" s="7">
        <f>ROUND(((Wapato_Inventory[[#This Row],[land_extract]]*Lookups!$B$3) +(Lookups!$B$2*0.5))*Lookups!$H$48,-2)</f>
        <v>54200</v>
      </c>
      <c r="BJ221" s="7">
        <f>IF(Wapato_Inventory[[#This Row],[bldg_style]]="",0,Lookups!$B$2*0.5)</f>
        <v>53765.27</v>
      </c>
      <c r="BK221" s="7">
        <f>_xlfn.IFNA(VLOOKUP(Wapato_Inventory[[#This Row],[quality]],Lookups!$H$2:$J$14,3,FALSE),0)</f>
        <v>28034</v>
      </c>
      <c r="BL221" s="7">
        <f>_xlfn.IFNA(VLOOKUP(Wapato_Inventory[[#This Row],[condition]],Lookups!$H$17:$J$24,3,FALSE),0)</f>
        <v>74543</v>
      </c>
      <c r="BM221" s="7">
        <f>Wapato_Inventory[[#This Row],[Age]]*Lookups!$B$16</f>
        <v>-38179.597099999999</v>
      </c>
      <c r="BN221" s="7">
        <f>Wapato_Inventory[[#This Row],[Main Floor]]*Lookups!$B$17</f>
        <v>29427.720256000001</v>
      </c>
      <c r="BO221" s="7">
        <f>Wapato_Inventory[[#This Row],[Upper Floor]]*Lookups!$B$18</f>
        <v>0</v>
      </c>
      <c r="BP221" s="7">
        <f>Wapato_Inventory[[#This Row],[Fin BSMT]]*Lookups!$B$19</f>
        <v>0</v>
      </c>
      <c r="BQ221" s="7">
        <f>(Wapato_Inventory[[#This Row],[att_gar]]+Wapato_Inventory[[#This Row],[blt_gar]])*Lookups!$B$20</f>
        <v>0</v>
      </c>
      <c r="BR221" s="7">
        <f>Wapato_Inventory[[#This Row],[Patio]]*Lookups!$B$21</f>
        <v>0</v>
      </c>
      <c r="BS221" s="7">
        <f>SUM(Wapato_Inventory[[#This Row],[intercept]:[patio_value]])*Wapato_Inventory[[#This Row],[res_pct]]</f>
        <v>147590.39315600001</v>
      </c>
      <c r="BT221" s="7">
        <f>Wapato_Inventory[[#This Row],[land_value]]</f>
        <v>54200</v>
      </c>
      <c r="BU221" s="2">
        <f>_xlfn.IFNA(VLOOKUP(Wapato_Inventory[[#This Row],[quality]],Lookups!$A$28:$C$37,3,FALSE),1)</f>
        <v>0.96265813922927435</v>
      </c>
      <c r="BV221" s="2">
        <f>_xlfn.IFNA(VLOOKUP(Wapato_Inventory[[#This Row],[condition]],Lookups!$A$41:$C$48,3,FALSE),1)</f>
        <v>0.98442438223270734</v>
      </c>
      <c r="BW221" s="2">
        <f>IF(Wapato_Inventory[[#This Row],[decade]]="",1,_xlfn.IFNA(VLOOKUP(Wapato_Inventory[[#This Row],[decade]],Lookups!$F$28:$H$45,3,FALSE),1))</f>
        <v>0.93664589651353292</v>
      </c>
      <c r="BX221" s="2">
        <f>_xlfn.IFNA(VLOOKUP(Wapato_Inventory[[#This Row],[living_area_range]],Lookups!$K$28:$M$37,3,FALSE),1)</f>
        <v>0.99022994770196116</v>
      </c>
      <c r="BY221" s="2">
        <f>AVERAGE(Wapato_Inventory[[#This Row],[qual_adj]:[range_adj]])</f>
        <v>0.96848959141936886</v>
      </c>
      <c r="BZ221" s="7">
        <f>(Wapato_Inventory[[#This Row],[sum_land]]-IF(Wapato_Inventory[[#This Row],[no_utilities]]=1,12000,0))/IF(Wapato_Inventory[[#This Row],[unbuildable]]=1,2,1)</f>
        <v>54200</v>
      </c>
      <c r="CA221" s="7">
        <f>Wapato_Inventory[[#This Row],[pre_res]]*Wapato_Inventory[[#This Row],[overall_adj]]</f>
        <v>142939.75956507845</v>
      </c>
      <c r="CB221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221" s="3">
        <f>IF(ROUND(Wapato_Inventory[[#This Row],[adj_res]]*Lookups!$H$48,-2)&lt;Wapato_Inventory[[#This Row],[min_res]],Wapato_Inventory[[#This Row],[min_res]],ROUND(Wapato_Inventory[[#This Row],[adj_res]]*Lookups!$H$48,-2))</f>
        <v>135800</v>
      </c>
      <c r="CD221" s="3">
        <f>ROUND(Wapato_Inventory[[#This Row],[det_value]]*Lookups!$H$48,-2)</f>
        <v>6100</v>
      </c>
      <c r="CE221" s="3">
        <f>Wapato_Inventory[[#This Row],[final_res]]+Wapato_Inventory[[#This Row],[final_det]]</f>
        <v>141900</v>
      </c>
      <c r="CF221" s="3">
        <f>Wapato_Inventory[[#This Row],[crop_value]]+Wapato_Inventory[[#This Row],[final_land]]+Wapato_Inventory[[#This Row],[final_imp]]</f>
        <v>193400</v>
      </c>
      <c r="CH221" t="str">
        <f t="shared" si="3"/>
        <v>update valuation set market_land =51500, market_bldg=141900, market_total =193400, market_mdno =405, market_date ='9/10/2023' where link_id = (select link_id from parcel where parcel_year = '2024' and parcel_id = '19111041510');</v>
      </c>
    </row>
    <row r="222" spans="1:86" x14ac:dyDescent="0.25">
      <c r="A222">
        <v>19111041511</v>
      </c>
      <c r="B222">
        <v>0.14000000000000001</v>
      </c>
      <c r="C222">
        <v>6244</v>
      </c>
      <c r="D222" t="s">
        <v>144</v>
      </c>
      <c r="E222" t="s">
        <v>54</v>
      </c>
      <c r="F222" t="s">
        <v>54</v>
      </c>
      <c r="G222">
        <v>3</v>
      </c>
      <c r="H222" t="s">
        <v>55</v>
      </c>
      <c r="I222">
        <v>197700</v>
      </c>
      <c r="J222">
        <v>31900</v>
      </c>
      <c r="K222">
        <v>0.14000000000000001</v>
      </c>
      <c r="L222">
        <f>IF(Wapato_Inventory[[#This Row],[parcel_acres]]-Wapato_Inventory[[#This Row],[non_valued_acres]] =0,0,LN(Wapato_Inventory[[#This Row],[parcel_acres]]-Wapato_Inventory[[#This Row],[non_valued_acres]]))</f>
        <v>-1.9661128563728327</v>
      </c>
      <c r="M222">
        <v>0</v>
      </c>
      <c r="N222">
        <v>0</v>
      </c>
      <c r="O222">
        <v>0</v>
      </c>
      <c r="P222">
        <v>27904.037</v>
      </c>
      <c r="Q222">
        <v>74398</v>
      </c>
      <c r="R222" s="3">
        <f>(Wapato_Inventory[[#This Row],[ln_acres]]*Wapato_Inventory[[#This Row],[coeff]])+Wapato_Inventory[[#This Row],[const]]</f>
        <v>19535.514109596792</v>
      </c>
      <c r="S222" t="s">
        <v>66</v>
      </c>
      <c r="T222">
        <v>1</v>
      </c>
      <c r="U222" t="s">
        <v>78</v>
      </c>
      <c r="V222" t="s">
        <v>68</v>
      </c>
      <c r="W222">
        <v>0</v>
      </c>
      <c r="X222">
        <v>0</v>
      </c>
      <c r="Y222">
        <v>57</v>
      </c>
      <c r="Z222">
        <v>103</v>
      </c>
      <c r="AA222">
        <v>110</v>
      </c>
      <c r="AB222">
        <v>1500</v>
      </c>
      <c r="AC222">
        <v>1220</v>
      </c>
      <c r="AD222">
        <v>1220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96</v>
      </c>
      <c r="AP222">
        <v>5</v>
      </c>
      <c r="AQ222">
        <v>0</v>
      </c>
      <c r="AR222">
        <v>0</v>
      </c>
      <c r="AS222" t="s">
        <v>82</v>
      </c>
      <c r="AT222">
        <v>0</v>
      </c>
      <c r="AU222" t="s">
        <v>80</v>
      </c>
      <c r="AV222" t="s">
        <v>65</v>
      </c>
      <c r="AW222">
        <v>0</v>
      </c>
      <c r="AX222">
        <v>3</v>
      </c>
      <c r="AY222">
        <v>0</v>
      </c>
      <c r="AZ222">
        <v>64100</v>
      </c>
      <c r="BA222">
        <v>100</v>
      </c>
      <c r="BB222">
        <v>100</v>
      </c>
      <c r="BC222">
        <v>100</v>
      </c>
      <c r="BD222">
        <v>100</v>
      </c>
      <c r="BE222">
        <v>1</v>
      </c>
      <c r="BF222">
        <v>15000</v>
      </c>
      <c r="BG222">
        <v>1000</v>
      </c>
      <c r="BH222" s="7">
        <f>ROUND(Wapato_Inventory[[#This Row],[detatched_value]]*Lookups!$B$22*Lookups!$H$48,-2)</f>
        <v>57300</v>
      </c>
      <c r="BI222" s="7">
        <f>ROUND(((Wapato_Inventory[[#This Row],[land_extract]]*Lookups!$B$3) +(Lookups!$B$2*0.5))*Lookups!$H$48,-2)</f>
        <v>53000</v>
      </c>
      <c r="BJ222" s="7">
        <f>IF(Wapato_Inventory[[#This Row],[bldg_style]]="",0,Lookups!$B$2*0.5)</f>
        <v>53765.27</v>
      </c>
      <c r="BK222" s="7">
        <f>_xlfn.IFNA(VLOOKUP(Wapato_Inventory[[#This Row],[quality]],Lookups!$H$2:$J$14,3,FALSE),0)</f>
        <v>23424</v>
      </c>
      <c r="BL222" s="7">
        <f>_xlfn.IFNA(VLOOKUP(Wapato_Inventory[[#This Row],[condition]],Lookups!$H$17:$J$24,3,FALSE),0)</f>
        <v>52231</v>
      </c>
      <c r="BM222" s="7">
        <f>Wapato_Inventory[[#This Row],[Age]]*Lookups!$B$16</f>
        <v>-38179.597099999999</v>
      </c>
      <c r="BN222" s="7">
        <f>Wapato_Inventory[[#This Row],[Main Floor]]*Lookups!$B$17</f>
        <v>50996.901579999998</v>
      </c>
      <c r="BO222" s="7">
        <f>Wapato_Inventory[[#This Row],[Upper Floor]]*Lookups!$B$18</f>
        <v>0</v>
      </c>
      <c r="BP222" s="7">
        <f>Wapato_Inventory[[#This Row],[Fin BSMT]]*Lookups!$B$19</f>
        <v>0</v>
      </c>
      <c r="BQ222" s="7">
        <f>(Wapato_Inventory[[#This Row],[att_gar]]+Wapato_Inventory[[#This Row],[blt_gar]])*Lookups!$B$20</f>
        <v>0</v>
      </c>
      <c r="BR222" s="7">
        <f>Wapato_Inventory[[#This Row],[Patio]]*Lookups!$B$21</f>
        <v>0</v>
      </c>
      <c r="BS222" s="7">
        <f>SUM(Wapato_Inventory[[#This Row],[intercept]:[patio_value]])*Wapato_Inventory[[#This Row],[res_pct]]</f>
        <v>142237.57447999998</v>
      </c>
      <c r="BT222" s="7">
        <f>Wapato_Inventory[[#This Row],[land_value]]</f>
        <v>53000</v>
      </c>
      <c r="BU222" s="2">
        <f>_xlfn.IFNA(VLOOKUP(Wapato_Inventory[[#This Row],[quality]],Lookups!$A$28:$C$37,3,FALSE),1)</f>
        <v>1.0091195562373767</v>
      </c>
      <c r="BV222" s="2">
        <f>_xlfn.IFNA(VLOOKUP(Wapato_Inventory[[#This Row],[condition]],Lookups!$A$41:$C$48,3,FALSE),1)</f>
        <v>0.9832333997567807</v>
      </c>
      <c r="BW222" s="2">
        <f>IF(Wapato_Inventory[[#This Row],[decade]]="",1,_xlfn.IFNA(VLOOKUP(Wapato_Inventory[[#This Row],[decade]],Lookups!$F$28:$H$45,3,FALSE),1))</f>
        <v>0.93664589651353292</v>
      </c>
      <c r="BX222" s="2">
        <f>_xlfn.IFNA(VLOOKUP(Wapato_Inventory[[#This Row],[living_area_range]],Lookups!$K$28:$M$37,3,FALSE),1)</f>
        <v>1.0061411172456287</v>
      </c>
      <c r="BY222" s="2">
        <f>AVERAGE(Wapato_Inventory[[#This Row],[qual_adj]:[range_adj]])</f>
        <v>0.98378499243832973</v>
      </c>
      <c r="BZ222" s="7">
        <f>(Wapato_Inventory[[#This Row],[sum_land]]-IF(Wapato_Inventory[[#This Row],[no_utilities]]=1,12000,0))/IF(Wapato_Inventory[[#This Row],[unbuildable]]=1,2,1)</f>
        <v>53000</v>
      </c>
      <c r="CA222" s="7">
        <f>Wapato_Inventory[[#This Row],[pre_res]]*Wapato_Inventory[[#This Row],[overall_adj]]</f>
        <v>139931.19113425314</v>
      </c>
      <c r="CB22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22" s="3">
        <f>IF(ROUND(Wapato_Inventory[[#This Row],[adj_res]]*Lookups!$H$48,-2)&lt;Wapato_Inventory[[#This Row],[min_res]],Wapato_Inventory[[#This Row],[min_res]],ROUND(Wapato_Inventory[[#This Row],[adj_res]]*Lookups!$H$48,-2))</f>
        <v>132900</v>
      </c>
      <c r="CD222" s="3">
        <f>ROUND(Wapato_Inventory[[#This Row],[det_value]]*Lookups!$H$48,-2)</f>
        <v>54400</v>
      </c>
      <c r="CE222" s="3">
        <f>Wapato_Inventory[[#This Row],[final_res]]+Wapato_Inventory[[#This Row],[final_det]]</f>
        <v>187300</v>
      </c>
      <c r="CF222" s="3">
        <f>Wapato_Inventory[[#This Row],[crop_value]]+Wapato_Inventory[[#This Row],[final_land]]+Wapato_Inventory[[#This Row],[final_imp]]</f>
        <v>237700</v>
      </c>
      <c r="CH222" t="str">
        <f t="shared" si="3"/>
        <v>update valuation set market_land =50400, market_bldg=187300, market_total =237700, market_mdno =405, market_date ='9/10/2023' where link_id = (select link_id from parcel where parcel_year = '2024' and parcel_id = '19111041511');</v>
      </c>
    </row>
    <row r="223" spans="1:86" x14ac:dyDescent="0.25">
      <c r="A223">
        <v>19111041513</v>
      </c>
      <c r="B223">
        <v>0.14000000000000001</v>
      </c>
      <c r="C223">
        <v>6244</v>
      </c>
      <c r="D223" t="s">
        <v>144</v>
      </c>
      <c r="E223" t="s">
        <v>54</v>
      </c>
      <c r="F223" t="s">
        <v>54</v>
      </c>
      <c r="G223">
        <v>3</v>
      </c>
      <c r="H223" t="s">
        <v>55</v>
      </c>
      <c r="I223">
        <v>89300</v>
      </c>
      <c r="J223">
        <v>31900</v>
      </c>
      <c r="K223">
        <v>0.14000000000000001</v>
      </c>
      <c r="L223">
        <f>IF(Wapato_Inventory[[#This Row],[parcel_acres]]-Wapato_Inventory[[#This Row],[non_valued_acres]] =0,0,LN(Wapato_Inventory[[#This Row],[parcel_acres]]-Wapato_Inventory[[#This Row],[non_valued_acres]]))</f>
        <v>-1.9661128563728327</v>
      </c>
      <c r="M223">
        <v>0</v>
      </c>
      <c r="N223">
        <v>0</v>
      </c>
      <c r="O223">
        <v>0</v>
      </c>
      <c r="P223">
        <v>27904.037</v>
      </c>
      <c r="Q223">
        <v>74398</v>
      </c>
      <c r="R223" s="3">
        <f>(Wapato_Inventory[[#This Row],[ln_acres]]*Wapato_Inventory[[#This Row],[coeff]])+Wapato_Inventory[[#This Row],[const]]</f>
        <v>19535.514109596792</v>
      </c>
      <c r="S223" t="s">
        <v>66</v>
      </c>
      <c r="T223">
        <v>1</v>
      </c>
      <c r="U223" t="s">
        <v>71</v>
      </c>
      <c r="V223" t="s">
        <v>68</v>
      </c>
      <c r="W223">
        <v>0</v>
      </c>
      <c r="X223">
        <v>0</v>
      </c>
      <c r="Y223">
        <v>57</v>
      </c>
      <c r="Z223">
        <v>103</v>
      </c>
      <c r="AA223">
        <v>110</v>
      </c>
      <c r="AB223">
        <v>1000</v>
      </c>
      <c r="AC223">
        <v>720</v>
      </c>
      <c r="AD223">
        <v>720</v>
      </c>
      <c r="AE223">
        <v>0</v>
      </c>
      <c r="AF223">
        <v>0</v>
      </c>
      <c r="AG223">
        <v>0</v>
      </c>
      <c r="AH223">
        <v>100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5</v>
      </c>
      <c r="AQ223">
        <v>0</v>
      </c>
      <c r="AR223">
        <v>0</v>
      </c>
      <c r="AS223" t="s">
        <v>59</v>
      </c>
      <c r="AT223">
        <v>1</v>
      </c>
      <c r="AU223" t="s">
        <v>76</v>
      </c>
      <c r="AV223" t="s">
        <v>61</v>
      </c>
      <c r="AW223">
        <v>0</v>
      </c>
      <c r="AX223">
        <v>2</v>
      </c>
      <c r="AY223">
        <v>0</v>
      </c>
      <c r="AZ223">
        <v>4800</v>
      </c>
      <c r="BA223">
        <v>100</v>
      </c>
      <c r="BB223">
        <v>100</v>
      </c>
      <c r="BC223">
        <v>100</v>
      </c>
      <c r="BD223">
        <v>100</v>
      </c>
      <c r="BE223">
        <v>1</v>
      </c>
      <c r="BF223">
        <v>15000</v>
      </c>
      <c r="BG223">
        <v>1000</v>
      </c>
      <c r="BH223" s="7">
        <f>ROUND(Wapato_Inventory[[#This Row],[detatched_value]]*Lookups!$B$22*Lookups!$H$48,-2)</f>
        <v>4300</v>
      </c>
      <c r="BI223" s="7">
        <f>ROUND(((Wapato_Inventory[[#This Row],[land_extract]]*Lookups!$B$3) +(Lookups!$B$2*0.5))*Lookups!$H$48,-2)</f>
        <v>53000</v>
      </c>
      <c r="BJ223" s="7">
        <f>IF(Wapato_Inventory[[#This Row],[bldg_style]]="",0,Lookups!$B$2*0.5)</f>
        <v>53765.27</v>
      </c>
      <c r="BK223" s="7">
        <f>_xlfn.IFNA(VLOOKUP(Wapato_Inventory[[#This Row],[quality]],Lookups!$H$2:$J$14,3,FALSE),0)</f>
        <v>28034</v>
      </c>
      <c r="BL223" s="7">
        <f>_xlfn.IFNA(VLOOKUP(Wapato_Inventory[[#This Row],[condition]],Lookups!$H$17:$J$24,3,FALSE),0)</f>
        <v>52231</v>
      </c>
      <c r="BM223" s="7">
        <f>Wapato_Inventory[[#This Row],[Age]]*Lookups!$B$16</f>
        <v>-38179.597099999999</v>
      </c>
      <c r="BN223" s="7">
        <f>Wapato_Inventory[[#This Row],[Main Floor]]*Lookups!$B$17</f>
        <v>30096.532080000001</v>
      </c>
      <c r="BO223" s="7">
        <f>Wapato_Inventory[[#This Row],[Upper Floor]]*Lookups!$B$18</f>
        <v>0</v>
      </c>
      <c r="BP223" s="7">
        <f>Wapato_Inventory[[#This Row],[Fin BSMT]]*Lookups!$B$19</f>
        <v>0</v>
      </c>
      <c r="BQ223" s="7">
        <f>(Wapato_Inventory[[#This Row],[att_gar]]+Wapato_Inventory[[#This Row],[blt_gar]])*Lookups!$B$20</f>
        <v>0</v>
      </c>
      <c r="BR223" s="7">
        <f>Wapato_Inventory[[#This Row],[Patio]]*Lookups!$B$21</f>
        <v>0</v>
      </c>
      <c r="BS223" s="7">
        <f>SUM(Wapato_Inventory[[#This Row],[intercept]:[patio_value]])*Wapato_Inventory[[#This Row],[res_pct]]</f>
        <v>125947.20497999999</v>
      </c>
      <c r="BT223" s="7">
        <f>Wapato_Inventory[[#This Row],[land_value]]</f>
        <v>53000</v>
      </c>
      <c r="BU223" s="2">
        <f>_xlfn.IFNA(VLOOKUP(Wapato_Inventory[[#This Row],[quality]],Lookups!$A$28:$C$37,3,FALSE),1)</f>
        <v>0.96265813922927435</v>
      </c>
      <c r="BV223" s="2">
        <f>_xlfn.IFNA(VLOOKUP(Wapato_Inventory[[#This Row],[condition]],Lookups!$A$41:$C$48,3,FALSE),1)</f>
        <v>0.9832333997567807</v>
      </c>
      <c r="BW223" s="2">
        <f>IF(Wapato_Inventory[[#This Row],[decade]]="",1,_xlfn.IFNA(VLOOKUP(Wapato_Inventory[[#This Row],[decade]],Lookups!$F$28:$H$45,3,FALSE),1))</f>
        <v>0.93664589651353292</v>
      </c>
      <c r="BX223" s="2">
        <f>_xlfn.IFNA(VLOOKUP(Wapato_Inventory[[#This Row],[living_area_range]],Lookups!$K$28:$M$37,3,FALSE),1)</f>
        <v>0.99022994770196116</v>
      </c>
      <c r="BY223" s="2">
        <f>AVERAGE(Wapato_Inventory[[#This Row],[qual_adj]:[range_adj]])</f>
        <v>0.9681918458003872</v>
      </c>
      <c r="BZ223" s="7">
        <f>(Wapato_Inventory[[#This Row],[sum_land]]-IF(Wapato_Inventory[[#This Row],[no_utilities]]=1,12000,0))/IF(Wapato_Inventory[[#This Row],[unbuildable]]=1,2,1)</f>
        <v>53000</v>
      </c>
      <c r="CA223" s="7">
        <f>Wapato_Inventory[[#This Row],[pre_res]]*Wapato_Inventory[[#This Row],[overall_adj]]</f>
        <v>121941.05686298592</v>
      </c>
      <c r="CB22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23" s="3">
        <f>IF(ROUND(Wapato_Inventory[[#This Row],[adj_res]]*Lookups!$H$48,-2)&lt;Wapato_Inventory[[#This Row],[min_res]],Wapato_Inventory[[#This Row],[min_res]],ROUND(Wapato_Inventory[[#This Row],[adj_res]]*Lookups!$H$48,-2))</f>
        <v>115800</v>
      </c>
      <c r="CD223" s="3">
        <f>ROUND(Wapato_Inventory[[#This Row],[det_value]]*Lookups!$H$48,-2)</f>
        <v>4100</v>
      </c>
      <c r="CE223" s="3">
        <f>Wapato_Inventory[[#This Row],[final_res]]+Wapato_Inventory[[#This Row],[final_det]]</f>
        <v>119900</v>
      </c>
      <c r="CF223" s="3">
        <f>Wapato_Inventory[[#This Row],[crop_value]]+Wapato_Inventory[[#This Row],[final_land]]+Wapato_Inventory[[#This Row],[final_imp]]</f>
        <v>170300</v>
      </c>
      <c r="CH223" t="str">
        <f t="shared" si="3"/>
        <v>update valuation set market_land =50400, market_bldg=119900, market_total =170300, market_mdno =405, market_date ='9/10/2023' where link_id = (select link_id from parcel where parcel_year = '2024' and parcel_id = '19111041513');</v>
      </c>
    </row>
    <row r="224" spans="1:86" x14ac:dyDescent="0.25">
      <c r="A224">
        <v>19111041514</v>
      </c>
      <c r="B224">
        <v>0.14000000000000001</v>
      </c>
      <c r="C224">
        <v>6244</v>
      </c>
      <c r="D224" t="s">
        <v>144</v>
      </c>
      <c r="E224" t="s">
        <v>54</v>
      </c>
      <c r="F224" t="s">
        <v>54</v>
      </c>
      <c r="G224">
        <v>3</v>
      </c>
      <c r="H224" t="s">
        <v>55</v>
      </c>
      <c r="I224">
        <v>102700</v>
      </c>
      <c r="J224">
        <v>31900</v>
      </c>
      <c r="K224">
        <v>0.14000000000000001</v>
      </c>
      <c r="L224">
        <f>IF(Wapato_Inventory[[#This Row],[parcel_acres]]-Wapato_Inventory[[#This Row],[non_valued_acres]] =0,0,LN(Wapato_Inventory[[#This Row],[parcel_acres]]-Wapato_Inventory[[#This Row],[non_valued_acres]]))</f>
        <v>-1.9661128563728327</v>
      </c>
      <c r="M224">
        <v>0</v>
      </c>
      <c r="N224">
        <v>0</v>
      </c>
      <c r="O224">
        <v>0</v>
      </c>
      <c r="P224">
        <v>27904.037</v>
      </c>
      <c r="Q224">
        <v>74398</v>
      </c>
      <c r="R224" s="3">
        <f>(Wapato_Inventory[[#This Row],[ln_acres]]*Wapato_Inventory[[#This Row],[coeff]])+Wapato_Inventory[[#This Row],[const]]</f>
        <v>19535.514109596792</v>
      </c>
      <c r="S224" t="s">
        <v>66</v>
      </c>
      <c r="T224">
        <v>1</v>
      </c>
      <c r="U224" t="s">
        <v>71</v>
      </c>
      <c r="V224" t="s">
        <v>68</v>
      </c>
      <c r="W224">
        <v>0</v>
      </c>
      <c r="X224">
        <v>0</v>
      </c>
      <c r="Y224">
        <v>57</v>
      </c>
      <c r="Z224">
        <v>103</v>
      </c>
      <c r="AA224">
        <v>110</v>
      </c>
      <c r="AB224">
        <v>1000</v>
      </c>
      <c r="AC224">
        <v>780</v>
      </c>
      <c r="AD224">
        <v>780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5</v>
      </c>
      <c r="AQ224">
        <v>0</v>
      </c>
      <c r="AR224">
        <v>0</v>
      </c>
      <c r="AS224" t="s">
        <v>59</v>
      </c>
      <c r="AT224">
        <v>0</v>
      </c>
      <c r="AU224" t="s">
        <v>80</v>
      </c>
      <c r="AV224" t="s">
        <v>61</v>
      </c>
      <c r="AW224">
        <v>0</v>
      </c>
      <c r="AX224">
        <v>1</v>
      </c>
      <c r="AY224">
        <v>0</v>
      </c>
      <c r="AZ224">
        <v>0</v>
      </c>
      <c r="BA224">
        <v>100</v>
      </c>
      <c r="BB224">
        <v>100</v>
      </c>
      <c r="BC224">
        <v>100</v>
      </c>
      <c r="BD224">
        <v>100</v>
      </c>
      <c r="BE224">
        <v>1</v>
      </c>
      <c r="BF224">
        <v>15000</v>
      </c>
      <c r="BG224">
        <v>1000</v>
      </c>
      <c r="BH224" s="7">
        <f>ROUND(Wapato_Inventory[[#This Row],[detatched_value]]*Lookups!$B$22*Lookups!$H$48,-2)</f>
        <v>0</v>
      </c>
      <c r="BI224" s="7">
        <f>ROUND(((Wapato_Inventory[[#This Row],[land_extract]]*Lookups!$B$3) +(Lookups!$B$2*0.5))*Lookups!$H$48,-2)</f>
        <v>53000</v>
      </c>
      <c r="BJ224" s="7">
        <f>IF(Wapato_Inventory[[#This Row],[bldg_style]]="",0,Lookups!$B$2*0.5)</f>
        <v>53765.27</v>
      </c>
      <c r="BK224" s="7">
        <f>_xlfn.IFNA(VLOOKUP(Wapato_Inventory[[#This Row],[quality]],Lookups!$H$2:$J$14,3,FALSE),0)</f>
        <v>28034</v>
      </c>
      <c r="BL224" s="7">
        <f>_xlfn.IFNA(VLOOKUP(Wapato_Inventory[[#This Row],[condition]],Lookups!$H$17:$J$24,3,FALSE),0)</f>
        <v>52231</v>
      </c>
      <c r="BM224" s="7">
        <f>Wapato_Inventory[[#This Row],[Age]]*Lookups!$B$16</f>
        <v>-38179.597099999999</v>
      </c>
      <c r="BN224" s="7">
        <f>Wapato_Inventory[[#This Row],[Main Floor]]*Lookups!$B$17</f>
        <v>32604.576420000001</v>
      </c>
      <c r="BO224" s="7">
        <f>Wapato_Inventory[[#This Row],[Upper Floor]]*Lookups!$B$18</f>
        <v>0</v>
      </c>
      <c r="BP224" s="7">
        <f>Wapato_Inventory[[#This Row],[Fin BSMT]]*Lookups!$B$19</f>
        <v>0</v>
      </c>
      <c r="BQ224" s="7">
        <f>(Wapato_Inventory[[#This Row],[att_gar]]+Wapato_Inventory[[#This Row],[blt_gar]])*Lookups!$B$20</f>
        <v>0</v>
      </c>
      <c r="BR224" s="7">
        <f>Wapato_Inventory[[#This Row],[Patio]]*Lookups!$B$21</f>
        <v>0</v>
      </c>
      <c r="BS224" s="7">
        <f>SUM(Wapato_Inventory[[#This Row],[intercept]:[patio_value]])*Wapato_Inventory[[#This Row],[res_pct]]</f>
        <v>128455.24931999999</v>
      </c>
      <c r="BT224" s="7">
        <f>Wapato_Inventory[[#This Row],[land_value]]</f>
        <v>53000</v>
      </c>
      <c r="BU224" s="2">
        <f>_xlfn.IFNA(VLOOKUP(Wapato_Inventory[[#This Row],[quality]],Lookups!$A$28:$C$37,3,FALSE),1)</f>
        <v>0.96265813922927435</v>
      </c>
      <c r="BV224" s="2">
        <f>_xlfn.IFNA(VLOOKUP(Wapato_Inventory[[#This Row],[condition]],Lookups!$A$41:$C$48,3,FALSE),1)</f>
        <v>0.9832333997567807</v>
      </c>
      <c r="BW224" s="2">
        <f>IF(Wapato_Inventory[[#This Row],[decade]]="",1,_xlfn.IFNA(VLOOKUP(Wapato_Inventory[[#This Row],[decade]],Lookups!$F$28:$H$45,3,FALSE),1))</f>
        <v>0.93664589651353292</v>
      </c>
      <c r="BX224" s="2">
        <f>_xlfn.IFNA(VLOOKUP(Wapato_Inventory[[#This Row],[living_area_range]],Lookups!$K$28:$M$37,3,FALSE),1)</f>
        <v>0.99022994770196116</v>
      </c>
      <c r="BY224" s="2">
        <f>AVERAGE(Wapato_Inventory[[#This Row],[qual_adj]:[range_adj]])</f>
        <v>0.9681918458003872</v>
      </c>
      <c r="BZ224" s="7">
        <f>(Wapato_Inventory[[#This Row],[sum_land]]-IF(Wapato_Inventory[[#This Row],[no_utilities]]=1,12000,0))/IF(Wapato_Inventory[[#This Row],[unbuildable]]=1,2,1)</f>
        <v>53000</v>
      </c>
      <c r="CA224" s="7">
        <f>Wapato_Inventory[[#This Row],[pre_res]]*Wapato_Inventory[[#This Row],[overall_adj]]</f>
        <v>124369.32494187972</v>
      </c>
      <c r="CB22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24" s="3">
        <f>IF(ROUND(Wapato_Inventory[[#This Row],[adj_res]]*Lookups!$H$48,-2)&lt;Wapato_Inventory[[#This Row],[min_res]],Wapato_Inventory[[#This Row],[min_res]],ROUND(Wapato_Inventory[[#This Row],[adj_res]]*Lookups!$H$48,-2))</f>
        <v>118200</v>
      </c>
      <c r="CD224" s="3">
        <f>ROUND(Wapato_Inventory[[#This Row],[det_value]]*Lookups!$H$48,-2)</f>
        <v>0</v>
      </c>
      <c r="CE224" s="3">
        <f>Wapato_Inventory[[#This Row],[final_res]]+Wapato_Inventory[[#This Row],[final_det]]</f>
        <v>118200</v>
      </c>
      <c r="CF224" s="3">
        <f>Wapato_Inventory[[#This Row],[crop_value]]+Wapato_Inventory[[#This Row],[final_land]]+Wapato_Inventory[[#This Row],[final_imp]]</f>
        <v>168600</v>
      </c>
      <c r="CH224" t="str">
        <f t="shared" si="3"/>
        <v>update valuation set market_land =50400, market_bldg=118200, market_total =168600, market_mdno =405, market_date ='9/10/2023' where link_id = (select link_id from parcel where parcel_year = '2024' and parcel_id = '19111041514');</v>
      </c>
    </row>
    <row r="225" spans="1:86" x14ac:dyDescent="0.25">
      <c r="A225">
        <v>19111041515</v>
      </c>
      <c r="B225">
        <v>0.14000000000000001</v>
      </c>
      <c r="C225">
        <v>6244</v>
      </c>
      <c r="D225" t="s">
        <v>144</v>
      </c>
      <c r="E225" t="s">
        <v>54</v>
      </c>
      <c r="F225" t="s">
        <v>54</v>
      </c>
      <c r="G225">
        <v>3</v>
      </c>
      <c r="H225" t="s">
        <v>55</v>
      </c>
      <c r="I225">
        <v>185700</v>
      </c>
      <c r="J225">
        <v>31900</v>
      </c>
      <c r="K225">
        <v>0.14000000000000001</v>
      </c>
      <c r="L225">
        <f>IF(Wapato_Inventory[[#This Row],[parcel_acres]]-Wapato_Inventory[[#This Row],[non_valued_acres]] =0,0,LN(Wapato_Inventory[[#This Row],[parcel_acres]]-Wapato_Inventory[[#This Row],[non_valued_acres]]))</f>
        <v>-1.9661128563728327</v>
      </c>
      <c r="M225">
        <v>0</v>
      </c>
      <c r="N225">
        <v>0</v>
      </c>
      <c r="O225">
        <v>0</v>
      </c>
      <c r="P225">
        <v>27904.037</v>
      </c>
      <c r="Q225">
        <v>74398</v>
      </c>
      <c r="R225" s="3">
        <f>(Wapato_Inventory[[#This Row],[ln_acres]]*Wapato_Inventory[[#This Row],[coeff]])+Wapato_Inventory[[#This Row],[const]]</f>
        <v>19535.514109596792</v>
      </c>
      <c r="S225" t="s">
        <v>66</v>
      </c>
      <c r="T225">
        <v>1</v>
      </c>
      <c r="U225" t="s">
        <v>75</v>
      </c>
      <c r="V225" t="s">
        <v>69</v>
      </c>
      <c r="W225">
        <v>0</v>
      </c>
      <c r="X225">
        <v>0</v>
      </c>
      <c r="Y225">
        <v>43</v>
      </c>
      <c r="Z225">
        <v>98</v>
      </c>
      <c r="AA225">
        <v>100</v>
      </c>
      <c r="AB225">
        <v>1000</v>
      </c>
      <c r="AC225">
        <v>988</v>
      </c>
      <c r="AD225">
        <v>988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36</v>
      </c>
      <c r="AO225">
        <v>0</v>
      </c>
      <c r="AP225">
        <v>5</v>
      </c>
      <c r="AQ225">
        <v>0</v>
      </c>
      <c r="AR225">
        <v>0</v>
      </c>
      <c r="AS225" t="s">
        <v>59</v>
      </c>
      <c r="AT225">
        <v>1</v>
      </c>
      <c r="AU225" t="s">
        <v>64</v>
      </c>
      <c r="AV225" t="s">
        <v>61</v>
      </c>
      <c r="AW225">
        <v>0</v>
      </c>
      <c r="AX225">
        <v>2</v>
      </c>
      <c r="AY225">
        <v>0</v>
      </c>
      <c r="AZ225">
        <v>6700</v>
      </c>
      <c r="BA225">
        <v>100</v>
      </c>
      <c r="BB225">
        <v>100</v>
      </c>
      <c r="BC225">
        <v>100</v>
      </c>
      <c r="BD225">
        <v>100</v>
      </c>
      <c r="BE225">
        <v>1</v>
      </c>
      <c r="BF225">
        <v>15000</v>
      </c>
      <c r="BG225">
        <v>1000</v>
      </c>
      <c r="BH225" s="7">
        <f>ROUND(Wapato_Inventory[[#This Row],[detatched_value]]*Lookups!$B$22*Lookups!$H$48,-2)</f>
        <v>6000</v>
      </c>
      <c r="BI225" s="7">
        <f>ROUND(((Wapato_Inventory[[#This Row],[land_extract]]*Lookups!$B$3) +(Lookups!$B$2*0.5))*Lookups!$H$48,-2)</f>
        <v>53000</v>
      </c>
      <c r="BJ225" s="7">
        <f>IF(Wapato_Inventory[[#This Row],[bldg_style]]="",0,Lookups!$B$2*0.5)</f>
        <v>53765.27</v>
      </c>
      <c r="BK225" s="7">
        <f>_xlfn.IFNA(VLOOKUP(Wapato_Inventory[[#This Row],[quality]],Lookups!$H$2:$J$14,3,FALSE),0)</f>
        <v>48043</v>
      </c>
      <c r="BL225" s="7">
        <f>_xlfn.IFNA(VLOOKUP(Wapato_Inventory[[#This Row],[condition]],Lookups!$H$17:$J$24,3,FALSE),0)</f>
        <v>74543</v>
      </c>
      <c r="BM225" s="7">
        <f>Wapato_Inventory[[#This Row],[Age]]*Lookups!$B$16</f>
        <v>-36326.2186</v>
      </c>
      <c r="BN225" s="7">
        <f>Wapato_Inventory[[#This Row],[Main Floor]]*Lookups!$B$17</f>
        <v>41299.130131999998</v>
      </c>
      <c r="BO225" s="7">
        <f>Wapato_Inventory[[#This Row],[Upper Floor]]*Lookups!$B$18</f>
        <v>0</v>
      </c>
      <c r="BP225" s="7">
        <f>Wapato_Inventory[[#This Row],[Fin BSMT]]*Lookups!$B$19</f>
        <v>0</v>
      </c>
      <c r="BQ225" s="7">
        <f>(Wapato_Inventory[[#This Row],[att_gar]]+Wapato_Inventory[[#This Row],[blt_gar]])*Lookups!$B$20</f>
        <v>0</v>
      </c>
      <c r="BR225" s="7">
        <f>Wapato_Inventory[[#This Row],[Patio]]*Lookups!$B$21</f>
        <v>0</v>
      </c>
      <c r="BS225" s="7">
        <f>SUM(Wapato_Inventory[[#This Row],[intercept]:[patio_value]])*Wapato_Inventory[[#This Row],[res_pct]]</f>
        <v>181324.18153199999</v>
      </c>
      <c r="BT225" s="7">
        <f>Wapato_Inventory[[#This Row],[land_value]]</f>
        <v>53000</v>
      </c>
      <c r="BU225" s="2">
        <f>_xlfn.IFNA(VLOOKUP(Wapato_Inventory[[#This Row],[quality]],Lookups!$A$28:$C$37,3,FALSE),1)</f>
        <v>0.98196844879778955</v>
      </c>
      <c r="BV225" s="2">
        <f>_xlfn.IFNA(VLOOKUP(Wapato_Inventory[[#This Row],[condition]],Lookups!$A$41:$C$48,3,FALSE),1)</f>
        <v>0.98442438223270734</v>
      </c>
      <c r="BW225" s="2">
        <f>IF(Wapato_Inventory[[#This Row],[decade]]="",1,_xlfn.IFNA(VLOOKUP(Wapato_Inventory[[#This Row],[decade]],Lookups!$F$28:$H$45,3,FALSE),1))</f>
        <v>1.0114203040664467</v>
      </c>
      <c r="BX225" s="2">
        <f>_xlfn.IFNA(VLOOKUP(Wapato_Inventory[[#This Row],[living_area_range]],Lookups!$K$28:$M$37,3,FALSE),1)</f>
        <v>0.99022994770196116</v>
      </c>
      <c r="BY225" s="2">
        <f>AVERAGE(Wapato_Inventory[[#This Row],[qual_adj]:[range_adj]])</f>
        <v>0.99201077069972621</v>
      </c>
      <c r="BZ225" s="7">
        <f>(Wapato_Inventory[[#This Row],[sum_land]]-IF(Wapato_Inventory[[#This Row],[no_utilities]]=1,12000,0))/IF(Wapato_Inventory[[#This Row],[unbuildable]]=1,2,1)</f>
        <v>53000</v>
      </c>
      <c r="CA225" s="7">
        <f>Wapato_Inventory[[#This Row],[pre_res]]*Wapato_Inventory[[#This Row],[overall_adj]]</f>
        <v>179875.54106805637</v>
      </c>
      <c r="CB22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25" s="3">
        <f>IF(ROUND(Wapato_Inventory[[#This Row],[adj_res]]*Lookups!$H$48,-2)&lt;Wapato_Inventory[[#This Row],[min_res]],Wapato_Inventory[[#This Row],[min_res]],ROUND(Wapato_Inventory[[#This Row],[adj_res]]*Lookups!$H$48,-2))</f>
        <v>170900</v>
      </c>
      <c r="CD225" s="3">
        <f>ROUND(Wapato_Inventory[[#This Row],[det_value]]*Lookups!$H$48,-2)</f>
        <v>5700</v>
      </c>
      <c r="CE225" s="3">
        <f>Wapato_Inventory[[#This Row],[final_res]]+Wapato_Inventory[[#This Row],[final_det]]</f>
        <v>176600</v>
      </c>
      <c r="CF225" s="3">
        <f>Wapato_Inventory[[#This Row],[crop_value]]+Wapato_Inventory[[#This Row],[final_land]]+Wapato_Inventory[[#This Row],[final_imp]]</f>
        <v>227000</v>
      </c>
      <c r="CH225" t="str">
        <f t="shared" si="3"/>
        <v>update valuation set market_land =50400, market_bldg=176600, market_total =227000, market_mdno =405, market_date ='9/10/2023' where link_id = (select link_id from parcel where parcel_year = '2024' and parcel_id = '19111041515');</v>
      </c>
    </row>
    <row r="226" spans="1:86" x14ac:dyDescent="0.25">
      <c r="A226">
        <v>19111041516</v>
      </c>
      <c r="B226">
        <v>0.14000000000000001</v>
      </c>
      <c r="C226">
        <v>6244</v>
      </c>
      <c r="D226" t="s">
        <v>144</v>
      </c>
      <c r="E226" t="s">
        <v>54</v>
      </c>
      <c r="F226" t="s">
        <v>54</v>
      </c>
      <c r="G226">
        <v>3</v>
      </c>
      <c r="H226" t="s">
        <v>55</v>
      </c>
      <c r="I226">
        <v>213300</v>
      </c>
      <c r="J226">
        <v>31900</v>
      </c>
      <c r="K226">
        <v>0.14000000000000001</v>
      </c>
      <c r="L226">
        <f>IF(Wapato_Inventory[[#This Row],[parcel_acres]]-Wapato_Inventory[[#This Row],[non_valued_acres]] =0,0,LN(Wapato_Inventory[[#This Row],[parcel_acres]]-Wapato_Inventory[[#This Row],[non_valued_acres]]))</f>
        <v>-1.9661128563728327</v>
      </c>
      <c r="M226">
        <v>0</v>
      </c>
      <c r="N226">
        <v>0</v>
      </c>
      <c r="O226">
        <v>0</v>
      </c>
      <c r="P226">
        <v>27904.037</v>
      </c>
      <c r="Q226">
        <v>74398</v>
      </c>
      <c r="R226" s="3">
        <f>(Wapato_Inventory[[#This Row],[ln_acres]]*Wapato_Inventory[[#This Row],[coeff]])+Wapato_Inventory[[#This Row],[const]]</f>
        <v>19535.514109596792</v>
      </c>
      <c r="S226" t="s">
        <v>56</v>
      </c>
      <c r="T226">
        <v>2</v>
      </c>
      <c r="U226" t="s">
        <v>75</v>
      </c>
      <c r="V226" t="s">
        <v>68</v>
      </c>
      <c r="W226">
        <v>0</v>
      </c>
      <c r="X226">
        <v>0</v>
      </c>
      <c r="Y226">
        <v>53</v>
      </c>
      <c r="Z226">
        <v>93</v>
      </c>
      <c r="AA226">
        <v>100</v>
      </c>
      <c r="AB226">
        <v>2000</v>
      </c>
      <c r="AC226">
        <v>1945</v>
      </c>
      <c r="AD226">
        <v>1125</v>
      </c>
      <c r="AE226">
        <v>820</v>
      </c>
      <c r="AF226">
        <v>0</v>
      </c>
      <c r="AG226">
        <v>0</v>
      </c>
      <c r="AH226">
        <v>0</v>
      </c>
      <c r="AI226">
        <v>0</v>
      </c>
      <c r="AJ226">
        <v>476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8</v>
      </c>
      <c r="AQ226">
        <v>0</v>
      </c>
      <c r="AR226">
        <v>0</v>
      </c>
      <c r="AS226" t="s">
        <v>59</v>
      </c>
      <c r="AT226">
        <v>0</v>
      </c>
      <c r="AU226" t="s">
        <v>80</v>
      </c>
      <c r="AV226" t="s">
        <v>61</v>
      </c>
      <c r="AW226">
        <v>0</v>
      </c>
      <c r="AX226">
        <v>6</v>
      </c>
      <c r="AY226">
        <v>0</v>
      </c>
      <c r="AZ226">
        <v>0</v>
      </c>
      <c r="BA226">
        <v>100</v>
      </c>
      <c r="BB226">
        <v>100</v>
      </c>
      <c r="BC226">
        <v>100</v>
      </c>
      <c r="BD226">
        <v>100</v>
      </c>
      <c r="BE226">
        <v>1</v>
      </c>
      <c r="BF226">
        <v>15000</v>
      </c>
      <c r="BG226">
        <v>1000</v>
      </c>
      <c r="BH226" s="7">
        <f>ROUND(Wapato_Inventory[[#This Row],[detatched_value]]*Lookups!$B$22*Lookups!$H$48,-2)</f>
        <v>0</v>
      </c>
      <c r="BI226" s="7">
        <f>ROUND(((Wapato_Inventory[[#This Row],[land_extract]]*Lookups!$B$3) +(Lookups!$B$2*0.5))*Lookups!$H$48,-2)</f>
        <v>53000</v>
      </c>
      <c r="BJ226" s="7">
        <f>IF(Wapato_Inventory[[#This Row],[bldg_style]]="",0,Lookups!$B$2*0.5)</f>
        <v>53765.27</v>
      </c>
      <c r="BK226" s="7">
        <f>_xlfn.IFNA(VLOOKUP(Wapato_Inventory[[#This Row],[quality]],Lookups!$H$2:$J$14,3,FALSE),0)</f>
        <v>48043</v>
      </c>
      <c r="BL226" s="7">
        <f>_xlfn.IFNA(VLOOKUP(Wapato_Inventory[[#This Row],[condition]],Lookups!$H$17:$J$24,3,FALSE),0)</f>
        <v>52231</v>
      </c>
      <c r="BM226" s="7">
        <f>Wapato_Inventory[[#This Row],[Age]]*Lookups!$B$16</f>
        <v>-34472.840100000001</v>
      </c>
      <c r="BN226" s="7">
        <f>Wapato_Inventory[[#This Row],[Main Floor]]*Lookups!$B$17</f>
        <v>47025.831375000002</v>
      </c>
      <c r="BO226" s="7">
        <f>Wapato_Inventory[[#This Row],[Upper Floor]]*Lookups!$B$18</f>
        <v>40672.933980000002</v>
      </c>
      <c r="BP226" s="7">
        <f>Wapato_Inventory[[#This Row],[Fin BSMT]]*Lookups!$B$19</f>
        <v>0</v>
      </c>
      <c r="BQ226" s="7">
        <f>(Wapato_Inventory[[#This Row],[att_gar]]+Wapato_Inventory[[#This Row],[blt_gar]])*Lookups!$B$20</f>
        <v>17616.165951999999</v>
      </c>
      <c r="BR226" s="7">
        <f>Wapato_Inventory[[#This Row],[Patio]]*Lookups!$B$21</f>
        <v>0</v>
      </c>
      <c r="BS226" s="7">
        <f>SUM(Wapato_Inventory[[#This Row],[intercept]:[patio_value]])*Wapato_Inventory[[#This Row],[res_pct]]</f>
        <v>224881.36120700001</v>
      </c>
      <c r="BT226" s="7">
        <f>Wapato_Inventory[[#This Row],[land_value]]</f>
        <v>53000</v>
      </c>
      <c r="BU226" s="2">
        <f>_xlfn.IFNA(VLOOKUP(Wapato_Inventory[[#This Row],[quality]],Lookups!$A$28:$C$37,3,FALSE),1)</f>
        <v>0.98196844879778955</v>
      </c>
      <c r="BV226" s="2">
        <f>_xlfn.IFNA(VLOOKUP(Wapato_Inventory[[#This Row],[condition]],Lookups!$A$41:$C$48,3,FALSE),1)</f>
        <v>0.9832333997567807</v>
      </c>
      <c r="BW226" s="2">
        <f>IF(Wapato_Inventory[[#This Row],[decade]]="",1,_xlfn.IFNA(VLOOKUP(Wapato_Inventory[[#This Row],[decade]],Lookups!$F$28:$H$45,3,FALSE),1))</f>
        <v>1.0114203040664467</v>
      </c>
      <c r="BX226" s="2">
        <f>_xlfn.IFNA(VLOOKUP(Wapato_Inventory[[#This Row],[living_area_range]],Lookups!$K$28:$M$37,3,FALSE),1)</f>
        <v>0.99330894324714125</v>
      </c>
      <c r="BY226" s="2">
        <f>AVERAGE(Wapato_Inventory[[#This Row],[qual_adj]:[range_adj]])</f>
        <v>0.99248277396703954</v>
      </c>
      <c r="BZ226" s="7">
        <f>(Wapato_Inventory[[#This Row],[sum_land]]-IF(Wapato_Inventory[[#This Row],[no_utilities]]=1,12000,0))/IF(Wapato_Inventory[[#This Row],[unbuildable]]=1,2,1)</f>
        <v>53000</v>
      </c>
      <c r="CA226" s="7">
        <f>Wapato_Inventory[[#This Row],[pre_res]]*Wapato_Inventory[[#This Row],[overall_adj]]</f>
        <v>223190.87718420717</v>
      </c>
      <c r="CB22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26" s="3">
        <f>IF(ROUND(Wapato_Inventory[[#This Row],[adj_res]]*Lookups!$H$48,-2)&lt;Wapato_Inventory[[#This Row],[min_res]],Wapato_Inventory[[#This Row],[min_res]],ROUND(Wapato_Inventory[[#This Row],[adj_res]]*Lookups!$H$48,-2))</f>
        <v>212000</v>
      </c>
      <c r="CD226" s="3">
        <f>ROUND(Wapato_Inventory[[#This Row],[det_value]]*Lookups!$H$48,-2)</f>
        <v>0</v>
      </c>
      <c r="CE226" s="3">
        <f>Wapato_Inventory[[#This Row],[final_res]]+Wapato_Inventory[[#This Row],[final_det]]</f>
        <v>212000</v>
      </c>
      <c r="CF226" s="3">
        <f>Wapato_Inventory[[#This Row],[crop_value]]+Wapato_Inventory[[#This Row],[final_land]]+Wapato_Inventory[[#This Row],[final_imp]]</f>
        <v>262400</v>
      </c>
      <c r="CH226" t="str">
        <f t="shared" si="3"/>
        <v>update valuation set market_land =50400, market_bldg=212000, market_total =262400, market_mdno =405, market_date ='9/10/2023' where link_id = (select link_id from parcel where parcel_year = '2024' and parcel_id = '19111041516');</v>
      </c>
    </row>
    <row r="227" spans="1:86" x14ac:dyDescent="0.25">
      <c r="A227">
        <v>19111041517</v>
      </c>
      <c r="B227">
        <v>0.14000000000000001</v>
      </c>
      <c r="C227">
        <v>6277</v>
      </c>
      <c r="D227" t="s">
        <v>144</v>
      </c>
      <c r="E227" t="s">
        <v>54</v>
      </c>
      <c r="F227" t="s">
        <v>54</v>
      </c>
      <c r="G227">
        <v>3</v>
      </c>
      <c r="H227" t="s">
        <v>55</v>
      </c>
      <c r="I227">
        <v>237600</v>
      </c>
      <c r="J227">
        <v>31900</v>
      </c>
      <c r="K227">
        <v>0.14000000000000001</v>
      </c>
      <c r="L227">
        <f>IF(Wapato_Inventory[[#This Row],[parcel_acres]]-Wapato_Inventory[[#This Row],[non_valued_acres]] =0,0,LN(Wapato_Inventory[[#This Row],[parcel_acres]]-Wapato_Inventory[[#This Row],[non_valued_acres]]))</f>
        <v>-1.9661128563728327</v>
      </c>
      <c r="M227">
        <v>0</v>
      </c>
      <c r="N227">
        <v>0</v>
      </c>
      <c r="O227">
        <v>0</v>
      </c>
      <c r="P227">
        <v>27904.037</v>
      </c>
      <c r="Q227">
        <v>74398</v>
      </c>
      <c r="R227" s="3">
        <f>(Wapato_Inventory[[#This Row],[ln_acres]]*Wapato_Inventory[[#This Row],[coeff]])+Wapato_Inventory[[#This Row],[const]]</f>
        <v>19535.514109596792</v>
      </c>
      <c r="S227" t="s">
        <v>56</v>
      </c>
      <c r="T227">
        <v>2</v>
      </c>
      <c r="U227" t="s">
        <v>75</v>
      </c>
      <c r="V227" t="s">
        <v>68</v>
      </c>
      <c r="W227">
        <v>0</v>
      </c>
      <c r="X227">
        <v>0</v>
      </c>
      <c r="Y227">
        <v>44</v>
      </c>
      <c r="Z227">
        <v>48</v>
      </c>
      <c r="AA227">
        <v>50</v>
      </c>
      <c r="AB227">
        <v>2500</v>
      </c>
      <c r="AC227">
        <v>2496</v>
      </c>
      <c r="AD227">
        <v>1536</v>
      </c>
      <c r="AE227">
        <v>960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320</v>
      </c>
      <c r="AM227">
        <v>336</v>
      </c>
      <c r="AN227">
        <v>0</v>
      </c>
      <c r="AO227">
        <v>0</v>
      </c>
      <c r="AP227">
        <v>8</v>
      </c>
      <c r="AQ227">
        <v>0</v>
      </c>
      <c r="AR227">
        <v>0</v>
      </c>
      <c r="AS227" t="s">
        <v>59</v>
      </c>
      <c r="AT227">
        <v>1</v>
      </c>
      <c r="AU227" t="s">
        <v>72</v>
      </c>
      <c r="AV227" t="s">
        <v>61</v>
      </c>
      <c r="AW227">
        <v>0</v>
      </c>
      <c r="AX227">
        <v>5</v>
      </c>
      <c r="AY227">
        <v>0</v>
      </c>
      <c r="AZ227">
        <v>0</v>
      </c>
      <c r="BA227">
        <v>100</v>
      </c>
      <c r="BB227">
        <v>100</v>
      </c>
      <c r="BC227">
        <v>100</v>
      </c>
      <c r="BD227">
        <v>100</v>
      </c>
      <c r="BE227">
        <v>1</v>
      </c>
      <c r="BF227">
        <v>15000</v>
      </c>
      <c r="BG227">
        <v>1000</v>
      </c>
      <c r="BH227" s="7">
        <f>ROUND(Wapato_Inventory[[#This Row],[detatched_value]]*Lookups!$B$22*Lookups!$H$48,-2)</f>
        <v>0</v>
      </c>
      <c r="BI227" s="7">
        <f>ROUND(((Wapato_Inventory[[#This Row],[land_extract]]*Lookups!$B$3) +(Lookups!$B$2*0.5))*Lookups!$H$48,-2)</f>
        <v>53000</v>
      </c>
      <c r="BJ227" s="7">
        <f>IF(Wapato_Inventory[[#This Row],[bldg_style]]="",0,Lookups!$B$2*0.5)</f>
        <v>53765.27</v>
      </c>
      <c r="BK227" s="7">
        <f>_xlfn.IFNA(VLOOKUP(Wapato_Inventory[[#This Row],[quality]],Lookups!$H$2:$J$14,3,FALSE),0)</f>
        <v>48043</v>
      </c>
      <c r="BL227" s="7">
        <f>_xlfn.IFNA(VLOOKUP(Wapato_Inventory[[#This Row],[condition]],Lookups!$H$17:$J$24,3,FALSE),0)</f>
        <v>52231</v>
      </c>
      <c r="BM227" s="7">
        <f>Wapato_Inventory[[#This Row],[Age]]*Lookups!$B$16</f>
        <v>-17792.4336</v>
      </c>
      <c r="BN227" s="7">
        <f>Wapato_Inventory[[#This Row],[Main Floor]]*Lookups!$B$17</f>
        <v>64205.935104000004</v>
      </c>
      <c r="BO227" s="7">
        <f>Wapato_Inventory[[#This Row],[Upper Floor]]*Lookups!$B$18</f>
        <v>47617.093440000004</v>
      </c>
      <c r="BP227" s="7">
        <f>Wapato_Inventory[[#This Row],[Fin BSMT]]*Lookups!$B$19</f>
        <v>0</v>
      </c>
      <c r="BQ227" s="7">
        <f>(Wapato_Inventory[[#This Row],[att_gar]]+Wapato_Inventory[[#This Row],[blt_gar]])*Lookups!$B$20</f>
        <v>0</v>
      </c>
      <c r="BR227" s="7">
        <f>Wapato_Inventory[[#This Row],[Patio]]*Lookups!$B$21</f>
        <v>14556.856944000001</v>
      </c>
      <c r="BS227" s="7">
        <f>SUM(Wapato_Inventory[[#This Row],[intercept]:[patio_value]])*Wapato_Inventory[[#This Row],[res_pct]]</f>
        <v>262626.72188800003</v>
      </c>
      <c r="BT227" s="7">
        <f>Wapato_Inventory[[#This Row],[land_value]]</f>
        <v>53000</v>
      </c>
      <c r="BU227" s="2">
        <f>_xlfn.IFNA(VLOOKUP(Wapato_Inventory[[#This Row],[quality]],Lookups!$A$28:$C$37,3,FALSE),1)</f>
        <v>0.98196844879778955</v>
      </c>
      <c r="BV227" s="2">
        <f>_xlfn.IFNA(VLOOKUP(Wapato_Inventory[[#This Row],[condition]],Lookups!$A$41:$C$48,3,FALSE),1)</f>
        <v>0.9832333997567807</v>
      </c>
      <c r="BW227" s="2">
        <f>IF(Wapato_Inventory[[#This Row],[decade]]="",1,_xlfn.IFNA(VLOOKUP(Wapato_Inventory[[#This Row],[decade]],Lookups!$F$28:$H$45,3,FALSE),1))</f>
        <v>0.96240333884358298</v>
      </c>
      <c r="BX227" s="2">
        <f>_xlfn.IFNA(VLOOKUP(Wapato_Inventory[[#This Row],[living_area_range]],Lookups!$K$28:$M$37,3,FALSE),1)</f>
        <v>0.90813907160181651</v>
      </c>
      <c r="BY227" s="2">
        <f>AVERAGE(Wapato_Inventory[[#This Row],[qual_adj]:[range_adj]])</f>
        <v>0.95893606474999249</v>
      </c>
      <c r="BZ227" s="7">
        <f>(Wapato_Inventory[[#This Row],[sum_land]]-IF(Wapato_Inventory[[#This Row],[no_utilities]]=1,12000,0))/IF(Wapato_Inventory[[#This Row],[unbuildable]]=1,2,1)</f>
        <v>53000</v>
      </c>
      <c r="CA227" s="7">
        <f>Wapato_Inventory[[#This Row],[pre_res]]*Wapato_Inventory[[#This Row],[overall_adj]]</f>
        <v>251842.23518546947</v>
      </c>
      <c r="CB22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27" s="3">
        <f>IF(ROUND(Wapato_Inventory[[#This Row],[adj_res]]*Lookups!$H$48,-2)&lt;Wapato_Inventory[[#This Row],[min_res]],Wapato_Inventory[[#This Row],[min_res]],ROUND(Wapato_Inventory[[#This Row],[adj_res]]*Lookups!$H$48,-2))</f>
        <v>239300</v>
      </c>
      <c r="CD227" s="3">
        <f>ROUND(Wapato_Inventory[[#This Row],[det_value]]*Lookups!$H$48,-2)</f>
        <v>0</v>
      </c>
      <c r="CE227" s="3">
        <f>Wapato_Inventory[[#This Row],[final_res]]+Wapato_Inventory[[#This Row],[final_det]]</f>
        <v>239300</v>
      </c>
      <c r="CF227" s="3">
        <f>Wapato_Inventory[[#This Row],[crop_value]]+Wapato_Inventory[[#This Row],[final_land]]+Wapato_Inventory[[#This Row],[final_imp]]</f>
        <v>289700</v>
      </c>
      <c r="CH227" t="str">
        <f t="shared" si="3"/>
        <v>update valuation set market_land =50400, market_bldg=239300, market_total =289700, market_mdno =405, market_date ='9/10/2023' where link_id = (select link_id from parcel where parcel_year = '2024' and parcel_id = '19111041517');</v>
      </c>
    </row>
    <row r="228" spans="1:86" x14ac:dyDescent="0.25">
      <c r="A228">
        <v>19111041518</v>
      </c>
      <c r="B228">
        <v>0.16</v>
      </c>
      <c r="C228">
        <v>7164</v>
      </c>
      <c r="D228" t="s">
        <v>144</v>
      </c>
      <c r="E228" t="s">
        <v>54</v>
      </c>
      <c r="F228" t="s">
        <v>54</v>
      </c>
      <c r="G228">
        <v>3</v>
      </c>
      <c r="H228" t="s">
        <v>55</v>
      </c>
      <c r="I228">
        <v>86500</v>
      </c>
      <c r="J228">
        <v>32800</v>
      </c>
      <c r="K228">
        <v>0.16</v>
      </c>
      <c r="L228">
        <f>IF(Wapato_Inventory[[#This Row],[parcel_acres]]-Wapato_Inventory[[#This Row],[non_valued_acres]] =0,0,LN(Wapato_Inventory[[#This Row],[parcel_acres]]-Wapato_Inventory[[#This Row],[non_valued_acres]]))</f>
        <v>-1.8325814637483102</v>
      </c>
      <c r="M228">
        <v>0</v>
      </c>
      <c r="N228">
        <v>0</v>
      </c>
      <c r="O228">
        <v>0</v>
      </c>
      <c r="P228">
        <v>27904.037</v>
      </c>
      <c r="Q228">
        <v>74398</v>
      </c>
      <c r="R228" s="3">
        <f>(Wapato_Inventory[[#This Row],[ln_acres]]*Wapato_Inventory[[#This Row],[coeff]])+Wapato_Inventory[[#This Row],[const]]</f>
        <v>23261.579030052992</v>
      </c>
      <c r="S228" t="s">
        <v>66</v>
      </c>
      <c r="T228">
        <v>1</v>
      </c>
      <c r="U228" t="s">
        <v>71</v>
      </c>
      <c r="V228" t="s">
        <v>68</v>
      </c>
      <c r="W228">
        <v>0</v>
      </c>
      <c r="X228">
        <v>0</v>
      </c>
      <c r="Y228">
        <v>57</v>
      </c>
      <c r="Z228">
        <v>103</v>
      </c>
      <c r="AA228">
        <v>110</v>
      </c>
      <c r="AB228">
        <v>1000</v>
      </c>
      <c r="AC228">
        <v>700</v>
      </c>
      <c r="AD228">
        <v>700</v>
      </c>
      <c r="AE228">
        <v>0</v>
      </c>
      <c r="AF228">
        <v>0</v>
      </c>
      <c r="AG228">
        <v>0</v>
      </c>
      <c r="AH228">
        <v>100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16</v>
      </c>
      <c r="AO228">
        <v>0</v>
      </c>
      <c r="AP228">
        <v>5</v>
      </c>
      <c r="AQ228">
        <v>0</v>
      </c>
      <c r="AR228">
        <v>0</v>
      </c>
      <c r="AS228" t="s">
        <v>59</v>
      </c>
      <c r="AT228">
        <v>1</v>
      </c>
      <c r="AU228" t="s">
        <v>64</v>
      </c>
      <c r="AV228" t="s">
        <v>65</v>
      </c>
      <c r="AW228">
        <v>0</v>
      </c>
      <c r="AX228">
        <v>2</v>
      </c>
      <c r="AY228">
        <v>0</v>
      </c>
      <c r="AZ228">
        <v>0</v>
      </c>
      <c r="BA228">
        <v>100</v>
      </c>
      <c r="BB228">
        <v>100</v>
      </c>
      <c r="BC228">
        <v>100</v>
      </c>
      <c r="BD228">
        <v>100</v>
      </c>
      <c r="BE228">
        <v>1</v>
      </c>
      <c r="BF228">
        <v>15000</v>
      </c>
      <c r="BG228">
        <v>1000</v>
      </c>
      <c r="BH228" s="7">
        <f>ROUND(Wapato_Inventory[[#This Row],[detatched_value]]*Lookups!$B$22*Lookups!$H$48,-2)</f>
        <v>0</v>
      </c>
      <c r="BI228" s="7">
        <f>ROUND(((Wapato_Inventory[[#This Row],[land_extract]]*Lookups!$B$3) +(Lookups!$B$2*0.5))*Lookups!$H$48,-2)</f>
        <v>53300</v>
      </c>
      <c r="BJ228" s="7">
        <f>IF(Wapato_Inventory[[#This Row],[bldg_style]]="",0,Lookups!$B$2*0.5)</f>
        <v>53765.27</v>
      </c>
      <c r="BK228" s="7">
        <f>_xlfn.IFNA(VLOOKUP(Wapato_Inventory[[#This Row],[quality]],Lookups!$H$2:$J$14,3,FALSE),0)</f>
        <v>28034</v>
      </c>
      <c r="BL228" s="7">
        <f>_xlfn.IFNA(VLOOKUP(Wapato_Inventory[[#This Row],[condition]],Lookups!$H$17:$J$24,3,FALSE),0)</f>
        <v>52231</v>
      </c>
      <c r="BM228" s="7">
        <f>Wapato_Inventory[[#This Row],[Age]]*Lookups!$B$16</f>
        <v>-38179.597099999999</v>
      </c>
      <c r="BN228" s="7">
        <f>Wapato_Inventory[[#This Row],[Main Floor]]*Lookups!$B$17</f>
        <v>29260.5173</v>
      </c>
      <c r="BO228" s="7">
        <f>Wapato_Inventory[[#This Row],[Upper Floor]]*Lookups!$B$18</f>
        <v>0</v>
      </c>
      <c r="BP228" s="7">
        <f>Wapato_Inventory[[#This Row],[Fin BSMT]]*Lookups!$B$19</f>
        <v>0</v>
      </c>
      <c r="BQ228" s="7">
        <f>(Wapato_Inventory[[#This Row],[att_gar]]+Wapato_Inventory[[#This Row],[blt_gar]])*Lookups!$B$20</f>
        <v>0</v>
      </c>
      <c r="BR228" s="7">
        <f>Wapato_Inventory[[#This Row],[Patio]]*Lookups!$B$21</f>
        <v>0</v>
      </c>
      <c r="BS228" s="7">
        <f>SUM(Wapato_Inventory[[#This Row],[intercept]:[patio_value]])*Wapato_Inventory[[#This Row],[res_pct]]</f>
        <v>125111.19019999998</v>
      </c>
      <c r="BT228" s="7">
        <f>Wapato_Inventory[[#This Row],[land_value]]</f>
        <v>53300</v>
      </c>
      <c r="BU228" s="2">
        <f>_xlfn.IFNA(VLOOKUP(Wapato_Inventory[[#This Row],[quality]],Lookups!$A$28:$C$37,3,FALSE),1)</f>
        <v>0.96265813922927435</v>
      </c>
      <c r="BV228" s="2">
        <f>_xlfn.IFNA(VLOOKUP(Wapato_Inventory[[#This Row],[condition]],Lookups!$A$41:$C$48,3,FALSE),1)</f>
        <v>0.9832333997567807</v>
      </c>
      <c r="BW228" s="2">
        <f>IF(Wapato_Inventory[[#This Row],[decade]]="",1,_xlfn.IFNA(VLOOKUP(Wapato_Inventory[[#This Row],[decade]],Lookups!$F$28:$H$45,3,FALSE),1))</f>
        <v>0.93664589651353292</v>
      </c>
      <c r="BX228" s="2">
        <f>_xlfn.IFNA(VLOOKUP(Wapato_Inventory[[#This Row],[living_area_range]],Lookups!$K$28:$M$37,3,FALSE),1)</f>
        <v>0.99022994770196116</v>
      </c>
      <c r="BY228" s="2">
        <f>AVERAGE(Wapato_Inventory[[#This Row],[qual_adj]:[range_adj]])</f>
        <v>0.9681918458003872</v>
      </c>
      <c r="BZ228" s="7">
        <f>(Wapato_Inventory[[#This Row],[sum_land]]-IF(Wapato_Inventory[[#This Row],[no_utilities]]=1,12000,0))/IF(Wapato_Inventory[[#This Row],[unbuildable]]=1,2,1)</f>
        <v>53300</v>
      </c>
      <c r="CA228" s="7">
        <f>Wapato_Inventory[[#This Row],[pre_res]]*Wapato_Inventory[[#This Row],[overall_adj]]</f>
        <v>121131.63417002129</v>
      </c>
      <c r="CB228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228" s="3">
        <f>IF(ROUND(Wapato_Inventory[[#This Row],[adj_res]]*Lookups!$H$48,-2)&lt;Wapato_Inventory[[#This Row],[min_res]],Wapato_Inventory[[#This Row],[min_res]],ROUND(Wapato_Inventory[[#This Row],[adj_res]]*Lookups!$H$48,-2))</f>
        <v>115100</v>
      </c>
      <c r="CD228" s="3">
        <f>ROUND(Wapato_Inventory[[#This Row],[det_value]]*Lookups!$H$48,-2)</f>
        <v>0</v>
      </c>
      <c r="CE228" s="3">
        <f>Wapato_Inventory[[#This Row],[final_res]]+Wapato_Inventory[[#This Row],[final_det]]</f>
        <v>115100</v>
      </c>
      <c r="CF228" s="3">
        <f>Wapato_Inventory[[#This Row],[crop_value]]+Wapato_Inventory[[#This Row],[final_land]]+Wapato_Inventory[[#This Row],[final_imp]]</f>
        <v>165700</v>
      </c>
      <c r="CH228" t="str">
        <f t="shared" si="3"/>
        <v>update valuation set market_land =50600, market_bldg=115100, market_total =165700, market_mdno =405, market_date ='9/10/2023' where link_id = (select link_id from parcel where parcel_year = '2024' and parcel_id = '19111041518');</v>
      </c>
    </row>
    <row r="229" spans="1:86" x14ac:dyDescent="0.25">
      <c r="A229">
        <v>19111041521</v>
      </c>
      <c r="B229">
        <v>0.14000000000000001</v>
      </c>
      <c r="C229">
        <v>5970</v>
      </c>
      <c r="D229" t="s">
        <v>144</v>
      </c>
      <c r="E229" t="s">
        <v>54</v>
      </c>
      <c r="F229" t="s">
        <v>54</v>
      </c>
      <c r="G229">
        <v>3</v>
      </c>
      <c r="H229" t="s">
        <v>55</v>
      </c>
      <c r="I229">
        <v>85700</v>
      </c>
      <c r="J229">
        <v>31900</v>
      </c>
      <c r="K229">
        <v>0.14000000000000001</v>
      </c>
      <c r="L229">
        <f>IF(Wapato_Inventory[[#This Row],[parcel_acres]]-Wapato_Inventory[[#This Row],[non_valued_acres]] =0,0,LN(Wapato_Inventory[[#This Row],[parcel_acres]]-Wapato_Inventory[[#This Row],[non_valued_acres]]))</f>
        <v>-1.9661128563728327</v>
      </c>
      <c r="M229">
        <v>0</v>
      </c>
      <c r="N229">
        <v>0</v>
      </c>
      <c r="O229">
        <v>0</v>
      </c>
      <c r="P229">
        <v>27904.037</v>
      </c>
      <c r="Q229">
        <v>74398</v>
      </c>
      <c r="R229" s="3">
        <f>(Wapato_Inventory[[#This Row],[ln_acres]]*Wapato_Inventory[[#This Row],[coeff]])+Wapato_Inventory[[#This Row],[const]]</f>
        <v>19535.514109596792</v>
      </c>
      <c r="S229" t="s">
        <v>66</v>
      </c>
      <c r="T229">
        <v>1</v>
      </c>
      <c r="U229" t="s">
        <v>86</v>
      </c>
      <c r="V229" t="s">
        <v>68</v>
      </c>
      <c r="W229">
        <v>0</v>
      </c>
      <c r="X229">
        <v>0</v>
      </c>
      <c r="Y229">
        <v>57</v>
      </c>
      <c r="Z229">
        <v>103</v>
      </c>
      <c r="AA229">
        <v>110</v>
      </c>
      <c r="AB229">
        <v>1500</v>
      </c>
      <c r="AC229">
        <v>1266</v>
      </c>
      <c r="AD229">
        <v>1266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5</v>
      </c>
      <c r="AQ229">
        <v>0</v>
      </c>
      <c r="AR229">
        <v>0</v>
      </c>
      <c r="AS229" t="s">
        <v>59</v>
      </c>
      <c r="AT229">
        <v>0</v>
      </c>
      <c r="AU229" t="s">
        <v>80</v>
      </c>
      <c r="AV229" t="s">
        <v>77</v>
      </c>
      <c r="AW229">
        <v>0</v>
      </c>
      <c r="AX229">
        <v>2</v>
      </c>
      <c r="AY229">
        <v>0</v>
      </c>
      <c r="AZ229">
        <v>0</v>
      </c>
      <c r="BA229">
        <v>100</v>
      </c>
      <c r="BB229">
        <v>100</v>
      </c>
      <c r="BC229">
        <v>100</v>
      </c>
      <c r="BD229">
        <v>100</v>
      </c>
      <c r="BE229">
        <v>1</v>
      </c>
      <c r="BF229">
        <v>15000</v>
      </c>
      <c r="BG229">
        <v>1000</v>
      </c>
      <c r="BH229" s="7">
        <f>ROUND(Wapato_Inventory[[#This Row],[detatched_value]]*Lookups!$B$22*Lookups!$H$48,-2)</f>
        <v>0</v>
      </c>
      <c r="BI229" s="7">
        <f>ROUND(((Wapato_Inventory[[#This Row],[land_extract]]*Lookups!$B$3) +(Lookups!$B$2*0.5))*Lookups!$H$48,-2)</f>
        <v>53000</v>
      </c>
      <c r="BJ229" s="7">
        <f>IF(Wapato_Inventory[[#This Row],[bldg_style]]="",0,Lookups!$B$2*0.5)</f>
        <v>53765.27</v>
      </c>
      <c r="BK229" s="7">
        <f>_xlfn.IFNA(VLOOKUP(Wapato_Inventory[[#This Row],[quality]],Lookups!$H$2:$J$14,3,FALSE),0)</f>
        <v>0</v>
      </c>
      <c r="BL229" s="7">
        <f>_xlfn.IFNA(VLOOKUP(Wapato_Inventory[[#This Row],[condition]],Lookups!$H$17:$J$24,3,FALSE),0)</f>
        <v>52231</v>
      </c>
      <c r="BM229" s="7">
        <f>Wapato_Inventory[[#This Row],[Age]]*Lookups!$B$16</f>
        <v>-38179.597099999999</v>
      </c>
      <c r="BN229" s="7">
        <f>Wapato_Inventory[[#This Row],[Main Floor]]*Lookups!$B$17</f>
        <v>52919.735573999998</v>
      </c>
      <c r="BO229" s="7">
        <f>Wapato_Inventory[[#This Row],[Upper Floor]]*Lookups!$B$18</f>
        <v>0</v>
      </c>
      <c r="BP229" s="7">
        <f>Wapato_Inventory[[#This Row],[Fin BSMT]]*Lookups!$B$19</f>
        <v>0</v>
      </c>
      <c r="BQ229" s="7">
        <f>(Wapato_Inventory[[#This Row],[att_gar]]+Wapato_Inventory[[#This Row],[blt_gar]])*Lookups!$B$20</f>
        <v>0</v>
      </c>
      <c r="BR229" s="7">
        <f>Wapato_Inventory[[#This Row],[Patio]]*Lookups!$B$21</f>
        <v>0</v>
      </c>
      <c r="BS229" s="7">
        <f>SUM(Wapato_Inventory[[#This Row],[intercept]:[patio_value]])*Wapato_Inventory[[#This Row],[res_pct]]</f>
        <v>120736.408474</v>
      </c>
      <c r="BT229" s="7">
        <f>Wapato_Inventory[[#This Row],[land_value]]</f>
        <v>53000</v>
      </c>
      <c r="BU229" s="2">
        <f>_xlfn.IFNA(VLOOKUP(Wapato_Inventory[[#This Row],[quality]],Lookups!$A$28:$C$37,3,FALSE),1)</f>
        <v>1.0000010866511106</v>
      </c>
      <c r="BV229" s="2">
        <f>_xlfn.IFNA(VLOOKUP(Wapato_Inventory[[#This Row],[condition]],Lookups!$A$41:$C$48,3,FALSE),1)</f>
        <v>0.9832333997567807</v>
      </c>
      <c r="BW229" s="2">
        <f>IF(Wapato_Inventory[[#This Row],[decade]]="",1,_xlfn.IFNA(VLOOKUP(Wapato_Inventory[[#This Row],[decade]],Lookups!$F$28:$H$45,3,FALSE),1))</f>
        <v>0.93664589651353292</v>
      </c>
      <c r="BX229" s="2">
        <f>_xlfn.IFNA(VLOOKUP(Wapato_Inventory[[#This Row],[living_area_range]],Lookups!$K$28:$M$37,3,FALSE),1)</f>
        <v>1.0061411172456287</v>
      </c>
      <c r="BY229" s="2">
        <f>AVERAGE(Wapato_Inventory[[#This Row],[qual_adj]:[range_adj]])</f>
        <v>0.98150537504176327</v>
      </c>
      <c r="BZ229" s="7">
        <f>(Wapato_Inventory[[#This Row],[sum_land]]-IF(Wapato_Inventory[[#This Row],[no_utilities]]=1,12000,0))/IF(Wapato_Inventory[[#This Row],[unbuildable]]=1,2,1)</f>
        <v>53000</v>
      </c>
      <c r="CA229" s="7">
        <f>Wapato_Inventory[[#This Row],[pre_res]]*Wapato_Inventory[[#This Row],[overall_adj]]</f>
        <v>118503.43388046889</v>
      </c>
      <c r="CB22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29" s="3">
        <f>IF(ROUND(Wapato_Inventory[[#This Row],[adj_res]]*Lookups!$H$48,-2)&lt;Wapato_Inventory[[#This Row],[min_res]],Wapato_Inventory[[#This Row],[min_res]],ROUND(Wapato_Inventory[[#This Row],[adj_res]]*Lookups!$H$48,-2))</f>
        <v>112600</v>
      </c>
      <c r="CD229" s="3">
        <f>ROUND(Wapato_Inventory[[#This Row],[det_value]]*Lookups!$H$48,-2)</f>
        <v>0</v>
      </c>
      <c r="CE229" s="3">
        <f>Wapato_Inventory[[#This Row],[final_res]]+Wapato_Inventory[[#This Row],[final_det]]</f>
        <v>112600</v>
      </c>
      <c r="CF229" s="3">
        <f>Wapato_Inventory[[#This Row],[crop_value]]+Wapato_Inventory[[#This Row],[final_land]]+Wapato_Inventory[[#This Row],[final_imp]]</f>
        <v>163000</v>
      </c>
      <c r="CH229" t="str">
        <f t="shared" si="3"/>
        <v>update valuation set market_land =50400, market_bldg=112600, market_total =163000, market_mdno =405, market_date ='9/10/2023' where link_id = (select link_id from parcel where parcel_year = '2024' and parcel_id = '19111041521');</v>
      </c>
    </row>
    <row r="230" spans="1:86" x14ac:dyDescent="0.25">
      <c r="A230">
        <v>19111041523</v>
      </c>
      <c r="B230">
        <v>0.14000000000000001</v>
      </c>
      <c r="C230">
        <v>6244</v>
      </c>
      <c r="D230" t="s">
        <v>144</v>
      </c>
      <c r="E230" t="s">
        <v>54</v>
      </c>
      <c r="F230" t="s">
        <v>54</v>
      </c>
      <c r="G230">
        <v>3</v>
      </c>
      <c r="H230" t="s">
        <v>55</v>
      </c>
      <c r="I230">
        <v>220500</v>
      </c>
      <c r="J230">
        <v>31900</v>
      </c>
      <c r="K230">
        <v>0.14000000000000001</v>
      </c>
      <c r="L230">
        <f>IF(Wapato_Inventory[[#This Row],[parcel_acres]]-Wapato_Inventory[[#This Row],[non_valued_acres]] =0,0,LN(Wapato_Inventory[[#This Row],[parcel_acres]]-Wapato_Inventory[[#This Row],[non_valued_acres]]))</f>
        <v>-1.9661128563728327</v>
      </c>
      <c r="M230">
        <v>0</v>
      </c>
      <c r="N230">
        <v>0</v>
      </c>
      <c r="O230">
        <v>0</v>
      </c>
      <c r="P230">
        <v>27904.037</v>
      </c>
      <c r="Q230">
        <v>74398</v>
      </c>
      <c r="R230" s="3">
        <f>(Wapato_Inventory[[#This Row],[ln_acres]]*Wapato_Inventory[[#This Row],[coeff]])+Wapato_Inventory[[#This Row],[const]]</f>
        <v>19535.514109596792</v>
      </c>
      <c r="S230" t="s">
        <v>56</v>
      </c>
      <c r="T230">
        <v>2</v>
      </c>
      <c r="U230" t="s">
        <v>75</v>
      </c>
      <c r="V230" t="s">
        <v>69</v>
      </c>
      <c r="W230">
        <v>0</v>
      </c>
      <c r="X230">
        <v>0</v>
      </c>
      <c r="Y230">
        <v>53</v>
      </c>
      <c r="Z230">
        <v>92</v>
      </c>
      <c r="AA230">
        <v>100</v>
      </c>
      <c r="AB230">
        <v>2000</v>
      </c>
      <c r="AC230">
        <v>1924</v>
      </c>
      <c r="AD230">
        <v>1404</v>
      </c>
      <c r="AE230">
        <v>520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153</v>
      </c>
      <c r="AO230">
        <v>0</v>
      </c>
      <c r="AP230">
        <v>8</v>
      </c>
      <c r="AQ230">
        <v>0</v>
      </c>
      <c r="AR230">
        <v>0</v>
      </c>
      <c r="AS230" t="s">
        <v>59</v>
      </c>
      <c r="AT230">
        <v>1</v>
      </c>
      <c r="AU230" t="s">
        <v>64</v>
      </c>
      <c r="AV230" t="s">
        <v>65</v>
      </c>
      <c r="AW230">
        <v>1</v>
      </c>
      <c r="AX230">
        <v>4</v>
      </c>
      <c r="AY230">
        <v>0</v>
      </c>
      <c r="AZ230">
        <v>0</v>
      </c>
      <c r="BA230">
        <v>100</v>
      </c>
      <c r="BB230">
        <v>100</v>
      </c>
      <c r="BC230">
        <v>100</v>
      </c>
      <c r="BD230">
        <v>100</v>
      </c>
      <c r="BE230">
        <v>1</v>
      </c>
      <c r="BF230">
        <v>15000</v>
      </c>
      <c r="BG230">
        <v>1000</v>
      </c>
      <c r="BH230" s="7">
        <f>ROUND(Wapato_Inventory[[#This Row],[detatched_value]]*Lookups!$B$22*Lookups!$H$48,-2)</f>
        <v>0</v>
      </c>
      <c r="BI230" s="7">
        <f>ROUND(((Wapato_Inventory[[#This Row],[land_extract]]*Lookups!$B$3) +(Lookups!$B$2*0.5))*Lookups!$H$48,-2)</f>
        <v>53000</v>
      </c>
      <c r="BJ230" s="7">
        <f>IF(Wapato_Inventory[[#This Row],[bldg_style]]="",0,Lookups!$B$2*0.5)</f>
        <v>53765.27</v>
      </c>
      <c r="BK230" s="7">
        <f>_xlfn.IFNA(VLOOKUP(Wapato_Inventory[[#This Row],[quality]],Lookups!$H$2:$J$14,3,FALSE),0)</f>
        <v>48043</v>
      </c>
      <c r="BL230" s="7">
        <f>_xlfn.IFNA(VLOOKUP(Wapato_Inventory[[#This Row],[condition]],Lookups!$H$17:$J$24,3,FALSE),0)</f>
        <v>74543</v>
      </c>
      <c r="BM230" s="7">
        <f>Wapato_Inventory[[#This Row],[Age]]*Lookups!$B$16</f>
        <v>-34102.164400000001</v>
      </c>
      <c r="BN230" s="7">
        <f>Wapato_Inventory[[#This Row],[Main Floor]]*Lookups!$B$17</f>
        <v>58688.237556</v>
      </c>
      <c r="BO230" s="7">
        <f>Wapato_Inventory[[#This Row],[Upper Floor]]*Lookups!$B$18</f>
        <v>25792.592280000001</v>
      </c>
      <c r="BP230" s="7">
        <f>Wapato_Inventory[[#This Row],[Fin BSMT]]*Lookups!$B$19</f>
        <v>0</v>
      </c>
      <c r="BQ230" s="7">
        <f>(Wapato_Inventory[[#This Row],[att_gar]]+Wapato_Inventory[[#This Row],[blt_gar]])*Lookups!$B$20</f>
        <v>0</v>
      </c>
      <c r="BR230" s="7">
        <f>Wapato_Inventory[[#This Row],[Patio]]*Lookups!$B$21</f>
        <v>0</v>
      </c>
      <c r="BS230" s="7">
        <f>SUM(Wapato_Inventory[[#This Row],[intercept]:[patio_value]])*Wapato_Inventory[[#This Row],[res_pct]]</f>
        <v>226729.935436</v>
      </c>
      <c r="BT230" s="7">
        <f>Wapato_Inventory[[#This Row],[land_value]]</f>
        <v>53000</v>
      </c>
      <c r="BU230" s="2">
        <f>_xlfn.IFNA(VLOOKUP(Wapato_Inventory[[#This Row],[quality]],Lookups!$A$28:$C$37,3,FALSE),1)</f>
        <v>0.98196844879778955</v>
      </c>
      <c r="BV230" s="2">
        <f>_xlfn.IFNA(VLOOKUP(Wapato_Inventory[[#This Row],[condition]],Lookups!$A$41:$C$48,3,FALSE),1)</f>
        <v>0.98442438223270734</v>
      </c>
      <c r="BW230" s="2">
        <f>IF(Wapato_Inventory[[#This Row],[decade]]="",1,_xlfn.IFNA(VLOOKUP(Wapato_Inventory[[#This Row],[decade]],Lookups!$F$28:$H$45,3,FALSE),1))</f>
        <v>1.0114203040664467</v>
      </c>
      <c r="BX230" s="2">
        <f>_xlfn.IFNA(VLOOKUP(Wapato_Inventory[[#This Row],[living_area_range]],Lookups!$K$28:$M$37,3,FALSE),1)</f>
        <v>0.99330894324714125</v>
      </c>
      <c r="BY230" s="2">
        <f>AVERAGE(Wapato_Inventory[[#This Row],[qual_adj]:[range_adj]])</f>
        <v>0.9927805195860212</v>
      </c>
      <c r="BZ230" s="7">
        <f>(Wapato_Inventory[[#This Row],[sum_land]]-IF(Wapato_Inventory[[#This Row],[no_utilities]]=1,12000,0))/IF(Wapato_Inventory[[#This Row],[unbuildable]]=1,2,1)</f>
        <v>53000</v>
      </c>
      <c r="CA230" s="7">
        <f>Wapato_Inventory[[#This Row],[pre_res]]*Wapato_Inventory[[#This Row],[overall_adj]]</f>
        <v>225093.06310785713</v>
      </c>
      <c r="CB23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30" s="3">
        <f>IF(ROUND(Wapato_Inventory[[#This Row],[adj_res]]*Lookups!$H$48,-2)&lt;Wapato_Inventory[[#This Row],[min_res]],Wapato_Inventory[[#This Row],[min_res]],ROUND(Wapato_Inventory[[#This Row],[adj_res]]*Lookups!$H$48,-2))</f>
        <v>213800</v>
      </c>
      <c r="CD230" s="3">
        <f>ROUND(Wapato_Inventory[[#This Row],[det_value]]*Lookups!$H$48,-2)</f>
        <v>0</v>
      </c>
      <c r="CE230" s="3">
        <f>Wapato_Inventory[[#This Row],[final_res]]+Wapato_Inventory[[#This Row],[final_det]]</f>
        <v>213800</v>
      </c>
      <c r="CF230" s="3">
        <f>Wapato_Inventory[[#This Row],[crop_value]]+Wapato_Inventory[[#This Row],[final_land]]+Wapato_Inventory[[#This Row],[final_imp]]</f>
        <v>264200</v>
      </c>
      <c r="CH230" t="str">
        <f t="shared" si="3"/>
        <v>update valuation set market_land =50400, market_bldg=213800, market_total =264200, market_mdno =405, market_date ='9/10/2023' where link_id = (select link_id from parcel where parcel_year = '2024' and parcel_id = '19111041523');</v>
      </c>
    </row>
    <row r="231" spans="1:86" x14ac:dyDescent="0.25">
      <c r="A231">
        <v>19111041526</v>
      </c>
      <c r="B231">
        <v>0.14000000000000001</v>
      </c>
      <c r="C231">
        <v>5970</v>
      </c>
      <c r="D231" t="s">
        <v>144</v>
      </c>
      <c r="E231" t="s">
        <v>54</v>
      </c>
      <c r="F231" t="s">
        <v>54</v>
      </c>
      <c r="G231">
        <v>3</v>
      </c>
      <c r="H231" t="s">
        <v>55</v>
      </c>
      <c r="I231">
        <v>105000</v>
      </c>
      <c r="J231">
        <v>31900</v>
      </c>
      <c r="K231">
        <v>0.14000000000000001</v>
      </c>
      <c r="L231">
        <f>IF(Wapato_Inventory[[#This Row],[parcel_acres]]-Wapato_Inventory[[#This Row],[non_valued_acres]] =0,0,LN(Wapato_Inventory[[#This Row],[parcel_acres]]-Wapato_Inventory[[#This Row],[non_valued_acres]]))</f>
        <v>-1.9661128563728327</v>
      </c>
      <c r="M231">
        <v>0</v>
      </c>
      <c r="N231">
        <v>0</v>
      </c>
      <c r="O231">
        <v>0</v>
      </c>
      <c r="P231">
        <v>27904.037</v>
      </c>
      <c r="Q231">
        <v>74398</v>
      </c>
      <c r="R231" s="3">
        <f>(Wapato_Inventory[[#This Row],[ln_acres]]*Wapato_Inventory[[#This Row],[coeff]])+Wapato_Inventory[[#This Row],[const]]</f>
        <v>19535.514109596792</v>
      </c>
      <c r="S231" t="s">
        <v>66</v>
      </c>
      <c r="T231">
        <v>1</v>
      </c>
      <c r="U231" t="s">
        <v>71</v>
      </c>
      <c r="V231" t="s">
        <v>68</v>
      </c>
      <c r="W231">
        <v>0</v>
      </c>
      <c r="X231">
        <v>0</v>
      </c>
      <c r="Y231">
        <v>57</v>
      </c>
      <c r="Z231">
        <v>103</v>
      </c>
      <c r="AA231">
        <v>110</v>
      </c>
      <c r="AB231">
        <v>1000</v>
      </c>
      <c r="AC231">
        <v>775</v>
      </c>
      <c r="AD231">
        <v>775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252</v>
      </c>
      <c r="AL231">
        <v>0</v>
      </c>
      <c r="AM231">
        <v>0</v>
      </c>
      <c r="AN231">
        <v>0</v>
      </c>
      <c r="AO231">
        <v>0</v>
      </c>
      <c r="AP231">
        <v>5</v>
      </c>
      <c r="AQ231">
        <v>0</v>
      </c>
      <c r="AR231">
        <v>0</v>
      </c>
      <c r="AS231" t="s">
        <v>82</v>
      </c>
      <c r="AT231">
        <v>0</v>
      </c>
      <c r="AU231" t="s">
        <v>80</v>
      </c>
      <c r="AV231" t="s">
        <v>61</v>
      </c>
      <c r="AW231">
        <v>0</v>
      </c>
      <c r="AX231">
        <v>2</v>
      </c>
      <c r="AY231">
        <v>0</v>
      </c>
      <c r="AZ231">
        <v>0</v>
      </c>
      <c r="BA231">
        <v>100</v>
      </c>
      <c r="BB231">
        <v>100</v>
      </c>
      <c r="BC231">
        <v>100</v>
      </c>
      <c r="BD231">
        <v>100</v>
      </c>
      <c r="BE231">
        <v>1</v>
      </c>
      <c r="BF231">
        <v>15000</v>
      </c>
      <c r="BG231">
        <v>1000</v>
      </c>
      <c r="BH231" s="7">
        <f>ROUND(Wapato_Inventory[[#This Row],[detatched_value]]*Lookups!$B$22*Lookups!$H$48,-2)</f>
        <v>0</v>
      </c>
      <c r="BI231" s="7">
        <f>ROUND(((Wapato_Inventory[[#This Row],[land_extract]]*Lookups!$B$3) +(Lookups!$B$2*0.5))*Lookups!$H$48,-2)</f>
        <v>53000</v>
      </c>
      <c r="BJ231" s="7">
        <f>IF(Wapato_Inventory[[#This Row],[bldg_style]]="",0,Lookups!$B$2*0.5)</f>
        <v>53765.27</v>
      </c>
      <c r="BK231" s="7">
        <f>_xlfn.IFNA(VLOOKUP(Wapato_Inventory[[#This Row],[quality]],Lookups!$H$2:$J$14,3,FALSE),0)</f>
        <v>28034</v>
      </c>
      <c r="BL231" s="7">
        <f>_xlfn.IFNA(VLOOKUP(Wapato_Inventory[[#This Row],[condition]],Lookups!$H$17:$J$24,3,FALSE),0)</f>
        <v>52231</v>
      </c>
      <c r="BM231" s="7">
        <f>Wapato_Inventory[[#This Row],[Age]]*Lookups!$B$16</f>
        <v>-38179.597099999999</v>
      </c>
      <c r="BN231" s="7">
        <f>Wapato_Inventory[[#This Row],[Main Floor]]*Lookups!$B$17</f>
        <v>32395.572725000002</v>
      </c>
      <c r="BO231" s="7">
        <f>Wapato_Inventory[[#This Row],[Upper Floor]]*Lookups!$B$18</f>
        <v>0</v>
      </c>
      <c r="BP231" s="7">
        <f>Wapato_Inventory[[#This Row],[Fin BSMT]]*Lookups!$B$19</f>
        <v>0</v>
      </c>
      <c r="BQ231" s="7">
        <f>(Wapato_Inventory[[#This Row],[att_gar]]+Wapato_Inventory[[#This Row],[blt_gar]])*Lookups!$B$20</f>
        <v>0</v>
      </c>
      <c r="BR231" s="7">
        <f>Wapato_Inventory[[#This Row],[Patio]]*Lookups!$B$21</f>
        <v>0</v>
      </c>
      <c r="BS231" s="7">
        <f>SUM(Wapato_Inventory[[#This Row],[intercept]:[patio_value]])*Wapato_Inventory[[#This Row],[res_pct]]</f>
        <v>128246.245625</v>
      </c>
      <c r="BT231" s="7">
        <f>Wapato_Inventory[[#This Row],[land_value]]</f>
        <v>53000</v>
      </c>
      <c r="BU231" s="2">
        <f>_xlfn.IFNA(VLOOKUP(Wapato_Inventory[[#This Row],[quality]],Lookups!$A$28:$C$37,3,FALSE),1)</f>
        <v>0.96265813922927435</v>
      </c>
      <c r="BV231" s="2">
        <f>_xlfn.IFNA(VLOOKUP(Wapato_Inventory[[#This Row],[condition]],Lookups!$A$41:$C$48,3,FALSE),1)</f>
        <v>0.9832333997567807</v>
      </c>
      <c r="BW231" s="2">
        <f>IF(Wapato_Inventory[[#This Row],[decade]]="",1,_xlfn.IFNA(VLOOKUP(Wapato_Inventory[[#This Row],[decade]],Lookups!$F$28:$H$45,3,FALSE),1))</f>
        <v>0.93664589651353292</v>
      </c>
      <c r="BX231" s="2">
        <f>_xlfn.IFNA(VLOOKUP(Wapato_Inventory[[#This Row],[living_area_range]],Lookups!$K$28:$M$37,3,FALSE),1)</f>
        <v>0.99022994770196116</v>
      </c>
      <c r="BY231" s="2">
        <f>AVERAGE(Wapato_Inventory[[#This Row],[qual_adj]:[range_adj]])</f>
        <v>0.9681918458003872</v>
      </c>
      <c r="BZ231" s="7">
        <f>(Wapato_Inventory[[#This Row],[sum_land]]-IF(Wapato_Inventory[[#This Row],[no_utilities]]=1,12000,0))/IF(Wapato_Inventory[[#This Row],[unbuildable]]=1,2,1)</f>
        <v>53000</v>
      </c>
      <c r="CA231" s="7">
        <f>Wapato_Inventory[[#This Row],[pre_res]]*Wapato_Inventory[[#This Row],[overall_adj]]</f>
        <v>124166.96926863858</v>
      </c>
      <c r="CB23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31" s="3">
        <f>IF(ROUND(Wapato_Inventory[[#This Row],[adj_res]]*Lookups!$H$48,-2)&lt;Wapato_Inventory[[#This Row],[min_res]],Wapato_Inventory[[#This Row],[min_res]],ROUND(Wapato_Inventory[[#This Row],[adj_res]]*Lookups!$H$48,-2))</f>
        <v>118000</v>
      </c>
      <c r="CD231" s="3">
        <f>ROUND(Wapato_Inventory[[#This Row],[det_value]]*Lookups!$H$48,-2)</f>
        <v>0</v>
      </c>
      <c r="CE231" s="3">
        <f>Wapato_Inventory[[#This Row],[final_res]]+Wapato_Inventory[[#This Row],[final_det]]</f>
        <v>118000</v>
      </c>
      <c r="CF231" s="3">
        <f>Wapato_Inventory[[#This Row],[crop_value]]+Wapato_Inventory[[#This Row],[final_land]]+Wapato_Inventory[[#This Row],[final_imp]]</f>
        <v>168400</v>
      </c>
      <c r="CH231" t="str">
        <f t="shared" si="3"/>
        <v>update valuation set market_land =50400, market_bldg=118000, market_total =168400, market_mdno =405, market_date ='9/10/2023' where link_id = (select link_id from parcel where parcel_year = '2024' and parcel_id = '19111041526');</v>
      </c>
    </row>
    <row r="232" spans="1:86" x14ac:dyDescent="0.25">
      <c r="A232">
        <v>19111041527</v>
      </c>
      <c r="B232">
        <v>0.14000000000000001</v>
      </c>
      <c r="C232">
        <v>5970</v>
      </c>
      <c r="D232" t="s">
        <v>144</v>
      </c>
      <c r="E232" t="s">
        <v>54</v>
      </c>
      <c r="F232" t="s">
        <v>54</v>
      </c>
      <c r="G232">
        <v>3</v>
      </c>
      <c r="H232" t="s">
        <v>55</v>
      </c>
      <c r="I232">
        <v>114800</v>
      </c>
      <c r="J232">
        <v>31900</v>
      </c>
      <c r="K232">
        <v>0.14000000000000001</v>
      </c>
      <c r="L232">
        <f>IF(Wapato_Inventory[[#This Row],[parcel_acres]]-Wapato_Inventory[[#This Row],[non_valued_acres]] =0,0,LN(Wapato_Inventory[[#This Row],[parcel_acres]]-Wapato_Inventory[[#This Row],[non_valued_acres]]))</f>
        <v>-1.9661128563728327</v>
      </c>
      <c r="M232">
        <v>0</v>
      </c>
      <c r="N232">
        <v>0</v>
      </c>
      <c r="O232">
        <v>0</v>
      </c>
      <c r="P232">
        <v>27904.037</v>
      </c>
      <c r="Q232">
        <v>74398</v>
      </c>
      <c r="R232" s="3">
        <f>(Wapato_Inventory[[#This Row],[ln_acres]]*Wapato_Inventory[[#This Row],[coeff]])+Wapato_Inventory[[#This Row],[const]]</f>
        <v>19535.514109596792</v>
      </c>
      <c r="S232" t="s">
        <v>66</v>
      </c>
      <c r="T232">
        <v>1</v>
      </c>
      <c r="U232" t="s">
        <v>71</v>
      </c>
      <c r="V232" t="s">
        <v>68</v>
      </c>
      <c r="W232">
        <v>0</v>
      </c>
      <c r="X232">
        <v>0</v>
      </c>
      <c r="Y232">
        <v>52</v>
      </c>
      <c r="Z232">
        <v>88</v>
      </c>
      <c r="AA232">
        <v>90</v>
      </c>
      <c r="AB232">
        <v>1000</v>
      </c>
      <c r="AC232">
        <v>884</v>
      </c>
      <c r="AD232">
        <v>884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5</v>
      </c>
      <c r="AQ232">
        <v>0</v>
      </c>
      <c r="AR232">
        <v>0</v>
      </c>
      <c r="AS232" t="s">
        <v>59</v>
      </c>
      <c r="AT232">
        <v>0</v>
      </c>
      <c r="AU232" t="s">
        <v>80</v>
      </c>
      <c r="AV232" t="s">
        <v>61</v>
      </c>
      <c r="AW232">
        <v>0</v>
      </c>
      <c r="AX232">
        <v>2</v>
      </c>
      <c r="AY232">
        <v>0</v>
      </c>
      <c r="AZ232">
        <v>0</v>
      </c>
      <c r="BA232">
        <v>100</v>
      </c>
      <c r="BB232">
        <v>100</v>
      </c>
      <c r="BC232">
        <v>100</v>
      </c>
      <c r="BD232">
        <v>100</v>
      </c>
      <c r="BE232">
        <v>1</v>
      </c>
      <c r="BF232">
        <v>15000</v>
      </c>
      <c r="BG232">
        <v>1000</v>
      </c>
      <c r="BH232" s="7">
        <f>ROUND(Wapato_Inventory[[#This Row],[detatched_value]]*Lookups!$B$22*Lookups!$H$48,-2)</f>
        <v>0</v>
      </c>
      <c r="BI232" s="7">
        <f>ROUND(((Wapato_Inventory[[#This Row],[land_extract]]*Lookups!$B$3) +(Lookups!$B$2*0.5))*Lookups!$H$48,-2)</f>
        <v>53000</v>
      </c>
      <c r="BJ232" s="7">
        <f>IF(Wapato_Inventory[[#This Row],[bldg_style]]="",0,Lookups!$B$2*0.5)</f>
        <v>53765.27</v>
      </c>
      <c r="BK232" s="7">
        <f>_xlfn.IFNA(VLOOKUP(Wapato_Inventory[[#This Row],[quality]],Lookups!$H$2:$J$14,3,FALSE),0)</f>
        <v>28034</v>
      </c>
      <c r="BL232" s="7">
        <f>_xlfn.IFNA(VLOOKUP(Wapato_Inventory[[#This Row],[condition]],Lookups!$H$17:$J$24,3,FALSE),0)</f>
        <v>52231</v>
      </c>
      <c r="BM232" s="7">
        <f>Wapato_Inventory[[#This Row],[Age]]*Lookups!$B$16</f>
        <v>-32619.461600000002</v>
      </c>
      <c r="BN232" s="7">
        <f>Wapato_Inventory[[#This Row],[Main Floor]]*Lookups!$B$17</f>
        <v>36951.853276000002</v>
      </c>
      <c r="BO232" s="7">
        <f>Wapato_Inventory[[#This Row],[Upper Floor]]*Lookups!$B$18</f>
        <v>0</v>
      </c>
      <c r="BP232" s="7">
        <f>Wapato_Inventory[[#This Row],[Fin BSMT]]*Lookups!$B$19</f>
        <v>0</v>
      </c>
      <c r="BQ232" s="7">
        <f>(Wapato_Inventory[[#This Row],[att_gar]]+Wapato_Inventory[[#This Row],[blt_gar]])*Lookups!$B$20</f>
        <v>0</v>
      </c>
      <c r="BR232" s="7">
        <f>Wapato_Inventory[[#This Row],[Patio]]*Lookups!$B$21</f>
        <v>0</v>
      </c>
      <c r="BS232" s="7">
        <f>SUM(Wapato_Inventory[[#This Row],[intercept]:[patio_value]])*Wapato_Inventory[[#This Row],[res_pct]]</f>
        <v>138362.66167599999</v>
      </c>
      <c r="BT232" s="7">
        <f>Wapato_Inventory[[#This Row],[land_value]]</f>
        <v>53000</v>
      </c>
      <c r="BU232" s="2">
        <f>_xlfn.IFNA(VLOOKUP(Wapato_Inventory[[#This Row],[quality]],Lookups!$A$28:$C$37,3,FALSE),1)</f>
        <v>0.96265813922927435</v>
      </c>
      <c r="BV232" s="2">
        <f>_xlfn.IFNA(VLOOKUP(Wapato_Inventory[[#This Row],[condition]],Lookups!$A$41:$C$48,3,FALSE),1)</f>
        <v>0.9832333997567807</v>
      </c>
      <c r="BW232" s="2">
        <f>IF(Wapato_Inventory[[#This Row],[decade]]="",1,_xlfn.IFNA(VLOOKUP(Wapato_Inventory[[#This Row],[decade]],Lookups!$F$28:$H$45,3,FALSE),1))</f>
        <v>0.94742695999815718</v>
      </c>
      <c r="BX232" s="2">
        <f>_xlfn.IFNA(VLOOKUP(Wapato_Inventory[[#This Row],[living_area_range]],Lookups!$K$28:$M$37,3,FALSE),1)</f>
        <v>0.99022994770196116</v>
      </c>
      <c r="BY232" s="2">
        <f>AVERAGE(Wapato_Inventory[[#This Row],[qual_adj]:[range_adj]])</f>
        <v>0.97088711167154329</v>
      </c>
      <c r="BZ232" s="7">
        <f>(Wapato_Inventory[[#This Row],[sum_land]]-IF(Wapato_Inventory[[#This Row],[no_utilities]]=1,12000,0))/IF(Wapato_Inventory[[#This Row],[unbuildable]]=1,2,1)</f>
        <v>53000</v>
      </c>
      <c r="CA232" s="7">
        <f>Wapato_Inventory[[#This Row],[pre_res]]*Wapato_Inventory[[#This Row],[overall_adj]]</f>
        <v>134334.52495779857</v>
      </c>
      <c r="CB23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32" s="3">
        <f>IF(ROUND(Wapato_Inventory[[#This Row],[adj_res]]*Lookups!$H$48,-2)&lt;Wapato_Inventory[[#This Row],[min_res]],Wapato_Inventory[[#This Row],[min_res]],ROUND(Wapato_Inventory[[#This Row],[adj_res]]*Lookups!$H$48,-2))</f>
        <v>127600</v>
      </c>
      <c r="CD232" s="3">
        <f>ROUND(Wapato_Inventory[[#This Row],[det_value]]*Lookups!$H$48,-2)</f>
        <v>0</v>
      </c>
      <c r="CE232" s="3">
        <f>Wapato_Inventory[[#This Row],[final_res]]+Wapato_Inventory[[#This Row],[final_det]]</f>
        <v>127600</v>
      </c>
      <c r="CF232" s="3">
        <f>Wapato_Inventory[[#This Row],[crop_value]]+Wapato_Inventory[[#This Row],[final_land]]+Wapato_Inventory[[#This Row],[final_imp]]</f>
        <v>178000</v>
      </c>
      <c r="CH232" t="str">
        <f t="shared" si="3"/>
        <v>update valuation set market_land =50400, market_bldg=127600, market_total =178000, market_mdno =405, market_date ='9/10/2023' where link_id = (select link_id from parcel where parcel_year = '2024' and parcel_id = '19111041527');</v>
      </c>
    </row>
    <row r="233" spans="1:86" x14ac:dyDescent="0.25">
      <c r="A233">
        <v>19111041528</v>
      </c>
      <c r="B233">
        <v>0.14000000000000001</v>
      </c>
      <c r="C233">
        <v>5970</v>
      </c>
      <c r="D233" t="s">
        <v>144</v>
      </c>
      <c r="E233" t="s">
        <v>54</v>
      </c>
      <c r="F233" t="s">
        <v>54</v>
      </c>
      <c r="G233">
        <v>3</v>
      </c>
      <c r="H233" t="s">
        <v>55</v>
      </c>
      <c r="I233">
        <v>96000</v>
      </c>
      <c r="J233">
        <v>31900</v>
      </c>
      <c r="K233">
        <v>0.14000000000000001</v>
      </c>
      <c r="L233">
        <f>IF(Wapato_Inventory[[#This Row],[parcel_acres]]-Wapato_Inventory[[#This Row],[non_valued_acres]] =0,0,LN(Wapato_Inventory[[#This Row],[parcel_acres]]-Wapato_Inventory[[#This Row],[non_valued_acres]]))</f>
        <v>-1.9661128563728327</v>
      </c>
      <c r="M233">
        <v>0</v>
      </c>
      <c r="N233">
        <v>0</v>
      </c>
      <c r="O233">
        <v>0</v>
      </c>
      <c r="P233">
        <v>27904.037</v>
      </c>
      <c r="Q233">
        <v>74398</v>
      </c>
      <c r="R233" s="3">
        <f>(Wapato_Inventory[[#This Row],[ln_acres]]*Wapato_Inventory[[#This Row],[coeff]])+Wapato_Inventory[[#This Row],[const]]</f>
        <v>19535.514109596792</v>
      </c>
      <c r="S233" t="s">
        <v>66</v>
      </c>
      <c r="T233">
        <v>1</v>
      </c>
      <c r="U233" t="s">
        <v>71</v>
      </c>
      <c r="V233" t="s">
        <v>68</v>
      </c>
      <c r="W233">
        <v>0</v>
      </c>
      <c r="X233">
        <v>0</v>
      </c>
      <c r="Y233">
        <v>57</v>
      </c>
      <c r="Z233">
        <v>103</v>
      </c>
      <c r="AA233">
        <v>110</v>
      </c>
      <c r="AB233">
        <v>1000</v>
      </c>
      <c r="AC233">
        <v>912</v>
      </c>
      <c r="AD233">
        <v>912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216</v>
      </c>
      <c r="AL233">
        <v>0</v>
      </c>
      <c r="AM233">
        <v>0</v>
      </c>
      <c r="AN233">
        <v>0</v>
      </c>
      <c r="AO233">
        <v>0</v>
      </c>
      <c r="AP233">
        <v>5</v>
      </c>
      <c r="AQ233">
        <v>0</v>
      </c>
      <c r="AR233">
        <v>0</v>
      </c>
      <c r="AS233" t="s">
        <v>59</v>
      </c>
      <c r="AT233">
        <v>1</v>
      </c>
      <c r="AU233" t="s">
        <v>76</v>
      </c>
      <c r="AV233" t="s">
        <v>61</v>
      </c>
      <c r="AW233">
        <v>0</v>
      </c>
      <c r="AX233">
        <v>2</v>
      </c>
      <c r="AY233">
        <v>0</v>
      </c>
      <c r="AZ233">
        <v>0</v>
      </c>
      <c r="BA233">
        <v>100</v>
      </c>
      <c r="BB233">
        <v>100</v>
      </c>
      <c r="BC233">
        <v>100</v>
      </c>
      <c r="BD233">
        <v>100</v>
      </c>
      <c r="BE233">
        <v>1</v>
      </c>
      <c r="BF233">
        <v>15000</v>
      </c>
      <c r="BG233">
        <v>1000</v>
      </c>
      <c r="BH233" s="7">
        <f>ROUND(Wapato_Inventory[[#This Row],[detatched_value]]*Lookups!$B$22*Lookups!$H$48,-2)</f>
        <v>0</v>
      </c>
      <c r="BI233" s="7">
        <f>ROUND(((Wapato_Inventory[[#This Row],[land_extract]]*Lookups!$B$3) +(Lookups!$B$2*0.5))*Lookups!$H$48,-2)</f>
        <v>53000</v>
      </c>
      <c r="BJ233" s="7">
        <f>IF(Wapato_Inventory[[#This Row],[bldg_style]]="",0,Lookups!$B$2*0.5)</f>
        <v>53765.27</v>
      </c>
      <c r="BK233" s="7">
        <f>_xlfn.IFNA(VLOOKUP(Wapato_Inventory[[#This Row],[quality]],Lookups!$H$2:$J$14,3,FALSE),0)</f>
        <v>28034</v>
      </c>
      <c r="BL233" s="7">
        <f>_xlfn.IFNA(VLOOKUP(Wapato_Inventory[[#This Row],[condition]],Lookups!$H$17:$J$24,3,FALSE),0)</f>
        <v>52231</v>
      </c>
      <c r="BM233" s="7">
        <f>Wapato_Inventory[[#This Row],[Age]]*Lookups!$B$16</f>
        <v>-38179.597099999999</v>
      </c>
      <c r="BN233" s="7">
        <f>Wapato_Inventory[[#This Row],[Main Floor]]*Lookups!$B$17</f>
        <v>38122.273968000001</v>
      </c>
      <c r="BO233" s="7">
        <f>Wapato_Inventory[[#This Row],[Upper Floor]]*Lookups!$B$18</f>
        <v>0</v>
      </c>
      <c r="BP233" s="7">
        <f>Wapato_Inventory[[#This Row],[Fin BSMT]]*Lookups!$B$19</f>
        <v>0</v>
      </c>
      <c r="BQ233" s="7">
        <f>(Wapato_Inventory[[#This Row],[att_gar]]+Wapato_Inventory[[#This Row],[blt_gar]])*Lookups!$B$20</f>
        <v>0</v>
      </c>
      <c r="BR233" s="7">
        <f>Wapato_Inventory[[#This Row],[Patio]]*Lookups!$B$21</f>
        <v>0</v>
      </c>
      <c r="BS233" s="7">
        <f>SUM(Wapato_Inventory[[#This Row],[intercept]:[patio_value]])*Wapato_Inventory[[#This Row],[res_pct]]</f>
        <v>133972.946868</v>
      </c>
      <c r="BT233" s="7">
        <f>Wapato_Inventory[[#This Row],[land_value]]</f>
        <v>53000</v>
      </c>
      <c r="BU233" s="2">
        <f>_xlfn.IFNA(VLOOKUP(Wapato_Inventory[[#This Row],[quality]],Lookups!$A$28:$C$37,3,FALSE),1)</f>
        <v>0.96265813922927435</v>
      </c>
      <c r="BV233" s="2">
        <f>_xlfn.IFNA(VLOOKUP(Wapato_Inventory[[#This Row],[condition]],Lookups!$A$41:$C$48,3,FALSE),1)</f>
        <v>0.9832333997567807</v>
      </c>
      <c r="BW233" s="2">
        <f>IF(Wapato_Inventory[[#This Row],[decade]]="",1,_xlfn.IFNA(VLOOKUP(Wapato_Inventory[[#This Row],[decade]],Lookups!$F$28:$H$45,3,FALSE),1))</f>
        <v>0.93664589651353292</v>
      </c>
      <c r="BX233" s="2">
        <f>_xlfn.IFNA(VLOOKUP(Wapato_Inventory[[#This Row],[living_area_range]],Lookups!$K$28:$M$37,3,FALSE),1)</f>
        <v>0.99022994770196116</v>
      </c>
      <c r="BY233" s="2">
        <f>AVERAGE(Wapato_Inventory[[#This Row],[qual_adj]:[range_adj]])</f>
        <v>0.9681918458003872</v>
      </c>
      <c r="BZ233" s="7">
        <f>(Wapato_Inventory[[#This Row],[sum_land]]-IF(Wapato_Inventory[[#This Row],[no_utilities]]=1,12000,0))/IF(Wapato_Inventory[[#This Row],[unbuildable]]=1,2,1)</f>
        <v>53000</v>
      </c>
      <c r="CA233" s="7">
        <f>Wapato_Inventory[[#This Row],[pre_res]]*Wapato_Inventory[[#This Row],[overall_adj]]</f>
        <v>129711.51471544612</v>
      </c>
      <c r="CB23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33" s="3">
        <f>IF(ROUND(Wapato_Inventory[[#This Row],[adj_res]]*Lookups!$H$48,-2)&lt;Wapato_Inventory[[#This Row],[min_res]],Wapato_Inventory[[#This Row],[min_res]],ROUND(Wapato_Inventory[[#This Row],[adj_res]]*Lookups!$H$48,-2))</f>
        <v>123200</v>
      </c>
      <c r="CD233" s="3">
        <f>ROUND(Wapato_Inventory[[#This Row],[det_value]]*Lookups!$H$48,-2)</f>
        <v>0</v>
      </c>
      <c r="CE233" s="3">
        <f>Wapato_Inventory[[#This Row],[final_res]]+Wapato_Inventory[[#This Row],[final_det]]</f>
        <v>123200</v>
      </c>
      <c r="CF233" s="3">
        <f>Wapato_Inventory[[#This Row],[crop_value]]+Wapato_Inventory[[#This Row],[final_land]]+Wapato_Inventory[[#This Row],[final_imp]]</f>
        <v>173600</v>
      </c>
      <c r="CH233" t="str">
        <f t="shared" si="3"/>
        <v>update valuation set market_land =50400, market_bldg=123200, market_total =173600, market_mdno =405, market_date ='9/10/2023' where link_id = (select link_id from parcel where parcel_year = '2024' and parcel_id = '19111041528');</v>
      </c>
    </row>
    <row r="234" spans="1:86" x14ac:dyDescent="0.25">
      <c r="A234">
        <v>19111041529</v>
      </c>
      <c r="B234">
        <v>0.14000000000000001</v>
      </c>
      <c r="C234">
        <v>5970</v>
      </c>
      <c r="D234" t="s">
        <v>144</v>
      </c>
      <c r="E234" t="s">
        <v>54</v>
      </c>
      <c r="F234" t="s">
        <v>54</v>
      </c>
      <c r="G234">
        <v>3</v>
      </c>
      <c r="H234" t="s">
        <v>55</v>
      </c>
      <c r="I234">
        <v>103100</v>
      </c>
      <c r="J234">
        <v>31900</v>
      </c>
      <c r="K234">
        <v>0.14000000000000001</v>
      </c>
      <c r="L234">
        <f>IF(Wapato_Inventory[[#This Row],[parcel_acres]]-Wapato_Inventory[[#This Row],[non_valued_acres]] =0,0,LN(Wapato_Inventory[[#This Row],[parcel_acres]]-Wapato_Inventory[[#This Row],[non_valued_acres]]))</f>
        <v>-1.9661128563728327</v>
      </c>
      <c r="M234">
        <v>0</v>
      </c>
      <c r="N234">
        <v>0</v>
      </c>
      <c r="O234">
        <v>0</v>
      </c>
      <c r="P234">
        <v>27904.037</v>
      </c>
      <c r="Q234">
        <v>74398</v>
      </c>
      <c r="R234" s="3">
        <f>(Wapato_Inventory[[#This Row],[ln_acres]]*Wapato_Inventory[[#This Row],[coeff]])+Wapato_Inventory[[#This Row],[const]]</f>
        <v>19535.514109596792</v>
      </c>
      <c r="S234" t="s">
        <v>66</v>
      </c>
      <c r="T234">
        <v>1</v>
      </c>
      <c r="U234" t="s">
        <v>78</v>
      </c>
      <c r="V234" t="s">
        <v>68</v>
      </c>
      <c r="W234">
        <v>0</v>
      </c>
      <c r="X234">
        <v>0</v>
      </c>
      <c r="Y234">
        <v>57</v>
      </c>
      <c r="Z234">
        <v>103</v>
      </c>
      <c r="AA234">
        <v>110</v>
      </c>
      <c r="AB234">
        <v>1000</v>
      </c>
      <c r="AC234">
        <v>840</v>
      </c>
      <c r="AD234">
        <v>840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336</v>
      </c>
      <c r="AL234">
        <v>0</v>
      </c>
      <c r="AM234">
        <v>0</v>
      </c>
      <c r="AN234">
        <v>32</v>
      </c>
      <c r="AO234">
        <v>0</v>
      </c>
      <c r="AP234">
        <v>5</v>
      </c>
      <c r="AQ234">
        <v>0</v>
      </c>
      <c r="AR234">
        <v>0</v>
      </c>
      <c r="AS234" t="s">
        <v>59</v>
      </c>
      <c r="AT234">
        <v>0</v>
      </c>
      <c r="AU234" t="s">
        <v>80</v>
      </c>
      <c r="AV234" t="s">
        <v>65</v>
      </c>
      <c r="AW234">
        <v>0</v>
      </c>
      <c r="AX234">
        <v>2</v>
      </c>
      <c r="AY234">
        <v>0</v>
      </c>
      <c r="AZ234">
        <v>0</v>
      </c>
      <c r="BA234">
        <v>100</v>
      </c>
      <c r="BB234">
        <v>100</v>
      </c>
      <c r="BC234">
        <v>100</v>
      </c>
      <c r="BD234">
        <v>100</v>
      </c>
      <c r="BE234">
        <v>1</v>
      </c>
      <c r="BF234">
        <v>15000</v>
      </c>
      <c r="BG234">
        <v>1000</v>
      </c>
      <c r="BH234" s="7">
        <f>ROUND(Wapato_Inventory[[#This Row],[detatched_value]]*Lookups!$B$22*Lookups!$H$48,-2)</f>
        <v>0</v>
      </c>
      <c r="BI234" s="7">
        <f>ROUND(((Wapato_Inventory[[#This Row],[land_extract]]*Lookups!$B$3) +(Lookups!$B$2*0.5))*Lookups!$H$48,-2)</f>
        <v>53000</v>
      </c>
      <c r="BJ234" s="7">
        <f>IF(Wapato_Inventory[[#This Row],[bldg_style]]="",0,Lookups!$B$2*0.5)</f>
        <v>53765.27</v>
      </c>
      <c r="BK234" s="7">
        <f>_xlfn.IFNA(VLOOKUP(Wapato_Inventory[[#This Row],[quality]],Lookups!$H$2:$J$14,3,FALSE),0)</f>
        <v>23424</v>
      </c>
      <c r="BL234" s="7">
        <f>_xlfn.IFNA(VLOOKUP(Wapato_Inventory[[#This Row],[condition]],Lookups!$H$17:$J$24,3,FALSE),0)</f>
        <v>52231</v>
      </c>
      <c r="BM234" s="7">
        <f>Wapato_Inventory[[#This Row],[Age]]*Lookups!$B$16</f>
        <v>-38179.597099999999</v>
      </c>
      <c r="BN234" s="7">
        <f>Wapato_Inventory[[#This Row],[Main Floor]]*Lookups!$B$17</f>
        <v>35112.620759999998</v>
      </c>
      <c r="BO234" s="7">
        <f>Wapato_Inventory[[#This Row],[Upper Floor]]*Lookups!$B$18</f>
        <v>0</v>
      </c>
      <c r="BP234" s="7">
        <f>Wapato_Inventory[[#This Row],[Fin BSMT]]*Lookups!$B$19</f>
        <v>0</v>
      </c>
      <c r="BQ234" s="7">
        <f>(Wapato_Inventory[[#This Row],[att_gar]]+Wapato_Inventory[[#This Row],[blt_gar]])*Lookups!$B$20</f>
        <v>0</v>
      </c>
      <c r="BR234" s="7">
        <f>Wapato_Inventory[[#This Row],[Patio]]*Lookups!$B$21</f>
        <v>0</v>
      </c>
      <c r="BS234" s="7">
        <f>SUM(Wapato_Inventory[[#This Row],[intercept]:[patio_value]])*Wapato_Inventory[[#This Row],[res_pct]]</f>
        <v>126353.29366</v>
      </c>
      <c r="BT234" s="7">
        <f>Wapato_Inventory[[#This Row],[land_value]]</f>
        <v>53000</v>
      </c>
      <c r="BU234" s="2">
        <f>_xlfn.IFNA(VLOOKUP(Wapato_Inventory[[#This Row],[quality]],Lookups!$A$28:$C$37,3,FALSE),1)</f>
        <v>1.0091195562373767</v>
      </c>
      <c r="BV234" s="2">
        <f>_xlfn.IFNA(VLOOKUP(Wapato_Inventory[[#This Row],[condition]],Lookups!$A$41:$C$48,3,FALSE),1)</f>
        <v>0.9832333997567807</v>
      </c>
      <c r="BW234" s="2">
        <f>IF(Wapato_Inventory[[#This Row],[decade]]="",1,_xlfn.IFNA(VLOOKUP(Wapato_Inventory[[#This Row],[decade]],Lookups!$F$28:$H$45,3,FALSE),1))</f>
        <v>0.93664589651353292</v>
      </c>
      <c r="BX234" s="2">
        <f>_xlfn.IFNA(VLOOKUP(Wapato_Inventory[[#This Row],[living_area_range]],Lookups!$K$28:$M$37,3,FALSE),1)</f>
        <v>0.99022994770196116</v>
      </c>
      <c r="BY234" s="2">
        <f>AVERAGE(Wapato_Inventory[[#This Row],[qual_adj]:[range_adj]])</f>
        <v>0.97980720005241284</v>
      </c>
      <c r="BZ234" s="7">
        <f>(Wapato_Inventory[[#This Row],[sum_land]]-IF(Wapato_Inventory[[#This Row],[no_utilities]]=1,12000,0))/IF(Wapato_Inventory[[#This Row],[unbuildable]]=1,2,1)</f>
        <v>53000</v>
      </c>
      <c r="CA234" s="7">
        <f>Wapato_Inventory[[#This Row],[pre_res]]*Wapato_Inventory[[#This Row],[overall_adj]]</f>
        <v>123801.86687840488</v>
      </c>
      <c r="CB23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34" s="3">
        <f>IF(ROUND(Wapato_Inventory[[#This Row],[adj_res]]*Lookups!$H$48,-2)&lt;Wapato_Inventory[[#This Row],[min_res]],Wapato_Inventory[[#This Row],[min_res]],ROUND(Wapato_Inventory[[#This Row],[adj_res]]*Lookups!$H$48,-2))</f>
        <v>117600</v>
      </c>
      <c r="CD234" s="3">
        <f>ROUND(Wapato_Inventory[[#This Row],[det_value]]*Lookups!$H$48,-2)</f>
        <v>0</v>
      </c>
      <c r="CE234" s="3">
        <f>Wapato_Inventory[[#This Row],[final_res]]+Wapato_Inventory[[#This Row],[final_det]]</f>
        <v>117600</v>
      </c>
      <c r="CF234" s="3">
        <f>Wapato_Inventory[[#This Row],[crop_value]]+Wapato_Inventory[[#This Row],[final_land]]+Wapato_Inventory[[#This Row],[final_imp]]</f>
        <v>168000</v>
      </c>
      <c r="CH234" t="str">
        <f t="shared" si="3"/>
        <v>update valuation set market_land =50400, market_bldg=117600, market_total =168000, market_mdno =405, market_date ='9/10/2023' where link_id = (select link_id from parcel where parcel_year = '2024' and parcel_id = '19111041529');</v>
      </c>
    </row>
    <row r="235" spans="1:86" x14ac:dyDescent="0.25">
      <c r="A235">
        <v>19111041530</v>
      </c>
      <c r="B235">
        <v>0.14000000000000001</v>
      </c>
      <c r="C235">
        <v>5970</v>
      </c>
      <c r="D235" t="s">
        <v>144</v>
      </c>
      <c r="E235" t="s">
        <v>54</v>
      </c>
      <c r="F235" t="s">
        <v>54</v>
      </c>
      <c r="G235">
        <v>3</v>
      </c>
      <c r="H235" t="s">
        <v>55</v>
      </c>
      <c r="I235">
        <v>172200</v>
      </c>
      <c r="J235">
        <v>31900</v>
      </c>
      <c r="K235">
        <v>0.14000000000000001</v>
      </c>
      <c r="L235">
        <f>IF(Wapato_Inventory[[#This Row],[parcel_acres]]-Wapato_Inventory[[#This Row],[non_valued_acres]] =0,0,LN(Wapato_Inventory[[#This Row],[parcel_acres]]-Wapato_Inventory[[#This Row],[non_valued_acres]]))</f>
        <v>-1.9661128563728327</v>
      </c>
      <c r="M235">
        <v>0</v>
      </c>
      <c r="N235">
        <v>0</v>
      </c>
      <c r="O235">
        <v>0</v>
      </c>
      <c r="P235">
        <v>27904.037</v>
      </c>
      <c r="Q235">
        <v>74398</v>
      </c>
      <c r="R235" s="3">
        <f>(Wapato_Inventory[[#This Row],[ln_acres]]*Wapato_Inventory[[#This Row],[coeff]])+Wapato_Inventory[[#This Row],[const]]</f>
        <v>19535.514109596792</v>
      </c>
      <c r="S235" t="s">
        <v>56</v>
      </c>
      <c r="T235">
        <v>2</v>
      </c>
      <c r="U235" t="s">
        <v>75</v>
      </c>
      <c r="V235" t="s">
        <v>68</v>
      </c>
      <c r="W235">
        <v>0</v>
      </c>
      <c r="X235">
        <v>0</v>
      </c>
      <c r="Y235">
        <v>52</v>
      </c>
      <c r="Z235">
        <v>88</v>
      </c>
      <c r="AA235">
        <v>90</v>
      </c>
      <c r="AB235">
        <v>2000</v>
      </c>
      <c r="AC235">
        <v>1540</v>
      </c>
      <c r="AD235">
        <v>832</v>
      </c>
      <c r="AE235">
        <v>240</v>
      </c>
      <c r="AF235">
        <v>0</v>
      </c>
      <c r="AG235">
        <v>468</v>
      </c>
      <c r="AH235">
        <v>156</v>
      </c>
      <c r="AI235">
        <v>0</v>
      </c>
      <c r="AJ235">
        <v>0</v>
      </c>
      <c r="AK235">
        <v>0</v>
      </c>
      <c r="AL235">
        <v>0</v>
      </c>
      <c r="AM235">
        <v>200</v>
      </c>
      <c r="AN235">
        <v>0</v>
      </c>
      <c r="AO235">
        <v>0</v>
      </c>
      <c r="AP235">
        <v>5</v>
      </c>
      <c r="AQ235">
        <v>0</v>
      </c>
      <c r="AR235">
        <v>0</v>
      </c>
      <c r="AS235" t="s">
        <v>59</v>
      </c>
      <c r="AT235">
        <v>1</v>
      </c>
      <c r="AU235" t="s">
        <v>60</v>
      </c>
      <c r="AV235" t="s">
        <v>65</v>
      </c>
      <c r="AW235">
        <v>1</v>
      </c>
      <c r="AX235">
        <v>3</v>
      </c>
      <c r="AY235">
        <v>0</v>
      </c>
      <c r="AZ235">
        <v>12200</v>
      </c>
      <c r="BA235">
        <v>100</v>
      </c>
      <c r="BB235">
        <v>100</v>
      </c>
      <c r="BC235">
        <v>100</v>
      </c>
      <c r="BD235">
        <v>100</v>
      </c>
      <c r="BE235">
        <v>1</v>
      </c>
      <c r="BF235">
        <v>15000</v>
      </c>
      <c r="BG235">
        <v>1000</v>
      </c>
      <c r="BH235" s="7">
        <f>ROUND(Wapato_Inventory[[#This Row],[detatched_value]]*Lookups!$B$22*Lookups!$H$48,-2)</f>
        <v>10900</v>
      </c>
      <c r="BI235" s="7">
        <f>ROUND(((Wapato_Inventory[[#This Row],[land_extract]]*Lookups!$B$3) +(Lookups!$B$2*0.5))*Lookups!$H$48,-2)</f>
        <v>53000</v>
      </c>
      <c r="BJ235" s="7">
        <f>IF(Wapato_Inventory[[#This Row],[bldg_style]]="",0,Lookups!$B$2*0.5)</f>
        <v>53765.27</v>
      </c>
      <c r="BK235" s="7">
        <f>_xlfn.IFNA(VLOOKUP(Wapato_Inventory[[#This Row],[quality]],Lookups!$H$2:$J$14,3,FALSE),0)</f>
        <v>48043</v>
      </c>
      <c r="BL235" s="7">
        <f>_xlfn.IFNA(VLOOKUP(Wapato_Inventory[[#This Row],[condition]],Lookups!$H$17:$J$24,3,FALSE),0)</f>
        <v>52231</v>
      </c>
      <c r="BM235" s="7">
        <f>Wapato_Inventory[[#This Row],[Age]]*Lookups!$B$16</f>
        <v>-32619.461600000002</v>
      </c>
      <c r="BN235" s="7">
        <f>Wapato_Inventory[[#This Row],[Main Floor]]*Lookups!$B$17</f>
        <v>34778.214848000003</v>
      </c>
      <c r="BO235" s="7">
        <f>Wapato_Inventory[[#This Row],[Upper Floor]]*Lookups!$B$18</f>
        <v>11904.273360000001</v>
      </c>
      <c r="BP235" s="7">
        <f>Wapato_Inventory[[#This Row],[Fin BSMT]]*Lookups!$B$19</f>
        <v>11403.634319999999</v>
      </c>
      <c r="BQ235" s="7">
        <f>(Wapato_Inventory[[#This Row],[att_gar]]+Wapato_Inventory[[#This Row],[blt_gar]])*Lookups!$B$20</f>
        <v>0</v>
      </c>
      <c r="BR235" s="7">
        <f>Wapato_Inventory[[#This Row],[Patio]]*Lookups!$B$21</f>
        <v>8664.7957999999999</v>
      </c>
      <c r="BS235" s="7">
        <f>SUM(Wapato_Inventory[[#This Row],[intercept]:[patio_value]])*Wapato_Inventory[[#This Row],[res_pct]]</f>
        <v>188170.72672799998</v>
      </c>
      <c r="BT235" s="7">
        <f>Wapato_Inventory[[#This Row],[land_value]]</f>
        <v>53000</v>
      </c>
      <c r="BU235" s="2">
        <f>_xlfn.IFNA(VLOOKUP(Wapato_Inventory[[#This Row],[quality]],Lookups!$A$28:$C$37,3,FALSE),1)</f>
        <v>0.98196844879778955</v>
      </c>
      <c r="BV235" s="2">
        <f>_xlfn.IFNA(VLOOKUP(Wapato_Inventory[[#This Row],[condition]],Lookups!$A$41:$C$48,3,FALSE),1)</f>
        <v>0.9832333997567807</v>
      </c>
      <c r="BW235" s="2">
        <f>IF(Wapato_Inventory[[#This Row],[decade]]="",1,_xlfn.IFNA(VLOOKUP(Wapato_Inventory[[#This Row],[decade]],Lookups!$F$28:$H$45,3,FALSE),1))</f>
        <v>0.94742695999815718</v>
      </c>
      <c r="BX235" s="2">
        <f>_xlfn.IFNA(VLOOKUP(Wapato_Inventory[[#This Row],[living_area_range]],Lookups!$K$28:$M$37,3,FALSE),1)</f>
        <v>0.99330894324714125</v>
      </c>
      <c r="BY235" s="2">
        <f>AVERAGE(Wapato_Inventory[[#This Row],[qual_adj]:[range_adj]])</f>
        <v>0.97648443794996709</v>
      </c>
      <c r="BZ235" s="7">
        <f>(Wapato_Inventory[[#This Row],[sum_land]]-IF(Wapato_Inventory[[#This Row],[no_utilities]]=1,12000,0))/IF(Wapato_Inventory[[#This Row],[unbuildable]]=1,2,1)</f>
        <v>53000</v>
      </c>
      <c r="CA235" s="7">
        <f>Wapato_Inventory[[#This Row],[pre_res]]*Wapato_Inventory[[#This Row],[overall_adj]]</f>
        <v>183745.78632762792</v>
      </c>
      <c r="CB23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35" s="3">
        <f>IF(ROUND(Wapato_Inventory[[#This Row],[adj_res]]*Lookups!$H$48,-2)&lt;Wapato_Inventory[[#This Row],[min_res]],Wapato_Inventory[[#This Row],[min_res]],ROUND(Wapato_Inventory[[#This Row],[adj_res]]*Lookups!$H$48,-2))</f>
        <v>174600</v>
      </c>
      <c r="CD235" s="3">
        <f>ROUND(Wapato_Inventory[[#This Row],[det_value]]*Lookups!$H$48,-2)</f>
        <v>10400</v>
      </c>
      <c r="CE235" s="3">
        <f>Wapato_Inventory[[#This Row],[final_res]]+Wapato_Inventory[[#This Row],[final_det]]</f>
        <v>185000</v>
      </c>
      <c r="CF235" s="3">
        <f>Wapato_Inventory[[#This Row],[crop_value]]+Wapato_Inventory[[#This Row],[final_land]]+Wapato_Inventory[[#This Row],[final_imp]]</f>
        <v>235400</v>
      </c>
      <c r="CH235" t="str">
        <f t="shared" si="3"/>
        <v>update valuation set market_land =50400, market_bldg=185000, market_total =235400, market_mdno =405, market_date ='9/10/2023' where link_id = (select link_id from parcel where parcel_year = '2024' and parcel_id = '19111041530');</v>
      </c>
    </row>
    <row r="236" spans="1:86" x14ac:dyDescent="0.25">
      <c r="A236">
        <v>19111041533</v>
      </c>
      <c r="B236">
        <v>0.14000000000000001</v>
      </c>
      <c r="C236">
        <v>6250</v>
      </c>
      <c r="D236" t="s">
        <v>144</v>
      </c>
      <c r="E236" t="s">
        <v>54</v>
      </c>
      <c r="F236" t="s">
        <v>54</v>
      </c>
      <c r="G236">
        <v>3</v>
      </c>
      <c r="H236" t="s">
        <v>55</v>
      </c>
      <c r="I236">
        <v>38900</v>
      </c>
      <c r="J236">
        <v>31900</v>
      </c>
      <c r="K236">
        <v>0.14000000000000001</v>
      </c>
      <c r="L236">
        <f>IF(Wapato_Inventory[[#This Row],[parcel_acres]]-Wapato_Inventory[[#This Row],[non_valued_acres]] =0,0,LN(Wapato_Inventory[[#This Row],[parcel_acres]]-Wapato_Inventory[[#This Row],[non_valued_acres]]))</f>
        <v>-1.9661128563728327</v>
      </c>
      <c r="M236">
        <v>0</v>
      </c>
      <c r="N236">
        <v>0</v>
      </c>
      <c r="O236">
        <v>0</v>
      </c>
      <c r="P236">
        <v>27904.037</v>
      </c>
      <c r="Q236">
        <v>74398</v>
      </c>
      <c r="R236" s="3">
        <f>(Wapato_Inventory[[#This Row],[ln_acres]]*Wapato_Inventory[[#This Row],[coeff]])+Wapato_Inventory[[#This Row],[const]]</f>
        <v>19535.514109596792</v>
      </c>
      <c r="S236" t="s">
        <v>66</v>
      </c>
      <c r="T236">
        <v>1</v>
      </c>
      <c r="U236" t="s">
        <v>86</v>
      </c>
      <c r="V236" t="s">
        <v>73</v>
      </c>
      <c r="W236">
        <v>0</v>
      </c>
      <c r="X236">
        <v>0</v>
      </c>
      <c r="Y236">
        <v>57</v>
      </c>
      <c r="Z236">
        <v>103</v>
      </c>
      <c r="AA236">
        <v>110</v>
      </c>
      <c r="AB236">
        <v>1000</v>
      </c>
      <c r="AC236">
        <v>672</v>
      </c>
      <c r="AD236">
        <v>672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336</v>
      </c>
      <c r="AL236">
        <v>0</v>
      </c>
      <c r="AM236">
        <v>0</v>
      </c>
      <c r="AN236">
        <v>0</v>
      </c>
      <c r="AO236">
        <v>0</v>
      </c>
      <c r="AP236">
        <v>5</v>
      </c>
      <c r="AQ236">
        <v>0</v>
      </c>
      <c r="AR236">
        <v>0</v>
      </c>
      <c r="AS236" t="s">
        <v>59</v>
      </c>
      <c r="AT236">
        <v>0</v>
      </c>
      <c r="AU236" t="s">
        <v>80</v>
      </c>
      <c r="AV236" t="s">
        <v>65</v>
      </c>
      <c r="AW236">
        <v>0</v>
      </c>
      <c r="AX236">
        <v>2</v>
      </c>
      <c r="AY236">
        <v>0</v>
      </c>
      <c r="AZ236">
        <v>0</v>
      </c>
      <c r="BA236">
        <v>100</v>
      </c>
      <c r="BB236">
        <v>100</v>
      </c>
      <c r="BC236">
        <v>100</v>
      </c>
      <c r="BD236">
        <v>100</v>
      </c>
      <c r="BE236">
        <v>1</v>
      </c>
      <c r="BF236">
        <v>15000</v>
      </c>
      <c r="BG236">
        <v>1000</v>
      </c>
      <c r="BH236" s="7">
        <f>ROUND(Wapato_Inventory[[#This Row],[detatched_value]]*Lookups!$B$22*Lookups!$H$48,-2)</f>
        <v>0</v>
      </c>
      <c r="BI236" s="7">
        <f>ROUND(((Wapato_Inventory[[#This Row],[land_extract]]*Lookups!$B$3) +(Lookups!$B$2*0.5))*Lookups!$H$48,-2)</f>
        <v>53000</v>
      </c>
      <c r="BJ236" s="7">
        <f>IF(Wapato_Inventory[[#This Row],[bldg_style]]="",0,Lookups!$B$2*0.5)</f>
        <v>53765.27</v>
      </c>
      <c r="BK236" s="7">
        <f>_xlfn.IFNA(VLOOKUP(Wapato_Inventory[[#This Row],[quality]],Lookups!$H$2:$J$14,3,FALSE),0)</f>
        <v>0</v>
      </c>
      <c r="BL236" s="7">
        <f>_xlfn.IFNA(VLOOKUP(Wapato_Inventory[[#This Row],[condition]],Lookups!$H$17:$J$24,3,FALSE),0)</f>
        <v>16276</v>
      </c>
      <c r="BM236" s="7">
        <f>Wapato_Inventory[[#This Row],[Age]]*Lookups!$B$16</f>
        <v>-38179.597099999999</v>
      </c>
      <c r="BN236" s="7">
        <f>Wapato_Inventory[[#This Row],[Main Floor]]*Lookups!$B$17</f>
        <v>28090.096608</v>
      </c>
      <c r="BO236" s="7">
        <f>Wapato_Inventory[[#This Row],[Upper Floor]]*Lookups!$B$18</f>
        <v>0</v>
      </c>
      <c r="BP236" s="7">
        <f>Wapato_Inventory[[#This Row],[Fin BSMT]]*Lookups!$B$19</f>
        <v>0</v>
      </c>
      <c r="BQ236" s="7">
        <f>(Wapato_Inventory[[#This Row],[att_gar]]+Wapato_Inventory[[#This Row],[blt_gar]])*Lookups!$B$20</f>
        <v>0</v>
      </c>
      <c r="BR236" s="7">
        <f>Wapato_Inventory[[#This Row],[Patio]]*Lookups!$B$21</f>
        <v>0</v>
      </c>
      <c r="BS236" s="7">
        <f>SUM(Wapato_Inventory[[#This Row],[intercept]:[patio_value]])*Wapato_Inventory[[#This Row],[res_pct]]</f>
        <v>59951.76950799999</v>
      </c>
      <c r="BT236" s="7">
        <f>Wapato_Inventory[[#This Row],[land_value]]</f>
        <v>53000</v>
      </c>
      <c r="BU236" s="2">
        <f>_xlfn.IFNA(VLOOKUP(Wapato_Inventory[[#This Row],[quality]],Lookups!$A$28:$C$37,3,FALSE),1)</f>
        <v>1.0000010866511106</v>
      </c>
      <c r="BV236" s="2">
        <f>_xlfn.IFNA(VLOOKUP(Wapato_Inventory[[#This Row],[condition]],Lookups!$A$41:$C$48,3,FALSE),1)</f>
        <v>0.93399385491337139</v>
      </c>
      <c r="BW236" s="2">
        <f>IF(Wapato_Inventory[[#This Row],[decade]]="",1,_xlfn.IFNA(VLOOKUP(Wapato_Inventory[[#This Row],[decade]],Lookups!$F$28:$H$45,3,FALSE),1))</f>
        <v>0.93664589651353292</v>
      </c>
      <c r="BX236" s="2">
        <f>_xlfn.IFNA(VLOOKUP(Wapato_Inventory[[#This Row],[living_area_range]],Lookups!$K$28:$M$37,3,FALSE),1)</f>
        <v>0.99022994770196116</v>
      </c>
      <c r="BY236" s="2">
        <f>AVERAGE(Wapato_Inventory[[#This Row],[qual_adj]:[range_adj]])</f>
        <v>0.965217696444994</v>
      </c>
      <c r="BZ236" s="7">
        <f>(Wapato_Inventory[[#This Row],[sum_land]]-IF(Wapato_Inventory[[#This Row],[no_utilities]]=1,12000,0))/IF(Wapato_Inventory[[#This Row],[unbuildable]]=1,2,1)</f>
        <v>53000</v>
      </c>
      <c r="CA236" s="7">
        <f>Wapato_Inventory[[#This Row],[pre_res]]*Wapato_Inventory[[#This Row],[overall_adj]]</f>
        <v>57866.508862312985</v>
      </c>
      <c r="CB23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36" s="3">
        <f>IF(ROUND(Wapato_Inventory[[#This Row],[adj_res]]*Lookups!$H$48,-2)&lt;Wapato_Inventory[[#This Row],[min_res]],Wapato_Inventory[[#This Row],[min_res]],ROUND(Wapato_Inventory[[#This Row],[adj_res]]*Lookups!$H$48,-2))</f>
        <v>55000</v>
      </c>
      <c r="CD236" s="3">
        <f>ROUND(Wapato_Inventory[[#This Row],[det_value]]*Lookups!$H$48,-2)</f>
        <v>0</v>
      </c>
      <c r="CE236" s="3">
        <f>Wapato_Inventory[[#This Row],[final_res]]+Wapato_Inventory[[#This Row],[final_det]]</f>
        <v>55000</v>
      </c>
      <c r="CF236" s="3">
        <f>Wapato_Inventory[[#This Row],[crop_value]]+Wapato_Inventory[[#This Row],[final_land]]+Wapato_Inventory[[#This Row],[final_imp]]</f>
        <v>105400</v>
      </c>
      <c r="CH236" t="str">
        <f t="shared" si="3"/>
        <v>update valuation set market_land =50400, market_bldg=55000, market_total =105400, market_mdno =405, market_date ='9/10/2023' where link_id = (select link_id from parcel where parcel_year = '2024' and parcel_id = '19111041533');</v>
      </c>
    </row>
    <row r="237" spans="1:86" x14ac:dyDescent="0.25">
      <c r="A237">
        <v>19111041534</v>
      </c>
      <c r="B237">
        <v>0.14000000000000001</v>
      </c>
      <c r="C237">
        <v>6250</v>
      </c>
      <c r="D237" t="s">
        <v>144</v>
      </c>
      <c r="E237" t="s">
        <v>54</v>
      </c>
      <c r="F237" t="s">
        <v>54</v>
      </c>
      <c r="G237">
        <v>3</v>
      </c>
      <c r="H237" t="s">
        <v>55</v>
      </c>
      <c r="I237">
        <v>194600</v>
      </c>
      <c r="J237">
        <v>31900</v>
      </c>
      <c r="K237">
        <v>0.14000000000000001</v>
      </c>
      <c r="L237">
        <f>IF(Wapato_Inventory[[#This Row],[parcel_acres]]-Wapato_Inventory[[#This Row],[non_valued_acres]] =0,0,LN(Wapato_Inventory[[#This Row],[parcel_acres]]-Wapato_Inventory[[#This Row],[non_valued_acres]]))</f>
        <v>-1.9661128563728327</v>
      </c>
      <c r="M237">
        <v>0</v>
      </c>
      <c r="N237">
        <v>0</v>
      </c>
      <c r="O237">
        <v>0</v>
      </c>
      <c r="P237">
        <v>27904.037</v>
      </c>
      <c r="Q237">
        <v>74398</v>
      </c>
      <c r="R237" s="3">
        <f>(Wapato_Inventory[[#This Row],[ln_acres]]*Wapato_Inventory[[#This Row],[coeff]])+Wapato_Inventory[[#This Row],[const]]</f>
        <v>19535.514109596792</v>
      </c>
      <c r="S237" t="s">
        <v>66</v>
      </c>
      <c r="T237">
        <v>1</v>
      </c>
      <c r="U237" t="s">
        <v>75</v>
      </c>
      <c r="V237" t="s">
        <v>69</v>
      </c>
      <c r="W237">
        <v>0</v>
      </c>
      <c r="X237">
        <v>0</v>
      </c>
      <c r="Y237">
        <v>53</v>
      </c>
      <c r="Z237">
        <v>93</v>
      </c>
      <c r="AA237">
        <v>100</v>
      </c>
      <c r="AB237">
        <v>1500</v>
      </c>
      <c r="AC237">
        <v>1374</v>
      </c>
      <c r="AD237">
        <v>1374</v>
      </c>
      <c r="AE237">
        <v>0</v>
      </c>
      <c r="AF237">
        <v>0</v>
      </c>
      <c r="AG237">
        <v>0</v>
      </c>
      <c r="AH237">
        <v>225</v>
      </c>
      <c r="AI237">
        <v>0</v>
      </c>
      <c r="AJ237">
        <v>0</v>
      </c>
      <c r="AK237">
        <v>0</v>
      </c>
      <c r="AL237">
        <v>0</v>
      </c>
      <c r="AM237">
        <v>234</v>
      </c>
      <c r="AN237">
        <v>220</v>
      </c>
      <c r="AO237">
        <v>234</v>
      </c>
      <c r="AP237">
        <v>5</v>
      </c>
      <c r="AQ237">
        <v>0</v>
      </c>
      <c r="AR237">
        <v>0</v>
      </c>
      <c r="AS237" t="s">
        <v>59</v>
      </c>
      <c r="AT237">
        <v>1</v>
      </c>
      <c r="AU237" t="s">
        <v>64</v>
      </c>
      <c r="AV237" t="s">
        <v>65</v>
      </c>
      <c r="AW237">
        <v>0</v>
      </c>
      <c r="AX237">
        <v>3</v>
      </c>
      <c r="AY237">
        <v>0</v>
      </c>
      <c r="AZ237">
        <v>0</v>
      </c>
      <c r="BA237">
        <v>100</v>
      </c>
      <c r="BB237">
        <v>100</v>
      </c>
      <c r="BC237">
        <v>100</v>
      </c>
      <c r="BD237">
        <v>100</v>
      </c>
      <c r="BE237">
        <v>1</v>
      </c>
      <c r="BF237">
        <v>15000</v>
      </c>
      <c r="BG237">
        <v>1000</v>
      </c>
      <c r="BH237" s="7">
        <f>ROUND(Wapato_Inventory[[#This Row],[detatched_value]]*Lookups!$B$22*Lookups!$H$48,-2)</f>
        <v>0</v>
      </c>
      <c r="BI237" s="7">
        <f>ROUND(((Wapato_Inventory[[#This Row],[land_extract]]*Lookups!$B$3) +(Lookups!$B$2*0.5))*Lookups!$H$48,-2)</f>
        <v>53000</v>
      </c>
      <c r="BJ237" s="7">
        <f>IF(Wapato_Inventory[[#This Row],[bldg_style]]="",0,Lookups!$B$2*0.5)</f>
        <v>53765.27</v>
      </c>
      <c r="BK237" s="7">
        <f>_xlfn.IFNA(VLOOKUP(Wapato_Inventory[[#This Row],[quality]],Lookups!$H$2:$J$14,3,FALSE),0)</f>
        <v>48043</v>
      </c>
      <c r="BL237" s="7">
        <f>_xlfn.IFNA(VLOOKUP(Wapato_Inventory[[#This Row],[condition]],Lookups!$H$17:$J$24,3,FALSE),0)</f>
        <v>74543</v>
      </c>
      <c r="BM237" s="7">
        <f>Wapato_Inventory[[#This Row],[Age]]*Lookups!$B$16</f>
        <v>-34472.840100000001</v>
      </c>
      <c r="BN237" s="7">
        <f>Wapato_Inventory[[#This Row],[Main Floor]]*Lookups!$B$17</f>
        <v>57434.215386000003</v>
      </c>
      <c r="BO237" s="7">
        <f>Wapato_Inventory[[#This Row],[Upper Floor]]*Lookups!$B$18</f>
        <v>0</v>
      </c>
      <c r="BP237" s="7">
        <f>Wapato_Inventory[[#This Row],[Fin BSMT]]*Lookups!$B$19</f>
        <v>0</v>
      </c>
      <c r="BQ237" s="7">
        <f>(Wapato_Inventory[[#This Row],[att_gar]]+Wapato_Inventory[[#This Row],[blt_gar]])*Lookups!$B$20</f>
        <v>0</v>
      </c>
      <c r="BR237" s="7">
        <f>Wapato_Inventory[[#This Row],[Patio]]*Lookups!$B$21</f>
        <v>10137.811086</v>
      </c>
      <c r="BS237" s="7">
        <f>SUM(Wapato_Inventory[[#This Row],[intercept]:[patio_value]])*Wapato_Inventory[[#This Row],[res_pct]]</f>
        <v>209450.45637199999</v>
      </c>
      <c r="BT237" s="7">
        <f>Wapato_Inventory[[#This Row],[land_value]]</f>
        <v>53000</v>
      </c>
      <c r="BU237" s="2">
        <f>_xlfn.IFNA(VLOOKUP(Wapato_Inventory[[#This Row],[quality]],Lookups!$A$28:$C$37,3,FALSE),1)</f>
        <v>0.98196844879778955</v>
      </c>
      <c r="BV237" s="2">
        <f>_xlfn.IFNA(VLOOKUP(Wapato_Inventory[[#This Row],[condition]],Lookups!$A$41:$C$48,3,FALSE),1)</f>
        <v>0.98442438223270734</v>
      </c>
      <c r="BW237" s="2">
        <f>IF(Wapato_Inventory[[#This Row],[decade]]="",1,_xlfn.IFNA(VLOOKUP(Wapato_Inventory[[#This Row],[decade]],Lookups!$F$28:$H$45,3,FALSE),1))</f>
        <v>1.0114203040664467</v>
      </c>
      <c r="BX237" s="2">
        <f>_xlfn.IFNA(VLOOKUP(Wapato_Inventory[[#This Row],[living_area_range]],Lookups!$K$28:$M$37,3,FALSE),1)</f>
        <v>1.0061411172456287</v>
      </c>
      <c r="BY237" s="2">
        <f>AVERAGE(Wapato_Inventory[[#This Row],[qual_adj]:[range_adj]])</f>
        <v>0.9959885630856431</v>
      </c>
      <c r="BZ237" s="7">
        <f>(Wapato_Inventory[[#This Row],[sum_land]]-IF(Wapato_Inventory[[#This Row],[no_utilities]]=1,12000,0))/IF(Wapato_Inventory[[#This Row],[unbuildable]]=1,2,1)</f>
        <v>53000</v>
      </c>
      <c r="CA237" s="7">
        <f>Wapato_Inventory[[#This Row],[pre_res]]*Wapato_Inventory[[#This Row],[overall_adj]]</f>
        <v>208610.25907958046</v>
      </c>
      <c r="CB23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37" s="3">
        <f>IF(ROUND(Wapato_Inventory[[#This Row],[adj_res]]*Lookups!$H$48,-2)&lt;Wapato_Inventory[[#This Row],[min_res]],Wapato_Inventory[[#This Row],[min_res]],ROUND(Wapato_Inventory[[#This Row],[adj_res]]*Lookups!$H$48,-2))</f>
        <v>198200</v>
      </c>
      <c r="CD237" s="3">
        <f>ROUND(Wapato_Inventory[[#This Row],[det_value]]*Lookups!$H$48,-2)</f>
        <v>0</v>
      </c>
      <c r="CE237" s="3">
        <f>Wapato_Inventory[[#This Row],[final_res]]+Wapato_Inventory[[#This Row],[final_det]]</f>
        <v>198200</v>
      </c>
      <c r="CF237" s="3">
        <f>Wapato_Inventory[[#This Row],[crop_value]]+Wapato_Inventory[[#This Row],[final_land]]+Wapato_Inventory[[#This Row],[final_imp]]</f>
        <v>248600</v>
      </c>
      <c r="CH237" t="str">
        <f t="shared" si="3"/>
        <v>update valuation set market_land =50400, market_bldg=198200, market_total =248600, market_mdno =405, market_date ='9/10/2023' where link_id = (select link_id from parcel where parcel_year = '2024' and parcel_id = '19111041534');</v>
      </c>
    </row>
    <row r="238" spans="1:86" x14ac:dyDescent="0.25">
      <c r="A238">
        <v>19111041535</v>
      </c>
      <c r="B238">
        <v>0.14000000000000001</v>
      </c>
      <c r="C238">
        <v>6250</v>
      </c>
      <c r="D238" t="s">
        <v>144</v>
      </c>
      <c r="E238" t="s">
        <v>54</v>
      </c>
      <c r="F238" t="s">
        <v>54</v>
      </c>
      <c r="G238">
        <v>3</v>
      </c>
      <c r="H238" t="s">
        <v>55</v>
      </c>
      <c r="I238">
        <v>112700</v>
      </c>
      <c r="J238">
        <v>31900</v>
      </c>
      <c r="K238">
        <v>0.14000000000000001</v>
      </c>
      <c r="L238">
        <f>IF(Wapato_Inventory[[#This Row],[parcel_acres]]-Wapato_Inventory[[#This Row],[non_valued_acres]] =0,0,LN(Wapato_Inventory[[#This Row],[parcel_acres]]-Wapato_Inventory[[#This Row],[non_valued_acres]]))</f>
        <v>-1.9661128563728327</v>
      </c>
      <c r="M238">
        <v>0</v>
      </c>
      <c r="N238">
        <v>0</v>
      </c>
      <c r="O238">
        <v>0</v>
      </c>
      <c r="P238">
        <v>27904.037</v>
      </c>
      <c r="Q238">
        <v>74398</v>
      </c>
      <c r="R238" s="3">
        <f>(Wapato_Inventory[[#This Row],[ln_acres]]*Wapato_Inventory[[#This Row],[coeff]])+Wapato_Inventory[[#This Row],[const]]</f>
        <v>19535.514109596792</v>
      </c>
      <c r="S238" t="s">
        <v>66</v>
      </c>
      <c r="T238">
        <v>1</v>
      </c>
      <c r="U238" t="s">
        <v>78</v>
      </c>
      <c r="V238" t="s">
        <v>68</v>
      </c>
      <c r="W238">
        <v>0</v>
      </c>
      <c r="X238">
        <v>0</v>
      </c>
      <c r="Y238">
        <v>53</v>
      </c>
      <c r="Z238">
        <v>93</v>
      </c>
      <c r="AA238">
        <v>100</v>
      </c>
      <c r="AB238">
        <v>1000</v>
      </c>
      <c r="AC238">
        <v>928</v>
      </c>
      <c r="AD238">
        <v>928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168</v>
      </c>
      <c r="AP238">
        <v>5</v>
      </c>
      <c r="AQ238">
        <v>0</v>
      </c>
      <c r="AR238">
        <v>0</v>
      </c>
      <c r="AS238" t="s">
        <v>59</v>
      </c>
      <c r="AT238">
        <v>0</v>
      </c>
      <c r="AU238" t="s">
        <v>80</v>
      </c>
      <c r="AV238" t="s">
        <v>65</v>
      </c>
      <c r="AW238">
        <v>0</v>
      </c>
      <c r="AX238">
        <v>2</v>
      </c>
      <c r="AY238">
        <v>0</v>
      </c>
      <c r="AZ238">
        <v>0</v>
      </c>
      <c r="BA238">
        <v>100</v>
      </c>
      <c r="BB238">
        <v>100</v>
      </c>
      <c r="BC238">
        <v>100</v>
      </c>
      <c r="BD238">
        <v>100</v>
      </c>
      <c r="BE238">
        <v>1</v>
      </c>
      <c r="BF238">
        <v>15000</v>
      </c>
      <c r="BG238">
        <v>1000</v>
      </c>
      <c r="BH238" s="7">
        <f>ROUND(Wapato_Inventory[[#This Row],[detatched_value]]*Lookups!$B$22*Lookups!$H$48,-2)</f>
        <v>0</v>
      </c>
      <c r="BI238" s="7">
        <f>ROUND(((Wapato_Inventory[[#This Row],[land_extract]]*Lookups!$B$3) +(Lookups!$B$2*0.5))*Lookups!$H$48,-2)</f>
        <v>53000</v>
      </c>
      <c r="BJ238" s="7">
        <f>IF(Wapato_Inventory[[#This Row],[bldg_style]]="",0,Lookups!$B$2*0.5)</f>
        <v>53765.27</v>
      </c>
      <c r="BK238" s="7">
        <f>_xlfn.IFNA(VLOOKUP(Wapato_Inventory[[#This Row],[quality]],Lookups!$H$2:$J$14,3,FALSE),0)</f>
        <v>23424</v>
      </c>
      <c r="BL238" s="7">
        <f>_xlfn.IFNA(VLOOKUP(Wapato_Inventory[[#This Row],[condition]],Lookups!$H$17:$J$24,3,FALSE),0)</f>
        <v>52231</v>
      </c>
      <c r="BM238" s="7">
        <f>Wapato_Inventory[[#This Row],[Age]]*Lookups!$B$16</f>
        <v>-34472.840100000001</v>
      </c>
      <c r="BN238" s="7">
        <f>Wapato_Inventory[[#This Row],[Main Floor]]*Lookups!$B$17</f>
        <v>38791.085791999998</v>
      </c>
      <c r="BO238" s="7">
        <f>Wapato_Inventory[[#This Row],[Upper Floor]]*Lookups!$B$18</f>
        <v>0</v>
      </c>
      <c r="BP238" s="7">
        <f>Wapato_Inventory[[#This Row],[Fin BSMT]]*Lookups!$B$19</f>
        <v>0</v>
      </c>
      <c r="BQ238" s="7">
        <f>(Wapato_Inventory[[#This Row],[att_gar]]+Wapato_Inventory[[#This Row],[blt_gar]])*Lookups!$B$20</f>
        <v>0</v>
      </c>
      <c r="BR238" s="7">
        <f>Wapato_Inventory[[#This Row],[Patio]]*Lookups!$B$21</f>
        <v>0</v>
      </c>
      <c r="BS238" s="7">
        <f>SUM(Wapato_Inventory[[#This Row],[intercept]:[patio_value]])*Wapato_Inventory[[#This Row],[res_pct]]</f>
        <v>133738.51569199999</v>
      </c>
      <c r="BT238" s="7">
        <f>Wapato_Inventory[[#This Row],[land_value]]</f>
        <v>53000</v>
      </c>
      <c r="BU238" s="2">
        <f>_xlfn.IFNA(VLOOKUP(Wapato_Inventory[[#This Row],[quality]],Lookups!$A$28:$C$37,3,FALSE),1)</f>
        <v>1.0091195562373767</v>
      </c>
      <c r="BV238" s="2">
        <f>_xlfn.IFNA(VLOOKUP(Wapato_Inventory[[#This Row],[condition]],Lookups!$A$41:$C$48,3,FALSE),1)</f>
        <v>0.9832333997567807</v>
      </c>
      <c r="BW238" s="2">
        <f>IF(Wapato_Inventory[[#This Row],[decade]]="",1,_xlfn.IFNA(VLOOKUP(Wapato_Inventory[[#This Row],[decade]],Lookups!$F$28:$H$45,3,FALSE),1))</f>
        <v>1.0114203040664467</v>
      </c>
      <c r="BX238" s="2">
        <f>_xlfn.IFNA(VLOOKUP(Wapato_Inventory[[#This Row],[living_area_range]],Lookups!$K$28:$M$37,3,FALSE),1)</f>
        <v>0.99022994770196116</v>
      </c>
      <c r="BY238" s="2">
        <f>AVERAGE(Wapato_Inventory[[#This Row],[qual_adj]:[range_adj]])</f>
        <v>0.99850080194064128</v>
      </c>
      <c r="BZ238" s="7">
        <f>(Wapato_Inventory[[#This Row],[sum_land]]-IF(Wapato_Inventory[[#This Row],[no_utilities]]=1,12000,0))/IF(Wapato_Inventory[[#This Row],[unbuildable]]=1,2,1)</f>
        <v>53000</v>
      </c>
      <c r="CA238" s="7">
        <f>Wapato_Inventory[[#This Row],[pre_res]]*Wapato_Inventory[[#This Row],[overall_adj]]</f>
        <v>133538.01516881303</v>
      </c>
      <c r="CB23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38" s="3">
        <f>IF(ROUND(Wapato_Inventory[[#This Row],[adj_res]]*Lookups!$H$48,-2)&lt;Wapato_Inventory[[#This Row],[min_res]],Wapato_Inventory[[#This Row],[min_res]],ROUND(Wapato_Inventory[[#This Row],[adj_res]]*Lookups!$H$48,-2))</f>
        <v>126900</v>
      </c>
      <c r="CD238" s="3">
        <f>ROUND(Wapato_Inventory[[#This Row],[det_value]]*Lookups!$H$48,-2)</f>
        <v>0</v>
      </c>
      <c r="CE238" s="3">
        <f>Wapato_Inventory[[#This Row],[final_res]]+Wapato_Inventory[[#This Row],[final_det]]</f>
        <v>126900</v>
      </c>
      <c r="CF238" s="3">
        <f>Wapato_Inventory[[#This Row],[crop_value]]+Wapato_Inventory[[#This Row],[final_land]]+Wapato_Inventory[[#This Row],[final_imp]]</f>
        <v>177300</v>
      </c>
      <c r="CH238" t="str">
        <f t="shared" si="3"/>
        <v>update valuation set market_land =50400, market_bldg=126900, market_total =177300, market_mdno =405, market_date ='9/10/2023' where link_id = (select link_id from parcel where parcel_year = '2024' and parcel_id = '19111041535');</v>
      </c>
    </row>
    <row r="239" spans="1:86" x14ac:dyDescent="0.25">
      <c r="A239">
        <v>19111041536</v>
      </c>
      <c r="B239">
        <v>0.14000000000000001</v>
      </c>
      <c r="C239">
        <v>6250</v>
      </c>
      <c r="D239" t="s">
        <v>144</v>
      </c>
      <c r="E239" t="s">
        <v>54</v>
      </c>
      <c r="F239" t="s">
        <v>54</v>
      </c>
      <c r="G239">
        <v>3</v>
      </c>
      <c r="H239" t="s">
        <v>55</v>
      </c>
      <c r="I239">
        <v>181400</v>
      </c>
      <c r="J239">
        <v>31900</v>
      </c>
      <c r="K239">
        <v>0.14000000000000001</v>
      </c>
      <c r="L239">
        <f>IF(Wapato_Inventory[[#This Row],[parcel_acres]]-Wapato_Inventory[[#This Row],[non_valued_acres]] =0,0,LN(Wapato_Inventory[[#This Row],[parcel_acres]]-Wapato_Inventory[[#This Row],[non_valued_acres]]))</f>
        <v>-1.9661128563728327</v>
      </c>
      <c r="M239">
        <v>0</v>
      </c>
      <c r="N239">
        <v>0</v>
      </c>
      <c r="O239">
        <v>0</v>
      </c>
      <c r="P239">
        <v>27904.037</v>
      </c>
      <c r="Q239">
        <v>74398</v>
      </c>
      <c r="R239" s="3">
        <f>(Wapato_Inventory[[#This Row],[ln_acres]]*Wapato_Inventory[[#This Row],[coeff]])+Wapato_Inventory[[#This Row],[const]]</f>
        <v>19535.514109596792</v>
      </c>
      <c r="S239" t="s">
        <v>66</v>
      </c>
      <c r="T239">
        <v>1</v>
      </c>
      <c r="U239" t="s">
        <v>71</v>
      </c>
      <c r="V239" t="s">
        <v>69</v>
      </c>
      <c r="W239">
        <v>0</v>
      </c>
      <c r="X239">
        <v>0</v>
      </c>
      <c r="Y239">
        <v>57</v>
      </c>
      <c r="Z239">
        <v>103</v>
      </c>
      <c r="AA239">
        <v>110</v>
      </c>
      <c r="AB239">
        <v>1000</v>
      </c>
      <c r="AC239">
        <v>912</v>
      </c>
      <c r="AD239">
        <v>912</v>
      </c>
      <c r="AE239">
        <v>0</v>
      </c>
      <c r="AF239">
        <v>0</v>
      </c>
      <c r="AG239">
        <v>0</v>
      </c>
      <c r="AH239">
        <v>0</v>
      </c>
      <c r="AI239">
        <v>494</v>
      </c>
      <c r="AJ239">
        <v>0</v>
      </c>
      <c r="AK239">
        <v>0</v>
      </c>
      <c r="AL239">
        <v>0</v>
      </c>
      <c r="AM239">
        <v>0</v>
      </c>
      <c r="AN239">
        <v>168</v>
      </c>
      <c r="AO239">
        <v>0</v>
      </c>
      <c r="AP239">
        <v>5</v>
      </c>
      <c r="AQ239">
        <v>0</v>
      </c>
      <c r="AR239">
        <v>0</v>
      </c>
      <c r="AS239" t="s">
        <v>59</v>
      </c>
      <c r="AT239">
        <v>0</v>
      </c>
      <c r="AU239" t="s">
        <v>80</v>
      </c>
      <c r="AV239" t="s">
        <v>61</v>
      </c>
      <c r="AW239">
        <v>1</v>
      </c>
      <c r="AX239">
        <v>2</v>
      </c>
      <c r="AY239">
        <v>0</v>
      </c>
      <c r="AZ239">
        <v>13500</v>
      </c>
      <c r="BA239">
        <v>100</v>
      </c>
      <c r="BB239">
        <v>100</v>
      </c>
      <c r="BC239">
        <v>100</v>
      </c>
      <c r="BD239">
        <v>100</v>
      </c>
      <c r="BE239">
        <v>1</v>
      </c>
      <c r="BF239">
        <v>15000</v>
      </c>
      <c r="BG239">
        <v>1000</v>
      </c>
      <c r="BH239" s="7">
        <f>ROUND(Wapato_Inventory[[#This Row],[detatched_value]]*Lookups!$B$22*Lookups!$H$48,-2)</f>
        <v>12100</v>
      </c>
      <c r="BI239" s="7">
        <f>ROUND(((Wapato_Inventory[[#This Row],[land_extract]]*Lookups!$B$3) +(Lookups!$B$2*0.5))*Lookups!$H$48,-2)</f>
        <v>53000</v>
      </c>
      <c r="BJ239" s="7">
        <f>IF(Wapato_Inventory[[#This Row],[bldg_style]]="",0,Lookups!$B$2*0.5)</f>
        <v>53765.27</v>
      </c>
      <c r="BK239" s="7">
        <f>_xlfn.IFNA(VLOOKUP(Wapato_Inventory[[#This Row],[quality]],Lookups!$H$2:$J$14,3,FALSE),0)</f>
        <v>28034</v>
      </c>
      <c r="BL239" s="7">
        <f>_xlfn.IFNA(VLOOKUP(Wapato_Inventory[[#This Row],[condition]],Lookups!$H$17:$J$24,3,FALSE),0)</f>
        <v>74543</v>
      </c>
      <c r="BM239" s="7">
        <f>Wapato_Inventory[[#This Row],[Age]]*Lookups!$B$16</f>
        <v>-38179.597099999999</v>
      </c>
      <c r="BN239" s="7">
        <f>Wapato_Inventory[[#This Row],[Main Floor]]*Lookups!$B$17</f>
        <v>38122.273968000001</v>
      </c>
      <c r="BO239" s="7">
        <f>Wapato_Inventory[[#This Row],[Upper Floor]]*Lookups!$B$18</f>
        <v>0</v>
      </c>
      <c r="BP239" s="7">
        <f>Wapato_Inventory[[#This Row],[Fin BSMT]]*Lookups!$B$19</f>
        <v>0</v>
      </c>
      <c r="BQ239" s="7">
        <f>(Wapato_Inventory[[#This Row],[att_gar]]+Wapato_Inventory[[#This Row],[blt_gar]])*Lookups!$B$20</f>
        <v>18282.323488000002</v>
      </c>
      <c r="BR239" s="7">
        <f>Wapato_Inventory[[#This Row],[Patio]]*Lookups!$B$21</f>
        <v>0</v>
      </c>
      <c r="BS239" s="7">
        <f>SUM(Wapato_Inventory[[#This Row],[intercept]:[patio_value]])*Wapato_Inventory[[#This Row],[res_pct]]</f>
        <v>174567.27035599999</v>
      </c>
      <c r="BT239" s="7">
        <f>Wapato_Inventory[[#This Row],[land_value]]</f>
        <v>53000</v>
      </c>
      <c r="BU239" s="2">
        <f>_xlfn.IFNA(VLOOKUP(Wapato_Inventory[[#This Row],[quality]],Lookups!$A$28:$C$37,3,FALSE),1)</f>
        <v>0.96265813922927435</v>
      </c>
      <c r="BV239" s="2">
        <f>_xlfn.IFNA(VLOOKUP(Wapato_Inventory[[#This Row],[condition]],Lookups!$A$41:$C$48,3,FALSE),1)</f>
        <v>0.98442438223270734</v>
      </c>
      <c r="BW239" s="2">
        <f>IF(Wapato_Inventory[[#This Row],[decade]]="",1,_xlfn.IFNA(VLOOKUP(Wapato_Inventory[[#This Row],[decade]],Lookups!$F$28:$H$45,3,FALSE),1))</f>
        <v>0.93664589651353292</v>
      </c>
      <c r="BX239" s="2">
        <f>_xlfn.IFNA(VLOOKUP(Wapato_Inventory[[#This Row],[living_area_range]],Lookups!$K$28:$M$37,3,FALSE),1)</f>
        <v>0.99022994770196116</v>
      </c>
      <c r="BY239" s="2">
        <f>AVERAGE(Wapato_Inventory[[#This Row],[qual_adj]:[range_adj]])</f>
        <v>0.96848959141936886</v>
      </c>
      <c r="BZ239" s="7">
        <f>(Wapato_Inventory[[#This Row],[sum_land]]-IF(Wapato_Inventory[[#This Row],[no_utilities]]=1,12000,0))/IF(Wapato_Inventory[[#This Row],[unbuildable]]=1,2,1)</f>
        <v>53000</v>
      </c>
      <c r="CA239" s="7">
        <f>Wapato_Inventory[[#This Row],[pre_res]]*Wapato_Inventory[[#This Row],[overall_adj]]</f>
        <v>169066.58434227694</v>
      </c>
      <c r="CB23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39" s="3">
        <f>IF(ROUND(Wapato_Inventory[[#This Row],[adj_res]]*Lookups!$H$48,-2)&lt;Wapato_Inventory[[#This Row],[min_res]],Wapato_Inventory[[#This Row],[min_res]],ROUND(Wapato_Inventory[[#This Row],[adj_res]]*Lookups!$H$48,-2))</f>
        <v>160600</v>
      </c>
      <c r="CD239" s="3">
        <f>ROUND(Wapato_Inventory[[#This Row],[det_value]]*Lookups!$H$48,-2)</f>
        <v>11500</v>
      </c>
      <c r="CE239" s="3">
        <f>Wapato_Inventory[[#This Row],[final_res]]+Wapato_Inventory[[#This Row],[final_det]]</f>
        <v>172100</v>
      </c>
      <c r="CF239" s="3">
        <f>Wapato_Inventory[[#This Row],[crop_value]]+Wapato_Inventory[[#This Row],[final_land]]+Wapato_Inventory[[#This Row],[final_imp]]</f>
        <v>222500</v>
      </c>
      <c r="CH239" t="str">
        <f t="shared" si="3"/>
        <v>update valuation set market_land =50400, market_bldg=172100, market_total =222500, market_mdno =405, market_date ='9/10/2023' where link_id = (select link_id from parcel where parcel_year = '2024' and parcel_id = '19111041536');</v>
      </c>
    </row>
    <row r="240" spans="1:86" x14ac:dyDescent="0.25">
      <c r="A240">
        <v>19111041537</v>
      </c>
      <c r="B240">
        <v>0.14000000000000001</v>
      </c>
      <c r="C240">
        <v>6250</v>
      </c>
      <c r="D240" t="s">
        <v>144</v>
      </c>
      <c r="E240" t="s">
        <v>54</v>
      </c>
      <c r="F240" t="s">
        <v>54</v>
      </c>
      <c r="G240">
        <v>3</v>
      </c>
      <c r="H240" t="s">
        <v>55</v>
      </c>
      <c r="I240">
        <v>174300</v>
      </c>
      <c r="J240">
        <v>31900</v>
      </c>
      <c r="K240">
        <v>0.14000000000000001</v>
      </c>
      <c r="L240">
        <f>IF(Wapato_Inventory[[#This Row],[parcel_acres]]-Wapato_Inventory[[#This Row],[non_valued_acres]] =0,0,LN(Wapato_Inventory[[#This Row],[parcel_acres]]-Wapato_Inventory[[#This Row],[non_valued_acres]]))</f>
        <v>-1.9661128563728327</v>
      </c>
      <c r="M240">
        <v>0</v>
      </c>
      <c r="N240">
        <v>0</v>
      </c>
      <c r="O240">
        <v>0</v>
      </c>
      <c r="P240">
        <v>27904.037</v>
      </c>
      <c r="Q240">
        <v>74398</v>
      </c>
      <c r="R240" s="3">
        <f>(Wapato_Inventory[[#This Row],[ln_acres]]*Wapato_Inventory[[#This Row],[coeff]])+Wapato_Inventory[[#This Row],[const]]</f>
        <v>19535.514109596792</v>
      </c>
      <c r="S240" t="s">
        <v>56</v>
      </c>
      <c r="T240">
        <v>2</v>
      </c>
      <c r="U240" t="s">
        <v>75</v>
      </c>
      <c r="V240" t="s">
        <v>68</v>
      </c>
      <c r="W240">
        <v>0</v>
      </c>
      <c r="X240">
        <v>0</v>
      </c>
      <c r="Y240">
        <v>28</v>
      </c>
      <c r="Z240">
        <v>103</v>
      </c>
      <c r="AA240">
        <v>110</v>
      </c>
      <c r="AB240">
        <v>2000</v>
      </c>
      <c r="AC240">
        <v>1518</v>
      </c>
      <c r="AD240">
        <v>1056</v>
      </c>
      <c r="AE240">
        <v>462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192</v>
      </c>
      <c r="AM240">
        <v>0</v>
      </c>
      <c r="AN240">
        <v>48</v>
      </c>
      <c r="AO240">
        <v>192</v>
      </c>
      <c r="AP240">
        <v>8</v>
      </c>
      <c r="AQ240">
        <v>0</v>
      </c>
      <c r="AR240">
        <v>0</v>
      </c>
      <c r="AS240" t="s">
        <v>59</v>
      </c>
      <c r="AT240">
        <v>1</v>
      </c>
      <c r="AU240" t="s">
        <v>72</v>
      </c>
      <c r="AV240" t="s">
        <v>61</v>
      </c>
      <c r="AW240">
        <v>0</v>
      </c>
      <c r="AX240">
        <v>4</v>
      </c>
      <c r="AY240">
        <v>0</v>
      </c>
      <c r="AZ240">
        <v>16400</v>
      </c>
      <c r="BA240">
        <v>100</v>
      </c>
      <c r="BB240">
        <v>100</v>
      </c>
      <c r="BC240">
        <v>100</v>
      </c>
      <c r="BD240">
        <v>100</v>
      </c>
      <c r="BE240">
        <v>1</v>
      </c>
      <c r="BF240">
        <v>15000</v>
      </c>
      <c r="BG240">
        <v>1000</v>
      </c>
      <c r="BH240" s="7">
        <f>ROUND(Wapato_Inventory[[#This Row],[detatched_value]]*Lookups!$B$22*Lookups!$H$48,-2)</f>
        <v>14600</v>
      </c>
      <c r="BI240" s="7">
        <f>ROUND(((Wapato_Inventory[[#This Row],[land_extract]]*Lookups!$B$3) +(Lookups!$B$2*0.5))*Lookups!$H$48,-2)</f>
        <v>53000</v>
      </c>
      <c r="BJ240" s="7">
        <f>IF(Wapato_Inventory[[#This Row],[bldg_style]]="",0,Lookups!$B$2*0.5)</f>
        <v>53765.27</v>
      </c>
      <c r="BK240" s="7">
        <f>_xlfn.IFNA(VLOOKUP(Wapato_Inventory[[#This Row],[quality]],Lookups!$H$2:$J$14,3,FALSE),0)</f>
        <v>48043</v>
      </c>
      <c r="BL240" s="7">
        <f>_xlfn.IFNA(VLOOKUP(Wapato_Inventory[[#This Row],[condition]],Lookups!$H$17:$J$24,3,FALSE),0)</f>
        <v>52231</v>
      </c>
      <c r="BM240" s="7">
        <f>Wapato_Inventory[[#This Row],[Age]]*Lookups!$B$16</f>
        <v>-38179.597099999999</v>
      </c>
      <c r="BN240" s="7">
        <f>Wapato_Inventory[[#This Row],[Main Floor]]*Lookups!$B$17</f>
        <v>44141.580384000001</v>
      </c>
      <c r="BO240" s="7">
        <f>Wapato_Inventory[[#This Row],[Upper Floor]]*Lookups!$B$18</f>
        <v>22915.726218</v>
      </c>
      <c r="BP240" s="7">
        <f>Wapato_Inventory[[#This Row],[Fin BSMT]]*Lookups!$B$19</f>
        <v>0</v>
      </c>
      <c r="BQ240" s="7">
        <f>(Wapato_Inventory[[#This Row],[att_gar]]+Wapato_Inventory[[#This Row],[blt_gar]])*Lookups!$B$20</f>
        <v>0</v>
      </c>
      <c r="BR240" s="7">
        <f>Wapato_Inventory[[#This Row],[Patio]]*Lookups!$B$21</f>
        <v>0</v>
      </c>
      <c r="BS240" s="7">
        <f>SUM(Wapato_Inventory[[#This Row],[intercept]:[patio_value]])*Wapato_Inventory[[#This Row],[res_pct]]</f>
        <v>182916.97950199997</v>
      </c>
      <c r="BT240" s="7">
        <f>Wapato_Inventory[[#This Row],[land_value]]</f>
        <v>53000</v>
      </c>
      <c r="BU240" s="2">
        <f>_xlfn.IFNA(VLOOKUP(Wapato_Inventory[[#This Row],[quality]],Lookups!$A$28:$C$37,3,FALSE),1)</f>
        <v>0.98196844879778955</v>
      </c>
      <c r="BV240" s="2">
        <f>_xlfn.IFNA(VLOOKUP(Wapato_Inventory[[#This Row],[condition]],Lookups!$A$41:$C$48,3,FALSE),1)</f>
        <v>0.9832333997567807</v>
      </c>
      <c r="BW240" s="2">
        <f>IF(Wapato_Inventory[[#This Row],[decade]]="",1,_xlfn.IFNA(VLOOKUP(Wapato_Inventory[[#This Row],[decade]],Lookups!$F$28:$H$45,3,FALSE),1))</f>
        <v>0.93664589651353292</v>
      </c>
      <c r="BX240" s="2">
        <f>_xlfn.IFNA(VLOOKUP(Wapato_Inventory[[#This Row],[living_area_range]],Lookups!$K$28:$M$37,3,FALSE),1)</f>
        <v>0.99330894324714125</v>
      </c>
      <c r="BY240" s="2">
        <f>AVERAGE(Wapato_Inventory[[#This Row],[qual_adj]:[range_adj]])</f>
        <v>0.9737891720788111</v>
      </c>
      <c r="BZ240" s="7">
        <f>(Wapato_Inventory[[#This Row],[sum_land]]-IF(Wapato_Inventory[[#This Row],[no_utilities]]=1,12000,0))/IF(Wapato_Inventory[[#This Row],[unbuildable]]=1,2,1)</f>
        <v>53000</v>
      </c>
      <c r="CA240" s="7">
        <f>Wapato_Inventory[[#This Row],[pre_res]]*Wapato_Inventory[[#This Row],[overall_adj]]</f>
        <v>178122.57402840941</v>
      </c>
      <c r="CB24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40" s="3">
        <f>IF(ROUND(Wapato_Inventory[[#This Row],[adj_res]]*Lookups!$H$48,-2)&lt;Wapato_Inventory[[#This Row],[min_res]],Wapato_Inventory[[#This Row],[min_res]],ROUND(Wapato_Inventory[[#This Row],[adj_res]]*Lookups!$H$48,-2))</f>
        <v>169200</v>
      </c>
      <c r="CD240" s="3">
        <f>ROUND(Wapato_Inventory[[#This Row],[det_value]]*Lookups!$H$48,-2)</f>
        <v>13900</v>
      </c>
      <c r="CE240" s="3">
        <f>Wapato_Inventory[[#This Row],[final_res]]+Wapato_Inventory[[#This Row],[final_det]]</f>
        <v>183100</v>
      </c>
      <c r="CF240" s="3">
        <f>Wapato_Inventory[[#This Row],[crop_value]]+Wapato_Inventory[[#This Row],[final_land]]+Wapato_Inventory[[#This Row],[final_imp]]</f>
        <v>233500</v>
      </c>
      <c r="CH240" t="str">
        <f t="shared" si="3"/>
        <v>update valuation set market_land =50400, market_bldg=183100, market_total =233500, market_mdno =405, market_date ='9/10/2023' where link_id = (select link_id from parcel where parcel_year = '2024' and parcel_id = '19111041537');</v>
      </c>
    </row>
    <row r="241" spans="1:86" x14ac:dyDescent="0.25">
      <c r="A241">
        <v>19111041538</v>
      </c>
      <c r="B241">
        <v>0.14000000000000001</v>
      </c>
      <c r="C241">
        <v>6250</v>
      </c>
      <c r="D241" t="s">
        <v>144</v>
      </c>
      <c r="E241" t="s">
        <v>54</v>
      </c>
      <c r="F241" t="s">
        <v>54</v>
      </c>
      <c r="G241">
        <v>3</v>
      </c>
      <c r="H241" t="s">
        <v>55</v>
      </c>
      <c r="I241">
        <v>57400</v>
      </c>
      <c r="J241">
        <v>31900</v>
      </c>
      <c r="K241">
        <v>0.14000000000000001</v>
      </c>
      <c r="L241">
        <f>IF(Wapato_Inventory[[#This Row],[parcel_acres]]-Wapato_Inventory[[#This Row],[non_valued_acres]] =0,0,LN(Wapato_Inventory[[#This Row],[parcel_acres]]-Wapato_Inventory[[#This Row],[non_valued_acres]]))</f>
        <v>-1.9661128563728327</v>
      </c>
      <c r="M241">
        <v>0</v>
      </c>
      <c r="N241">
        <v>0</v>
      </c>
      <c r="O241">
        <v>0</v>
      </c>
      <c r="P241">
        <v>27904.037</v>
      </c>
      <c r="Q241">
        <v>74398</v>
      </c>
      <c r="R241" s="3">
        <f>(Wapato_Inventory[[#This Row],[ln_acres]]*Wapato_Inventory[[#This Row],[coeff]])+Wapato_Inventory[[#This Row],[const]]</f>
        <v>19535.514109596792</v>
      </c>
      <c r="S241" t="s">
        <v>66</v>
      </c>
      <c r="T241">
        <v>1</v>
      </c>
      <c r="U241" t="s">
        <v>71</v>
      </c>
      <c r="V241" t="s">
        <v>73</v>
      </c>
      <c r="W241">
        <v>0</v>
      </c>
      <c r="X241">
        <v>0</v>
      </c>
      <c r="Y241">
        <v>57</v>
      </c>
      <c r="Z241">
        <v>103</v>
      </c>
      <c r="AA241">
        <v>110</v>
      </c>
      <c r="AB241">
        <v>1000</v>
      </c>
      <c r="AC241">
        <v>724</v>
      </c>
      <c r="AD241">
        <v>724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24</v>
      </c>
      <c r="AO241">
        <v>0</v>
      </c>
      <c r="AP241">
        <v>5</v>
      </c>
      <c r="AQ241">
        <v>0</v>
      </c>
      <c r="AR241">
        <v>0</v>
      </c>
      <c r="AS241" t="s">
        <v>59</v>
      </c>
      <c r="AT241">
        <v>1</v>
      </c>
      <c r="AU241" t="s">
        <v>76</v>
      </c>
      <c r="AV241" t="s">
        <v>61</v>
      </c>
      <c r="AW241">
        <v>0</v>
      </c>
      <c r="AX241">
        <v>2</v>
      </c>
      <c r="AY241">
        <v>0</v>
      </c>
      <c r="AZ241">
        <v>5900</v>
      </c>
      <c r="BA241">
        <v>100</v>
      </c>
      <c r="BB241">
        <v>100</v>
      </c>
      <c r="BC241">
        <v>100</v>
      </c>
      <c r="BD241">
        <v>100</v>
      </c>
      <c r="BE241">
        <v>1</v>
      </c>
      <c r="BF241">
        <v>15000</v>
      </c>
      <c r="BG241">
        <v>1000</v>
      </c>
      <c r="BH241" s="7">
        <f>ROUND(Wapato_Inventory[[#This Row],[detatched_value]]*Lookups!$B$22*Lookups!$H$48,-2)</f>
        <v>5300</v>
      </c>
      <c r="BI241" s="7">
        <f>ROUND(((Wapato_Inventory[[#This Row],[land_extract]]*Lookups!$B$3) +(Lookups!$B$2*0.5))*Lookups!$H$48,-2)</f>
        <v>53000</v>
      </c>
      <c r="BJ241" s="7">
        <f>IF(Wapato_Inventory[[#This Row],[bldg_style]]="",0,Lookups!$B$2*0.5)</f>
        <v>53765.27</v>
      </c>
      <c r="BK241" s="7">
        <f>_xlfn.IFNA(VLOOKUP(Wapato_Inventory[[#This Row],[quality]],Lookups!$H$2:$J$14,3,FALSE),0)</f>
        <v>28034</v>
      </c>
      <c r="BL241" s="7">
        <f>_xlfn.IFNA(VLOOKUP(Wapato_Inventory[[#This Row],[condition]],Lookups!$H$17:$J$24,3,FALSE),0)</f>
        <v>16276</v>
      </c>
      <c r="BM241" s="7">
        <f>Wapato_Inventory[[#This Row],[Age]]*Lookups!$B$16</f>
        <v>-38179.597099999999</v>
      </c>
      <c r="BN241" s="7">
        <f>Wapato_Inventory[[#This Row],[Main Floor]]*Lookups!$B$17</f>
        <v>30263.735036000002</v>
      </c>
      <c r="BO241" s="7">
        <f>Wapato_Inventory[[#This Row],[Upper Floor]]*Lookups!$B$18</f>
        <v>0</v>
      </c>
      <c r="BP241" s="7">
        <f>Wapato_Inventory[[#This Row],[Fin BSMT]]*Lookups!$B$19</f>
        <v>0</v>
      </c>
      <c r="BQ241" s="7">
        <f>(Wapato_Inventory[[#This Row],[att_gar]]+Wapato_Inventory[[#This Row],[blt_gar]])*Lookups!$B$20</f>
        <v>0</v>
      </c>
      <c r="BR241" s="7">
        <f>Wapato_Inventory[[#This Row],[Patio]]*Lookups!$B$21</f>
        <v>0</v>
      </c>
      <c r="BS241" s="7">
        <f>SUM(Wapato_Inventory[[#This Row],[intercept]:[patio_value]])*Wapato_Inventory[[#This Row],[res_pct]]</f>
        <v>90159.407935999989</v>
      </c>
      <c r="BT241" s="7">
        <f>Wapato_Inventory[[#This Row],[land_value]]</f>
        <v>53000</v>
      </c>
      <c r="BU241" s="2">
        <f>_xlfn.IFNA(VLOOKUP(Wapato_Inventory[[#This Row],[quality]],Lookups!$A$28:$C$37,3,FALSE),1)</f>
        <v>0.96265813922927435</v>
      </c>
      <c r="BV241" s="2">
        <f>_xlfn.IFNA(VLOOKUP(Wapato_Inventory[[#This Row],[condition]],Lookups!$A$41:$C$48,3,FALSE),1)</f>
        <v>0.93399385491337139</v>
      </c>
      <c r="BW241" s="2">
        <f>IF(Wapato_Inventory[[#This Row],[decade]]="",1,_xlfn.IFNA(VLOOKUP(Wapato_Inventory[[#This Row],[decade]],Lookups!$F$28:$H$45,3,FALSE),1))</f>
        <v>0.93664589651353292</v>
      </c>
      <c r="BX241" s="2">
        <f>_xlfn.IFNA(VLOOKUP(Wapato_Inventory[[#This Row],[living_area_range]],Lookups!$K$28:$M$37,3,FALSE),1)</f>
        <v>0.99022994770196116</v>
      </c>
      <c r="BY241" s="2">
        <f>AVERAGE(Wapato_Inventory[[#This Row],[qual_adj]:[range_adj]])</f>
        <v>0.95588195958953504</v>
      </c>
      <c r="BZ241" s="7">
        <f>(Wapato_Inventory[[#This Row],[sum_land]]-IF(Wapato_Inventory[[#This Row],[no_utilities]]=1,12000,0))/IF(Wapato_Inventory[[#This Row],[unbuildable]]=1,2,1)</f>
        <v>53000</v>
      </c>
      <c r="CA241" s="7">
        <f>Wapato_Inventory[[#This Row],[pre_res]]*Wapato_Inventory[[#This Row],[overall_adj]]</f>
        <v>86181.751533295945</v>
      </c>
      <c r="CB24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41" s="3">
        <f>IF(ROUND(Wapato_Inventory[[#This Row],[adj_res]]*Lookups!$H$48,-2)&lt;Wapato_Inventory[[#This Row],[min_res]],Wapato_Inventory[[#This Row],[min_res]],ROUND(Wapato_Inventory[[#This Row],[adj_res]]*Lookups!$H$48,-2))</f>
        <v>81900</v>
      </c>
      <c r="CD241" s="3">
        <f>ROUND(Wapato_Inventory[[#This Row],[det_value]]*Lookups!$H$48,-2)</f>
        <v>5000</v>
      </c>
      <c r="CE241" s="3">
        <f>Wapato_Inventory[[#This Row],[final_res]]+Wapato_Inventory[[#This Row],[final_det]]</f>
        <v>86900</v>
      </c>
      <c r="CF241" s="3">
        <f>Wapato_Inventory[[#This Row],[crop_value]]+Wapato_Inventory[[#This Row],[final_land]]+Wapato_Inventory[[#This Row],[final_imp]]</f>
        <v>137300</v>
      </c>
      <c r="CH241" t="str">
        <f t="shared" si="3"/>
        <v>update valuation set market_land =50400, market_bldg=86900, market_total =137300, market_mdno =405, market_date ='9/10/2023' where link_id = (select link_id from parcel where parcel_year = '2024' and parcel_id = '19111041538');</v>
      </c>
    </row>
    <row r="242" spans="1:86" x14ac:dyDescent="0.25">
      <c r="A242">
        <v>19111041539</v>
      </c>
      <c r="B242">
        <v>0.14000000000000001</v>
      </c>
      <c r="C242">
        <v>6250</v>
      </c>
      <c r="D242" t="s">
        <v>144</v>
      </c>
      <c r="E242" t="s">
        <v>54</v>
      </c>
      <c r="F242" t="s">
        <v>54</v>
      </c>
      <c r="G242">
        <v>3</v>
      </c>
      <c r="H242" t="s">
        <v>55</v>
      </c>
      <c r="I242">
        <v>41300</v>
      </c>
      <c r="J242">
        <v>31900</v>
      </c>
      <c r="K242">
        <v>0.14000000000000001</v>
      </c>
      <c r="L242">
        <f>IF(Wapato_Inventory[[#This Row],[parcel_acres]]-Wapato_Inventory[[#This Row],[non_valued_acres]] =0,0,LN(Wapato_Inventory[[#This Row],[parcel_acres]]-Wapato_Inventory[[#This Row],[non_valued_acres]]))</f>
        <v>-1.9661128563728327</v>
      </c>
      <c r="M242">
        <v>0</v>
      </c>
      <c r="N242">
        <v>0</v>
      </c>
      <c r="O242">
        <v>0</v>
      </c>
      <c r="P242">
        <v>27904.037</v>
      </c>
      <c r="Q242">
        <v>74398</v>
      </c>
      <c r="R242" s="3">
        <f>(Wapato_Inventory[[#This Row],[ln_acres]]*Wapato_Inventory[[#This Row],[coeff]])+Wapato_Inventory[[#This Row],[const]]</f>
        <v>19535.514109596792</v>
      </c>
      <c r="S242" t="s">
        <v>83</v>
      </c>
      <c r="T242">
        <v>1</v>
      </c>
      <c r="U242" t="s">
        <v>78</v>
      </c>
      <c r="V242" t="s">
        <v>84</v>
      </c>
      <c r="W242">
        <v>0</v>
      </c>
      <c r="X242">
        <v>0</v>
      </c>
      <c r="Y242">
        <v>98</v>
      </c>
      <c r="Z242">
        <v>98</v>
      </c>
      <c r="AA242">
        <v>100</v>
      </c>
      <c r="AB242">
        <v>1000</v>
      </c>
      <c r="AC242">
        <v>810</v>
      </c>
      <c r="AD242">
        <v>810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56</v>
      </c>
      <c r="AN242">
        <v>0</v>
      </c>
      <c r="AO242">
        <v>0</v>
      </c>
      <c r="AP242">
        <v>5</v>
      </c>
      <c r="AQ242">
        <v>0</v>
      </c>
      <c r="AR242">
        <v>0</v>
      </c>
      <c r="AS242" t="s">
        <v>59</v>
      </c>
      <c r="AT242">
        <v>1</v>
      </c>
      <c r="AU242" t="s">
        <v>76</v>
      </c>
      <c r="AV242" t="s">
        <v>65</v>
      </c>
      <c r="AW242">
        <v>0</v>
      </c>
      <c r="AX242">
        <v>3</v>
      </c>
      <c r="AY242">
        <v>0</v>
      </c>
      <c r="AZ242">
        <v>6200</v>
      </c>
      <c r="BA242">
        <v>100</v>
      </c>
      <c r="BB242">
        <v>100</v>
      </c>
      <c r="BC242">
        <v>100</v>
      </c>
      <c r="BD242">
        <v>100</v>
      </c>
      <c r="BE242">
        <v>1</v>
      </c>
      <c r="BF242">
        <v>15000</v>
      </c>
      <c r="BG242">
        <v>1000</v>
      </c>
      <c r="BH242" s="7">
        <f>ROUND(Wapato_Inventory[[#This Row],[detatched_value]]*Lookups!$B$22*Lookups!$H$48,-2)</f>
        <v>5500</v>
      </c>
      <c r="BI242" s="7">
        <f>ROUND(((Wapato_Inventory[[#This Row],[land_extract]]*Lookups!$B$3) +(Lookups!$B$2*0.5))*Lookups!$H$48,-2)</f>
        <v>53000</v>
      </c>
      <c r="BJ242" s="7">
        <f>IF(Wapato_Inventory[[#This Row],[bldg_style]]="",0,Lookups!$B$2*0.5)</f>
        <v>53765.27</v>
      </c>
      <c r="BK242" s="7">
        <f>_xlfn.IFNA(VLOOKUP(Wapato_Inventory[[#This Row],[quality]],Lookups!$H$2:$J$14,3,FALSE),0)</f>
        <v>23424</v>
      </c>
      <c r="BL242" s="7">
        <f>_xlfn.IFNA(VLOOKUP(Wapato_Inventory[[#This Row],[condition]],Lookups!$H$17:$J$24,3,FALSE),0)</f>
        <v>0</v>
      </c>
      <c r="BM242" s="7">
        <f>Wapato_Inventory[[#This Row],[Age]]*Lookups!$B$16</f>
        <v>-36326.2186</v>
      </c>
      <c r="BN242" s="7">
        <f>Wapato_Inventory[[#This Row],[Main Floor]]*Lookups!$B$17</f>
        <v>33858.598590000001</v>
      </c>
      <c r="BO242" s="7">
        <f>Wapato_Inventory[[#This Row],[Upper Floor]]*Lookups!$B$18</f>
        <v>0</v>
      </c>
      <c r="BP242" s="7">
        <f>Wapato_Inventory[[#This Row],[Fin BSMT]]*Lookups!$B$19</f>
        <v>0</v>
      </c>
      <c r="BQ242" s="7">
        <f>(Wapato_Inventory[[#This Row],[att_gar]]+Wapato_Inventory[[#This Row],[blt_gar]])*Lookups!$B$20</f>
        <v>0</v>
      </c>
      <c r="BR242" s="7">
        <f>Wapato_Inventory[[#This Row],[Patio]]*Lookups!$B$21</f>
        <v>2426.142824</v>
      </c>
      <c r="BS242" s="7">
        <f>SUM(Wapato_Inventory[[#This Row],[intercept]:[patio_value]])*Wapato_Inventory[[#This Row],[res_pct]]</f>
        <v>77147.792813999986</v>
      </c>
      <c r="BT242" s="7">
        <f>Wapato_Inventory[[#This Row],[land_value]]</f>
        <v>53000</v>
      </c>
      <c r="BU242" s="2">
        <f>_xlfn.IFNA(VLOOKUP(Wapato_Inventory[[#This Row],[quality]],Lookups!$A$28:$C$37,3,FALSE),1)</f>
        <v>1.0091195562373767</v>
      </c>
      <c r="BV242" s="2">
        <f>_xlfn.IFNA(VLOOKUP(Wapato_Inventory[[#This Row],[condition]],Lookups!$A$41:$C$48,3,FALSE),1)</f>
        <v>1.0000035546274355</v>
      </c>
      <c r="BW242" s="2">
        <f>IF(Wapato_Inventory[[#This Row],[decade]]="",1,_xlfn.IFNA(VLOOKUP(Wapato_Inventory[[#This Row],[decade]],Lookups!$F$28:$H$45,3,FALSE),1))</f>
        <v>1.0114203040664467</v>
      </c>
      <c r="BX242" s="2">
        <f>_xlfn.IFNA(VLOOKUP(Wapato_Inventory[[#This Row],[living_area_range]],Lookups!$K$28:$M$37,3,FALSE),1)</f>
        <v>0.99022994770196116</v>
      </c>
      <c r="BY242" s="2">
        <f>AVERAGE(Wapato_Inventory[[#This Row],[qual_adj]:[range_adj]])</f>
        <v>1.002693340658305</v>
      </c>
      <c r="BZ242" s="7">
        <f>(Wapato_Inventory[[#This Row],[sum_land]]-IF(Wapato_Inventory[[#This Row],[no_utilities]]=1,12000,0))/IF(Wapato_Inventory[[#This Row],[unbuildable]]=1,2,1)</f>
        <v>53000</v>
      </c>
      <c r="CA242" s="7">
        <f>Wapato_Inventory[[#This Row],[pre_res]]*Wapato_Inventory[[#This Row],[overall_adj]]</f>
        <v>77355.578101084422</v>
      </c>
      <c r="CB24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42" s="3">
        <f>IF(ROUND(Wapato_Inventory[[#This Row],[adj_res]]*Lookups!$H$48,-2)&lt;Wapato_Inventory[[#This Row],[min_res]],Wapato_Inventory[[#This Row],[min_res]],ROUND(Wapato_Inventory[[#This Row],[adj_res]]*Lookups!$H$48,-2))</f>
        <v>73500</v>
      </c>
      <c r="CD242" s="3">
        <f>ROUND(Wapato_Inventory[[#This Row],[det_value]]*Lookups!$H$48,-2)</f>
        <v>5200</v>
      </c>
      <c r="CE242" s="3">
        <f>Wapato_Inventory[[#This Row],[final_res]]+Wapato_Inventory[[#This Row],[final_det]]</f>
        <v>78700</v>
      </c>
      <c r="CF242" s="3">
        <f>Wapato_Inventory[[#This Row],[crop_value]]+Wapato_Inventory[[#This Row],[final_land]]+Wapato_Inventory[[#This Row],[final_imp]]</f>
        <v>129100</v>
      </c>
      <c r="CH242" t="str">
        <f t="shared" si="3"/>
        <v>update valuation set market_land =50400, market_bldg=78700, market_total =129100, market_mdno =405, market_date ='9/10/2023' where link_id = (select link_id from parcel where parcel_year = '2024' and parcel_id = '19111041539');</v>
      </c>
    </row>
    <row r="243" spans="1:86" x14ac:dyDescent="0.25">
      <c r="A243">
        <v>19111041540</v>
      </c>
      <c r="B243">
        <v>0.14000000000000001</v>
      </c>
      <c r="C243">
        <v>6250</v>
      </c>
      <c r="D243" t="s">
        <v>144</v>
      </c>
      <c r="E243" t="s">
        <v>54</v>
      </c>
      <c r="F243" t="s">
        <v>54</v>
      </c>
      <c r="G243">
        <v>3</v>
      </c>
      <c r="H243" t="s">
        <v>55</v>
      </c>
      <c r="I243">
        <v>64000</v>
      </c>
      <c r="J243">
        <v>31900</v>
      </c>
      <c r="K243">
        <v>0.14000000000000001</v>
      </c>
      <c r="L243">
        <f>IF(Wapato_Inventory[[#This Row],[parcel_acres]]-Wapato_Inventory[[#This Row],[non_valued_acres]] =0,0,LN(Wapato_Inventory[[#This Row],[parcel_acres]]-Wapato_Inventory[[#This Row],[non_valued_acres]]))</f>
        <v>-1.9661128563728327</v>
      </c>
      <c r="M243">
        <v>0</v>
      </c>
      <c r="N243">
        <v>0</v>
      </c>
      <c r="O243">
        <v>0</v>
      </c>
      <c r="P243">
        <v>27904.037</v>
      </c>
      <c r="Q243">
        <v>74398</v>
      </c>
      <c r="R243" s="3">
        <f>(Wapato_Inventory[[#This Row],[ln_acres]]*Wapato_Inventory[[#This Row],[coeff]])+Wapato_Inventory[[#This Row],[const]]</f>
        <v>19535.514109596792</v>
      </c>
      <c r="S243" t="s">
        <v>66</v>
      </c>
      <c r="T243">
        <v>1</v>
      </c>
      <c r="U243" t="s">
        <v>78</v>
      </c>
      <c r="V243" t="s">
        <v>73</v>
      </c>
      <c r="W243">
        <v>0</v>
      </c>
      <c r="X243">
        <v>0</v>
      </c>
      <c r="Y243">
        <v>57</v>
      </c>
      <c r="Z243">
        <v>103</v>
      </c>
      <c r="AA243">
        <v>110</v>
      </c>
      <c r="AB243">
        <v>1000</v>
      </c>
      <c r="AC243">
        <v>674</v>
      </c>
      <c r="AD243">
        <v>674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5</v>
      </c>
      <c r="AQ243">
        <v>1</v>
      </c>
      <c r="AR243">
        <v>0</v>
      </c>
      <c r="AS243" t="s">
        <v>59</v>
      </c>
      <c r="AT243">
        <v>0</v>
      </c>
      <c r="AU243" t="s">
        <v>80</v>
      </c>
      <c r="AV243" t="s">
        <v>65</v>
      </c>
      <c r="AW243">
        <v>0</v>
      </c>
      <c r="AX243">
        <v>2</v>
      </c>
      <c r="AY243">
        <v>0</v>
      </c>
      <c r="AZ243">
        <v>0</v>
      </c>
      <c r="BA243">
        <v>100</v>
      </c>
      <c r="BB243">
        <v>100</v>
      </c>
      <c r="BC243">
        <v>100</v>
      </c>
      <c r="BD243">
        <v>100</v>
      </c>
      <c r="BE243">
        <v>1</v>
      </c>
      <c r="BF243">
        <v>15000</v>
      </c>
      <c r="BG243">
        <v>1000</v>
      </c>
      <c r="BH243" s="7">
        <f>ROUND(Wapato_Inventory[[#This Row],[detatched_value]]*Lookups!$B$22*Lookups!$H$48,-2)</f>
        <v>0</v>
      </c>
      <c r="BI243" s="7">
        <f>ROUND(((Wapato_Inventory[[#This Row],[land_extract]]*Lookups!$B$3) +(Lookups!$B$2*0.5))*Lookups!$H$48,-2)</f>
        <v>53000</v>
      </c>
      <c r="BJ243" s="7">
        <f>IF(Wapato_Inventory[[#This Row],[bldg_style]]="",0,Lookups!$B$2*0.5)</f>
        <v>53765.27</v>
      </c>
      <c r="BK243" s="7">
        <f>_xlfn.IFNA(VLOOKUP(Wapato_Inventory[[#This Row],[quality]],Lookups!$H$2:$J$14,3,FALSE),0)</f>
        <v>23424</v>
      </c>
      <c r="BL243" s="7">
        <f>_xlfn.IFNA(VLOOKUP(Wapato_Inventory[[#This Row],[condition]],Lookups!$H$17:$J$24,3,FALSE),0)</f>
        <v>16276</v>
      </c>
      <c r="BM243" s="7">
        <f>Wapato_Inventory[[#This Row],[Age]]*Lookups!$B$16</f>
        <v>-38179.597099999999</v>
      </c>
      <c r="BN243" s="7">
        <f>Wapato_Inventory[[#This Row],[Main Floor]]*Lookups!$B$17</f>
        <v>28173.698086</v>
      </c>
      <c r="BO243" s="7">
        <f>Wapato_Inventory[[#This Row],[Upper Floor]]*Lookups!$B$18</f>
        <v>0</v>
      </c>
      <c r="BP243" s="7">
        <f>Wapato_Inventory[[#This Row],[Fin BSMT]]*Lookups!$B$19</f>
        <v>0</v>
      </c>
      <c r="BQ243" s="7">
        <f>(Wapato_Inventory[[#This Row],[att_gar]]+Wapato_Inventory[[#This Row],[blt_gar]])*Lookups!$B$20</f>
        <v>0</v>
      </c>
      <c r="BR243" s="7">
        <f>Wapato_Inventory[[#This Row],[Patio]]*Lookups!$B$21</f>
        <v>0</v>
      </c>
      <c r="BS243" s="7">
        <f>SUM(Wapato_Inventory[[#This Row],[intercept]:[patio_value]])*Wapato_Inventory[[#This Row],[res_pct]]</f>
        <v>83459.370985999994</v>
      </c>
      <c r="BT243" s="7">
        <f>Wapato_Inventory[[#This Row],[land_value]]</f>
        <v>53000</v>
      </c>
      <c r="BU243" s="2">
        <f>_xlfn.IFNA(VLOOKUP(Wapato_Inventory[[#This Row],[quality]],Lookups!$A$28:$C$37,3,FALSE),1)</f>
        <v>1.0091195562373767</v>
      </c>
      <c r="BV243" s="2">
        <f>_xlfn.IFNA(VLOOKUP(Wapato_Inventory[[#This Row],[condition]],Lookups!$A$41:$C$48,3,FALSE),1)</f>
        <v>0.93399385491337139</v>
      </c>
      <c r="BW243" s="2">
        <f>IF(Wapato_Inventory[[#This Row],[decade]]="",1,_xlfn.IFNA(VLOOKUP(Wapato_Inventory[[#This Row],[decade]],Lookups!$F$28:$H$45,3,FALSE),1))</f>
        <v>0.93664589651353292</v>
      </c>
      <c r="BX243" s="2">
        <f>_xlfn.IFNA(VLOOKUP(Wapato_Inventory[[#This Row],[living_area_range]],Lookups!$K$28:$M$37,3,FALSE),1)</f>
        <v>0.99022994770196116</v>
      </c>
      <c r="BY243" s="2">
        <f>AVERAGE(Wapato_Inventory[[#This Row],[qual_adj]:[range_adj]])</f>
        <v>0.96749731384156046</v>
      </c>
      <c r="BZ243" s="7">
        <f>(Wapato_Inventory[[#This Row],[sum_land]]-IF(Wapato_Inventory[[#This Row],[no_utilities]]=1,12000,0))/IF(Wapato_Inventory[[#This Row],[unbuildable]]=1,2,1)</f>
        <v>53000</v>
      </c>
      <c r="CA243" s="7">
        <f>Wapato_Inventory[[#This Row],[pre_res]]*Wapato_Inventory[[#This Row],[overall_adj]]</f>
        <v>80746.717243861262</v>
      </c>
      <c r="CB24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43" s="3">
        <f>IF(ROUND(Wapato_Inventory[[#This Row],[adj_res]]*Lookups!$H$48,-2)&lt;Wapato_Inventory[[#This Row],[min_res]],Wapato_Inventory[[#This Row],[min_res]],ROUND(Wapato_Inventory[[#This Row],[adj_res]]*Lookups!$H$48,-2))</f>
        <v>76700</v>
      </c>
      <c r="CD243" s="3">
        <f>ROUND(Wapato_Inventory[[#This Row],[det_value]]*Lookups!$H$48,-2)</f>
        <v>0</v>
      </c>
      <c r="CE243" s="3">
        <f>Wapato_Inventory[[#This Row],[final_res]]+Wapato_Inventory[[#This Row],[final_det]]</f>
        <v>76700</v>
      </c>
      <c r="CF243" s="3">
        <f>Wapato_Inventory[[#This Row],[crop_value]]+Wapato_Inventory[[#This Row],[final_land]]+Wapato_Inventory[[#This Row],[final_imp]]</f>
        <v>127100</v>
      </c>
      <c r="CH243" t="str">
        <f t="shared" si="3"/>
        <v>update valuation set market_land =50400, market_bldg=76700, market_total =127100, market_mdno =405, market_date ='9/10/2023' where link_id = (select link_id from parcel where parcel_year = '2024' and parcel_id = '19111041540');</v>
      </c>
    </row>
    <row r="244" spans="1:86" x14ac:dyDescent="0.25">
      <c r="A244">
        <v>19111041542</v>
      </c>
      <c r="B244">
        <v>0.14000000000000001</v>
      </c>
      <c r="C244">
        <v>6250</v>
      </c>
      <c r="D244" t="s">
        <v>144</v>
      </c>
      <c r="E244" t="s">
        <v>54</v>
      </c>
      <c r="F244" t="s">
        <v>54</v>
      </c>
      <c r="G244">
        <v>3</v>
      </c>
      <c r="H244" t="s">
        <v>55</v>
      </c>
      <c r="I244">
        <v>191900</v>
      </c>
      <c r="J244">
        <v>31900</v>
      </c>
      <c r="K244">
        <v>0.14000000000000001</v>
      </c>
      <c r="L244">
        <f>IF(Wapato_Inventory[[#This Row],[parcel_acres]]-Wapato_Inventory[[#This Row],[non_valued_acres]] =0,0,LN(Wapato_Inventory[[#This Row],[parcel_acres]]-Wapato_Inventory[[#This Row],[non_valued_acres]]))</f>
        <v>-1.9661128563728327</v>
      </c>
      <c r="M244">
        <v>0</v>
      </c>
      <c r="N244">
        <v>0</v>
      </c>
      <c r="O244">
        <v>0</v>
      </c>
      <c r="P244">
        <v>27904.037</v>
      </c>
      <c r="Q244">
        <v>74398</v>
      </c>
      <c r="R244" s="3">
        <f>(Wapato_Inventory[[#This Row],[ln_acres]]*Wapato_Inventory[[#This Row],[coeff]])+Wapato_Inventory[[#This Row],[const]]</f>
        <v>19535.514109596792</v>
      </c>
      <c r="S244" t="s">
        <v>66</v>
      </c>
      <c r="T244">
        <v>1</v>
      </c>
      <c r="U244" t="s">
        <v>75</v>
      </c>
      <c r="V244" t="s">
        <v>68</v>
      </c>
      <c r="W244">
        <v>0</v>
      </c>
      <c r="X244">
        <v>0</v>
      </c>
      <c r="Y244">
        <v>55</v>
      </c>
      <c r="Z244">
        <v>98</v>
      </c>
      <c r="AA244">
        <v>100</v>
      </c>
      <c r="AB244">
        <v>2500</v>
      </c>
      <c r="AC244">
        <v>2275</v>
      </c>
      <c r="AD244">
        <v>1603</v>
      </c>
      <c r="AE244">
        <v>0</v>
      </c>
      <c r="AF244">
        <v>0</v>
      </c>
      <c r="AG244">
        <v>672</v>
      </c>
      <c r="AH244">
        <v>168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8</v>
      </c>
      <c r="AQ244">
        <v>0</v>
      </c>
      <c r="AR244">
        <v>1</v>
      </c>
      <c r="AS244" t="s">
        <v>59</v>
      </c>
      <c r="AT244">
        <v>1</v>
      </c>
      <c r="AU244" t="s">
        <v>64</v>
      </c>
      <c r="AV244" t="s">
        <v>65</v>
      </c>
      <c r="AW244">
        <v>1</v>
      </c>
      <c r="AX244">
        <v>3</v>
      </c>
      <c r="AY244">
        <v>0</v>
      </c>
      <c r="AZ244">
        <v>10900</v>
      </c>
      <c r="BA244">
        <v>100</v>
      </c>
      <c r="BB244">
        <v>100</v>
      </c>
      <c r="BC244">
        <v>100</v>
      </c>
      <c r="BD244">
        <v>100</v>
      </c>
      <c r="BE244">
        <v>1</v>
      </c>
      <c r="BF244">
        <v>15000</v>
      </c>
      <c r="BG244">
        <v>1000</v>
      </c>
      <c r="BH244" s="7">
        <f>ROUND(Wapato_Inventory[[#This Row],[detatched_value]]*Lookups!$B$22*Lookups!$H$48,-2)</f>
        <v>9700</v>
      </c>
      <c r="BI244" s="7">
        <f>ROUND(((Wapato_Inventory[[#This Row],[land_extract]]*Lookups!$B$3) +(Lookups!$B$2*0.5))*Lookups!$H$48,-2)</f>
        <v>53000</v>
      </c>
      <c r="BJ244" s="7">
        <f>IF(Wapato_Inventory[[#This Row],[bldg_style]]="",0,Lookups!$B$2*0.5)</f>
        <v>53765.27</v>
      </c>
      <c r="BK244" s="7">
        <f>_xlfn.IFNA(VLOOKUP(Wapato_Inventory[[#This Row],[quality]],Lookups!$H$2:$J$14,3,FALSE),0)</f>
        <v>48043</v>
      </c>
      <c r="BL244" s="7">
        <f>_xlfn.IFNA(VLOOKUP(Wapato_Inventory[[#This Row],[condition]],Lookups!$H$17:$J$24,3,FALSE),0)</f>
        <v>52231</v>
      </c>
      <c r="BM244" s="7">
        <f>Wapato_Inventory[[#This Row],[Age]]*Lookups!$B$16</f>
        <v>-36326.2186</v>
      </c>
      <c r="BN244" s="7">
        <f>Wapato_Inventory[[#This Row],[Main Floor]]*Lookups!$B$17</f>
        <v>67006.584617</v>
      </c>
      <c r="BO244" s="7">
        <f>Wapato_Inventory[[#This Row],[Upper Floor]]*Lookups!$B$18</f>
        <v>0</v>
      </c>
      <c r="BP244" s="7">
        <f>Wapato_Inventory[[#This Row],[Fin BSMT]]*Lookups!$B$19</f>
        <v>16374.449280000001</v>
      </c>
      <c r="BQ244" s="7">
        <f>(Wapato_Inventory[[#This Row],[att_gar]]+Wapato_Inventory[[#This Row],[blt_gar]])*Lookups!$B$20</f>
        <v>0</v>
      </c>
      <c r="BR244" s="7">
        <f>Wapato_Inventory[[#This Row],[Patio]]*Lookups!$B$21</f>
        <v>0</v>
      </c>
      <c r="BS244" s="7">
        <f>SUM(Wapato_Inventory[[#This Row],[intercept]:[patio_value]])*Wapato_Inventory[[#This Row],[res_pct]]</f>
        <v>201094.08529700001</v>
      </c>
      <c r="BT244" s="7">
        <f>Wapato_Inventory[[#This Row],[land_value]]</f>
        <v>53000</v>
      </c>
      <c r="BU244" s="2">
        <f>_xlfn.IFNA(VLOOKUP(Wapato_Inventory[[#This Row],[quality]],Lookups!$A$28:$C$37,3,FALSE),1)</f>
        <v>0.98196844879778955</v>
      </c>
      <c r="BV244" s="2">
        <f>_xlfn.IFNA(VLOOKUP(Wapato_Inventory[[#This Row],[condition]],Lookups!$A$41:$C$48,3,FALSE),1)</f>
        <v>0.9832333997567807</v>
      </c>
      <c r="BW244" s="2">
        <f>IF(Wapato_Inventory[[#This Row],[decade]]="",1,_xlfn.IFNA(VLOOKUP(Wapato_Inventory[[#This Row],[decade]],Lookups!$F$28:$H$45,3,FALSE),1))</f>
        <v>1.0114203040664467</v>
      </c>
      <c r="BX244" s="2">
        <f>_xlfn.IFNA(VLOOKUP(Wapato_Inventory[[#This Row],[living_area_range]],Lookups!$K$28:$M$37,3,FALSE),1)</f>
        <v>0.90813907160181651</v>
      </c>
      <c r="BY244" s="2">
        <f>AVERAGE(Wapato_Inventory[[#This Row],[qual_adj]:[range_adj]])</f>
        <v>0.97119030605570833</v>
      </c>
      <c r="BZ244" s="7">
        <f>(Wapato_Inventory[[#This Row],[sum_land]]-IF(Wapato_Inventory[[#This Row],[no_utilities]]=1,12000,0))/IF(Wapato_Inventory[[#This Row],[unbuildable]]=1,2,1)</f>
        <v>53000</v>
      </c>
      <c r="CA244" s="7">
        <f>Wapato_Inventory[[#This Row],[pre_res]]*Wapato_Inventory[[#This Row],[overall_adj]]</f>
        <v>195300.62624558617</v>
      </c>
      <c r="CB24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44" s="3">
        <f>IF(ROUND(Wapato_Inventory[[#This Row],[adj_res]]*Lookups!$H$48,-2)&lt;Wapato_Inventory[[#This Row],[min_res]],Wapato_Inventory[[#This Row],[min_res]],ROUND(Wapato_Inventory[[#This Row],[adj_res]]*Lookups!$H$48,-2))</f>
        <v>185500</v>
      </c>
      <c r="CD244" s="3">
        <f>ROUND(Wapato_Inventory[[#This Row],[det_value]]*Lookups!$H$48,-2)</f>
        <v>9200</v>
      </c>
      <c r="CE244" s="3">
        <f>Wapato_Inventory[[#This Row],[final_res]]+Wapato_Inventory[[#This Row],[final_det]]</f>
        <v>194700</v>
      </c>
      <c r="CF244" s="3">
        <f>Wapato_Inventory[[#This Row],[crop_value]]+Wapato_Inventory[[#This Row],[final_land]]+Wapato_Inventory[[#This Row],[final_imp]]</f>
        <v>245100</v>
      </c>
      <c r="CH244" t="str">
        <f t="shared" si="3"/>
        <v>update valuation set market_land =50400, market_bldg=194700, market_total =245100, market_mdno =405, market_date ='9/10/2023' where link_id = (select link_id from parcel where parcel_year = '2024' and parcel_id = '19111041542');</v>
      </c>
    </row>
    <row r="245" spans="1:86" x14ac:dyDescent="0.25">
      <c r="A245">
        <v>19111041544</v>
      </c>
      <c r="B245">
        <v>0.14000000000000001</v>
      </c>
      <c r="C245">
        <v>6250</v>
      </c>
      <c r="D245" t="s">
        <v>144</v>
      </c>
      <c r="E245" t="s">
        <v>54</v>
      </c>
      <c r="F245" t="s">
        <v>54</v>
      </c>
      <c r="G245">
        <v>3</v>
      </c>
      <c r="H245" t="s">
        <v>55</v>
      </c>
      <c r="I245">
        <v>96800</v>
      </c>
      <c r="J245">
        <v>31900</v>
      </c>
      <c r="K245">
        <v>0.14000000000000001</v>
      </c>
      <c r="L245">
        <f>IF(Wapato_Inventory[[#This Row],[parcel_acres]]-Wapato_Inventory[[#This Row],[non_valued_acres]] =0,0,LN(Wapato_Inventory[[#This Row],[parcel_acres]]-Wapato_Inventory[[#This Row],[non_valued_acres]]))</f>
        <v>-1.9661128563728327</v>
      </c>
      <c r="M245">
        <v>0</v>
      </c>
      <c r="N245">
        <v>0</v>
      </c>
      <c r="O245">
        <v>0</v>
      </c>
      <c r="P245">
        <v>27904.037</v>
      </c>
      <c r="Q245">
        <v>74398</v>
      </c>
      <c r="R245" s="3">
        <f>(Wapato_Inventory[[#This Row],[ln_acres]]*Wapato_Inventory[[#This Row],[coeff]])+Wapato_Inventory[[#This Row],[const]]</f>
        <v>19535.514109596792</v>
      </c>
      <c r="S245" t="s">
        <v>66</v>
      </c>
      <c r="T245">
        <v>1</v>
      </c>
      <c r="U245" t="s">
        <v>71</v>
      </c>
      <c r="V245" t="s">
        <v>68</v>
      </c>
      <c r="W245">
        <v>0</v>
      </c>
      <c r="X245">
        <v>0</v>
      </c>
      <c r="Y245">
        <v>53</v>
      </c>
      <c r="Z245">
        <v>93</v>
      </c>
      <c r="AA245">
        <v>100</v>
      </c>
      <c r="AB245">
        <v>1000</v>
      </c>
      <c r="AC245">
        <v>856</v>
      </c>
      <c r="AD245">
        <v>856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120</v>
      </c>
      <c r="AN245">
        <v>0</v>
      </c>
      <c r="AO245">
        <v>0</v>
      </c>
      <c r="AP245">
        <v>5</v>
      </c>
      <c r="AQ245">
        <v>0</v>
      </c>
      <c r="AR245">
        <v>0</v>
      </c>
      <c r="AS245" t="s">
        <v>59</v>
      </c>
      <c r="AT245">
        <v>1</v>
      </c>
      <c r="AU245" t="s">
        <v>76</v>
      </c>
      <c r="AV245" t="s">
        <v>61</v>
      </c>
      <c r="AW245">
        <v>0</v>
      </c>
      <c r="AX245">
        <v>2</v>
      </c>
      <c r="AY245">
        <v>0</v>
      </c>
      <c r="AZ245">
        <v>0</v>
      </c>
      <c r="BA245">
        <v>100</v>
      </c>
      <c r="BB245">
        <v>100</v>
      </c>
      <c r="BC245">
        <v>100</v>
      </c>
      <c r="BD245">
        <v>100</v>
      </c>
      <c r="BE245">
        <v>1</v>
      </c>
      <c r="BF245">
        <v>15000</v>
      </c>
      <c r="BG245">
        <v>1000</v>
      </c>
      <c r="BH245" s="7">
        <f>ROUND(Wapato_Inventory[[#This Row],[detatched_value]]*Lookups!$B$22*Lookups!$H$48,-2)</f>
        <v>0</v>
      </c>
      <c r="BI245" s="7">
        <f>ROUND(((Wapato_Inventory[[#This Row],[land_extract]]*Lookups!$B$3) +(Lookups!$B$2*0.5))*Lookups!$H$48,-2)</f>
        <v>53000</v>
      </c>
      <c r="BJ245" s="7">
        <f>IF(Wapato_Inventory[[#This Row],[bldg_style]]="",0,Lookups!$B$2*0.5)</f>
        <v>53765.27</v>
      </c>
      <c r="BK245" s="7">
        <f>_xlfn.IFNA(VLOOKUP(Wapato_Inventory[[#This Row],[quality]],Lookups!$H$2:$J$14,3,FALSE),0)</f>
        <v>28034</v>
      </c>
      <c r="BL245" s="7">
        <f>_xlfn.IFNA(VLOOKUP(Wapato_Inventory[[#This Row],[condition]],Lookups!$H$17:$J$24,3,FALSE),0)</f>
        <v>52231</v>
      </c>
      <c r="BM245" s="7">
        <f>Wapato_Inventory[[#This Row],[Age]]*Lookups!$B$16</f>
        <v>-34472.840100000001</v>
      </c>
      <c r="BN245" s="7">
        <f>Wapato_Inventory[[#This Row],[Main Floor]]*Lookups!$B$17</f>
        <v>35781.432584000002</v>
      </c>
      <c r="BO245" s="7">
        <f>Wapato_Inventory[[#This Row],[Upper Floor]]*Lookups!$B$18</f>
        <v>0</v>
      </c>
      <c r="BP245" s="7">
        <f>Wapato_Inventory[[#This Row],[Fin BSMT]]*Lookups!$B$19</f>
        <v>0</v>
      </c>
      <c r="BQ245" s="7">
        <f>(Wapato_Inventory[[#This Row],[att_gar]]+Wapato_Inventory[[#This Row],[blt_gar]])*Lookups!$B$20</f>
        <v>0</v>
      </c>
      <c r="BR245" s="7">
        <f>Wapato_Inventory[[#This Row],[Patio]]*Lookups!$B$21</f>
        <v>5198.8774800000001</v>
      </c>
      <c r="BS245" s="7">
        <f>SUM(Wapato_Inventory[[#This Row],[intercept]:[patio_value]])*Wapato_Inventory[[#This Row],[res_pct]]</f>
        <v>140537.73996399998</v>
      </c>
      <c r="BT245" s="7">
        <f>Wapato_Inventory[[#This Row],[land_value]]</f>
        <v>53000</v>
      </c>
      <c r="BU245" s="2">
        <f>_xlfn.IFNA(VLOOKUP(Wapato_Inventory[[#This Row],[quality]],Lookups!$A$28:$C$37,3,FALSE),1)</f>
        <v>0.96265813922927435</v>
      </c>
      <c r="BV245" s="2">
        <f>_xlfn.IFNA(VLOOKUP(Wapato_Inventory[[#This Row],[condition]],Lookups!$A$41:$C$48,3,FALSE),1)</f>
        <v>0.9832333997567807</v>
      </c>
      <c r="BW245" s="2">
        <f>IF(Wapato_Inventory[[#This Row],[decade]]="",1,_xlfn.IFNA(VLOOKUP(Wapato_Inventory[[#This Row],[decade]],Lookups!$F$28:$H$45,3,FALSE),1))</f>
        <v>1.0114203040664467</v>
      </c>
      <c r="BX245" s="2">
        <f>_xlfn.IFNA(VLOOKUP(Wapato_Inventory[[#This Row],[living_area_range]],Lookups!$K$28:$M$37,3,FALSE),1)</f>
        <v>0.99022994770196116</v>
      </c>
      <c r="BY245" s="2">
        <f>AVERAGE(Wapato_Inventory[[#This Row],[qual_adj]:[range_adj]])</f>
        <v>0.98688544768861564</v>
      </c>
      <c r="BZ245" s="7">
        <f>(Wapato_Inventory[[#This Row],[sum_land]]-IF(Wapato_Inventory[[#This Row],[no_utilities]]=1,12000,0))/IF(Wapato_Inventory[[#This Row],[unbuildable]]=1,2,1)</f>
        <v>53000</v>
      </c>
      <c r="CA245" s="7">
        <f>Wapato_Inventory[[#This Row],[pre_res]]*Wapato_Inventory[[#This Row],[overall_adj]]</f>
        <v>138694.65042151837</v>
      </c>
      <c r="CB24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45" s="3">
        <f>IF(ROUND(Wapato_Inventory[[#This Row],[adj_res]]*Lookups!$H$48,-2)&lt;Wapato_Inventory[[#This Row],[min_res]],Wapato_Inventory[[#This Row],[min_res]],ROUND(Wapato_Inventory[[#This Row],[adj_res]]*Lookups!$H$48,-2))</f>
        <v>131800</v>
      </c>
      <c r="CD245" s="3">
        <f>ROUND(Wapato_Inventory[[#This Row],[det_value]]*Lookups!$H$48,-2)</f>
        <v>0</v>
      </c>
      <c r="CE245" s="3">
        <f>Wapato_Inventory[[#This Row],[final_res]]+Wapato_Inventory[[#This Row],[final_det]]</f>
        <v>131800</v>
      </c>
      <c r="CF245" s="3">
        <f>Wapato_Inventory[[#This Row],[crop_value]]+Wapato_Inventory[[#This Row],[final_land]]+Wapato_Inventory[[#This Row],[final_imp]]</f>
        <v>182200</v>
      </c>
      <c r="CH245" t="str">
        <f t="shared" si="3"/>
        <v>update valuation set market_land =50400, market_bldg=131800, market_total =182200, market_mdno =405, market_date ='9/10/2023' where link_id = (select link_id from parcel where parcel_year = '2024' and parcel_id = '19111041544');</v>
      </c>
    </row>
    <row r="246" spans="1:86" x14ac:dyDescent="0.25">
      <c r="A246">
        <v>19111041545</v>
      </c>
      <c r="B246">
        <v>0.14000000000000001</v>
      </c>
      <c r="C246">
        <v>6250</v>
      </c>
      <c r="D246" t="s">
        <v>144</v>
      </c>
      <c r="E246" t="s">
        <v>54</v>
      </c>
      <c r="F246" t="s">
        <v>54</v>
      </c>
      <c r="G246">
        <v>3</v>
      </c>
      <c r="H246" t="s">
        <v>55</v>
      </c>
      <c r="I246">
        <v>96800</v>
      </c>
      <c r="J246">
        <v>31900</v>
      </c>
      <c r="K246">
        <v>0.14000000000000001</v>
      </c>
      <c r="L246">
        <f>IF(Wapato_Inventory[[#This Row],[parcel_acres]]-Wapato_Inventory[[#This Row],[non_valued_acres]] =0,0,LN(Wapato_Inventory[[#This Row],[parcel_acres]]-Wapato_Inventory[[#This Row],[non_valued_acres]]))</f>
        <v>-1.9661128563728327</v>
      </c>
      <c r="M246">
        <v>0</v>
      </c>
      <c r="N246">
        <v>0</v>
      </c>
      <c r="O246">
        <v>0</v>
      </c>
      <c r="P246">
        <v>27904.037</v>
      </c>
      <c r="Q246">
        <v>74398</v>
      </c>
      <c r="R246" s="3">
        <f>(Wapato_Inventory[[#This Row],[ln_acres]]*Wapato_Inventory[[#This Row],[coeff]])+Wapato_Inventory[[#This Row],[const]]</f>
        <v>19535.514109596792</v>
      </c>
      <c r="S246" t="s">
        <v>66</v>
      </c>
      <c r="T246">
        <v>1</v>
      </c>
      <c r="U246" t="s">
        <v>71</v>
      </c>
      <c r="V246" t="s">
        <v>73</v>
      </c>
      <c r="W246">
        <v>0</v>
      </c>
      <c r="X246">
        <v>0</v>
      </c>
      <c r="Y246">
        <v>53</v>
      </c>
      <c r="Z246">
        <v>93</v>
      </c>
      <c r="AA246">
        <v>100</v>
      </c>
      <c r="AB246">
        <v>1500</v>
      </c>
      <c r="AC246">
        <v>1173</v>
      </c>
      <c r="AD246">
        <v>1173</v>
      </c>
      <c r="AE246">
        <v>0</v>
      </c>
      <c r="AF246">
        <v>0</v>
      </c>
      <c r="AG246">
        <v>0</v>
      </c>
      <c r="AH246">
        <v>0</v>
      </c>
      <c r="AI246">
        <v>252</v>
      </c>
      <c r="AJ246">
        <v>0</v>
      </c>
      <c r="AK246">
        <v>0</v>
      </c>
      <c r="AL246">
        <v>0</v>
      </c>
      <c r="AM246">
        <v>0</v>
      </c>
      <c r="AN246">
        <v>40</v>
      </c>
      <c r="AO246">
        <v>0</v>
      </c>
      <c r="AP246">
        <v>6</v>
      </c>
      <c r="AQ246">
        <v>0</v>
      </c>
      <c r="AR246">
        <v>0</v>
      </c>
      <c r="AS246" t="s">
        <v>59</v>
      </c>
      <c r="AT246">
        <v>0</v>
      </c>
      <c r="AU246" t="s">
        <v>80</v>
      </c>
      <c r="AV246" t="s">
        <v>147</v>
      </c>
      <c r="AW246">
        <v>0</v>
      </c>
      <c r="AX246">
        <v>2</v>
      </c>
      <c r="AY246">
        <v>0</v>
      </c>
      <c r="AZ246">
        <v>0</v>
      </c>
      <c r="BA246">
        <v>100</v>
      </c>
      <c r="BB246">
        <v>100</v>
      </c>
      <c r="BC246">
        <v>100</v>
      </c>
      <c r="BD246">
        <v>100</v>
      </c>
      <c r="BE246">
        <v>1</v>
      </c>
      <c r="BF246">
        <v>15000</v>
      </c>
      <c r="BG246">
        <v>1000</v>
      </c>
      <c r="BH246" s="7">
        <f>ROUND(Wapato_Inventory[[#This Row],[detatched_value]]*Lookups!$B$22*Lookups!$H$48,-2)</f>
        <v>0</v>
      </c>
      <c r="BI246" s="7">
        <f>ROUND(((Wapato_Inventory[[#This Row],[land_extract]]*Lookups!$B$3) +(Lookups!$B$2*0.5))*Lookups!$H$48,-2)</f>
        <v>53000</v>
      </c>
      <c r="BJ246" s="7">
        <f>IF(Wapato_Inventory[[#This Row],[bldg_style]]="",0,Lookups!$B$2*0.5)</f>
        <v>53765.27</v>
      </c>
      <c r="BK246" s="7">
        <f>_xlfn.IFNA(VLOOKUP(Wapato_Inventory[[#This Row],[quality]],Lookups!$H$2:$J$14,3,FALSE),0)</f>
        <v>28034</v>
      </c>
      <c r="BL246" s="7">
        <f>_xlfn.IFNA(VLOOKUP(Wapato_Inventory[[#This Row],[condition]],Lookups!$H$17:$J$24,3,FALSE),0)</f>
        <v>16276</v>
      </c>
      <c r="BM246" s="7">
        <f>Wapato_Inventory[[#This Row],[Age]]*Lookups!$B$16</f>
        <v>-34472.840100000001</v>
      </c>
      <c r="BN246" s="7">
        <f>Wapato_Inventory[[#This Row],[Main Floor]]*Lookups!$B$17</f>
        <v>49032.266846999999</v>
      </c>
      <c r="BO246" s="7">
        <f>Wapato_Inventory[[#This Row],[Upper Floor]]*Lookups!$B$18</f>
        <v>0</v>
      </c>
      <c r="BP246" s="7">
        <f>Wapato_Inventory[[#This Row],[Fin BSMT]]*Lookups!$B$19</f>
        <v>0</v>
      </c>
      <c r="BQ246" s="7">
        <f>(Wapato_Inventory[[#This Row],[att_gar]]+Wapato_Inventory[[#This Row],[blt_gar]])*Lookups!$B$20</f>
        <v>9326.2055039999996</v>
      </c>
      <c r="BR246" s="7">
        <f>Wapato_Inventory[[#This Row],[Patio]]*Lookups!$B$21</f>
        <v>0</v>
      </c>
      <c r="BS246" s="7">
        <f>SUM(Wapato_Inventory[[#This Row],[intercept]:[patio_value]])*Wapato_Inventory[[#This Row],[res_pct]]</f>
        <v>121960.90225099998</v>
      </c>
      <c r="BT246" s="7">
        <f>Wapato_Inventory[[#This Row],[land_value]]</f>
        <v>53000</v>
      </c>
      <c r="BU246" s="2">
        <f>_xlfn.IFNA(VLOOKUP(Wapato_Inventory[[#This Row],[quality]],Lookups!$A$28:$C$37,3,FALSE),1)</f>
        <v>0.96265813922927435</v>
      </c>
      <c r="BV246" s="2">
        <f>_xlfn.IFNA(VLOOKUP(Wapato_Inventory[[#This Row],[condition]],Lookups!$A$41:$C$48,3,FALSE),1)</f>
        <v>0.93399385491337139</v>
      </c>
      <c r="BW246" s="2">
        <f>IF(Wapato_Inventory[[#This Row],[decade]]="",1,_xlfn.IFNA(VLOOKUP(Wapato_Inventory[[#This Row],[decade]],Lookups!$F$28:$H$45,3,FALSE),1))</f>
        <v>1.0114203040664467</v>
      </c>
      <c r="BX246" s="2">
        <f>_xlfn.IFNA(VLOOKUP(Wapato_Inventory[[#This Row],[living_area_range]],Lookups!$K$28:$M$37,3,FALSE),1)</f>
        <v>1.0061411172456287</v>
      </c>
      <c r="BY246" s="2">
        <f>AVERAGE(Wapato_Inventory[[#This Row],[qual_adj]:[range_adj]])</f>
        <v>0.97855335386368036</v>
      </c>
      <c r="BZ246" s="7">
        <f>(Wapato_Inventory[[#This Row],[sum_land]]-IF(Wapato_Inventory[[#This Row],[no_utilities]]=1,12000,0))/IF(Wapato_Inventory[[#This Row],[unbuildable]]=1,2,1)</f>
        <v>53000</v>
      </c>
      <c r="CA246" s="7">
        <f>Wapato_Inventory[[#This Row],[pre_res]]*Wapato_Inventory[[#This Row],[overall_adj]]</f>
        <v>119345.24993795651</v>
      </c>
      <c r="CB24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46" s="3">
        <f>IF(ROUND(Wapato_Inventory[[#This Row],[adj_res]]*Lookups!$H$48,-2)&lt;Wapato_Inventory[[#This Row],[min_res]],Wapato_Inventory[[#This Row],[min_res]],ROUND(Wapato_Inventory[[#This Row],[adj_res]]*Lookups!$H$48,-2))</f>
        <v>113400</v>
      </c>
      <c r="CD246" s="3">
        <f>ROUND(Wapato_Inventory[[#This Row],[det_value]]*Lookups!$H$48,-2)</f>
        <v>0</v>
      </c>
      <c r="CE246" s="3">
        <f>Wapato_Inventory[[#This Row],[final_res]]+Wapato_Inventory[[#This Row],[final_det]]</f>
        <v>113400</v>
      </c>
      <c r="CF246" s="3">
        <f>Wapato_Inventory[[#This Row],[crop_value]]+Wapato_Inventory[[#This Row],[final_land]]+Wapato_Inventory[[#This Row],[final_imp]]</f>
        <v>163800</v>
      </c>
      <c r="CH246" t="str">
        <f t="shared" si="3"/>
        <v>update valuation set market_land =50400, market_bldg=113400, market_total =163800, market_mdno =405, market_date ='9/10/2023' where link_id = (select link_id from parcel where parcel_year = '2024' and parcel_id = '19111041545');</v>
      </c>
    </row>
    <row r="247" spans="1:86" x14ac:dyDescent="0.25">
      <c r="A247">
        <v>19111041546</v>
      </c>
      <c r="B247">
        <v>0.14000000000000001</v>
      </c>
      <c r="C247">
        <v>6250</v>
      </c>
      <c r="D247" t="s">
        <v>144</v>
      </c>
      <c r="E247" t="s">
        <v>54</v>
      </c>
      <c r="F247" t="s">
        <v>54</v>
      </c>
      <c r="G247">
        <v>3</v>
      </c>
      <c r="H247" t="s">
        <v>55</v>
      </c>
      <c r="I247">
        <v>89900</v>
      </c>
      <c r="J247">
        <v>31900</v>
      </c>
      <c r="K247">
        <v>0.14000000000000001</v>
      </c>
      <c r="L247">
        <f>IF(Wapato_Inventory[[#This Row],[parcel_acres]]-Wapato_Inventory[[#This Row],[non_valued_acres]] =0,0,LN(Wapato_Inventory[[#This Row],[parcel_acres]]-Wapato_Inventory[[#This Row],[non_valued_acres]]))</f>
        <v>-1.9661128563728327</v>
      </c>
      <c r="M247">
        <v>0</v>
      </c>
      <c r="N247">
        <v>0</v>
      </c>
      <c r="O247">
        <v>0</v>
      </c>
      <c r="P247">
        <v>27904.037</v>
      </c>
      <c r="Q247">
        <v>74398</v>
      </c>
      <c r="R247" s="3">
        <f>(Wapato_Inventory[[#This Row],[ln_acres]]*Wapato_Inventory[[#This Row],[coeff]])+Wapato_Inventory[[#This Row],[const]]</f>
        <v>19535.514109596792</v>
      </c>
      <c r="S247" t="s">
        <v>66</v>
      </c>
      <c r="T247">
        <v>1</v>
      </c>
      <c r="U247" t="s">
        <v>78</v>
      </c>
      <c r="V247" t="s">
        <v>68</v>
      </c>
      <c r="W247">
        <v>0</v>
      </c>
      <c r="X247">
        <v>0</v>
      </c>
      <c r="Y247">
        <v>57</v>
      </c>
      <c r="Z247">
        <v>103</v>
      </c>
      <c r="AA247">
        <v>110</v>
      </c>
      <c r="AB247">
        <v>1000</v>
      </c>
      <c r="AC247">
        <v>650</v>
      </c>
      <c r="AD247">
        <v>650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54</v>
      </c>
      <c r="AM247">
        <v>0</v>
      </c>
      <c r="AN247">
        <v>0</v>
      </c>
      <c r="AO247">
        <v>54</v>
      </c>
      <c r="AP247">
        <v>6</v>
      </c>
      <c r="AQ247">
        <v>0</v>
      </c>
      <c r="AR247">
        <v>0</v>
      </c>
      <c r="AS247" t="s">
        <v>59</v>
      </c>
      <c r="AT247">
        <v>1</v>
      </c>
      <c r="AU247" t="s">
        <v>76</v>
      </c>
      <c r="AV247" t="s">
        <v>61</v>
      </c>
      <c r="AW247">
        <v>0</v>
      </c>
      <c r="AX247">
        <v>1</v>
      </c>
      <c r="AY247">
        <v>0</v>
      </c>
      <c r="AZ247">
        <v>0</v>
      </c>
      <c r="BA247">
        <v>100</v>
      </c>
      <c r="BB247">
        <v>100</v>
      </c>
      <c r="BC247">
        <v>100</v>
      </c>
      <c r="BD247">
        <v>100</v>
      </c>
      <c r="BE247">
        <v>1</v>
      </c>
      <c r="BF247">
        <v>15000</v>
      </c>
      <c r="BG247">
        <v>1000</v>
      </c>
      <c r="BH247" s="7">
        <f>ROUND(Wapato_Inventory[[#This Row],[detatched_value]]*Lookups!$B$22*Lookups!$H$48,-2)</f>
        <v>0</v>
      </c>
      <c r="BI247" s="7">
        <f>ROUND(((Wapato_Inventory[[#This Row],[land_extract]]*Lookups!$B$3) +(Lookups!$B$2*0.5))*Lookups!$H$48,-2)</f>
        <v>53000</v>
      </c>
      <c r="BJ247" s="7">
        <f>IF(Wapato_Inventory[[#This Row],[bldg_style]]="",0,Lookups!$B$2*0.5)</f>
        <v>53765.27</v>
      </c>
      <c r="BK247" s="7">
        <f>_xlfn.IFNA(VLOOKUP(Wapato_Inventory[[#This Row],[quality]],Lookups!$H$2:$J$14,3,FALSE),0)</f>
        <v>23424</v>
      </c>
      <c r="BL247" s="7">
        <f>_xlfn.IFNA(VLOOKUP(Wapato_Inventory[[#This Row],[condition]],Lookups!$H$17:$J$24,3,FALSE),0)</f>
        <v>52231</v>
      </c>
      <c r="BM247" s="7">
        <f>Wapato_Inventory[[#This Row],[Age]]*Lookups!$B$16</f>
        <v>-38179.597099999999</v>
      </c>
      <c r="BN247" s="7">
        <f>Wapato_Inventory[[#This Row],[Main Floor]]*Lookups!$B$17</f>
        <v>27170.480350000002</v>
      </c>
      <c r="BO247" s="7">
        <f>Wapato_Inventory[[#This Row],[Upper Floor]]*Lookups!$B$18</f>
        <v>0</v>
      </c>
      <c r="BP247" s="7">
        <f>Wapato_Inventory[[#This Row],[Fin BSMT]]*Lookups!$B$19</f>
        <v>0</v>
      </c>
      <c r="BQ247" s="7">
        <f>(Wapato_Inventory[[#This Row],[att_gar]]+Wapato_Inventory[[#This Row],[blt_gar]])*Lookups!$B$20</f>
        <v>0</v>
      </c>
      <c r="BR247" s="7">
        <f>Wapato_Inventory[[#This Row],[Patio]]*Lookups!$B$21</f>
        <v>0</v>
      </c>
      <c r="BS247" s="7">
        <f>SUM(Wapato_Inventory[[#This Row],[intercept]:[patio_value]])*Wapato_Inventory[[#This Row],[res_pct]]</f>
        <v>118411.15324999999</v>
      </c>
      <c r="BT247" s="7">
        <f>Wapato_Inventory[[#This Row],[land_value]]</f>
        <v>53000</v>
      </c>
      <c r="BU247" s="2">
        <f>_xlfn.IFNA(VLOOKUP(Wapato_Inventory[[#This Row],[quality]],Lookups!$A$28:$C$37,3,FALSE),1)</f>
        <v>1.0091195562373767</v>
      </c>
      <c r="BV247" s="2">
        <f>_xlfn.IFNA(VLOOKUP(Wapato_Inventory[[#This Row],[condition]],Lookups!$A$41:$C$48,3,FALSE),1)</f>
        <v>0.9832333997567807</v>
      </c>
      <c r="BW247" s="2">
        <f>IF(Wapato_Inventory[[#This Row],[decade]]="",1,_xlfn.IFNA(VLOOKUP(Wapato_Inventory[[#This Row],[decade]],Lookups!$F$28:$H$45,3,FALSE),1))</f>
        <v>0.93664589651353292</v>
      </c>
      <c r="BX247" s="2">
        <f>_xlfn.IFNA(VLOOKUP(Wapato_Inventory[[#This Row],[living_area_range]],Lookups!$K$28:$M$37,3,FALSE),1)</f>
        <v>0.99022994770196116</v>
      </c>
      <c r="BY247" s="2">
        <f>AVERAGE(Wapato_Inventory[[#This Row],[qual_adj]:[range_adj]])</f>
        <v>0.97980720005241284</v>
      </c>
      <c r="BZ247" s="7">
        <f>(Wapato_Inventory[[#This Row],[sum_land]]-IF(Wapato_Inventory[[#This Row],[no_utilities]]=1,12000,0))/IF(Wapato_Inventory[[#This Row],[unbuildable]]=1,2,1)</f>
        <v>53000</v>
      </c>
      <c r="CA247" s="7">
        <f>Wapato_Inventory[[#This Row],[pre_res]]*Wapato_Inventory[[#This Row],[overall_adj]]</f>
        <v>116020.10052085965</v>
      </c>
      <c r="CB24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47" s="3">
        <f>IF(ROUND(Wapato_Inventory[[#This Row],[adj_res]]*Lookups!$H$48,-2)&lt;Wapato_Inventory[[#This Row],[min_res]],Wapato_Inventory[[#This Row],[min_res]],ROUND(Wapato_Inventory[[#This Row],[adj_res]]*Lookups!$H$48,-2))</f>
        <v>110200</v>
      </c>
      <c r="CD247" s="3">
        <f>ROUND(Wapato_Inventory[[#This Row],[det_value]]*Lookups!$H$48,-2)</f>
        <v>0</v>
      </c>
      <c r="CE247" s="3">
        <f>Wapato_Inventory[[#This Row],[final_res]]+Wapato_Inventory[[#This Row],[final_det]]</f>
        <v>110200</v>
      </c>
      <c r="CF247" s="3">
        <f>Wapato_Inventory[[#This Row],[crop_value]]+Wapato_Inventory[[#This Row],[final_land]]+Wapato_Inventory[[#This Row],[final_imp]]</f>
        <v>160600</v>
      </c>
      <c r="CH247" t="str">
        <f t="shared" si="3"/>
        <v>update valuation set market_land =50400, market_bldg=110200, market_total =160600, market_mdno =405, market_date ='9/10/2023' where link_id = (select link_id from parcel where parcel_year = '2024' and parcel_id = '19111041546');</v>
      </c>
    </row>
    <row r="248" spans="1:86" x14ac:dyDescent="0.25">
      <c r="A248">
        <v>19111041548</v>
      </c>
      <c r="B248">
        <v>0.14000000000000001</v>
      </c>
      <c r="C248">
        <v>6250</v>
      </c>
      <c r="D248" t="s">
        <v>144</v>
      </c>
      <c r="E248" t="s">
        <v>54</v>
      </c>
      <c r="F248" t="s">
        <v>54</v>
      </c>
      <c r="G248">
        <v>3</v>
      </c>
      <c r="H248" t="s">
        <v>55</v>
      </c>
      <c r="I248">
        <v>115900</v>
      </c>
      <c r="J248">
        <v>31900</v>
      </c>
      <c r="K248">
        <v>0.14000000000000001</v>
      </c>
      <c r="L248">
        <f>IF(Wapato_Inventory[[#This Row],[parcel_acres]]-Wapato_Inventory[[#This Row],[non_valued_acres]] =0,0,LN(Wapato_Inventory[[#This Row],[parcel_acres]]-Wapato_Inventory[[#This Row],[non_valued_acres]]))</f>
        <v>-1.9661128563728327</v>
      </c>
      <c r="M248">
        <v>0</v>
      </c>
      <c r="N248">
        <v>0</v>
      </c>
      <c r="O248">
        <v>0</v>
      </c>
      <c r="P248">
        <v>27904.037</v>
      </c>
      <c r="Q248">
        <v>74398</v>
      </c>
      <c r="R248" s="3">
        <f>(Wapato_Inventory[[#This Row],[ln_acres]]*Wapato_Inventory[[#This Row],[coeff]])+Wapato_Inventory[[#This Row],[const]]</f>
        <v>19535.514109596792</v>
      </c>
      <c r="S248" t="s">
        <v>83</v>
      </c>
      <c r="T248">
        <v>1</v>
      </c>
      <c r="U248" t="s">
        <v>75</v>
      </c>
      <c r="V248" t="s">
        <v>68</v>
      </c>
      <c r="W248">
        <v>0</v>
      </c>
      <c r="X248">
        <v>0</v>
      </c>
      <c r="Y248">
        <v>53</v>
      </c>
      <c r="Z248">
        <v>93</v>
      </c>
      <c r="AA248">
        <v>100</v>
      </c>
      <c r="AB248">
        <v>1000</v>
      </c>
      <c r="AC248">
        <v>720</v>
      </c>
      <c r="AD248">
        <v>720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96</v>
      </c>
      <c r="AP248">
        <v>5</v>
      </c>
      <c r="AQ248">
        <v>0</v>
      </c>
      <c r="AR248">
        <v>0</v>
      </c>
      <c r="AS248" t="s">
        <v>59</v>
      </c>
      <c r="AT248">
        <v>0</v>
      </c>
      <c r="AU248" t="s">
        <v>80</v>
      </c>
      <c r="AV248" t="s">
        <v>77</v>
      </c>
      <c r="AW248">
        <v>0</v>
      </c>
      <c r="AX248">
        <v>2</v>
      </c>
      <c r="AY248">
        <v>0</v>
      </c>
      <c r="AZ248">
        <v>0</v>
      </c>
      <c r="BA248">
        <v>100</v>
      </c>
      <c r="BB248">
        <v>100</v>
      </c>
      <c r="BC248">
        <v>100</v>
      </c>
      <c r="BD248">
        <v>100</v>
      </c>
      <c r="BE248">
        <v>1</v>
      </c>
      <c r="BF248">
        <v>15000</v>
      </c>
      <c r="BG248">
        <v>1000</v>
      </c>
      <c r="BH248" s="7">
        <f>ROUND(Wapato_Inventory[[#This Row],[detatched_value]]*Lookups!$B$22*Lookups!$H$48,-2)</f>
        <v>0</v>
      </c>
      <c r="BI248" s="7">
        <f>ROUND(((Wapato_Inventory[[#This Row],[land_extract]]*Lookups!$B$3) +(Lookups!$B$2*0.5))*Lookups!$H$48,-2)</f>
        <v>53000</v>
      </c>
      <c r="BJ248" s="7">
        <f>IF(Wapato_Inventory[[#This Row],[bldg_style]]="",0,Lookups!$B$2*0.5)</f>
        <v>53765.27</v>
      </c>
      <c r="BK248" s="7">
        <f>_xlfn.IFNA(VLOOKUP(Wapato_Inventory[[#This Row],[quality]],Lookups!$H$2:$J$14,3,FALSE),0)</f>
        <v>48043</v>
      </c>
      <c r="BL248" s="7">
        <f>_xlfn.IFNA(VLOOKUP(Wapato_Inventory[[#This Row],[condition]],Lookups!$H$17:$J$24,3,FALSE),0)</f>
        <v>52231</v>
      </c>
      <c r="BM248" s="7">
        <f>Wapato_Inventory[[#This Row],[Age]]*Lookups!$B$16</f>
        <v>-34472.840100000001</v>
      </c>
      <c r="BN248" s="7">
        <f>Wapato_Inventory[[#This Row],[Main Floor]]*Lookups!$B$17</f>
        <v>30096.532080000001</v>
      </c>
      <c r="BO248" s="7">
        <f>Wapato_Inventory[[#This Row],[Upper Floor]]*Lookups!$B$18</f>
        <v>0</v>
      </c>
      <c r="BP248" s="7">
        <f>Wapato_Inventory[[#This Row],[Fin BSMT]]*Lookups!$B$19</f>
        <v>0</v>
      </c>
      <c r="BQ248" s="7">
        <f>(Wapato_Inventory[[#This Row],[att_gar]]+Wapato_Inventory[[#This Row],[blt_gar]])*Lookups!$B$20</f>
        <v>0</v>
      </c>
      <c r="BR248" s="7">
        <f>Wapato_Inventory[[#This Row],[Patio]]*Lookups!$B$21</f>
        <v>0</v>
      </c>
      <c r="BS248" s="7">
        <f>SUM(Wapato_Inventory[[#This Row],[intercept]:[patio_value]])*Wapato_Inventory[[#This Row],[res_pct]]</f>
        <v>149662.96197999999</v>
      </c>
      <c r="BT248" s="7">
        <f>Wapato_Inventory[[#This Row],[land_value]]</f>
        <v>53000</v>
      </c>
      <c r="BU248" s="2">
        <f>_xlfn.IFNA(VLOOKUP(Wapato_Inventory[[#This Row],[quality]],Lookups!$A$28:$C$37,3,FALSE),1)</f>
        <v>0.98196844879778955</v>
      </c>
      <c r="BV248" s="2">
        <f>_xlfn.IFNA(VLOOKUP(Wapato_Inventory[[#This Row],[condition]],Lookups!$A$41:$C$48,3,FALSE),1)</f>
        <v>0.9832333997567807</v>
      </c>
      <c r="BW248" s="2">
        <f>IF(Wapato_Inventory[[#This Row],[decade]]="",1,_xlfn.IFNA(VLOOKUP(Wapato_Inventory[[#This Row],[decade]],Lookups!$F$28:$H$45,3,FALSE),1))</f>
        <v>1.0114203040664467</v>
      </c>
      <c r="BX248" s="2">
        <f>_xlfn.IFNA(VLOOKUP(Wapato_Inventory[[#This Row],[living_area_range]],Lookups!$K$28:$M$37,3,FALSE),1)</f>
        <v>0.99022994770196116</v>
      </c>
      <c r="BY248" s="2">
        <f>AVERAGE(Wapato_Inventory[[#This Row],[qual_adj]:[range_adj]])</f>
        <v>0.99171302508074455</v>
      </c>
      <c r="BZ248" s="7">
        <f>(Wapato_Inventory[[#This Row],[sum_land]]-IF(Wapato_Inventory[[#This Row],[no_utilities]]=1,12000,0))/IF(Wapato_Inventory[[#This Row],[unbuildable]]=1,2,1)</f>
        <v>53000</v>
      </c>
      <c r="CA248" s="7">
        <f>Wapato_Inventory[[#This Row],[pre_res]]*Wapato_Inventory[[#This Row],[overall_adj]]</f>
        <v>148422.70876773025</v>
      </c>
      <c r="CB24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48" s="3">
        <f>IF(ROUND(Wapato_Inventory[[#This Row],[adj_res]]*Lookups!$H$48,-2)&lt;Wapato_Inventory[[#This Row],[min_res]],Wapato_Inventory[[#This Row],[min_res]],ROUND(Wapato_Inventory[[#This Row],[adj_res]]*Lookups!$H$48,-2))</f>
        <v>141000</v>
      </c>
      <c r="CD248" s="3">
        <f>ROUND(Wapato_Inventory[[#This Row],[det_value]]*Lookups!$H$48,-2)</f>
        <v>0</v>
      </c>
      <c r="CE248" s="3">
        <f>Wapato_Inventory[[#This Row],[final_res]]+Wapato_Inventory[[#This Row],[final_det]]</f>
        <v>141000</v>
      </c>
      <c r="CF248" s="3">
        <f>Wapato_Inventory[[#This Row],[crop_value]]+Wapato_Inventory[[#This Row],[final_land]]+Wapato_Inventory[[#This Row],[final_imp]]</f>
        <v>191400</v>
      </c>
      <c r="CH248" t="str">
        <f t="shared" si="3"/>
        <v>update valuation set market_land =50400, market_bldg=141000, market_total =191400, market_mdno =405, market_date ='9/10/2023' where link_id = (select link_id from parcel where parcel_year = '2024' and parcel_id = '19111041548');</v>
      </c>
    </row>
    <row r="249" spans="1:86" x14ac:dyDescent="0.25">
      <c r="A249">
        <v>19111041549</v>
      </c>
      <c r="B249">
        <v>0.14000000000000001</v>
      </c>
      <c r="C249">
        <v>6250</v>
      </c>
      <c r="D249" t="s">
        <v>144</v>
      </c>
      <c r="E249" t="s">
        <v>54</v>
      </c>
      <c r="F249" t="s">
        <v>54</v>
      </c>
      <c r="G249">
        <v>3</v>
      </c>
      <c r="H249" t="s">
        <v>55</v>
      </c>
      <c r="I249">
        <v>93300</v>
      </c>
      <c r="J249">
        <v>31900</v>
      </c>
      <c r="K249">
        <v>0.14000000000000001</v>
      </c>
      <c r="L249">
        <f>IF(Wapato_Inventory[[#This Row],[parcel_acres]]-Wapato_Inventory[[#This Row],[non_valued_acres]] =0,0,LN(Wapato_Inventory[[#This Row],[parcel_acres]]-Wapato_Inventory[[#This Row],[non_valued_acres]]))</f>
        <v>-1.9661128563728327</v>
      </c>
      <c r="M249">
        <v>0</v>
      </c>
      <c r="N249">
        <v>0</v>
      </c>
      <c r="O249">
        <v>0</v>
      </c>
      <c r="P249">
        <v>27904.037</v>
      </c>
      <c r="Q249">
        <v>74398</v>
      </c>
      <c r="R249" s="3">
        <f>(Wapato_Inventory[[#This Row],[ln_acres]]*Wapato_Inventory[[#This Row],[coeff]])+Wapato_Inventory[[#This Row],[const]]</f>
        <v>19535.514109596792</v>
      </c>
      <c r="S249" t="s">
        <v>66</v>
      </c>
      <c r="T249">
        <v>1</v>
      </c>
      <c r="U249" t="s">
        <v>71</v>
      </c>
      <c r="V249" t="s">
        <v>68</v>
      </c>
      <c r="W249">
        <v>0</v>
      </c>
      <c r="X249">
        <v>0</v>
      </c>
      <c r="Y249">
        <v>57</v>
      </c>
      <c r="Z249">
        <v>103</v>
      </c>
      <c r="AA249">
        <v>110</v>
      </c>
      <c r="AB249">
        <v>1000</v>
      </c>
      <c r="AC249">
        <v>770</v>
      </c>
      <c r="AD249">
        <v>770</v>
      </c>
      <c r="AE249">
        <v>0</v>
      </c>
      <c r="AF249">
        <v>0</v>
      </c>
      <c r="AG249">
        <v>0</v>
      </c>
      <c r="AH249">
        <v>120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6</v>
      </c>
      <c r="AQ249">
        <v>0</v>
      </c>
      <c r="AR249">
        <v>0</v>
      </c>
      <c r="AS249" t="s">
        <v>59</v>
      </c>
      <c r="AT249">
        <v>0</v>
      </c>
      <c r="AU249" t="s">
        <v>80</v>
      </c>
      <c r="AV249" t="s">
        <v>65</v>
      </c>
      <c r="AW249">
        <v>0</v>
      </c>
      <c r="AX249">
        <v>2</v>
      </c>
      <c r="AY249">
        <v>0</v>
      </c>
      <c r="AZ249">
        <v>2900</v>
      </c>
      <c r="BA249">
        <v>100</v>
      </c>
      <c r="BB249">
        <v>100</v>
      </c>
      <c r="BC249">
        <v>100</v>
      </c>
      <c r="BD249">
        <v>100</v>
      </c>
      <c r="BE249">
        <v>1</v>
      </c>
      <c r="BF249">
        <v>15000</v>
      </c>
      <c r="BG249">
        <v>1000</v>
      </c>
      <c r="BH249" s="7">
        <f>ROUND(Wapato_Inventory[[#This Row],[detatched_value]]*Lookups!$B$22*Lookups!$H$48,-2)</f>
        <v>2600</v>
      </c>
      <c r="BI249" s="7">
        <f>ROUND(((Wapato_Inventory[[#This Row],[land_extract]]*Lookups!$B$3) +(Lookups!$B$2*0.5))*Lookups!$H$48,-2)</f>
        <v>53000</v>
      </c>
      <c r="BJ249" s="7">
        <f>IF(Wapato_Inventory[[#This Row],[bldg_style]]="",0,Lookups!$B$2*0.5)</f>
        <v>53765.27</v>
      </c>
      <c r="BK249" s="7">
        <f>_xlfn.IFNA(VLOOKUP(Wapato_Inventory[[#This Row],[quality]],Lookups!$H$2:$J$14,3,FALSE),0)</f>
        <v>28034</v>
      </c>
      <c r="BL249" s="7">
        <f>_xlfn.IFNA(VLOOKUP(Wapato_Inventory[[#This Row],[condition]],Lookups!$H$17:$J$24,3,FALSE),0)</f>
        <v>52231</v>
      </c>
      <c r="BM249" s="7">
        <f>Wapato_Inventory[[#This Row],[Age]]*Lookups!$B$16</f>
        <v>-38179.597099999999</v>
      </c>
      <c r="BN249" s="7">
        <f>Wapato_Inventory[[#This Row],[Main Floor]]*Lookups!$B$17</f>
        <v>32186.569029999999</v>
      </c>
      <c r="BO249" s="7">
        <f>Wapato_Inventory[[#This Row],[Upper Floor]]*Lookups!$B$18</f>
        <v>0</v>
      </c>
      <c r="BP249" s="7">
        <f>Wapato_Inventory[[#This Row],[Fin BSMT]]*Lookups!$B$19</f>
        <v>0</v>
      </c>
      <c r="BQ249" s="7">
        <f>(Wapato_Inventory[[#This Row],[att_gar]]+Wapato_Inventory[[#This Row],[blt_gar]])*Lookups!$B$20</f>
        <v>0</v>
      </c>
      <c r="BR249" s="7">
        <f>Wapato_Inventory[[#This Row],[Patio]]*Lookups!$B$21</f>
        <v>0</v>
      </c>
      <c r="BS249" s="7">
        <f>SUM(Wapato_Inventory[[#This Row],[intercept]:[patio_value]])*Wapato_Inventory[[#This Row],[res_pct]]</f>
        <v>128037.24192999999</v>
      </c>
      <c r="BT249" s="7">
        <f>Wapato_Inventory[[#This Row],[land_value]]</f>
        <v>53000</v>
      </c>
      <c r="BU249" s="2">
        <f>_xlfn.IFNA(VLOOKUP(Wapato_Inventory[[#This Row],[quality]],Lookups!$A$28:$C$37,3,FALSE),1)</f>
        <v>0.96265813922927435</v>
      </c>
      <c r="BV249" s="2">
        <f>_xlfn.IFNA(VLOOKUP(Wapato_Inventory[[#This Row],[condition]],Lookups!$A$41:$C$48,3,FALSE),1)</f>
        <v>0.9832333997567807</v>
      </c>
      <c r="BW249" s="2">
        <f>IF(Wapato_Inventory[[#This Row],[decade]]="",1,_xlfn.IFNA(VLOOKUP(Wapato_Inventory[[#This Row],[decade]],Lookups!$F$28:$H$45,3,FALSE),1))</f>
        <v>0.93664589651353292</v>
      </c>
      <c r="BX249" s="2">
        <f>_xlfn.IFNA(VLOOKUP(Wapato_Inventory[[#This Row],[living_area_range]],Lookups!$K$28:$M$37,3,FALSE),1)</f>
        <v>0.99022994770196116</v>
      </c>
      <c r="BY249" s="2">
        <f>AVERAGE(Wapato_Inventory[[#This Row],[qual_adj]:[range_adj]])</f>
        <v>0.9681918458003872</v>
      </c>
      <c r="BZ249" s="7">
        <f>(Wapato_Inventory[[#This Row],[sum_land]]-IF(Wapato_Inventory[[#This Row],[no_utilities]]=1,12000,0))/IF(Wapato_Inventory[[#This Row],[unbuildable]]=1,2,1)</f>
        <v>53000</v>
      </c>
      <c r="CA249" s="7">
        <f>Wapato_Inventory[[#This Row],[pre_res]]*Wapato_Inventory[[#This Row],[overall_adj]]</f>
        <v>123964.61359539742</v>
      </c>
      <c r="CB24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49" s="3">
        <f>IF(ROUND(Wapato_Inventory[[#This Row],[adj_res]]*Lookups!$H$48,-2)&lt;Wapato_Inventory[[#This Row],[min_res]],Wapato_Inventory[[#This Row],[min_res]],ROUND(Wapato_Inventory[[#This Row],[adj_res]]*Lookups!$H$48,-2))</f>
        <v>117800</v>
      </c>
      <c r="CD249" s="3">
        <f>ROUND(Wapato_Inventory[[#This Row],[det_value]]*Lookups!$H$48,-2)</f>
        <v>2500</v>
      </c>
      <c r="CE249" s="3">
        <f>Wapato_Inventory[[#This Row],[final_res]]+Wapato_Inventory[[#This Row],[final_det]]</f>
        <v>120300</v>
      </c>
      <c r="CF249" s="3">
        <f>Wapato_Inventory[[#This Row],[crop_value]]+Wapato_Inventory[[#This Row],[final_land]]+Wapato_Inventory[[#This Row],[final_imp]]</f>
        <v>170700</v>
      </c>
      <c r="CH249" t="str">
        <f t="shared" si="3"/>
        <v>update valuation set market_land =50400, market_bldg=120300, market_total =170700, market_mdno =405, market_date ='9/10/2023' where link_id = (select link_id from parcel where parcel_year = '2024' and parcel_id = '19111041549');</v>
      </c>
    </row>
    <row r="250" spans="1:86" x14ac:dyDescent="0.25">
      <c r="A250">
        <v>19111041550</v>
      </c>
      <c r="B250">
        <v>0.28999999999999998</v>
      </c>
      <c r="C250">
        <v>12500</v>
      </c>
      <c r="D250" t="s">
        <v>144</v>
      </c>
      <c r="E250" t="s">
        <v>54</v>
      </c>
      <c r="F250" t="s">
        <v>54</v>
      </c>
      <c r="G250">
        <v>3</v>
      </c>
      <c r="H250" t="s">
        <v>55</v>
      </c>
      <c r="I250">
        <v>97400</v>
      </c>
      <c r="J250">
        <v>37100</v>
      </c>
      <c r="K250">
        <v>0.28999999999999998</v>
      </c>
      <c r="L250">
        <f>IF(Wapato_Inventory[[#This Row],[parcel_acres]]-Wapato_Inventory[[#This Row],[non_valued_acres]] =0,0,LN(Wapato_Inventory[[#This Row],[parcel_acres]]-Wapato_Inventory[[#This Row],[non_valued_acres]]))</f>
        <v>-1.2378743560016174</v>
      </c>
      <c r="M250">
        <v>0</v>
      </c>
      <c r="N250">
        <v>0</v>
      </c>
      <c r="O250">
        <v>0</v>
      </c>
      <c r="P250">
        <v>27904.037</v>
      </c>
      <c r="Q250">
        <v>74398</v>
      </c>
      <c r="R250" s="3">
        <f>(Wapato_Inventory[[#This Row],[ln_acres]]*Wapato_Inventory[[#This Row],[coeff]])+Wapato_Inventory[[#This Row],[const]]</f>
        <v>39856.308168779695</v>
      </c>
      <c r="S250" t="s">
        <v>66</v>
      </c>
      <c r="T250">
        <v>1</v>
      </c>
      <c r="U250" t="s">
        <v>78</v>
      </c>
      <c r="V250" t="s">
        <v>68</v>
      </c>
      <c r="W250">
        <v>0</v>
      </c>
      <c r="X250">
        <v>0</v>
      </c>
      <c r="Y250">
        <v>52</v>
      </c>
      <c r="Z250">
        <v>103</v>
      </c>
      <c r="AA250">
        <v>110</v>
      </c>
      <c r="AB250">
        <v>1000</v>
      </c>
      <c r="AC250">
        <v>748</v>
      </c>
      <c r="AD250">
        <v>748</v>
      </c>
      <c r="AE250">
        <v>0</v>
      </c>
      <c r="AF250">
        <v>0</v>
      </c>
      <c r="AG250">
        <v>0</v>
      </c>
      <c r="AH250">
        <v>748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5</v>
      </c>
      <c r="AQ250">
        <v>0</v>
      </c>
      <c r="AR250">
        <v>0</v>
      </c>
      <c r="AS250" t="s">
        <v>59</v>
      </c>
      <c r="AT250">
        <v>1</v>
      </c>
      <c r="AU250" t="s">
        <v>76</v>
      </c>
      <c r="AV250" t="s">
        <v>61</v>
      </c>
      <c r="AW250">
        <v>0</v>
      </c>
      <c r="AX250">
        <v>2</v>
      </c>
      <c r="AY250">
        <v>0</v>
      </c>
      <c r="AZ250">
        <v>0</v>
      </c>
      <c r="BA250">
        <v>100</v>
      </c>
      <c r="BB250">
        <v>100</v>
      </c>
      <c r="BC250">
        <v>100</v>
      </c>
      <c r="BD250">
        <v>100</v>
      </c>
      <c r="BE250">
        <v>1</v>
      </c>
      <c r="BF250">
        <v>15000</v>
      </c>
      <c r="BG250">
        <v>1000</v>
      </c>
      <c r="BH250" s="7">
        <f>ROUND(Wapato_Inventory[[#This Row],[detatched_value]]*Lookups!$B$22*Lookups!$H$48,-2)</f>
        <v>0</v>
      </c>
      <c r="BI250" s="7">
        <f>ROUND(((Wapato_Inventory[[#This Row],[land_extract]]*Lookups!$B$3) +(Lookups!$B$2*0.5))*Lookups!$H$48,-2)</f>
        <v>54900</v>
      </c>
      <c r="BJ250" s="7">
        <f>IF(Wapato_Inventory[[#This Row],[bldg_style]]="",0,Lookups!$B$2*0.5)</f>
        <v>53765.27</v>
      </c>
      <c r="BK250" s="7">
        <f>_xlfn.IFNA(VLOOKUP(Wapato_Inventory[[#This Row],[quality]],Lookups!$H$2:$J$14,3,FALSE),0)</f>
        <v>23424</v>
      </c>
      <c r="BL250" s="7">
        <f>_xlfn.IFNA(VLOOKUP(Wapato_Inventory[[#This Row],[condition]],Lookups!$H$17:$J$24,3,FALSE),0)</f>
        <v>52231</v>
      </c>
      <c r="BM250" s="7">
        <f>Wapato_Inventory[[#This Row],[Age]]*Lookups!$B$16</f>
        <v>-38179.597099999999</v>
      </c>
      <c r="BN250" s="7">
        <f>Wapato_Inventory[[#This Row],[Main Floor]]*Lookups!$B$17</f>
        <v>31266.952772000001</v>
      </c>
      <c r="BO250" s="7">
        <f>Wapato_Inventory[[#This Row],[Upper Floor]]*Lookups!$B$18</f>
        <v>0</v>
      </c>
      <c r="BP250" s="7">
        <f>Wapato_Inventory[[#This Row],[Fin BSMT]]*Lookups!$B$19</f>
        <v>0</v>
      </c>
      <c r="BQ250" s="7">
        <f>(Wapato_Inventory[[#This Row],[att_gar]]+Wapato_Inventory[[#This Row],[blt_gar]])*Lookups!$B$20</f>
        <v>0</v>
      </c>
      <c r="BR250" s="7">
        <f>Wapato_Inventory[[#This Row],[Patio]]*Lookups!$B$21</f>
        <v>0</v>
      </c>
      <c r="BS250" s="7">
        <f>SUM(Wapato_Inventory[[#This Row],[intercept]:[patio_value]])*Wapato_Inventory[[#This Row],[res_pct]]</f>
        <v>122507.62567199999</v>
      </c>
      <c r="BT250" s="7">
        <f>Wapato_Inventory[[#This Row],[land_value]]</f>
        <v>54900</v>
      </c>
      <c r="BU250" s="2">
        <f>_xlfn.IFNA(VLOOKUP(Wapato_Inventory[[#This Row],[quality]],Lookups!$A$28:$C$37,3,FALSE),1)</f>
        <v>1.0091195562373767</v>
      </c>
      <c r="BV250" s="2">
        <f>_xlfn.IFNA(VLOOKUP(Wapato_Inventory[[#This Row],[condition]],Lookups!$A$41:$C$48,3,FALSE),1)</f>
        <v>0.9832333997567807</v>
      </c>
      <c r="BW250" s="2">
        <f>IF(Wapato_Inventory[[#This Row],[decade]]="",1,_xlfn.IFNA(VLOOKUP(Wapato_Inventory[[#This Row],[decade]],Lookups!$F$28:$H$45,3,FALSE),1))</f>
        <v>0.93664589651353292</v>
      </c>
      <c r="BX250" s="2">
        <f>_xlfn.IFNA(VLOOKUP(Wapato_Inventory[[#This Row],[living_area_range]],Lookups!$K$28:$M$37,3,FALSE),1)</f>
        <v>0.99022994770196116</v>
      </c>
      <c r="BY250" s="2">
        <f>AVERAGE(Wapato_Inventory[[#This Row],[qual_adj]:[range_adj]])</f>
        <v>0.97980720005241284</v>
      </c>
      <c r="BZ250" s="7">
        <f>(Wapato_Inventory[[#This Row],[sum_land]]-IF(Wapato_Inventory[[#This Row],[no_utilities]]=1,12000,0))/IF(Wapato_Inventory[[#This Row],[unbuildable]]=1,2,1)</f>
        <v>54900</v>
      </c>
      <c r="CA250" s="7">
        <f>Wapato_Inventory[[#This Row],[pre_res]]*Wapato_Inventory[[#This Row],[overall_adj]]</f>
        <v>120033.85369475141</v>
      </c>
      <c r="CB250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250" s="3">
        <f>IF(ROUND(Wapato_Inventory[[#This Row],[adj_res]]*Lookups!$H$48,-2)&lt;Wapato_Inventory[[#This Row],[min_res]],Wapato_Inventory[[#This Row],[min_res]],ROUND(Wapato_Inventory[[#This Row],[adj_res]]*Lookups!$H$48,-2))</f>
        <v>114000</v>
      </c>
      <c r="CD250" s="3">
        <f>ROUND(Wapato_Inventory[[#This Row],[det_value]]*Lookups!$H$48,-2)</f>
        <v>0</v>
      </c>
      <c r="CE250" s="3">
        <f>Wapato_Inventory[[#This Row],[final_res]]+Wapato_Inventory[[#This Row],[final_det]]</f>
        <v>114000</v>
      </c>
      <c r="CF250" s="3">
        <f>Wapato_Inventory[[#This Row],[crop_value]]+Wapato_Inventory[[#This Row],[final_land]]+Wapato_Inventory[[#This Row],[final_imp]]</f>
        <v>166200</v>
      </c>
      <c r="CH250" t="str">
        <f t="shared" si="3"/>
        <v>update valuation set market_land =52200, market_bldg=114000, market_total =166200, market_mdno =405, market_date ='9/10/2023' where link_id = (select link_id from parcel where parcel_year = '2024' and parcel_id = '19111041550');</v>
      </c>
    </row>
    <row r="251" spans="1:86" x14ac:dyDescent="0.25">
      <c r="A251">
        <v>19111041551</v>
      </c>
      <c r="B251">
        <v>0.14000000000000001</v>
      </c>
      <c r="C251">
        <v>6250</v>
      </c>
      <c r="D251" t="s">
        <v>144</v>
      </c>
      <c r="E251" t="s">
        <v>54</v>
      </c>
      <c r="F251" t="s">
        <v>54</v>
      </c>
      <c r="G251">
        <v>3</v>
      </c>
      <c r="H251" t="s">
        <v>55</v>
      </c>
      <c r="I251">
        <v>129200</v>
      </c>
      <c r="J251">
        <v>31900</v>
      </c>
      <c r="K251">
        <v>0.14000000000000001</v>
      </c>
      <c r="L251">
        <f>IF(Wapato_Inventory[[#This Row],[parcel_acres]]-Wapato_Inventory[[#This Row],[non_valued_acres]] =0,0,LN(Wapato_Inventory[[#This Row],[parcel_acres]]-Wapato_Inventory[[#This Row],[non_valued_acres]]))</f>
        <v>-1.9661128563728327</v>
      </c>
      <c r="M251">
        <v>0</v>
      </c>
      <c r="N251">
        <v>0</v>
      </c>
      <c r="O251">
        <v>0</v>
      </c>
      <c r="P251">
        <v>27904.037</v>
      </c>
      <c r="Q251">
        <v>74398</v>
      </c>
      <c r="R251" s="3">
        <f>(Wapato_Inventory[[#This Row],[ln_acres]]*Wapato_Inventory[[#This Row],[coeff]])+Wapato_Inventory[[#This Row],[const]]</f>
        <v>19535.514109596792</v>
      </c>
      <c r="S251" t="s">
        <v>66</v>
      </c>
      <c r="T251">
        <v>1</v>
      </c>
      <c r="U251" t="s">
        <v>75</v>
      </c>
      <c r="V251" t="s">
        <v>68</v>
      </c>
      <c r="W251">
        <v>0</v>
      </c>
      <c r="X251">
        <v>0</v>
      </c>
      <c r="Y251">
        <v>57</v>
      </c>
      <c r="Z251">
        <v>103</v>
      </c>
      <c r="AA251">
        <v>110</v>
      </c>
      <c r="AB251">
        <v>1500</v>
      </c>
      <c r="AC251">
        <v>1050</v>
      </c>
      <c r="AD251">
        <v>1050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5</v>
      </c>
      <c r="AQ251">
        <v>0</v>
      </c>
      <c r="AR251">
        <v>0</v>
      </c>
      <c r="AS251" t="s">
        <v>59</v>
      </c>
      <c r="AT251">
        <v>1</v>
      </c>
      <c r="AU251" t="s">
        <v>76</v>
      </c>
      <c r="AV251" t="s">
        <v>61</v>
      </c>
      <c r="AW251">
        <v>0</v>
      </c>
      <c r="AX251">
        <v>2</v>
      </c>
      <c r="AY251">
        <v>0</v>
      </c>
      <c r="AZ251">
        <v>0</v>
      </c>
      <c r="BA251">
        <v>100</v>
      </c>
      <c r="BB251">
        <v>100</v>
      </c>
      <c r="BC251">
        <v>100</v>
      </c>
      <c r="BD251">
        <v>100</v>
      </c>
      <c r="BE251">
        <v>1</v>
      </c>
      <c r="BF251">
        <v>15000</v>
      </c>
      <c r="BG251">
        <v>1000</v>
      </c>
      <c r="BH251" s="7">
        <f>ROUND(Wapato_Inventory[[#This Row],[detatched_value]]*Lookups!$B$22*Lookups!$H$48,-2)</f>
        <v>0</v>
      </c>
      <c r="BI251" s="7">
        <f>ROUND(((Wapato_Inventory[[#This Row],[land_extract]]*Lookups!$B$3) +(Lookups!$B$2*0.5))*Lookups!$H$48,-2)</f>
        <v>53000</v>
      </c>
      <c r="BJ251" s="7">
        <f>IF(Wapato_Inventory[[#This Row],[bldg_style]]="",0,Lookups!$B$2*0.5)</f>
        <v>53765.27</v>
      </c>
      <c r="BK251" s="7">
        <f>_xlfn.IFNA(VLOOKUP(Wapato_Inventory[[#This Row],[quality]],Lookups!$H$2:$J$14,3,FALSE),0)</f>
        <v>48043</v>
      </c>
      <c r="BL251" s="7">
        <f>_xlfn.IFNA(VLOOKUP(Wapato_Inventory[[#This Row],[condition]],Lookups!$H$17:$J$24,3,FALSE),0)</f>
        <v>52231</v>
      </c>
      <c r="BM251" s="7">
        <f>Wapato_Inventory[[#This Row],[Age]]*Lookups!$B$16</f>
        <v>-38179.597099999999</v>
      </c>
      <c r="BN251" s="7">
        <f>Wapato_Inventory[[#This Row],[Main Floor]]*Lookups!$B$17</f>
        <v>43890.775950000003</v>
      </c>
      <c r="BO251" s="7">
        <f>Wapato_Inventory[[#This Row],[Upper Floor]]*Lookups!$B$18</f>
        <v>0</v>
      </c>
      <c r="BP251" s="7">
        <f>Wapato_Inventory[[#This Row],[Fin BSMT]]*Lookups!$B$19</f>
        <v>0</v>
      </c>
      <c r="BQ251" s="7">
        <f>(Wapato_Inventory[[#This Row],[att_gar]]+Wapato_Inventory[[#This Row],[blt_gar]])*Lookups!$B$20</f>
        <v>0</v>
      </c>
      <c r="BR251" s="7">
        <f>Wapato_Inventory[[#This Row],[Patio]]*Lookups!$B$21</f>
        <v>0</v>
      </c>
      <c r="BS251" s="7">
        <f>SUM(Wapato_Inventory[[#This Row],[intercept]:[patio_value]])*Wapato_Inventory[[#This Row],[res_pct]]</f>
        <v>159750.44884999999</v>
      </c>
      <c r="BT251" s="7">
        <f>Wapato_Inventory[[#This Row],[land_value]]</f>
        <v>53000</v>
      </c>
      <c r="BU251" s="2">
        <f>_xlfn.IFNA(VLOOKUP(Wapato_Inventory[[#This Row],[quality]],Lookups!$A$28:$C$37,3,FALSE),1)</f>
        <v>0.98196844879778955</v>
      </c>
      <c r="BV251" s="2">
        <f>_xlfn.IFNA(VLOOKUP(Wapato_Inventory[[#This Row],[condition]],Lookups!$A$41:$C$48,3,FALSE),1)</f>
        <v>0.9832333997567807</v>
      </c>
      <c r="BW251" s="2">
        <f>IF(Wapato_Inventory[[#This Row],[decade]]="",1,_xlfn.IFNA(VLOOKUP(Wapato_Inventory[[#This Row],[decade]],Lookups!$F$28:$H$45,3,FALSE),1))</f>
        <v>0.93664589651353292</v>
      </c>
      <c r="BX251" s="2">
        <f>_xlfn.IFNA(VLOOKUP(Wapato_Inventory[[#This Row],[living_area_range]],Lookups!$K$28:$M$37,3,FALSE),1)</f>
        <v>1.0061411172456287</v>
      </c>
      <c r="BY251" s="2">
        <f>AVERAGE(Wapato_Inventory[[#This Row],[qual_adj]:[range_adj]])</f>
        <v>0.976997215578433</v>
      </c>
      <c r="BZ251" s="7">
        <f>(Wapato_Inventory[[#This Row],[sum_land]]-IF(Wapato_Inventory[[#This Row],[no_utilities]]=1,12000,0))/IF(Wapato_Inventory[[#This Row],[unbuildable]]=1,2,1)</f>
        <v>53000</v>
      </c>
      <c r="CA251" s="7">
        <f>Wapato_Inventory[[#This Row],[pre_res]]*Wapato_Inventory[[#This Row],[overall_adj]]</f>
        <v>156075.74371385487</v>
      </c>
      <c r="CB25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51" s="3">
        <f>IF(ROUND(Wapato_Inventory[[#This Row],[adj_res]]*Lookups!$H$48,-2)&lt;Wapato_Inventory[[#This Row],[min_res]],Wapato_Inventory[[#This Row],[min_res]],ROUND(Wapato_Inventory[[#This Row],[adj_res]]*Lookups!$H$48,-2))</f>
        <v>148300</v>
      </c>
      <c r="CD251" s="3">
        <f>ROUND(Wapato_Inventory[[#This Row],[det_value]]*Lookups!$H$48,-2)</f>
        <v>0</v>
      </c>
      <c r="CE251" s="3">
        <f>Wapato_Inventory[[#This Row],[final_res]]+Wapato_Inventory[[#This Row],[final_det]]</f>
        <v>148300</v>
      </c>
      <c r="CF251" s="3">
        <f>Wapato_Inventory[[#This Row],[crop_value]]+Wapato_Inventory[[#This Row],[final_land]]+Wapato_Inventory[[#This Row],[final_imp]]</f>
        <v>198700</v>
      </c>
      <c r="CH251" t="str">
        <f t="shared" si="3"/>
        <v>update valuation set market_land =50400, market_bldg=148300, market_total =198700, market_mdno =405, market_date ='9/10/2023' where link_id = (select link_id from parcel where parcel_year = '2024' and parcel_id = '19111041551');</v>
      </c>
    </row>
    <row r="252" spans="1:86" x14ac:dyDescent="0.25">
      <c r="A252">
        <v>19111041552</v>
      </c>
      <c r="B252">
        <v>0.14000000000000001</v>
      </c>
      <c r="C252">
        <v>6250</v>
      </c>
      <c r="D252" t="s">
        <v>144</v>
      </c>
      <c r="E252" t="s">
        <v>54</v>
      </c>
      <c r="F252" t="s">
        <v>54</v>
      </c>
      <c r="G252">
        <v>3</v>
      </c>
      <c r="H252" t="s">
        <v>55</v>
      </c>
      <c r="I252">
        <v>170300</v>
      </c>
      <c r="J252">
        <v>31900</v>
      </c>
      <c r="K252">
        <v>0.14000000000000001</v>
      </c>
      <c r="L252">
        <f>IF(Wapato_Inventory[[#This Row],[parcel_acres]]-Wapato_Inventory[[#This Row],[non_valued_acres]] =0,0,LN(Wapato_Inventory[[#This Row],[parcel_acres]]-Wapato_Inventory[[#This Row],[non_valued_acres]]))</f>
        <v>-1.9661128563728327</v>
      </c>
      <c r="M252">
        <v>0</v>
      </c>
      <c r="N252">
        <v>0</v>
      </c>
      <c r="O252">
        <v>0</v>
      </c>
      <c r="P252">
        <v>27904.037</v>
      </c>
      <c r="Q252">
        <v>74398</v>
      </c>
      <c r="R252" s="3">
        <f>(Wapato_Inventory[[#This Row],[ln_acres]]*Wapato_Inventory[[#This Row],[coeff]])+Wapato_Inventory[[#This Row],[const]]</f>
        <v>19535.514109596792</v>
      </c>
      <c r="S252" t="s">
        <v>66</v>
      </c>
      <c r="T252">
        <v>1</v>
      </c>
      <c r="U252" t="s">
        <v>75</v>
      </c>
      <c r="V252" t="s">
        <v>68</v>
      </c>
      <c r="W252">
        <v>0</v>
      </c>
      <c r="X252">
        <v>0</v>
      </c>
      <c r="Y252">
        <v>51</v>
      </c>
      <c r="Z252">
        <v>83</v>
      </c>
      <c r="AA252">
        <v>90</v>
      </c>
      <c r="AB252">
        <v>1500</v>
      </c>
      <c r="AC252">
        <v>1420</v>
      </c>
      <c r="AD252">
        <v>1420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144</v>
      </c>
      <c r="AN252">
        <v>0</v>
      </c>
      <c r="AO252">
        <v>144</v>
      </c>
      <c r="AP252">
        <v>8</v>
      </c>
      <c r="AQ252">
        <v>0</v>
      </c>
      <c r="AR252">
        <v>0</v>
      </c>
      <c r="AS252" t="s">
        <v>59</v>
      </c>
      <c r="AT252">
        <v>1</v>
      </c>
      <c r="AU252" t="s">
        <v>76</v>
      </c>
      <c r="AV252" t="s">
        <v>61</v>
      </c>
      <c r="AW252">
        <v>0</v>
      </c>
      <c r="AX252">
        <v>3</v>
      </c>
      <c r="AY252">
        <v>0</v>
      </c>
      <c r="AZ252">
        <v>12400</v>
      </c>
      <c r="BA252">
        <v>100</v>
      </c>
      <c r="BB252">
        <v>100</v>
      </c>
      <c r="BC252">
        <v>100</v>
      </c>
      <c r="BD252">
        <v>100</v>
      </c>
      <c r="BE252">
        <v>1</v>
      </c>
      <c r="BF252">
        <v>15000</v>
      </c>
      <c r="BG252">
        <v>1000</v>
      </c>
      <c r="BH252" s="7">
        <f>ROUND(Wapato_Inventory[[#This Row],[detatched_value]]*Lookups!$B$22*Lookups!$H$48,-2)</f>
        <v>11100</v>
      </c>
      <c r="BI252" s="7">
        <f>ROUND(((Wapato_Inventory[[#This Row],[land_extract]]*Lookups!$B$3) +(Lookups!$B$2*0.5))*Lookups!$H$48,-2)</f>
        <v>53000</v>
      </c>
      <c r="BJ252" s="7">
        <f>IF(Wapato_Inventory[[#This Row],[bldg_style]]="",0,Lookups!$B$2*0.5)</f>
        <v>53765.27</v>
      </c>
      <c r="BK252" s="7">
        <f>_xlfn.IFNA(VLOOKUP(Wapato_Inventory[[#This Row],[quality]],Lookups!$H$2:$J$14,3,FALSE),0)</f>
        <v>48043</v>
      </c>
      <c r="BL252" s="7">
        <f>_xlfn.IFNA(VLOOKUP(Wapato_Inventory[[#This Row],[condition]],Lookups!$H$17:$J$24,3,FALSE),0)</f>
        <v>52231</v>
      </c>
      <c r="BM252" s="7">
        <f>Wapato_Inventory[[#This Row],[Age]]*Lookups!$B$16</f>
        <v>-30766.0831</v>
      </c>
      <c r="BN252" s="7">
        <f>Wapato_Inventory[[#This Row],[Main Floor]]*Lookups!$B$17</f>
        <v>59357.049379999997</v>
      </c>
      <c r="BO252" s="7">
        <f>Wapato_Inventory[[#This Row],[Upper Floor]]*Lookups!$B$18</f>
        <v>0</v>
      </c>
      <c r="BP252" s="7">
        <f>Wapato_Inventory[[#This Row],[Fin BSMT]]*Lookups!$B$19</f>
        <v>0</v>
      </c>
      <c r="BQ252" s="7">
        <f>(Wapato_Inventory[[#This Row],[att_gar]]+Wapato_Inventory[[#This Row],[blt_gar]])*Lookups!$B$20</f>
        <v>0</v>
      </c>
      <c r="BR252" s="7">
        <f>Wapato_Inventory[[#This Row],[Patio]]*Lookups!$B$21</f>
        <v>6238.6529760000003</v>
      </c>
      <c r="BS252" s="7">
        <f>SUM(Wapato_Inventory[[#This Row],[intercept]:[patio_value]])*Wapato_Inventory[[#This Row],[res_pct]]</f>
        <v>188868.88925599999</v>
      </c>
      <c r="BT252" s="7">
        <f>Wapato_Inventory[[#This Row],[land_value]]</f>
        <v>53000</v>
      </c>
      <c r="BU252" s="2">
        <f>_xlfn.IFNA(VLOOKUP(Wapato_Inventory[[#This Row],[quality]],Lookups!$A$28:$C$37,3,FALSE),1)</f>
        <v>0.98196844879778955</v>
      </c>
      <c r="BV252" s="2">
        <f>_xlfn.IFNA(VLOOKUP(Wapato_Inventory[[#This Row],[condition]],Lookups!$A$41:$C$48,3,FALSE),1)</f>
        <v>0.9832333997567807</v>
      </c>
      <c r="BW252" s="2">
        <f>IF(Wapato_Inventory[[#This Row],[decade]]="",1,_xlfn.IFNA(VLOOKUP(Wapato_Inventory[[#This Row],[decade]],Lookups!$F$28:$H$45,3,FALSE),1))</f>
        <v>0.94742695999815718</v>
      </c>
      <c r="BX252" s="2">
        <f>_xlfn.IFNA(VLOOKUP(Wapato_Inventory[[#This Row],[living_area_range]],Lookups!$K$28:$M$37,3,FALSE),1)</f>
        <v>1.0061411172456287</v>
      </c>
      <c r="BY252" s="2">
        <f>AVERAGE(Wapato_Inventory[[#This Row],[qual_adj]:[range_adj]])</f>
        <v>0.97969248144958898</v>
      </c>
      <c r="BZ252" s="7">
        <f>(Wapato_Inventory[[#This Row],[sum_land]]-IF(Wapato_Inventory[[#This Row],[no_utilities]]=1,12000,0))/IF(Wapato_Inventory[[#This Row],[unbuildable]]=1,2,1)</f>
        <v>53000</v>
      </c>
      <c r="CA252" s="7">
        <f>Wapato_Inventory[[#This Row],[pre_res]]*Wapato_Inventory[[#This Row],[overall_adj]]</f>
        <v>185033.43078383824</v>
      </c>
      <c r="CB25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52" s="3">
        <f>IF(ROUND(Wapato_Inventory[[#This Row],[adj_res]]*Lookups!$H$48,-2)&lt;Wapato_Inventory[[#This Row],[min_res]],Wapato_Inventory[[#This Row],[min_res]],ROUND(Wapato_Inventory[[#This Row],[adj_res]]*Lookups!$H$48,-2))</f>
        <v>175800</v>
      </c>
      <c r="CD252" s="3">
        <f>ROUND(Wapato_Inventory[[#This Row],[det_value]]*Lookups!$H$48,-2)</f>
        <v>10500</v>
      </c>
      <c r="CE252" s="3">
        <f>Wapato_Inventory[[#This Row],[final_res]]+Wapato_Inventory[[#This Row],[final_det]]</f>
        <v>186300</v>
      </c>
      <c r="CF252" s="3">
        <f>Wapato_Inventory[[#This Row],[crop_value]]+Wapato_Inventory[[#This Row],[final_land]]+Wapato_Inventory[[#This Row],[final_imp]]</f>
        <v>236700</v>
      </c>
      <c r="CH252" t="str">
        <f t="shared" si="3"/>
        <v>update valuation set market_land =50400, market_bldg=186300, market_total =236700, market_mdno =405, market_date ='9/10/2023' where link_id = (select link_id from parcel where parcel_year = '2024' and parcel_id = '19111041552');</v>
      </c>
    </row>
    <row r="253" spans="1:86" x14ac:dyDescent="0.25">
      <c r="A253">
        <v>19111041553</v>
      </c>
      <c r="B253">
        <v>0.21</v>
      </c>
      <c r="C253">
        <v>9056</v>
      </c>
      <c r="D253" t="s">
        <v>144</v>
      </c>
      <c r="E253" t="s">
        <v>54</v>
      </c>
      <c r="F253" t="s">
        <v>54</v>
      </c>
      <c r="G253">
        <v>3</v>
      </c>
      <c r="H253" t="s">
        <v>55</v>
      </c>
      <c r="I253">
        <v>97000</v>
      </c>
      <c r="J253">
        <v>34800</v>
      </c>
      <c r="K253">
        <v>0.21</v>
      </c>
      <c r="L253">
        <f>IF(Wapato_Inventory[[#This Row],[parcel_acres]]-Wapato_Inventory[[#This Row],[non_valued_acres]] =0,0,LN(Wapato_Inventory[[#This Row],[parcel_acres]]-Wapato_Inventory[[#This Row],[non_valued_acres]]))</f>
        <v>-1.5606477482646683</v>
      </c>
      <c r="M253">
        <v>0</v>
      </c>
      <c r="N253">
        <v>0</v>
      </c>
      <c r="O253">
        <v>0</v>
      </c>
      <c r="P253">
        <v>27904.037</v>
      </c>
      <c r="Q253">
        <v>74398</v>
      </c>
      <c r="R253" s="3">
        <f>(Wapato_Inventory[[#This Row],[ln_acres]]*Wapato_Inventory[[#This Row],[coeff]])+Wapato_Inventory[[#This Row],[const]]</f>
        <v>30849.627488456012</v>
      </c>
      <c r="S253" t="s">
        <v>66</v>
      </c>
      <c r="T253">
        <v>1</v>
      </c>
      <c r="U253" t="s">
        <v>71</v>
      </c>
      <c r="V253" t="s">
        <v>68</v>
      </c>
      <c r="W253">
        <v>0</v>
      </c>
      <c r="X253">
        <v>0</v>
      </c>
      <c r="Y253">
        <v>57</v>
      </c>
      <c r="Z253">
        <v>103</v>
      </c>
      <c r="AA253">
        <v>110</v>
      </c>
      <c r="AB253">
        <v>1000</v>
      </c>
      <c r="AC253">
        <v>849</v>
      </c>
      <c r="AD253">
        <v>849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64</v>
      </c>
      <c r="AO253">
        <v>0</v>
      </c>
      <c r="AP253">
        <v>5</v>
      </c>
      <c r="AQ253">
        <v>0</v>
      </c>
      <c r="AR253">
        <v>0</v>
      </c>
      <c r="AS253" t="s">
        <v>59</v>
      </c>
      <c r="AT253">
        <v>1</v>
      </c>
      <c r="AU253" t="s">
        <v>72</v>
      </c>
      <c r="AV253" t="s">
        <v>61</v>
      </c>
      <c r="AW253">
        <v>0</v>
      </c>
      <c r="AX253">
        <v>2</v>
      </c>
      <c r="AY253">
        <v>0</v>
      </c>
      <c r="AZ253">
        <v>0</v>
      </c>
      <c r="BA253">
        <v>100</v>
      </c>
      <c r="BB253">
        <v>100</v>
      </c>
      <c r="BC253">
        <v>100</v>
      </c>
      <c r="BD253">
        <v>100</v>
      </c>
      <c r="BE253">
        <v>1</v>
      </c>
      <c r="BF253">
        <v>15000</v>
      </c>
      <c r="BG253">
        <v>1000</v>
      </c>
      <c r="BH253" s="7">
        <f>ROUND(Wapato_Inventory[[#This Row],[detatched_value]]*Lookups!$B$22*Lookups!$H$48,-2)</f>
        <v>0</v>
      </c>
      <c r="BI253" s="7">
        <f>ROUND(((Wapato_Inventory[[#This Row],[land_extract]]*Lookups!$B$3) +(Lookups!$B$2*0.5))*Lookups!$H$48,-2)</f>
        <v>54100</v>
      </c>
      <c r="BJ253" s="7">
        <f>IF(Wapato_Inventory[[#This Row],[bldg_style]]="",0,Lookups!$B$2*0.5)</f>
        <v>53765.27</v>
      </c>
      <c r="BK253" s="7">
        <f>_xlfn.IFNA(VLOOKUP(Wapato_Inventory[[#This Row],[quality]],Lookups!$H$2:$J$14,3,FALSE),0)</f>
        <v>28034</v>
      </c>
      <c r="BL253" s="7">
        <f>_xlfn.IFNA(VLOOKUP(Wapato_Inventory[[#This Row],[condition]],Lookups!$H$17:$J$24,3,FALSE),0)</f>
        <v>52231</v>
      </c>
      <c r="BM253" s="7">
        <f>Wapato_Inventory[[#This Row],[Age]]*Lookups!$B$16</f>
        <v>-38179.597099999999</v>
      </c>
      <c r="BN253" s="7">
        <f>Wapato_Inventory[[#This Row],[Main Floor]]*Lookups!$B$17</f>
        <v>35488.827410999998</v>
      </c>
      <c r="BO253" s="7">
        <f>Wapato_Inventory[[#This Row],[Upper Floor]]*Lookups!$B$18</f>
        <v>0</v>
      </c>
      <c r="BP253" s="7">
        <f>Wapato_Inventory[[#This Row],[Fin BSMT]]*Lookups!$B$19</f>
        <v>0</v>
      </c>
      <c r="BQ253" s="7">
        <f>(Wapato_Inventory[[#This Row],[att_gar]]+Wapato_Inventory[[#This Row],[blt_gar]])*Lookups!$B$20</f>
        <v>0</v>
      </c>
      <c r="BR253" s="7">
        <f>Wapato_Inventory[[#This Row],[Patio]]*Lookups!$B$21</f>
        <v>0</v>
      </c>
      <c r="BS253" s="7">
        <f>SUM(Wapato_Inventory[[#This Row],[intercept]:[patio_value]])*Wapato_Inventory[[#This Row],[res_pct]]</f>
        <v>131339.50031099998</v>
      </c>
      <c r="BT253" s="7">
        <f>Wapato_Inventory[[#This Row],[land_value]]</f>
        <v>54100</v>
      </c>
      <c r="BU253" s="2">
        <f>_xlfn.IFNA(VLOOKUP(Wapato_Inventory[[#This Row],[quality]],Lookups!$A$28:$C$37,3,FALSE),1)</f>
        <v>0.96265813922927435</v>
      </c>
      <c r="BV253" s="2">
        <f>_xlfn.IFNA(VLOOKUP(Wapato_Inventory[[#This Row],[condition]],Lookups!$A$41:$C$48,3,FALSE),1)</f>
        <v>0.9832333997567807</v>
      </c>
      <c r="BW253" s="2">
        <f>IF(Wapato_Inventory[[#This Row],[decade]]="",1,_xlfn.IFNA(VLOOKUP(Wapato_Inventory[[#This Row],[decade]],Lookups!$F$28:$H$45,3,FALSE),1))</f>
        <v>0.93664589651353292</v>
      </c>
      <c r="BX253" s="2">
        <f>_xlfn.IFNA(VLOOKUP(Wapato_Inventory[[#This Row],[living_area_range]],Lookups!$K$28:$M$37,3,FALSE),1)</f>
        <v>0.99022994770196116</v>
      </c>
      <c r="BY253" s="2">
        <f>AVERAGE(Wapato_Inventory[[#This Row],[qual_adj]:[range_adj]])</f>
        <v>0.9681918458003872</v>
      </c>
      <c r="BZ253" s="7">
        <f>(Wapato_Inventory[[#This Row],[sum_land]]-IF(Wapato_Inventory[[#This Row],[no_utilities]]=1,12000,0))/IF(Wapato_Inventory[[#This Row],[unbuildable]]=1,2,1)</f>
        <v>54100</v>
      </c>
      <c r="CA253" s="7">
        <f>Wapato_Inventory[[#This Row],[pre_res]]*Wapato_Inventory[[#This Row],[overall_adj]]</f>
        <v>127161.83323260761</v>
      </c>
      <c r="CB253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253" s="3">
        <f>IF(ROUND(Wapato_Inventory[[#This Row],[adj_res]]*Lookups!$H$48,-2)&lt;Wapato_Inventory[[#This Row],[min_res]],Wapato_Inventory[[#This Row],[min_res]],ROUND(Wapato_Inventory[[#This Row],[adj_res]]*Lookups!$H$48,-2))</f>
        <v>120800</v>
      </c>
      <c r="CD253" s="3">
        <f>ROUND(Wapato_Inventory[[#This Row],[det_value]]*Lookups!$H$48,-2)</f>
        <v>0</v>
      </c>
      <c r="CE253" s="3">
        <f>Wapato_Inventory[[#This Row],[final_res]]+Wapato_Inventory[[#This Row],[final_det]]</f>
        <v>120800</v>
      </c>
      <c r="CF253" s="3">
        <f>Wapato_Inventory[[#This Row],[crop_value]]+Wapato_Inventory[[#This Row],[final_land]]+Wapato_Inventory[[#This Row],[final_imp]]</f>
        <v>172200</v>
      </c>
      <c r="CH253" t="str">
        <f t="shared" si="3"/>
        <v>update valuation set market_land =51400, market_bldg=120800, market_total =172200, market_mdno =405, market_date ='9/10/2023' where link_id = (select link_id from parcel where parcel_year = '2024' and parcel_id = '19111041553');</v>
      </c>
    </row>
    <row r="254" spans="1:86" x14ac:dyDescent="0.25">
      <c r="A254">
        <v>19111041554</v>
      </c>
      <c r="B254">
        <v>0.21</v>
      </c>
      <c r="C254">
        <v>8981</v>
      </c>
      <c r="D254" t="s">
        <v>144</v>
      </c>
      <c r="E254" t="s">
        <v>54</v>
      </c>
      <c r="F254" t="s">
        <v>54</v>
      </c>
      <c r="G254">
        <v>3</v>
      </c>
      <c r="H254" t="s">
        <v>55</v>
      </c>
      <c r="I254">
        <v>177500</v>
      </c>
      <c r="J254">
        <v>34800</v>
      </c>
      <c r="K254">
        <v>0.21</v>
      </c>
      <c r="L254">
        <f>IF(Wapato_Inventory[[#This Row],[parcel_acres]]-Wapato_Inventory[[#This Row],[non_valued_acres]] =0,0,LN(Wapato_Inventory[[#This Row],[parcel_acres]]-Wapato_Inventory[[#This Row],[non_valued_acres]]))</f>
        <v>-1.5606477482646683</v>
      </c>
      <c r="M254">
        <v>0</v>
      </c>
      <c r="N254">
        <v>0</v>
      </c>
      <c r="O254">
        <v>0</v>
      </c>
      <c r="P254">
        <v>27904.037</v>
      </c>
      <c r="Q254">
        <v>74398</v>
      </c>
      <c r="R254" s="3">
        <f>(Wapato_Inventory[[#This Row],[ln_acres]]*Wapato_Inventory[[#This Row],[coeff]])+Wapato_Inventory[[#This Row],[const]]</f>
        <v>30849.627488456012</v>
      </c>
      <c r="S254" t="s">
        <v>66</v>
      </c>
      <c r="T254">
        <v>1</v>
      </c>
      <c r="U254" t="s">
        <v>67</v>
      </c>
      <c r="V254" t="s">
        <v>68</v>
      </c>
      <c r="W254">
        <v>0</v>
      </c>
      <c r="X254">
        <v>0</v>
      </c>
      <c r="Y254">
        <v>57</v>
      </c>
      <c r="Z254">
        <v>103</v>
      </c>
      <c r="AA254">
        <v>110</v>
      </c>
      <c r="AB254">
        <v>2000</v>
      </c>
      <c r="AC254">
        <v>1724</v>
      </c>
      <c r="AD254">
        <v>1724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144</v>
      </c>
      <c r="AO254">
        <v>0</v>
      </c>
      <c r="AP254">
        <v>8</v>
      </c>
      <c r="AQ254">
        <v>0</v>
      </c>
      <c r="AR254">
        <v>0</v>
      </c>
      <c r="AS254" t="s">
        <v>59</v>
      </c>
      <c r="AT254">
        <v>1</v>
      </c>
      <c r="AU254" t="s">
        <v>64</v>
      </c>
      <c r="AV254" t="s">
        <v>61</v>
      </c>
      <c r="AW254">
        <v>0</v>
      </c>
      <c r="AX254">
        <v>4</v>
      </c>
      <c r="AY254">
        <v>0</v>
      </c>
      <c r="AZ254">
        <v>0</v>
      </c>
      <c r="BA254">
        <v>100</v>
      </c>
      <c r="BB254">
        <v>100</v>
      </c>
      <c r="BC254">
        <v>100</v>
      </c>
      <c r="BD254">
        <v>100</v>
      </c>
      <c r="BE254">
        <v>1</v>
      </c>
      <c r="BF254">
        <v>15000</v>
      </c>
      <c r="BG254">
        <v>1000</v>
      </c>
      <c r="BH254" s="7">
        <f>ROUND(Wapato_Inventory[[#This Row],[detatched_value]]*Lookups!$B$22*Lookups!$H$48,-2)</f>
        <v>0</v>
      </c>
      <c r="BI254" s="7">
        <f>ROUND(((Wapato_Inventory[[#This Row],[land_extract]]*Lookups!$B$3) +(Lookups!$B$2*0.5))*Lookups!$H$48,-2)</f>
        <v>54100</v>
      </c>
      <c r="BJ254" s="7">
        <f>IF(Wapato_Inventory[[#This Row],[bldg_style]]="",0,Lookups!$B$2*0.5)</f>
        <v>53765.27</v>
      </c>
      <c r="BK254" s="7">
        <f>_xlfn.IFNA(VLOOKUP(Wapato_Inventory[[#This Row],[quality]],Lookups!$H$2:$J$14,3,FALSE),0)</f>
        <v>50405</v>
      </c>
      <c r="BL254" s="7">
        <f>_xlfn.IFNA(VLOOKUP(Wapato_Inventory[[#This Row],[condition]],Lookups!$H$17:$J$24,3,FALSE),0)</f>
        <v>52231</v>
      </c>
      <c r="BM254" s="7">
        <f>Wapato_Inventory[[#This Row],[Age]]*Lookups!$B$16</f>
        <v>-38179.597099999999</v>
      </c>
      <c r="BN254" s="7">
        <f>Wapato_Inventory[[#This Row],[Main Floor]]*Lookups!$B$17</f>
        <v>72064.474036</v>
      </c>
      <c r="BO254" s="7">
        <f>Wapato_Inventory[[#This Row],[Upper Floor]]*Lookups!$B$18</f>
        <v>0</v>
      </c>
      <c r="BP254" s="7">
        <f>Wapato_Inventory[[#This Row],[Fin BSMT]]*Lookups!$B$19</f>
        <v>0</v>
      </c>
      <c r="BQ254" s="7">
        <f>(Wapato_Inventory[[#This Row],[att_gar]]+Wapato_Inventory[[#This Row],[blt_gar]])*Lookups!$B$20</f>
        <v>0</v>
      </c>
      <c r="BR254" s="7">
        <f>Wapato_Inventory[[#This Row],[Patio]]*Lookups!$B$21</f>
        <v>0</v>
      </c>
      <c r="BS254" s="7">
        <f>SUM(Wapato_Inventory[[#This Row],[intercept]:[patio_value]])*Wapato_Inventory[[#This Row],[res_pct]]</f>
        <v>190286.14693599998</v>
      </c>
      <c r="BT254" s="7">
        <f>Wapato_Inventory[[#This Row],[land_value]]</f>
        <v>54100</v>
      </c>
      <c r="BU254" s="2">
        <f>_xlfn.IFNA(VLOOKUP(Wapato_Inventory[[#This Row],[quality]],Lookups!$A$28:$C$37,3,FALSE),1)</f>
        <v>0.97993206410140754</v>
      </c>
      <c r="BV254" s="2">
        <f>_xlfn.IFNA(VLOOKUP(Wapato_Inventory[[#This Row],[condition]],Lookups!$A$41:$C$48,3,FALSE),1)</f>
        <v>0.9832333997567807</v>
      </c>
      <c r="BW254" s="2">
        <f>IF(Wapato_Inventory[[#This Row],[decade]]="",1,_xlfn.IFNA(VLOOKUP(Wapato_Inventory[[#This Row],[decade]],Lookups!$F$28:$H$45,3,FALSE),1))</f>
        <v>0.93664589651353292</v>
      </c>
      <c r="BX254" s="2">
        <f>_xlfn.IFNA(VLOOKUP(Wapato_Inventory[[#This Row],[living_area_range]],Lookups!$K$28:$M$37,3,FALSE),1)</f>
        <v>0.99330894324714125</v>
      </c>
      <c r="BY254" s="2">
        <f>AVERAGE(Wapato_Inventory[[#This Row],[qual_adj]:[range_adj]])</f>
        <v>0.97328007590471566</v>
      </c>
      <c r="BZ254" s="7">
        <f>(Wapato_Inventory[[#This Row],[sum_land]]-IF(Wapato_Inventory[[#This Row],[no_utilities]]=1,12000,0))/IF(Wapato_Inventory[[#This Row],[unbuildable]]=1,2,1)</f>
        <v>54100</v>
      </c>
      <c r="CA254" s="7">
        <f>Wapato_Inventory[[#This Row],[pre_res]]*Wapato_Inventory[[#This Row],[overall_adj]]</f>
        <v>185201.71553348593</v>
      </c>
      <c r="CB254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254" s="3">
        <f>IF(ROUND(Wapato_Inventory[[#This Row],[adj_res]]*Lookups!$H$48,-2)&lt;Wapato_Inventory[[#This Row],[min_res]],Wapato_Inventory[[#This Row],[min_res]],ROUND(Wapato_Inventory[[#This Row],[adj_res]]*Lookups!$H$48,-2))</f>
        <v>175900</v>
      </c>
      <c r="CD254" s="3">
        <f>ROUND(Wapato_Inventory[[#This Row],[det_value]]*Lookups!$H$48,-2)</f>
        <v>0</v>
      </c>
      <c r="CE254" s="3">
        <f>Wapato_Inventory[[#This Row],[final_res]]+Wapato_Inventory[[#This Row],[final_det]]</f>
        <v>175900</v>
      </c>
      <c r="CF254" s="3">
        <f>Wapato_Inventory[[#This Row],[crop_value]]+Wapato_Inventory[[#This Row],[final_land]]+Wapato_Inventory[[#This Row],[final_imp]]</f>
        <v>227300</v>
      </c>
      <c r="CH254" t="str">
        <f t="shared" si="3"/>
        <v>update valuation set market_land =51400, market_bldg=175900, market_total =227300, market_mdno =405, market_date ='9/10/2023' where link_id = (select link_id from parcel where parcel_year = '2024' and parcel_id = '19111041554');</v>
      </c>
    </row>
    <row r="255" spans="1:86" x14ac:dyDescent="0.25">
      <c r="A255">
        <v>19111041555</v>
      </c>
      <c r="B255">
        <v>0.15</v>
      </c>
      <c r="C255">
        <v>6355</v>
      </c>
      <c r="D255" t="s">
        <v>144</v>
      </c>
      <c r="E255" t="s">
        <v>54</v>
      </c>
      <c r="F255" t="s">
        <v>54</v>
      </c>
      <c r="G255">
        <v>3</v>
      </c>
      <c r="H255" t="s">
        <v>55</v>
      </c>
      <c r="I255">
        <v>96600</v>
      </c>
      <c r="J255">
        <v>32300</v>
      </c>
      <c r="K255">
        <v>0.15</v>
      </c>
      <c r="L255">
        <f>IF(Wapato_Inventory[[#This Row],[parcel_acres]]-Wapato_Inventory[[#This Row],[non_valued_acres]] =0,0,LN(Wapato_Inventory[[#This Row],[parcel_acres]]-Wapato_Inventory[[#This Row],[non_valued_acres]]))</f>
        <v>-1.8971199848858813</v>
      </c>
      <c r="M255">
        <v>0</v>
      </c>
      <c r="N255">
        <v>0</v>
      </c>
      <c r="O255">
        <v>0</v>
      </c>
      <c r="P255">
        <v>27904.037</v>
      </c>
      <c r="Q255">
        <v>74398</v>
      </c>
      <c r="R255" s="3">
        <f>(Wapato_Inventory[[#This Row],[ln_acres]]*Wapato_Inventory[[#This Row],[coeff]])+Wapato_Inventory[[#This Row],[const]]</f>
        <v>21460.693748304926</v>
      </c>
      <c r="S255" t="s">
        <v>66</v>
      </c>
      <c r="T255">
        <v>1</v>
      </c>
      <c r="U255" t="s">
        <v>71</v>
      </c>
      <c r="V255" t="s">
        <v>68</v>
      </c>
      <c r="W255">
        <v>0</v>
      </c>
      <c r="X255">
        <v>0</v>
      </c>
      <c r="Y255">
        <v>57</v>
      </c>
      <c r="Z255">
        <v>103</v>
      </c>
      <c r="AA255">
        <v>110</v>
      </c>
      <c r="AB255">
        <v>1000</v>
      </c>
      <c r="AC255">
        <v>748</v>
      </c>
      <c r="AD255">
        <v>748</v>
      </c>
      <c r="AE255">
        <v>0</v>
      </c>
      <c r="AF255">
        <v>0</v>
      </c>
      <c r="AG255">
        <v>0</v>
      </c>
      <c r="AH255">
        <v>242</v>
      </c>
      <c r="AI255">
        <v>0</v>
      </c>
      <c r="AJ255">
        <v>0</v>
      </c>
      <c r="AK255">
        <v>0</v>
      </c>
      <c r="AL255">
        <v>0</v>
      </c>
      <c r="AM255">
        <v>264</v>
      </c>
      <c r="AN255">
        <v>132</v>
      </c>
      <c r="AO255">
        <v>264</v>
      </c>
      <c r="AP255">
        <v>5</v>
      </c>
      <c r="AQ255">
        <v>1</v>
      </c>
      <c r="AR255">
        <v>0</v>
      </c>
      <c r="AS255" t="s">
        <v>59</v>
      </c>
      <c r="AT255">
        <v>1</v>
      </c>
      <c r="AU255" t="s">
        <v>76</v>
      </c>
      <c r="AV255" t="s">
        <v>61</v>
      </c>
      <c r="AW255">
        <v>0</v>
      </c>
      <c r="AX255">
        <v>2</v>
      </c>
      <c r="AY255">
        <v>0</v>
      </c>
      <c r="AZ255">
        <v>4700</v>
      </c>
      <c r="BA255">
        <v>100</v>
      </c>
      <c r="BB255">
        <v>100</v>
      </c>
      <c r="BC255">
        <v>100</v>
      </c>
      <c r="BD255">
        <v>100</v>
      </c>
      <c r="BE255">
        <v>1</v>
      </c>
      <c r="BF255">
        <v>15000</v>
      </c>
      <c r="BG255">
        <v>1000</v>
      </c>
      <c r="BH255" s="7">
        <f>ROUND(Wapato_Inventory[[#This Row],[detatched_value]]*Lookups!$B$22*Lookups!$H$48,-2)</f>
        <v>4200</v>
      </c>
      <c r="BI255" s="7">
        <f>ROUND(((Wapato_Inventory[[#This Row],[land_extract]]*Lookups!$B$3) +(Lookups!$B$2*0.5))*Lookups!$H$48,-2)</f>
        <v>53100</v>
      </c>
      <c r="BJ255" s="7">
        <f>IF(Wapato_Inventory[[#This Row],[bldg_style]]="",0,Lookups!$B$2*0.5)</f>
        <v>53765.27</v>
      </c>
      <c r="BK255" s="7">
        <f>_xlfn.IFNA(VLOOKUP(Wapato_Inventory[[#This Row],[quality]],Lookups!$H$2:$J$14,3,FALSE),0)</f>
        <v>28034</v>
      </c>
      <c r="BL255" s="7">
        <f>_xlfn.IFNA(VLOOKUP(Wapato_Inventory[[#This Row],[condition]],Lookups!$H$17:$J$24,3,FALSE),0)</f>
        <v>52231</v>
      </c>
      <c r="BM255" s="7">
        <f>Wapato_Inventory[[#This Row],[Age]]*Lookups!$B$16</f>
        <v>-38179.597099999999</v>
      </c>
      <c r="BN255" s="7">
        <f>Wapato_Inventory[[#This Row],[Main Floor]]*Lookups!$B$17</f>
        <v>31266.952772000001</v>
      </c>
      <c r="BO255" s="7">
        <f>Wapato_Inventory[[#This Row],[Upper Floor]]*Lookups!$B$18</f>
        <v>0</v>
      </c>
      <c r="BP255" s="7">
        <f>Wapato_Inventory[[#This Row],[Fin BSMT]]*Lookups!$B$19</f>
        <v>0</v>
      </c>
      <c r="BQ255" s="7">
        <f>(Wapato_Inventory[[#This Row],[att_gar]]+Wapato_Inventory[[#This Row],[blt_gar]])*Lookups!$B$20</f>
        <v>0</v>
      </c>
      <c r="BR255" s="7">
        <f>Wapato_Inventory[[#This Row],[Patio]]*Lookups!$B$21</f>
        <v>11437.530456</v>
      </c>
      <c r="BS255" s="7">
        <f>SUM(Wapato_Inventory[[#This Row],[intercept]:[patio_value]])*Wapato_Inventory[[#This Row],[res_pct]]</f>
        <v>138555.156128</v>
      </c>
      <c r="BT255" s="7">
        <f>Wapato_Inventory[[#This Row],[land_value]]</f>
        <v>53100</v>
      </c>
      <c r="BU255" s="2">
        <f>_xlfn.IFNA(VLOOKUP(Wapato_Inventory[[#This Row],[quality]],Lookups!$A$28:$C$37,3,FALSE),1)</f>
        <v>0.96265813922927435</v>
      </c>
      <c r="BV255" s="2">
        <f>_xlfn.IFNA(VLOOKUP(Wapato_Inventory[[#This Row],[condition]],Lookups!$A$41:$C$48,3,FALSE),1)</f>
        <v>0.9832333997567807</v>
      </c>
      <c r="BW255" s="2">
        <f>IF(Wapato_Inventory[[#This Row],[decade]]="",1,_xlfn.IFNA(VLOOKUP(Wapato_Inventory[[#This Row],[decade]],Lookups!$F$28:$H$45,3,FALSE),1))</f>
        <v>0.93664589651353292</v>
      </c>
      <c r="BX255" s="2">
        <f>_xlfn.IFNA(VLOOKUP(Wapato_Inventory[[#This Row],[living_area_range]],Lookups!$K$28:$M$37,3,FALSE),1)</f>
        <v>0.99022994770196116</v>
      </c>
      <c r="BY255" s="2">
        <f>AVERAGE(Wapato_Inventory[[#This Row],[qual_adj]:[range_adj]])</f>
        <v>0.9681918458003872</v>
      </c>
      <c r="BZ255" s="7">
        <f>(Wapato_Inventory[[#This Row],[sum_land]]-IF(Wapato_Inventory[[#This Row],[no_utilities]]=1,12000,0))/IF(Wapato_Inventory[[#This Row],[unbuildable]]=1,2,1)</f>
        <v>53100</v>
      </c>
      <c r="CA255" s="7">
        <f>Wapato_Inventory[[#This Row],[pre_res]]*Wapato_Inventory[[#This Row],[overall_adj]]</f>
        <v>134147.97235672915</v>
      </c>
      <c r="CB25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55" s="3">
        <f>IF(ROUND(Wapato_Inventory[[#This Row],[adj_res]]*Lookups!$H$48,-2)&lt;Wapato_Inventory[[#This Row],[min_res]],Wapato_Inventory[[#This Row],[min_res]],ROUND(Wapato_Inventory[[#This Row],[adj_res]]*Lookups!$H$48,-2))</f>
        <v>127400</v>
      </c>
      <c r="CD255" s="3">
        <f>ROUND(Wapato_Inventory[[#This Row],[det_value]]*Lookups!$H$48,-2)</f>
        <v>4000</v>
      </c>
      <c r="CE255" s="3">
        <f>Wapato_Inventory[[#This Row],[final_res]]+Wapato_Inventory[[#This Row],[final_det]]</f>
        <v>131400</v>
      </c>
      <c r="CF255" s="3">
        <f>Wapato_Inventory[[#This Row],[crop_value]]+Wapato_Inventory[[#This Row],[final_land]]+Wapato_Inventory[[#This Row],[final_imp]]</f>
        <v>181800</v>
      </c>
      <c r="CH255" t="str">
        <f t="shared" si="3"/>
        <v>update valuation set market_land =50400, market_bldg=131400, market_total =181800, market_mdno =405, market_date ='9/10/2023' where link_id = (select link_id from parcel where parcel_year = '2024' and parcel_id = '19111041555');</v>
      </c>
    </row>
    <row r="256" spans="1:86" x14ac:dyDescent="0.25">
      <c r="A256">
        <v>19111041556</v>
      </c>
      <c r="B256">
        <v>0.15</v>
      </c>
      <c r="C256">
        <v>6343</v>
      </c>
      <c r="D256" t="s">
        <v>144</v>
      </c>
      <c r="E256" t="s">
        <v>54</v>
      </c>
      <c r="F256" t="s">
        <v>54</v>
      </c>
      <c r="G256">
        <v>3</v>
      </c>
      <c r="H256" t="s">
        <v>55</v>
      </c>
      <c r="I256">
        <v>102800</v>
      </c>
      <c r="J256">
        <v>32300</v>
      </c>
      <c r="K256">
        <v>0.15</v>
      </c>
      <c r="L256">
        <f>IF(Wapato_Inventory[[#This Row],[parcel_acres]]-Wapato_Inventory[[#This Row],[non_valued_acres]] =0,0,LN(Wapato_Inventory[[#This Row],[parcel_acres]]-Wapato_Inventory[[#This Row],[non_valued_acres]]))</f>
        <v>-1.8971199848858813</v>
      </c>
      <c r="M256">
        <v>0</v>
      </c>
      <c r="N256">
        <v>0</v>
      </c>
      <c r="O256">
        <v>0</v>
      </c>
      <c r="P256">
        <v>27904.037</v>
      </c>
      <c r="Q256">
        <v>74398</v>
      </c>
      <c r="R256" s="3">
        <f>(Wapato_Inventory[[#This Row],[ln_acres]]*Wapato_Inventory[[#This Row],[coeff]])+Wapato_Inventory[[#This Row],[const]]</f>
        <v>21460.693748304926</v>
      </c>
      <c r="S256" t="s">
        <v>66</v>
      </c>
      <c r="T256">
        <v>1</v>
      </c>
      <c r="U256" t="s">
        <v>71</v>
      </c>
      <c r="V256" t="s">
        <v>68</v>
      </c>
      <c r="W256">
        <v>0</v>
      </c>
      <c r="X256">
        <v>0</v>
      </c>
      <c r="Y256">
        <v>55</v>
      </c>
      <c r="Z256">
        <v>98</v>
      </c>
      <c r="AA256">
        <v>100</v>
      </c>
      <c r="AB256">
        <v>1000</v>
      </c>
      <c r="AC256">
        <v>667</v>
      </c>
      <c r="AD256">
        <v>667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5</v>
      </c>
      <c r="AQ256">
        <v>0</v>
      </c>
      <c r="AR256">
        <v>0</v>
      </c>
      <c r="AS256" t="s">
        <v>59</v>
      </c>
      <c r="AT256">
        <v>0</v>
      </c>
      <c r="AU256" t="s">
        <v>80</v>
      </c>
      <c r="AV256" t="s">
        <v>61</v>
      </c>
      <c r="AW256">
        <v>0</v>
      </c>
      <c r="AX256">
        <v>2</v>
      </c>
      <c r="AY256">
        <v>0</v>
      </c>
      <c r="AZ256">
        <v>5200</v>
      </c>
      <c r="BA256">
        <v>100</v>
      </c>
      <c r="BB256">
        <v>100</v>
      </c>
      <c r="BC256">
        <v>100</v>
      </c>
      <c r="BD256">
        <v>100</v>
      </c>
      <c r="BE256">
        <v>1</v>
      </c>
      <c r="BF256">
        <v>15000</v>
      </c>
      <c r="BG256">
        <v>1000</v>
      </c>
      <c r="BH256" s="7">
        <f>ROUND(Wapato_Inventory[[#This Row],[detatched_value]]*Lookups!$B$22*Lookups!$H$48,-2)</f>
        <v>4600</v>
      </c>
      <c r="BI256" s="7">
        <f>ROUND(((Wapato_Inventory[[#This Row],[land_extract]]*Lookups!$B$3) +(Lookups!$B$2*0.5))*Lookups!$H$48,-2)</f>
        <v>53100</v>
      </c>
      <c r="BJ256" s="7">
        <f>IF(Wapato_Inventory[[#This Row],[bldg_style]]="",0,Lookups!$B$2*0.5)</f>
        <v>53765.27</v>
      </c>
      <c r="BK256" s="7">
        <f>_xlfn.IFNA(VLOOKUP(Wapato_Inventory[[#This Row],[quality]],Lookups!$H$2:$J$14,3,FALSE),0)</f>
        <v>28034</v>
      </c>
      <c r="BL256" s="7">
        <f>_xlfn.IFNA(VLOOKUP(Wapato_Inventory[[#This Row],[condition]],Lookups!$H$17:$J$24,3,FALSE),0)</f>
        <v>52231</v>
      </c>
      <c r="BM256" s="7">
        <f>Wapato_Inventory[[#This Row],[Age]]*Lookups!$B$16</f>
        <v>-36326.2186</v>
      </c>
      <c r="BN256" s="7">
        <f>Wapato_Inventory[[#This Row],[Main Floor]]*Lookups!$B$17</f>
        <v>27881.092913</v>
      </c>
      <c r="BO256" s="7">
        <f>Wapato_Inventory[[#This Row],[Upper Floor]]*Lookups!$B$18</f>
        <v>0</v>
      </c>
      <c r="BP256" s="7">
        <f>Wapato_Inventory[[#This Row],[Fin BSMT]]*Lookups!$B$19</f>
        <v>0</v>
      </c>
      <c r="BQ256" s="7">
        <f>(Wapato_Inventory[[#This Row],[att_gar]]+Wapato_Inventory[[#This Row],[blt_gar]])*Lookups!$B$20</f>
        <v>0</v>
      </c>
      <c r="BR256" s="7">
        <f>Wapato_Inventory[[#This Row],[Patio]]*Lookups!$B$21</f>
        <v>0</v>
      </c>
      <c r="BS256" s="7">
        <f>SUM(Wapato_Inventory[[#This Row],[intercept]:[patio_value]])*Wapato_Inventory[[#This Row],[res_pct]]</f>
        <v>125585.144313</v>
      </c>
      <c r="BT256" s="7">
        <f>Wapato_Inventory[[#This Row],[land_value]]</f>
        <v>53100</v>
      </c>
      <c r="BU256" s="2">
        <f>_xlfn.IFNA(VLOOKUP(Wapato_Inventory[[#This Row],[quality]],Lookups!$A$28:$C$37,3,FALSE),1)</f>
        <v>0.96265813922927435</v>
      </c>
      <c r="BV256" s="2">
        <f>_xlfn.IFNA(VLOOKUP(Wapato_Inventory[[#This Row],[condition]],Lookups!$A$41:$C$48,3,FALSE),1)</f>
        <v>0.9832333997567807</v>
      </c>
      <c r="BW256" s="2">
        <f>IF(Wapato_Inventory[[#This Row],[decade]]="",1,_xlfn.IFNA(VLOOKUP(Wapato_Inventory[[#This Row],[decade]],Lookups!$F$28:$H$45,3,FALSE),1))</f>
        <v>1.0114203040664467</v>
      </c>
      <c r="BX256" s="2">
        <f>_xlfn.IFNA(VLOOKUP(Wapato_Inventory[[#This Row],[living_area_range]],Lookups!$K$28:$M$37,3,FALSE),1)</f>
        <v>0.99022994770196116</v>
      </c>
      <c r="BY256" s="2">
        <f>AVERAGE(Wapato_Inventory[[#This Row],[qual_adj]:[range_adj]])</f>
        <v>0.98688544768861564</v>
      </c>
      <c r="BZ256" s="7">
        <f>(Wapato_Inventory[[#This Row],[sum_land]]-IF(Wapato_Inventory[[#This Row],[no_utilities]]=1,12000,0))/IF(Wapato_Inventory[[#This Row],[unbuildable]]=1,2,1)</f>
        <v>53100</v>
      </c>
      <c r="CA256" s="7">
        <f>Wapato_Inventory[[#This Row],[pre_res]]*Wapato_Inventory[[#This Row],[overall_adj]]</f>
        <v>123938.1513683744</v>
      </c>
      <c r="CB25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56" s="3">
        <f>IF(ROUND(Wapato_Inventory[[#This Row],[adj_res]]*Lookups!$H$48,-2)&lt;Wapato_Inventory[[#This Row],[min_res]],Wapato_Inventory[[#This Row],[min_res]],ROUND(Wapato_Inventory[[#This Row],[adj_res]]*Lookups!$H$48,-2))</f>
        <v>117700</v>
      </c>
      <c r="CD256" s="3">
        <f>ROUND(Wapato_Inventory[[#This Row],[det_value]]*Lookups!$H$48,-2)</f>
        <v>4400</v>
      </c>
      <c r="CE256" s="3">
        <f>Wapato_Inventory[[#This Row],[final_res]]+Wapato_Inventory[[#This Row],[final_det]]</f>
        <v>122100</v>
      </c>
      <c r="CF256" s="3">
        <f>Wapato_Inventory[[#This Row],[crop_value]]+Wapato_Inventory[[#This Row],[final_land]]+Wapato_Inventory[[#This Row],[final_imp]]</f>
        <v>172500</v>
      </c>
      <c r="CH256" t="str">
        <f t="shared" si="3"/>
        <v>update valuation set market_land =50400, market_bldg=122100, market_total =172500, market_mdno =405, market_date ='9/10/2023' where link_id = (select link_id from parcel where parcel_year = '2024' and parcel_id = '19111041556');</v>
      </c>
    </row>
    <row r="257" spans="1:86" x14ac:dyDescent="0.25">
      <c r="A257">
        <v>19111041558</v>
      </c>
      <c r="B257">
        <v>0.15</v>
      </c>
      <c r="C257">
        <v>6319</v>
      </c>
      <c r="D257" t="s">
        <v>144</v>
      </c>
      <c r="E257" t="s">
        <v>54</v>
      </c>
      <c r="F257" t="s">
        <v>54</v>
      </c>
      <c r="G257">
        <v>3</v>
      </c>
      <c r="H257" t="s">
        <v>55</v>
      </c>
      <c r="I257">
        <v>74200</v>
      </c>
      <c r="J257">
        <v>32300</v>
      </c>
      <c r="K257">
        <v>0.15</v>
      </c>
      <c r="L257">
        <f>IF(Wapato_Inventory[[#This Row],[parcel_acres]]-Wapato_Inventory[[#This Row],[non_valued_acres]] =0,0,LN(Wapato_Inventory[[#This Row],[parcel_acres]]-Wapato_Inventory[[#This Row],[non_valued_acres]]))</f>
        <v>-1.8971199848858813</v>
      </c>
      <c r="M257">
        <v>0</v>
      </c>
      <c r="N257">
        <v>0</v>
      </c>
      <c r="O257">
        <v>0</v>
      </c>
      <c r="P257">
        <v>27904.037</v>
      </c>
      <c r="Q257">
        <v>74398</v>
      </c>
      <c r="R257" s="3">
        <f>(Wapato_Inventory[[#This Row],[ln_acres]]*Wapato_Inventory[[#This Row],[coeff]])+Wapato_Inventory[[#This Row],[const]]</f>
        <v>21460.693748304926</v>
      </c>
      <c r="S257" t="s">
        <v>66</v>
      </c>
      <c r="T257">
        <v>1</v>
      </c>
      <c r="U257" t="s">
        <v>71</v>
      </c>
      <c r="V257" t="s">
        <v>73</v>
      </c>
      <c r="W257">
        <v>0</v>
      </c>
      <c r="X257">
        <v>0</v>
      </c>
      <c r="Y257">
        <v>55</v>
      </c>
      <c r="Z257">
        <v>98</v>
      </c>
      <c r="AA257">
        <v>100</v>
      </c>
      <c r="AB257">
        <v>1000</v>
      </c>
      <c r="AC257">
        <v>723</v>
      </c>
      <c r="AD257">
        <v>723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96</v>
      </c>
      <c r="AM257">
        <v>0</v>
      </c>
      <c r="AN257">
        <v>0</v>
      </c>
      <c r="AO257">
        <v>0</v>
      </c>
      <c r="AP257">
        <v>5</v>
      </c>
      <c r="AQ257">
        <v>0</v>
      </c>
      <c r="AR257">
        <v>0</v>
      </c>
      <c r="AS257" t="s">
        <v>59</v>
      </c>
      <c r="AT257">
        <v>0</v>
      </c>
      <c r="AU257" t="s">
        <v>80</v>
      </c>
      <c r="AV257" t="s">
        <v>61</v>
      </c>
      <c r="AW257">
        <v>0</v>
      </c>
      <c r="AX257">
        <v>2</v>
      </c>
      <c r="AY257">
        <v>0</v>
      </c>
      <c r="AZ257">
        <v>3700</v>
      </c>
      <c r="BA257">
        <v>100</v>
      </c>
      <c r="BB257">
        <v>100</v>
      </c>
      <c r="BC257">
        <v>100</v>
      </c>
      <c r="BD257">
        <v>100</v>
      </c>
      <c r="BE257">
        <v>1</v>
      </c>
      <c r="BF257">
        <v>15000</v>
      </c>
      <c r="BG257">
        <v>1000</v>
      </c>
      <c r="BH257" s="7">
        <f>ROUND(Wapato_Inventory[[#This Row],[detatched_value]]*Lookups!$B$22*Lookups!$H$48,-2)</f>
        <v>3300</v>
      </c>
      <c r="BI257" s="7">
        <f>ROUND(((Wapato_Inventory[[#This Row],[land_extract]]*Lookups!$B$3) +(Lookups!$B$2*0.5))*Lookups!$H$48,-2)</f>
        <v>53100</v>
      </c>
      <c r="BJ257" s="7">
        <f>IF(Wapato_Inventory[[#This Row],[bldg_style]]="",0,Lookups!$B$2*0.5)</f>
        <v>53765.27</v>
      </c>
      <c r="BK257" s="7">
        <f>_xlfn.IFNA(VLOOKUP(Wapato_Inventory[[#This Row],[quality]],Lookups!$H$2:$J$14,3,FALSE),0)</f>
        <v>28034</v>
      </c>
      <c r="BL257" s="7">
        <f>_xlfn.IFNA(VLOOKUP(Wapato_Inventory[[#This Row],[condition]],Lookups!$H$17:$J$24,3,FALSE),0)</f>
        <v>16276</v>
      </c>
      <c r="BM257" s="7">
        <f>Wapato_Inventory[[#This Row],[Age]]*Lookups!$B$16</f>
        <v>-36326.2186</v>
      </c>
      <c r="BN257" s="7">
        <f>Wapato_Inventory[[#This Row],[Main Floor]]*Lookups!$B$17</f>
        <v>30221.934297</v>
      </c>
      <c r="BO257" s="7">
        <f>Wapato_Inventory[[#This Row],[Upper Floor]]*Lookups!$B$18</f>
        <v>0</v>
      </c>
      <c r="BP257" s="7">
        <f>Wapato_Inventory[[#This Row],[Fin BSMT]]*Lookups!$B$19</f>
        <v>0</v>
      </c>
      <c r="BQ257" s="7">
        <f>(Wapato_Inventory[[#This Row],[att_gar]]+Wapato_Inventory[[#This Row],[blt_gar]])*Lookups!$B$20</f>
        <v>0</v>
      </c>
      <c r="BR257" s="7">
        <f>Wapato_Inventory[[#This Row],[Patio]]*Lookups!$B$21</f>
        <v>0</v>
      </c>
      <c r="BS257" s="7">
        <f>SUM(Wapato_Inventory[[#This Row],[intercept]:[patio_value]])*Wapato_Inventory[[#This Row],[res_pct]]</f>
        <v>91970.985696999996</v>
      </c>
      <c r="BT257" s="7">
        <f>Wapato_Inventory[[#This Row],[land_value]]</f>
        <v>53100</v>
      </c>
      <c r="BU257" s="2">
        <f>_xlfn.IFNA(VLOOKUP(Wapato_Inventory[[#This Row],[quality]],Lookups!$A$28:$C$37,3,FALSE),1)</f>
        <v>0.96265813922927435</v>
      </c>
      <c r="BV257" s="2">
        <f>_xlfn.IFNA(VLOOKUP(Wapato_Inventory[[#This Row],[condition]],Lookups!$A$41:$C$48,3,FALSE),1)</f>
        <v>0.93399385491337139</v>
      </c>
      <c r="BW257" s="2">
        <f>IF(Wapato_Inventory[[#This Row],[decade]]="",1,_xlfn.IFNA(VLOOKUP(Wapato_Inventory[[#This Row],[decade]],Lookups!$F$28:$H$45,3,FALSE),1))</f>
        <v>1.0114203040664467</v>
      </c>
      <c r="BX257" s="2">
        <f>_xlfn.IFNA(VLOOKUP(Wapato_Inventory[[#This Row],[living_area_range]],Lookups!$K$28:$M$37,3,FALSE),1)</f>
        <v>0.99022994770196116</v>
      </c>
      <c r="BY257" s="2">
        <f>AVERAGE(Wapato_Inventory[[#This Row],[qual_adj]:[range_adj]])</f>
        <v>0.97457556147776347</v>
      </c>
      <c r="BZ257" s="7">
        <f>(Wapato_Inventory[[#This Row],[sum_land]]-IF(Wapato_Inventory[[#This Row],[no_utilities]]=1,12000,0))/IF(Wapato_Inventory[[#This Row],[unbuildable]]=1,2,1)</f>
        <v>53100</v>
      </c>
      <c r="CA257" s="7">
        <f>Wapato_Inventory[[#This Row],[pre_res]]*Wapato_Inventory[[#This Row],[overall_adj]]</f>
        <v>89632.675025317119</v>
      </c>
      <c r="CB25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57" s="3">
        <f>IF(ROUND(Wapato_Inventory[[#This Row],[adj_res]]*Lookups!$H$48,-2)&lt;Wapato_Inventory[[#This Row],[min_res]],Wapato_Inventory[[#This Row],[min_res]],ROUND(Wapato_Inventory[[#This Row],[adj_res]]*Lookups!$H$48,-2))</f>
        <v>85200</v>
      </c>
      <c r="CD257" s="3">
        <f>ROUND(Wapato_Inventory[[#This Row],[det_value]]*Lookups!$H$48,-2)</f>
        <v>3100</v>
      </c>
      <c r="CE257" s="3">
        <f>Wapato_Inventory[[#This Row],[final_res]]+Wapato_Inventory[[#This Row],[final_det]]</f>
        <v>88300</v>
      </c>
      <c r="CF257" s="3">
        <f>Wapato_Inventory[[#This Row],[crop_value]]+Wapato_Inventory[[#This Row],[final_land]]+Wapato_Inventory[[#This Row],[final_imp]]</f>
        <v>138700</v>
      </c>
      <c r="CH257" t="str">
        <f t="shared" si="3"/>
        <v>update valuation set market_land =50400, market_bldg=88300, market_total =138700, market_mdno =405, market_date ='9/10/2023' where link_id = (select link_id from parcel where parcel_year = '2024' and parcel_id = '19111041558');</v>
      </c>
    </row>
    <row r="258" spans="1:86" x14ac:dyDescent="0.25">
      <c r="A258">
        <v>19111041559</v>
      </c>
      <c r="B258">
        <v>0.14000000000000001</v>
      </c>
      <c r="C258">
        <v>6307</v>
      </c>
      <c r="D258" t="s">
        <v>144</v>
      </c>
      <c r="E258" t="s">
        <v>54</v>
      </c>
      <c r="F258" t="s">
        <v>54</v>
      </c>
      <c r="G258">
        <v>3</v>
      </c>
      <c r="H258" t="s">
        <v>55</v>
      </c>
      <c r="I258">
        <v>111000</v>
      </c>
      <c r="J258">
        <v>31900</v>
      </c>
      <c r="K258">
        <v>0.14000000000000001</v>
      </c>
      <c r="L258">
        <f>IF(Wapato_Inventory[[#This Row],[parcel_acres]]-Wapato_Inventory[[#This Row],[non_valued_acres]] =0,0,LN(Wapato_Inventory[[#This Row],[parcel_acres]]-Wapato_Inventory[[#This Row],[non_valued_acres]]))</f>
        <v>-1.9661128563728327</v>
      </c>
      <c r="M258">
        <v>0</v>
      </c>
      <c r="N258">
        <v>0</v>
      </c>
      <c r="O258">
        <v>0</v>
      </c>
      <c r="P258">
        <v>27904.037</v>
      </c>
      <c r="Q258">
        <v>74398</v>
      </c>
      <c r="R258" s="3">
        <f>(Wapato_Inventory[[#This Row],[ln_acres]]*Wapato_Inventory[[#This Row],[coeff]])+Wapato_Inventory[[#This Row],[const]]</f>
        <v>19535.514109596792</v>
      </c>
      <c r="S258" t="s">
        <v>66</v>
      </c>
      <c r="T258">
        <v>1</v>
      </c>
      <c r="U258" t="s">
        <v>78</v>
      </c>
      <c r="V258" t="s">
        <v>68</v>
      </c>
      <c r="W258">
        <v>0</v>
      </c>
      <c r="X258">
        <v>0</v>
      </c>
      <c r="Y258">
        <v>57</v>
      </c>
      <c r="Z258">
        <v>103</v>
      </c>
      <c r="AA258">
        <v>110</v>
      </c>
      <c r="AB258">
        <v>1000</v>
      </c>
      <c r="AC258">
        <v>864</v>
      </c>
      <c r="AD258">
        <v>864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240</v>
      </c>
      <c r="AL258">
        <v>280</v>
      </c>
      <c r="AM258">
        <v>0</v>
      </c>
      <c r="AN258">
        <v>48</v>
      </c>
      <c r="AO258">
        <v>0</v>
      </c>
      <c r="AP258">
        <v>5</v>
      </c>
      <c r="AQ258">
        <v>0</v>
      </c>
      <c r="AR258">
        <v>0</v>
      </c>
      <c r="AS258" t="s">
        <v>59</v>
      </c>
      <c r="AT258">
        <v>0</v>
      </c>
      <c r="AU258" t="s">
        <v>80</v>
      </c>
      <c r="AV258" t="s">
        <v>77</v>
      </c>
      <c r="AW258">
        <v>0</v>
      </c>
      <c r="AX258">
        <v>2</v>
      </c>
      <c r="AY258">
        <v>0</v>
      </c>
      <c r="AZ258">
        <v>0</v>
      </c>
      <c r="BA258">
        <v>100</v>
      </c>
      <c r="BB258">
        <v>100</v>
      </c>
      <c r="BC258">
        <v>100</v>
      </c>
      <c r="BD258">
        <v>100</v>
      </c>
      <c r="BE258">
        <v>1</v>
      </c>
      <c r="BF258">
        <v>15000</v>
      </c>
      <c r="BG258">
        <v>1000</v>
      </c>
      <c r="BH258" s="7">
        <f>ROUND(Wapato_Inventory[[#This Row],[detatched_value]]*Lookups!$B$22*Lookups!$H$48,-2)</f>
        <v>0</v>
      </c>
      <c r="BI258" s="7">
        <f>ROUND(((Wapato_Inventory[[#This Row],[land_extract]]*Lookups!$B$3) +(Lookups!$B$2*0.5))*Lookups!$H$48,-2)</f>
        <v>53000</v>
      </c>
      <c r="BJ258" s="7">
        <f>IF(Wapato_Inventory[[#This Row],[bldg_style]]="",0,Lookups!$B$2*0.5)</f>
        <v>53765.27</v>
      </c>
      <c r="BK258" s="7">
        <f>_xlfn.IFNA(VLOOKUP(Wapato_Inventory[[#This Row],[quality]],Lookups!$H$2:$J$14,3,FALSE),0)</f>
        <v>23424</v>
      </c>
      <c r="BL258" s="7">
        <f>_xlfn.IFNA(VLOOKUP(Wapato_Inventory[[#This Row],[condition]],Lookups!$H$17:$J$24,3,FALSE),0)</f>
        <v>52231</v>
      </c>
      <c r="BM258" s="7">
        <f>Wapato_Inventory[[#This Row],[Age]]*Lookups!$B$16</f>
        <v>-38179.597099999999</v>
      </c>
      <c r="BN258" s="7">
        <f>Wapato_Inventory[[#This Row],[Main Floor]]*Lookups!$B$17</f>
        <v>36115.838495999997</v>
      </c>
      <c r="BO258" s="7">
        <f>Wapato_Inventory[[#This Row],[Upper Floor]]*Lookups!$B$18</f>
        <v>0</v>
      </c>
      <c r="BP258" s="7">
        <f>Wapato_Inventory[[#This Row],[Fin BSMT]]*Lookups!$B$19</f>
        <v>0</v>
      </c>
      <c r="BQ258" s="7">
        <f>(Wapato_Inventory[[#This Row],[att_gar]]+Wapato_Inventory[[#This Row],[blt_gar]])*Lookups!$B$20</f>
        <v>0</v>
      </c>
      <c r="BR258" s="7">
        <f>Wapato_Inventory[[#This Row],[Patio]]*Lookups!$B$21</f>
        <v>0</v>
      </c>
      <c r="BS258" s="7">
        <f>SUM(Wapato_Inventory[[#This Row],[intercept]:[patio_value]])*Wapato_Inventory[[#This Row],[res_pct]]</f>
        <v>127356.51139599999</v>
      </c>
      <c r="BT258" s="7">
        <f>Wapato_Inventory[[#This Row],[land_value]]</f>
        <v>53000</v>
      </c>
      <c r="BU258" s="2">
        <f>_xlfn.IFNA(VLOOKUP(Wapato_Inventory[[#This Row],[quality]],Lookups!$A$28:$C$37,3,FALSE),1)</f>
        <v>1.0091195562373767</v>
      </c>
      <c r="BV258" s="2">
        <f>_xlfn.IFNA(VLOOKUP(Wapato_Inventory[[#This Row],[condition]],Lookups!$A$41:$C$48,3,FALSE),1)</f>
        <v>0.9832333997567807</v>
      </c>
      <c r="BW258" s="2">
        <f>IF(Wapato_Inventory[[#This Row],[decade]]="",1,_xlfn.IFNA(VLOOKUP(Wapato_Inventory[[#This Row],[decade]],Lookups!$F$28:$H$45,3,FALSE),1))</f>
        <v>0.93664589651353292</v>
      </c>
      <c r="BX258" s="2">
        <f>_xlfn.IFNA(VLOOKUP(Wapato_Inventory[[#This Row],[living_area_range]],Lookups!$K$28:$M$37,3,FALSE),1)</f>
        <v>0.99022994770196116</v>
      </c>
      <c r="BY258" s="2">
        <f>AVERAGE(Wapato_Inventory[[#This Row],[qual_adj]:[range_adj]])</f>
        <v>0.97980720005241284</v>
      </c>
      <c r="BZ258" s="7">
        <f>(Wapato_Inventory[[#This Row],[sum_land]]-IF(Wapato_Inventory[[#This Row],[no_utilities]]=1,12000,0))/IF(Wapato_Inventory[[#This Row],[unbuildable]]=1,2,1)</f>
        <v>53000</v>
      </c>
      <c r="CA258" s="7">
        <f>Wapato_Inventory[[#This Row],[pre_res]]*Wapato_Inventory[[#This Row],[overall_adj]]</f>
        <v>124784.82683935795</v>
      </c>
      <c r="CB25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58" s="3">
        <f>IF(ROUND(Wapato_Inventory[[#This Row],[adj_res]]*Lookups!$H$48,-2)&lt;Wapato_Inventory[[#This Row],[min_res]],Wapato_Inventory[[#This Row],[min_res]],ROUND(Wapato_Inventory[[#This Row],[adj_res]]*Lookups!$H$48,-2))</f>
        <v>118500</v>
      </c>
      <c r="CD258" s="3">
        <f>ROUND(Wapato_Inventory[[#This Row],[det_value]]*Lookups!$H$48,-2)</f>
        <v>0</v>
      </c>
      <c r="CE258" s="3">
        <f>Wapato_Inventory[[#This Row],[final_res]]+Wapato_Inventory[[#This Row],[final_det]]</f>
        <v>118500</v>
      </c>
      <c r="CF258" s="3">
        <f>Wapato_Inventory[[#This Row],[crop_value]]+Wapato_Inventory[[#This Row],[final_land]]+Wapato_Inventory[[#This Row],[final_imp]]</f>
        <v>168900</v>
      </c>
      <c r="CH258" t="str">
        <f t="shared" ref="CH258:CH321" si="4">"update valuation set market_land ="&amp;CB258&amp;", market_bldg="&amp;CE258&amp;", market_total ="&amp;CF258&amp;", market_mdno ="&amp;$CH$1&amp;", market_date ='"&amp;TEXT($CI$1,"m/d/yyyy")&amp;"' where link_id = (select link_id from parcel where parcel_year = '2024' and parcel_id = '"&amp;A258&amp;"');"</f>
        <v>update valuation set market_land =50400, market_bldg=118500, market_total =168900, market_mdno =405, market_date ='9/10/2023' where link_id = (select link_id from parcel where parcel_year = '2024' and parcel_id = '19111041559');</v>
      </c>
    </row>
    <row r="259" spans="1:86" x14ac:dyDescent="0.25">
      <c r="A259">
        <v>19111041560</v>
      </c>
      <c r="B259">
        <v>0.14000000000000001</v>
      </c>
      <c r="C259">
        <v>6295</v>
      </c>
      <c r="D259" t="s">
        <v>144</v>
      </c>
      <c r="E259" t="s">
        <v>54</v>
      </c>
      <c r="F259" t="s">
        <v>54</v>
      </c>
      <c r="G259">
        <v>3</v>
      </c>
      <c r="H259" t="s">
        <v>55</v>
      </c>
      <c r="I259">
        <v>117500</v>
      </c>
      <c r="J259">
        <v>31900</v>
      </c>
      <c r="K259">
        <v>0.14000000000000001</v>
      </c>
      <c r="L259">
        <f>IF(Wapato_Inventory[[#This Row],[parcel_acres]]-Wapato_Inventory[[#This Row],[non_valued_acres]] =0,0,LN(Wapato_Inventory[[#This Row],[parcel_acres]]-Wapato_Inventory[[#This Row],[non_valued_acres]]))</f>
        <v>-1.9661128563728327</v>
      </c>
      <c r="M259">
        <v>0</v>
      </c>
      <c r="N259">
        <v>0</v>
      </c>
      <c r="O259">
        <v>0</v>
      </c>
      <c r="P259">
        <v>27904.037</v>
      </c>
      <c r="Q259">
        <v>74398</v>
      </c>
      <c r="R259" s="3">
        <f>(Wapato_Inventory[[#This Row],[ln_acres]]*Wapato_Inventory[[#This Row],[coeff]])+Wapato_Inventory[[#This Row],[const]]</f>
        <v>19535.514109596792</v>
      </c>
      <c r="S259" t="s">
        <v>66</v>
      </c>
      <c r="T259">
        <v>1</v>
      </c>
      <c r="U259" t="s">
        <v>71</v>
      </c>
      <c r="V259" t="s">
        <v>68</v>
      </c>
      <c r="W259">
        <v>0</v>
      </c>
      <c r="X259">
        <v>0</v>
      </c>
      <c r="Y259">
        <v>57</v>
      </c>
      <c r="Z259">
        <v>103</v>
      </c>
      <c r="AA259">
        <v>110</v>
      </c>
      <c r="AB259">
        <v>1500</v>
      </c>
      <c r="AC259">
        <v>1152</v>
      </c>
      <c r="AD259">
        <v>1152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5</v>
      </c>
      <c r="AQ259">
        <v>1</v>
      </c>
      <c r="AR259">
        <v>0</v>
      </c>
      <c r="AS259" t="s">
        <v>59</v>
      </c>
      <c r="AT259">
        <v>0</v>
      </c>
      <c r="AU259" t="s">
        <v>80</v>
      </c>
      <c r="AV259" t="s">
        <v>77</v>
      </c>
      <c r="AW259">
        <v>0</v>
      </c>
      <c r="AX259">
        <v>2</v>
      </c>
      <c r="AY259">
        <v>0</v>
      </c>
      <c r="AZ259">
        <v>0</v>
      </c>
      <c r="BA259">
        <v>100</v>
      </c>
      <c r="BB259">
        <v>100</v>
      </c>
      <c r="BC259">
        <v>100</v>
      </c>
      <c r="BD259">
        <v>100</v>
      </c>
      <c r="BE259">
        <v>1</v>
      </c>
      <c r="BF259">
        <v>15000</v>
      </c>
      <c r="BG259">
        <v>1000</v>
      </c>
      <c r="BH259" s="7">
        <f>ROUND(Wapato_Inventory[[#This Row],[detatched_value]]*Lookups!$B$22*Lookups!$H$48,-2)</f>
        <v>0</v>
      </c>
      <c r="BI259" s="7">
        <f>ROUND(((Wapato_Inventory[[#This Row],[land_extract]]*Lookups!$B$3) +(Lookups!$B$2*0.5))*Lookups!$H$48,-2)</f>
        <v>53000</v>
      </c>
      <c r="BJ259" s="7">
        <f>IF(Wapato_Inventory[[#This Row],[bldg_style]]="",0,Lookups!$B$2*0.5)</f>
        <v>53765.27</v>
      </c>
      <c r="BK259" s="7">
        <f>_xlfn.IFNA(VLOOKUP(Wapato_Inventory[[#This Row],[quality]],Lookups!$H$2:$J$14,3,FALSE),0)</f>
        <v>28034</v>
      </c>
      <c r="BL259" s="7">
        <f>_xlfn.IFNA(VLOOKUP(Wapato_Inventory[[#This Row],[condition]],Lookups!$H$17:$J$24,3,FALSE),0)</f>
        <v>52231</v>
      </c>
      <c r="BM259" s="7">
        <f>Wapato_Inventory[[#This Row],[Age]]*Lookups!$B$16</f>
        <v>-38179.597099999999</v>
      </c>
      <c r="BN259" s="7">
        <f>Wapato_Inventory[[#This Row],[Main Floor]]*Lookups!$B$17</f>
        <v>48154.451328000003</v>
      </c>
      <c r="BO259" s="7">
        <f>Wapato_Inventory[[#This Row],[Upper Floor]]*Lookups!$B$18</f>
        <v>0</v>
      </c>
      <c r="BP259" s="7">
        <f>Wapato_Inventory[[#This Row],[Fin BSMT]]*Lookups!$B$19</f>
        <v>0</v>
      </c>
      <c r="BQ259" s="7">
        <f>(Wapato_Inventory[[#This Row],[att_gar]]+Wapato_Inventory[[#This Row],[blt_gar]])*Lookups!$B$20</f>
        <v>0</v>
      </c>
      <c r="BR259" s="7">
        <f>Wapato_Inventory[[#This Row],[Patio]]*Lookups!$B$21</f>
        <v>0</v>
      </c>
      <c r="BS259" s="7">
        <f>SUM(Wapato_Inventory[[#This Row],[intercept]:[patio_value]])*Wapato_Inventory[[#This Row],[res_pct]]</f>
        <v>144005.124228</v>
      </c>
      <c r="BT259" s="7">
        <f>Wapato_Inventory[[#This Row],[land_value]]</f>
        <v>53000</v>
      </c>
      <c r="BU259" s="2">
        <f>_xlfn.IFNA(VLOOKUP(Wapato_Inventory[[#This Row],[quality]],Lookups!$A$28:$C$37,3,FALSE),1)</f>
        <v>0.96265813922927435</v>
      </c>
      <c r="BV259" s="2">
        <f>_xlfn.IFNA(VLOOKUP(Wapato_Inventory[[#This Row],[condition]],Lookups!$A$41:$C$48,3,FALSE),1)</f>
        <v>0.9832333997567807</v>
      </c>
      <c r="BW259" s="2">
        <f>IF(Wapato_Inventory[[#This Row],[decade]]="",1,_xlfn.IFNA(VLOOKUP(Wapato_Inventory[[#This Row],[decade]],Lookups!$F$28:$H$45,3,FALSE),1))</f>
        <v>0.93664589651353292</v>
      </c>
      <c r="BX259" s="2">
        <f>_xlfn.IFNA(VLOOKUP(Wapato_Inventory[[#This Row],[living_area_range]],Lookups!$K$28:$M$37,3,FALSE),1)</f>
        <v>1.0061411172456287</v>
      </c>
      <c r="BY259" s="2">
        <f>AVERAGE(Wapato_Inventory[[#This Row],[qual_adj]:[range_adj]])</f>
        <v>0.97216963818630409</v>
      </c>
      <c r="BZ259" s="7">
        <f>(Wapato_Inventory[[#This Row],[sum_land]]-IF(Wapato_Inventory[[#This Row],[no_utilities]]=1,12000,0))/IF(Wapato_Inventory[[#This Row],[unbuildable]]=1,2,1)</f>
        <v>53000</v>
      </c>
      <c r="CA259" s="7">
        <f>Wapato_Inventory[[#This Row],[pre_res]]*Wapato_Inventory[[#This Row],[overall_adj]]</f>
        <v>139997.40951770853</v>
      </c>
      <c r="CB25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59" s="3">
        <f>IF(ROUND(Wapato_Inventory[[#This Row],[adj_res]]*Lookups!$H$48,-2)&lt;Wapato_Inventory[[#This Row],[min_res]],Wapato_Inventory[[#This Row],[min_res]],ROUND(Wapato_Inventory[[#This Row],[adj_res]]*Lookups!$H$48,-2))</f>
        <v>133000</v>
      </c>
      <c r="CD259" s="3">
        <f>ROUND(Wapato_Inventory[[#This Row],[det_value]]*Lookups!$H$48,-2)</f>
        <v>0</v>
      </c>
      <c r="CE259" s="3">
        <f>Wapato_Inventory[[#This Row],[final_res]]+Wapato_Inventory[[#This Row],[final_det]]</f>
        <v>133000</v>
      </c>
      <c r="CF259" s="3">
        <f>Wapato_Inventory[[#This Row],[crop_value]]+Wapato_Inventory[[#This Row],[final_land]]+Wapato_Inventory[[#This Row],[final_imp]]</f>
        <v>183400</v>
      </c>
      <c r="CH259" t="str">
        <f t="shared" si="4"/>
        <v>update valuation set market_land =50400, market_bldg=133000, market_total =183400, market_mdno =405, market_date ='9/10/2023' where link_id = (select link_id from parcel where parcel_year = '2024' and parcel_id = '19111041560');</v>
      </c>
    </row>
    <row r="260" spans="1:86" x14ac:dyDescent="0.25">
      <c r="A260">
        <v>19111041561</v>
      </c>
      <c r="B260">
        <v>0.14000000000000001</v>
      </c>
      <c r="C260">
        <v>6283</v>
      </c>
      <c r="D260" t="s">
        <v>144</v>
      </c>
      <c r="E260" t="s">
        <v>54</v>
      </c>
      <c r="F260" t="s">
        <v>54</v>
      </c>
      <c r="G260">
        <v>3</v>
      </c>
      <c r="H260" t="s">
        <v>55</v>
      </c>
      <c r="I260">
        <v>114000</v>
      </c>
      <c r="J260">
        <v>31900</v>
      </c>
      <c r="K260">
        <v>0.14000000000000001</v>
      </c>
      <c r="L260">
        <f>IF(Wapato_Inventory[[#This Row],[parcel_acres]]-Wapato_Inventory[[#This Row],[non_valued_acres]] =0,0,LN(Wapato_Inventory[[#This Row],[parcel_acres]]-Wapato_Inventory[[#This Row],[non_valued_acres]]))</f>
        <v>-1.9661128563728327</v>
      </c>
      <c r="M260">
        <v>0</v>
      </c>
      <c r="N260">
        <v>0</v>
      </c>
      <c r="O260">
        <v>0</v>
      </c>
      <c r="P260">
        <v>27904.037</v>
      </c>
      <c r="Q260">
        <v>74398</v>
      </c>
      <c r="R260" s="3">
        <f>(Wapato_Inventory[[#This Row],[ln_acres]]*Wapato_Inventory[[#This Row],[coeff]])+Wapato_Inventory[[#This Row],[const]]</f>
        <v>19535.514109596792</v>
      </c>
      <c r="S260" t="s">
        <v>66</v>
      </c>
      <c r="T260">
        <v>1</v>
      </c>
      <c r="U260" t="s">
        <v>71</v>
      </c>
      <c r="V260" t="s">
        <v>68</v>
      </c>
      <c r="W260">
        <v>0</v>
      </c>
      <c r="X260">
        <v>0</v>
      </c>
      <c r="Y260">
        <v>57</v>
      </c>
      <c r="Z260">
        <v>103</v>
      </c>
      <c r="AA260">
        <v>110</v>
      </c>
      <c r="AB260">
        <v>1000</v>
      </c>
      <c r="AC260">
        <v>980</v>
      </c>
      <c r="AD260">
        <v>980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228</v>
      </c>
      <c r="AN260">
        <v>0</v>
      </c>
      <c r="AO260">
        <v>228</v>
      </c>
      <c r="AP260">
        <v>5</v>
      </c>
      <c r="AQ260">
        <v>0</v>
      </c>
      <c r="AR260">
        <v>0</v>
      </c>
      <c r="AS260" t="s">
        <v>59</v>
      </c>
      <c r="AT260">
        <v>1</v>
      </c>
      <c r="AU260" t="s">
        <v>64</v>
      </c>
      <c r="AV260" t="s">
        <v>61</v>
      </c>
      <c r="AW260">
        <v>0</v>
      </c>
      <c r="AX260">
        <v>1</v>
      </c>
      <c r="AY260">
        <v>0</v>
      </c>
      <c r="AZ260">
        <v>0</v>
      </c>
      <c r="BA260">
        <v>100</v>
      </c>
      <c r="BB260">
        <v>100</v>
      </c>
      <c r="BC260">
        <v>100</v>
      </c>
      <c r="BD260">
        <v>100</v>
      </c>
      <c r="BE260">
        <v>1</v>
      </c>
      <c r="BF260">
        <v>15000</v>
      </c>
      <c r="BG260">
        <v>1000</v>
      </c>
      <c r="BH260" s="7">
        <f>ROUND(Wapato_Inventory[[#This Row],[detatched_value]]*Lookups!$B$22*Lookups!$H$48,-2)</f>
        <v>0</v>
      </c>
      <c r="BI260" s="7">
        <f>ROUND(((Wapato_Inventory[[#This Row],[land_extract]]*Lookups!$B$3) +(Lookups!$B$2*0.5))*Lookups!$H$48,-2)</f>
        <v>53000</v>
      </c>
      <c r="BJ260" s="7">
        <f>IF(Wapato_Inventory[[#This Row],[bldg_style]]="",0,Lookups!$B$2*0.5)</f>
        <v>53765.27</v>
      </c>
      <c r="BK260" s="7">
        <f>_xlfn.IFNA(VLOOKUP(Wapato_Inventory[[#This Row],[quality]],Lookups!$H$2:$J$14,3,FALSE),0)</f>
        <v>28034</v>
      </c>
      <c r="BL260" s="7">
        <f>_xlfn.IFNA(VLOOKUP(Wapato_Inventory[[#This Row],[condition]],Lookups!$H$17:$J$24,3,FALSE),0)</f>
        <v>52231</v>
      </c>
      <c r="BM260" s="7">
        <f>Wapato_Inventory[[#This Row],[Age]]*Lookups!$B$16</f>
        <v>-38179.597099999999</v>
      </c>
      <c r="BN260" s="7">
        <f>Wapato_Inventory[[#This Row],[Main Floor]]*Lookups!$B$17</f>
        <v>40964.724220000004</v>
      </c>
      <c r="BO260" s="7">
        <f>Wapato_Inventory[[#This Row],[Upper Floor]]*Lookups!$B$18</f>
        <v>0</v>
      </c>
      <c r="BP260" s="7">
        <f>Wapato_Inventory[[#This Row],[Fin BSMT]]*Lookups!$B$19</f>
        <v>0</v>
      </c>
      <c r="BQ260" s="7">
        <f>(Wapato_Inventory[[#This Row],[att_gar]]+Wapato_Inventory[[#This Row],[blt_gar]])*Lookups!$B$20</f>
        <v>0</v>
      </c>
      <c r="BR260" s="7">
        <f>Wapato_Inventory[[#This Row],[Patio]]*Lookups!$B$21</f>
        <v>9877.867212000001</v>
      </c>
      <c r="BS260" s="7">
        <f>SUM(Wapato_Inventory[[#This Row],[intercept]:[patio_value]])*Wapato_Inventory[[#This Row],[res_pct]]</f>
        <v>146693.26433199999</v>
      </c>
      <c r="BT260" s="7">
        <f>Wapato_Inventory[[#This Row],[land_value]]</f>
        <v>53000</v>
      </c>
      <c r="BU260" s="2">
        <f>_xlfn.IFNA(VLOOKUP(Wapato_Inventory[[#This Row],[quality]],Lookups!$A$28:$C$37,3,FALSE),1)</f>
        <v>0.96265813922927435</v>
      </c>
      <c r="BV260" s="2">
        <f>_xlfn.IFNA(VLOOKUP(Wapato_Inventory[[#This Row],[condition]],Lookups!$A$41:$C$48,3,FALSE),1)</f>
        <v>0.9832333997567807</v>
      </c>
      <c r="BW260" s="2">
        <f>IF(Wapato_Inventory[[#This Row],[decade]]="",1,_xlfn.IFNA(VLOOKUP(Wapato_Inventory[[#This Row],[decade]],Lookups!$F$28:$H$45,3,FALSE),1))</f>
        <v>0.93664589651353292</v>
      </c>
      <c r="BX260" s="2">
        <f>_xlfn.IFNA(VLOOKUP(Wapato_Inventory[[#This Row],[living_area_range]],Lookups!$K$28:$M$37,3,FALSE),1)</f>
        <v>0.99022994770196116</v>
      </c>
      <c r="BY260" s="2">
        <f>AVERAGE(Wapato_Inventory[[#This Row],[qual_adj]:[range_adj]])</f>
        <v>0.9681918458003872</v>
      </c>
      <c r="BZ260" s="7">
        <f>(Wapato_Inventory[[#This Row],[sum_land]]-IF(Wapato_Inventory[[#This Row],[no_utilities]]=1,12000,0))/IF(Wapato_Inventory[[#This Row],[unbuildable]]=1,2,1)</f>
        <v>53000</v>
      </c>
      <c r="CA260" s="7">
        <f>Wapato_Inventory[[#This Row],[pre_res]]*Wapato_Inventory[[#This Row],[overall_adj]]</f>
        <v>142027.22236008316</v>
      </c>
      <c r="CB26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60" s="3">
        <f>IF(ROUND(Wapato_Inventory[[#This Row],[adj_res]]*Lookups!$H$48,-2)&lt;Wapato_Inventory[[#This Row],[min_res]],Wapato_Inventory[[#This Row],[min_res]],ROUND(Wapato_Inventory[[#This Row],[adj_res]]*Lookups!$H$48,-2))</f>
        <v>134900</v>
      </c>
      <c r="CD260" s="3">
        <f>ROUND(Wapato_Inventory[[#This Row],[det_value]]*Lookups!$H$48,-2)</f>
        <v>0</v>
      </c>
      <c r="CE260" s="3">
        <f>Wapato_Inventory[[#This Row],[final_res]]+Wapato_Inventory[[#This Row],[final_det]]</f>
        <v>134900</v>
      </c>
      <c r="CF260" s="3">
        <f>Wapato_Inventory[[#This Row],[crop_value]]+Wapato_Inventory[[#This Row],[final_land]]+Wapato_Inventory[[#This Row],[final_imp]]</f>
        <v>185300</v>
      </c>
      <c r="CH260" t="str">
        <f t="shared" si="4"/>
        <v>update valuation set market_land =50400, market_bldg=134900, market_total =185300, market_mdno =405, market_date ='9/10/2023' where link_id = (select link_id from parcel where parcel_year = '2024' and parcel_id = '19111041561');</v>
      </c>
    </row>
    <row r="261" spans="1:86" x14ac:dyDescent="0.25">
      <c r="A261">
        <v>19111041562</v>
      </c>
      <c r="B261">
        <v>0.28999999999999998</v>
      </c>
      <c r="C261">
        <v>12500</v>
      </c>
      <c r="D261" t="s">
        <v>144</v>
      </c>
      <c r="E261" t="s">
        <v>54</v>
      </c>
      <c r="F261" t="s">
        <v>54</v>
      </c>
      <c r="G261">
        <v>3</v>
      </c>
      <c r="H261" t="s">
        <v>55</v>
      </c>
      <c r="I261">
        <v>144900</v>
      </c>
      <c r="J261">
        <v>37100</v>
      </c>
      <c r="K261">
        <v>0.28999999999999998</v>
      </c>
      <c r="L261">
        <f>IF(Wapato_Inventory[[#This Row],[parcel_acres]]-Wapato_Inventory[[#This Row],[non_valued_acres]] =0,0,LN(Wapato_Inventory[[#This Row],[parcel_acres]]-Wapato_Inventory[[#This Row],[non_valued_acres]]))</f>
        <v>-1.2378743560016174</v>
      </c>
      <c r="M261">
        <v>0</v>
      </c>
      <c r="N261">
        <v>0</v>
      </c>
      <c r="O261">
        <v>0</v>
      </c>
      <c r="P261">
        <v>27904.037</v>
      </c>
      <c r="Q261">
        <v>74398</v>
      </c>
      <c r="R261" s="3">
        <f>(Wapato_Inventory[[#This Row],[ln_acres]]*Wapato_Inventory[[#This Row],[coeff]])+Wapato_Inventory[[#This Row],[const]]</f>
        <v>39856.308168779695</v>
      </c>
      <c r="S261" t="s">
        <v>66</v>
      </c>
      <c r="T261">
        <v>1</v>
      </c>
      <c r="U261" t="s">
        <v>71</v>
      </c>
      <c r="V261" t="s">
        <v>69</v>
      </c>
      <c r="W261">
        <v>0</v>
      </c>
      <c r="X261">
        <v>0</v>
      </c>
      <c r="Y261">
        <v>55</v>
      </c>
      <c r="Z261">
        <v>98</v>
      </c>
      <c r="AA261">
        <v>100</v>
      </c>
      <c r="AB261">
        <v>1000</v>
      </c>
      <c r="AC261">
        <v>852</v>
      </c>
      <c r="AD261">
        <v>852</v>
      </c>
      <c r="AE261">
        <v>0</v>
      </c>
      <c r="AF261">
        <v>0</v>
      </c>
      <c r="AG261">
        <v>0</v>
      </c>
      <c r="AH261">
        <v>264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36</v>
      </c>
      <c r="AO261">
        <v>0</v>
      </c>
      <c r="AP261">
        <v>5</v>
      </c>
      <c r="AQ261">
        <v>0</v>
      </c>
      <c r="AR261">
        <v>0</v>
      </c>
      <c r="AS261" t="s">
        <v>59</v>
      </c>
      <c r="AT261">
        <v>1</v>
      </c>
      <c r="AU261" t="s">
        <v>64</v>
      </c>
      <c r="AV261" t="s">
        <v>65</v>
      </c>
      <c r="AW261">
        <v>0</v>
      </c>
      <c r="AX261">
        <v>2</v>
      </c>
      <c r="AY261">
        <v>0</v>
      </c>
      <c r="AZ261">
        <v>13500</v>
      </c>
      <c r="BA261">
        <v>100</v>
      </c>
      <c r="BB261">
        <v>100</v>
      </c>
      <c r="BC261">
        <v>100</v>
      </c>
      <c r="BD261">
        <v>100</v>
      </c>
      <c r="BE261">
        <v>1</v>
      </c>
      <c r="BF261">
        <v>15000</v>
      </c>
      <c r="BG261">
        <v>1000</v>
      </c>
      <c r="BH261" s="7">
        <f>ROUND(Wapato_Inventory[[#This Row],[detatched_value]]*Lookups!$B$22*Lookups!$H$48,-2)</f>
        <v>12100</v>
      </c>
      <c r="BI261" s="7">
        <f>ROUND(((Wapato_Inventory[[#This Row],[land_extract]]*Lookups!$B$3) +(Lookups!$B$2*0.5))*Lookups!$H$48,-2)</f>
        <v>54900</v>
      </c>
      <c r="BJ261" s="7">
        <f>IF(Wapato_Inventory[[#This Row],[bldg_style]]="",0,Lookups!$B$2*0.5)</f>
        <v>53765.27</v>
      </c>
      <c r="BK261" s="7">
        <f>_xlfn.IFNA(VLOOKUP(Wapato_Inventory[[#This Row],[quality]],Lookups!$H$2:$J$14,3,FALSE),0)</f>
        <v>28034</v>
      </c>
      <c r="BL261" s="7">
        <f>_xlfn.IFNA(VLOOKUP(Wapato_Inventory[[#This Row],[condition]],Lookups!$H$17:$J$24,3,FALSE),0)</f>
        <v>74543</v>
      </c>
      <c r="BM261" s="7">
        <f>Wapato_Inventory[[#This Row],[Age]]*Lookups!$B$16</f>
        <v>-36326.2186</v>
      </c>
      <c r="BN261" s="7">
        <f>Wapato_Inventory[[#This Row],[Main Floor]]*Lookups!$B$17</f>
        <v>35614.229628000001</v>
      </c>
      <c r="BO261" s="7">
        <f>Wapato_Inventory[[#This Row],[Upper Floor]]*Lookups!$B$18</f>
        <v>0</v>
      </c>
      <c r="BP261" s="7">
        <f>Wapato_Inventory[[#This Row],[Fin BSMT]]*Lookups!$B$19</f>
        <v>0</v>
      </c>
      <c r="BQ261" s="7">
        <f>(Wapato_Inventory[[#This Row],[att_gar]]+Wapato_Inventory[[#This Row],[blt_gar]])*Lookups!$B$20</f>
        <v>0</v>
      </c>
      <c r="BR261" s="7">
        <f>Wapato_Inventory[[#This Row],[Patio]]*Lookups!$B$21</f>
        <v>0</v>
      </c>
      <c r="BS261" s="7">
        <f>SUM(Wapato_Inventory[[#This Row],[intercept]:[patio_value]])*Wapato_Inventory[[#This Row],[res_pct]]</f>
        <v>155630.281028</v>
      </c>
      <c r="BT261" s="7">
        <f>Wapato_Inventory[[#This Row],[land_value]]</f>
        <v>54900</v>
      </c>
      <c r="BU261" s="2">
        <f>_xlfn.IFNA(VLOOKUP(Wapato_Inventory[[#This Row],[quality]],Lookups!$A$28:$C$37,3,FALSE),1)</f>
        <v>0.96265813922927435</v>
      </c>
      <c r="BV261" s="2">
        <f>_xlfn.IFNA(VLOOKUP(Wapato_Inventory[[#This Row],[condition]],Lookups!$A$41:$C$48,3,FALSE),1)</f>
        <v>0.98442438223270734</v>
      </c>
      <c r="BW261" s="2">
        <f>IF(Wapato_Inventory[[#This Row],[decade]]="",1,_xlfn.IFNA(VLOOKUP(Wapato_Inventory[[#This Row],[decade]],Lookups!$F$28:$H$45,3,FALSE),1))</f>
        <v>1.0114203040664467</v>
      </c>
      <c r="BX261" s="2">
        <f>_xlfn.IFNA(VLOOKUP(Wapato_Inventory[[#This Row],[living_area_range]],Lookups!$K$28:$M$37,3,FALSE),1)</f>
        <v>0.99022994770196116</v>
      </c>
      <c r="BY261" s="2">
        <f>AVERAGE(Wapato_Inventory[[#This Row],[qual_adj]:[range_adj]])</f>
        <v>0.9871831933075973</v>
      </c>
      <c r="BZ261" s="7">
        <f>(Wapato_Inventory[[#This Row],[sum_land]]-IF(Wapato_Inventory[[#This Row],[no_utilities]]=1,12000,0))/IF(Wapato_Inventory[[#This Row],[unbuildable]]=1,2,1)</f>
        <v>54900</v>
      </c>
      <c r="CA261" s="7">
        <f>Wapato_Inventory[[#This Row],[pre_res]]*Wapato_Inventory[[#This Row],[overall_adj]]</f>
        <v>153635.59780057982</v>
      </c>
      <c r="CB261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261" s="3">
        <f>IF(ROUND(Wapato_Inventory[[#This Row],[adj_res]]*Lookups!$H$48,-2)&lt;Wapato_Inventory[[#This Row],[min_res]],Wapato_Inventory[[#This Row],[min_res]],ROUND(Wapato_Inventory[[#This Row],[adj_res]]*Lookups!$H$48,-2))</f>
        <v>146000</v>
      </c>
      <c r="CD261" s="3">
        <f>ROUND(Wapato_Inventory[[#This Row],[det_value]]*Lookups!$H$48,-2)</f>
        <v>11500</v>
      </c>
      <c r="CE261" s="3">
        <f>Wapato_Inventory[[#This Row],[final_res]]+Wapato_Inventory[[#This Row],[final_det]]</f>
        <v>157500</v>
      </c>
      <c r="CF261" s="3">
        <f>Wapato_Inventory[[#This Row],[crop_value]]+Wapato_Inventory[[#This Row],[final_land]]+Wapato_Inventory[[#This Row],[final_imp]]</f>
        <v>209700</v>
      </c>
      <c r="CH261" t="str">
        <f t="shared" si="4"/>
        <v>update valuation set market_land =52200, market_bldg=157500, market_total =209700, market_mdno =405, market_date ='9/10/2023' where link_id = (select link_id from parcel where parcel_year = '2024' and parcel_id = '19111041562');</v>
      </c>
    </row>
    <row r="262" spans="1:86" x14ac:dyDescent="0.25">
      <c r="A262">
        <v>19111041565</v>
      </c>
      <c r="B262">
        <v>0.14000000000000001</v>
      </c>
      <c r="C262">
        <v>6226</v>
      </c>
      <c r="D262" t="s">
        <v>144</v>
      </c>
      <c r="E262" t="s">
        <v>54</v>
      </c>
      <c r="F262" t="s">
        <v>54</v>
      </c>
      <c r="G262">
        <v>3</v>
      </c>
      <c r="H262" t="s">
        <v>55</v>
      </c>
      <c r="I262">
        <v>147400</v>
      </c>
      <c r="J262">
        <v>31900</v>
      </c>
      <c r="K262">
        <v>0.14000000000000001</v>
      </c>
      <c r="L262">
        <f>IF(Wapato_Inventory[[#This Row],[parcel_acres]]-Wapato_Inventory[[#This Row],[non_valued_acres]] =0,0,LN(Wapato_Inventory[[#This Row],[parcel_acres]]-Wapato_Inventory[[#This Row],[non_valued_acres]]))</f>
        <v>-1.9661128563728327</v>
      </c>
      <c r="M262">
        <v>0</v>
      </c>
      <c r="N262">
        <v>0</v>
      </c>
      <c r="O262">
        <v>0</v>
      </c>
      <c r="P262">
        <v>27904.037</v>
      </c>
      <c r="Q262">
        <v>74398</v>
      </c>
      <c r="R262" s="3">
        <f>(Wapato_Inventory[[#This Row],[ln_acres]]*Wapato_Inventory[[#This Row],[coeff]])+Wapato_Inventory[[#This Row],[const]]</f>
        <v>19535.514109596792</v>
      </c>
      <c r="S262" t="s">
        <v>66</v>
      </c>
      <c r="T262">
        <v>1</v>
      </c>
      <c r="U262" t="s">
        <v>67</v>
      </c>
      <c r="V262" t="s">
        <v>68</v>
      </c>
      <c r="W262">
        <v>0</v>
      </c>
      <c r="X262">
        <v>0</v>
      </c>
      <c r="Y262">
        <v>53</v>
      </c>
      <c r="Z262">
        <v>93</v>
      </c>
      <c r="AA262">
        <v>100</v>
      </c>
      <c r="AB262">
        <v>1500</v>
      </c>
      <c r="AC262">
        <v>1313</v>
      </c>
      <c r="AD262">
        <v>1313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255</v>
      </c>
      <c r="AL262">
        <v>0</v>
      </c>
      <c r="AM262">
        <v>0</v>
      </c>
      <c r="AN262">
        <v>270</v>
      </c>
      <c r="AO262">
        <v>171</v>
      </c>
      <c r="AP262">
        <v>8</v>
      </c>
      <c r="AQ262">
        <v>0</v>
      </c>
      <c r="AR262">
        <v>0</v>
      </c>
      <c r="AS262" t="s">
        <v>59</v>
      </c>
      <c r="AT262">
        <v>1</v>
      </c>
      <c r="AU262" t="s">
        <v>72</v>
      </c>
      <c r="AV262" t="s">
        <v>61</v>
      </c>
      <c r="AW262">
        <v>0</v>
      </c>
      <c r="AX262">
        <v>4</v>
      </c>
      <c r="AY262">
        <v>0</v>
      </c>
      <c r="AZ262">
        <v>0</v>
      </c>
      <c r="BA262">
        <v>100</v>
      </c>
      <c r="BB262">
        <v>100</v>
      </c>
      <c r="BC262">
        <v>100</v>
      </c>
      <c r="BD262">
        <v>100</v>
      </c>
      <c r="BE262">
        <v>1</v>
      </c>
      <c r="BF262">
        <v>15000</v>
      </c>
      <c r="BG262">
        <v>1000</v>
      </c>
      <c r="BH262" s="7">
        <f>ROUND(Wapato_Inventory[[#This Row],[detatched_value]]*Lookups!$B$22*Lookups!$H$48,-2)</f>
        <v>0</v>
      </c>
      <c r="BI262" s="7">
        <f>ROUND(((Wapato_Inventory[[#This Row],[land_extract]]*Lookups!$B$3) +(Lookups!$B$2*0.5))*Lookups!$H$48,-2)</f>
        <v>53000</v>
      </c>
      <c r="BJ262" s="7">
        <f>IF(Wapato_Inventory[[#This Row],[bldg_style]]="",0,Lookups!$B$2*0.5)</f>
        <v>53765.27</v>
      </c>
      <c r="BK262" s="7">
        <f>_xlfn.IFNA(VLOOKUP(Wapato_Inventory[[#This Row],[quality]],Lookups!$H$2:$J$14,3,FALSE),0)</f>
        <v>50405</v>
      </c>
      <c r="BL262" s="7">
        <f>_xlfn.IFNA(VLOOKUP(Wapato_Inventory[[#This Row],[condition]],Lookups!$H$17:$J$24,3,FALSE),0)</f>
        <v>52231</v>
      </c>
      <c r="BM262" s="7">
        <f>Wapato_Inventory[[#This Row],[Age]]*Lookups!$B$16</f>
        <v>-34472.840100000001</v>
      </c>
      <c r="BN262" s="7">
        <f>Wapato_Inventory[[#This Row],[Main Floor]]*Lookups!$B$17</f>
        <v>54884.370306999997</v>
      </c>
      <c r="BO262" s="7">
        <f>Wapato_Inventory[[#This Row],[Upper Floor]]*Lookups!$B$18</f>
        <v>0</v>
      </c>
      <c r="BP262" s="7">
        <f>Wapato_Inventory[[#This Row],[Fin BSMT]]*Lookups!$B$19</f>
        <v>0</v>
      </c>
      <c r="BQ262" s="7">
        <f>(Wapato_Inventory[[#This Row],[att_gar]]+Wapato_Inventory[[#This Row],[blt_gar]])*Lookups!$B$20</f>
        <v>0</v>
      </c>
      <c r="BR262" s="7">
        <f>Wapato_Inventory[[#This Row],[Patio]]*Lookups!$B$21</f>
        <v>0</v>
      </c>
      <c r="BS262" s="7">
        <f>SUM(Wapato_Inventory[[#This Row],[intercept]:[patio_value]])*Wapato_Inventory[[#This Row],[res_pct]]</f>
        <v>176812.80020699999</v>
      </c>
      <c r="BT262" s="7">
        <f>Wapato_Inventory[[#This Row],[land_value]]</f>
        <v>53000</v>
      </c>
      <c r="BU262" s="2">
        <f>_xlfn.IFNA(VLOOKUP(Wapato_Inventory[[#This Row],[quality]],Lookups!$A$28:$C$37,3,FALSE),1)</f>
        <v>0.97993206410140754</v>
      </c>
      <c r="BV262" s="2">
        <f>_xlfn.IFNA(VLOOKUP(Wapato_Inventory[[#This Row],[condition]],Lookups!$A$41:$C$48,3,FALSE),1)</f>
        <v>0.9832333997567807</v>
      </c>
      <c r="BW262" s="2">
        <f>IF(Wapato_Inventory[[#This Row],[decade]]="",1,_xlfn.IFNA(VLOOKUP(Wapato_Inventory[[#This Row],[decade]],Lookups!$F$28:$H$45,3,FALSE),1))</f>
        <v>1.0114203040664467</v>
      </c>
      <c r="BX262" s="2">
        <f>_xlfn.IFNA(VLOOKUP(Wapato_Inventory[[#This Row],[living_area_range]],Lookups!$K$28:$M$37,3,FALSE),1)</f>
        <v>1.0061411172456287</v>
      </c>
      <c r="BY262" s="2">
        <f>AVERAGE(Wapato_Inventory[[#This Row],[qual_adj]:[range_adj]])</f>
        <v>0.99518172129256599</v>
      </c>
      <c r="BZ262" s="7">
        <f>(Wapato_Inventory[[#This Row],[sum_land]]-IF(Wapato_Inventory[[#This Row],[no_utilities]]=1,12000,0))/IF(Wapato_Inventory[[#This Row],[unbuildable]]=1,2,1)</f>
        <v>53000</v>
      </c>
      <c r="CA262" s="7">
        <f>Wapato_Inventory[[#This Row],[pre_res]]*Wapato_Inventory[[#This Row],[overall_adj]]</f>
        <v>175960.86685656081</v>
      </c>
      <c r="CB26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62" s="3">
        <f>IF(ROUND(Wapato_Inventory[[#This Row],[adj_res]]*Lookups!$H$48,-2)&lt;Wapato_Inventory[[#This Row],[min_res]],Wapato_Inventory[[#This Row],[min_res]],ROUND(Wapato_Inventory[[#This Row],[adj_res]]*Lookups!$H$48,-2))</f>
        <v>167200</v>
      </c>
      <c r="CD262" s="3">
        <f>ROUND(Wapato_Inventory[[#This Row],[det_value]]*Lookups!$H$48,-2)</f>
        <v>0</v>
      </c>
      <c r="CE262" s="3">
        <f>Wapato_Inventory[[#This Row],[final_res]]+Wapato_Inventory[[#This Row],[final_det]]</f>
        <v>167200</v>
      </c>
      <c r="CF262" s="3">
        <f>Wapato_Inventory[[#This Row],[crop_value]]+Wapato_Inventory[[#This Row],[final_land]]+Wapato_Inventory[[#This Row],[final_imp]]</f>
        <v>217600</v>
      </c>
      <c r="CH262" t="str">
        <f t="shared" si="4"/>
        <v>update valuation set market_land =50400, market_bldg=167200, market_total =217600, market_mdno =405, market_date ='9/10/2023' where link_id = (select link_id from parcel where parcel_year = '2024' and parcel_id = '19111041565');</v>
      </c>
    </row>
    <row r="263" spans="1:86" x14ac:dyDescent="0.25">
      <c r="A263">
        <v>19111041567</v>
      </c>
      <c r="B263">
        <v>0.14000000000000001</v>
      </c>
      <c r="C263">
        <v>6226</v>
      </c>
      <c r="D263" t="s">
        <v>144</v>
      </c>
      <c r="E263" t="s">
        <v>54</v>
      </c>
      <c r="F263" t="s">
        <v>54</v>
      </c>
      <c r="G263">
        <v>3</v>
      </c>
      <c r="H263" t="s">
        <v>55</v>
      </c>
      <c r="I263">
        <v>125000</v>
      </c>
      <c r="J263">
        <v>31900</v>
      </c>
      <c r="K263">
        <v>0.14000000000000001</v>
      </c>
      <c r="L263">
        <f>IF(Wapato_Inventory[[#This Row],[parcel_acres]]-Wapato_Inventory[[#This Row],[non_valued_acres]] =0,0,LN(Wapato_Inventory[[#This Row],[parcel_acres]]-Wapato_Inventory[[#This Row],[non_valued_acres]]))</f>
        <v>-1.9661128563728327</v>
      </c>
      <c r="M263">
        <v>0</v>
      </c>
      <c r="N263">
        <v>0</v>
      </c>
      <c r="O263">
        <v>0</v>
      </c>
      <c r="P263">
        <v>27904.037</v>
      </c>
      <c r="Q263">
        <v>74398</v>
      </c>
      <c r="R263" s="3">
        <f>(Wapato_Inventory[[#This Row],[ln_acres]]*Wapato_Inventory[[#This Row],[coeff]])+Wapato_Inventory[[#This Row],[const]]</f>
        <v>19535.514109596792</v>
      </c>
      <c r="S263" t="s">
        <v>66</v>
      </c>
      <c r="T263">
        <v>2</v>
      </c>
      <c r="U263" t="s">
        <v>71</v>
      </c>
      <c r="V263" t="s">
        <v>68</v>
      </c>
      <c r="W263">
        <v>0</v>
      </c>
      <c r="X263">
        <v>0</v>
      </c>
      <c r="Y263">
        <v>55</v>
      </c>
      <c r="Z263">
        <v>98</v>
      </c>
      <c r="AA263">
        <v>100</v>
      </c>
      <c r="AB263">
        <v>1500</v>
      </c>
      <c r="AC263">
        <v>1260</v>
      </c>
      <c r="AD263">
        <v>840</v>
      </c>
      <c r="AE263">
        <v>420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360</v>
      </c>
      <c r="AL263">
        <v>0</v>
      </c>
      <c r="AM263">
        <v>0</v>
      </c>
      <c r="AN263">
        <v>25</v>
      </c>
      <c r="AO263">
        <v>108</v>
      </c>
      <c r="AP263">
        <v>5</v>
      </c>
      <c r="AQ263">
        <v>0</v>
      </c>
      <c r="AR263">
        <v>0</v>
      </c>
      <c r="AS263" t="s">
        <v>59</v>
      </c>
      <c r="AT263">
        <v>1</v>
      </c>
      <c r="AU263" t="s">
        <v>72</v>
      </c>
      <c r="AV263" t="s">
        <v>61</v>
      </c>
      <c r="AW263">
        <v>0</v>
      </c>
      <c r="AX263">
        <v>4</v>
      </c>
      <c r="AY263">
        <v>0</v>
      </c>
      <c r="AZ263">
        <v>9500</v>
      </c>
      <c r="BA263">
        <v>100</v>
      </c>
      <c r="BB263">
        <v>100</v>
      </c>
      <c r="BC263">
        <v>100</v>
      </c>
      <c r="BD263">
        <v>100</v>
      </c>
      <c r="BE263">
        <v>1</v>
      </c>
      <c r="BF263">
        <v>15000</v>
      </c>
      <c r="BG263">
        <v>1000</v>
      </c>
      <c r="BH263" s="7">
        <f>ROUND(Wapato_Inventory[[#This Row],[detatched_value]]*Lookups!$B$22*Lookups!$H$48,-2)</f>
        <v>8500</v>
      </c>
      <c r="BI263" s="7">
        <f>ROUND(((Wapato_Inventory[[#This Row],[land_extract]]*Lookups!$B$3) +(Lookups!$B$2*0.5))*Lookups!$H$48,-2)</f>
        <v>53000</v>
      </c>
      <c r="BJ263" s="7">
        <f>IF(Wapato_Inventory[[#This Row],[bldg_style]]="",0,Lookups!$B$2*0.5)</f>
        <v>53765.27</v>
      </c>
      <c r="BK263" s="7">
        <f>_xlfn.IFNA(VLOOKUP(Wapato_Inventory[[#This Row],[quality]],Lookups!$H$2:$J$14,3,FALSE),0)</f>
        <v>28034</v>
      </c>
      <c r="BL263" s="7">
        <f>_xlfn.IFNA(VLOOKUP(Wapato_Inventory[[#This Row],[condition]],Lookups!$H$17:$J$24,3,FALSE),0)</f>
        <v>52231</v>
      </c>
      <c r="BM263" s="7">
        <f>Wapato_Inventory[[#This Row],[Age]]*Lookups!$B$16</f>
        <v>-36326.2186</v>
      </c>
      <c r="BN263" s="7">
        <f>Wapato_Inventory[[#This Row],[Main Floor]]*Lookups!$B$17</f>
        <v>35112.620759999998</v>
      </c>
      <c r="BO263" s="7">
        <f>Wapato_Inventory[[#This Row],[Upper Floor]]*Lookups!$B$18</f>
        <v>20832.47838</v>
      </c>
      <c r="BP263" s="7">
        <f>Wapato_Inventory[[#This Row],[Fin BSMT]]*Lookups!$B$19</f>
        <v>0</v>
      </c>
      <c r="BQ263" s="7">
        <f>(Wapato_Inventory[[#This Row],[att_gar]]+Wapato_Inventory[[#This Row],[blt_gar]])*Lookups!$B$20</f>
        <v>0</v>
      </c>
      <c r="BR263" s="7">
        <f>Wapato_Inventory[[#This Row],[Patio]]*Lookups!$B$21</f>
        <v>0</v>
      </c>
      <c r="BS263" s="7">
        <f>SUM(Wapato_Inventory[[#This Row],[intercept]:[patio_value]])*Wapato_Inventory[[#This Row],[res_pct]]</f>
        <v>153649.15054</v>
      </c>
      <c r="BT263" s="7">
        <f>Wapato_Inventory[[#This Row],[land_value]]</f>
        <v>53000</v>
      </c>
      <c r="BU263" s="2">
        <f>_xlfn.IFNA(VLOOKUP(Wapato_Inventory[[#This Row],[quality]],Lookups!$A$28:$C$37,3,FALSE),1)</f>
        <v>0.96265813922927435</v>
      </c>
      <c r="BV263" s="2">
        <f>_xlfn.IFNA(VLOOKUP(Wapato_Inventory[[#This Row],[condition]],Lookups!$A$41:$C$48,3,FALSE),1)</f>
        <v>0.9832333997567807</v>
      </c>
      <c r="BW263" s="2">
        <f>IF(Wapato_Inventory[[#This Row],[decade]]="",1,_xlfn.IFNA(VLOOKUP(Wapato_Inventory[[#This Row],[decade]],Lookups!$F$28:$H$45,3,FALSE),1))</f>
        <v>1.0114203040664467</v>
      </c>
      <c r="BX263" s="2">
        <f>_xlfn.IFNA(VLOOKUP(Wapato_Inventory[[#This Row],[living_area_range]],Lookups!$K$28:$M$37,3,FALSE),1)</f>
        <v>1.0061411172456287</v>
      </c>
      <c r="BY263" s="2">
        <f>AVERAGE(Wapato_Inventory[[#This Row],[qual_adj]:[range_adj]])</f>
        <v>0.99086324007453253</v>
      </c>
      <c r="BZ263" s="7">
        <f>(Wapato_Inventory[[#This Row],[sum_land]]-IF(Wapato_Inventory[[#This Row],[no_utilities]]=1,12000,0))/IF(Wapato_Inventory[[#This Row],[unbuildable]]=1,2,1)</f>
        <v>53000</v>
      </c>
      <c r="CA263" s="7">
        <f>Wapato_Inventory[[#This Row],[pre_res]]*Wapato_Inventory[[#This Row],[overall_adj]]</f>
        <v>152245.29513876402</v>
      </c>
      <c r="CB26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63" s="3">
        <f>IF(ROUND(Wapato_Inventory[[#This Row],[adj_res]]*Lookups!$H$48,-2)&lt;Wapato_Inventory[[#This Row],[min_res]],Wapato_Inventory[[#This Row],[min_res]],ROUND(Wapato_Inventory[[#This Row],[adj_res]]*Lookups!$H$48,-2))</f>
        <v>144600</v>
      </c>
      <c r="CD263" s="3">
        <f>ROUND(Wapato_Inventory[[#This Row],[det_value]]*Lookups!$H$48,-2)</f>
        <v>8100</v>
      </c>
      <c r="CE263" s="3">
        <f>Wapato_Inventory[[#This Row],[final_res]]+Wapato_Inventory[[#This Row],[final_det]]</f>
        <v>152700</v>
      </c>
      <c r="CF263" s="3">
        <f>Wapato_Inventory[[#This Row],[crop_value]]+Wapato_Inventory[[#This Row],[final_land]]+Wapato_Inventory[[#This Row],[final_imp]]</f>
        <v>203100</v>
      </c>
      <c r="CH263" t="str">
        <f t="shared" si="4"/>
        <v>update valuation set market_land =50400, market_bldg=152700, market_total =203100, market_mdno =405, market_date ='9/10/2023' where link_id = (select link_id from parcel where parcel_year = '2024' and parcel_id = '19111041567');</v>
      </c>
    </row>
    <row r="264" spans="1:86" x14ac:dyDescent="0.25">
      <c r="A264">
        <v>19111041568</v>
      </c>
      <c r="B264">
        <v>0.14000000000000001</v>
      </c>
      <c r="C264">
        <v>6226</v>
      </c>
      <c r="D264" t="s">
        <v>144</v>
      </c>
      <c r="E264" t="s">
        <v>54</v>
      </c>
      <c r="F264" t="s">
        <v>54</v>
      </c>
      <c r="G264">
        <v>3</v>
      </c>
      <c r="H264" t="s">
        <v>55</v>
      </c>
      <c r="I264">
        <v>118300</v>
      </c>
      <c r="J264">
        <v>31900</v>
      </c>
      <c r="K264">
        <v>0.14000000000000001</v>
      </c>
      <c r="L264">
        <f>IF(Wapato_Inventory[[#This Row],[parcel_acres]]-Wapato_Inventory[[#This Row],[non_valued_acres]] =0,0,LN(Wapato_Inventory[[#This Row],[parcel_acres]]-Wapato_Inventory[[#This Row],[non_valued_acres]]))</f>
        <v>-1.9661128563728327</v>
      </c>
      <c r="M264">
        <v>0</v>
      </c>
      <c r="N264">
        <v>0</v>
      </c>
      <c r="O264">
        <v>0</v>
      </c>
      <c r="P264">
        <v>27904.037</v>
      </c>
      <c r="Q264">
        <v>74398</v>
      </c>
      <c r="R264" s="3">
        <f>(Wapato_Inventory[[#This Row],[ln_acres]]*Wapato_Inventory[[#This Row],[coeff]])+Wapato_Inventory[[#This Row],[const]]</f>
        <v>19535.514109596792</v>
      </c>
      <c r="S264" t="s">
        <v>66</v>
      </c>
      <c r="T264">
        <v>1</v>
      </c>
      <c r="U264" t="s">
        <v>71</v>
      </c>
      <c r="V264" t="s">
        <v>68</v>
      </c>
      <c r="W264">
        <v>0</v>
      </c>
      <c r="X264">
        <v>0</v>
      </c>
      <c r="Y264">
        <v>55</v>
      </c>
      <c r="Z264">
        <v>98</v>
      </c>
      <c r="AA264">
        <v>100</v>
      </c>
      <c r="AB264">
        <v>1500</v>
      </c>
      <c r="AC264">
        <v>1183</v>
      </c>
      <c r="AD264">
        <v>1183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180</v>
      </c>
      <c r="AL264">
        <v>0</v>
      </c>
      <c r="AM264">
        <v>300</v>
      </c>
      <c r="AN264">
        <v>0</v>
      </c>
      <c r="AO264">
        <v>0</v>
      </c>
      <c r="AP264">
        <v>5</v>
      </c>
      <c r="AQ264">
        <v>0</v>
      </c>
      <c r="AR264">
        <v>0</v>
      </c>
      <c r="AS264" t="s">
        <v>59</v>
      </c>
      <c r="AT264">
        <v>1</v>
      </c>
      <c r="AU264" t="s">
        <v>76</v>
      </c>
      <c r="AV264" t="s">
        <v>61</v>
      </c>
      <c r="AW264">
        <v>0</v>
      </c>
      <c r="AX264">
        <v>2</v>
      </c>
      <c r="AY264">
        <v>0</v>
      </c>
      <c r="AZ264">
        <v>5300</v>
      </c>
      <c r="BA264">
        <v>100</v>
      </c>
      <c r="BB264">
        <v>100</v>
      </c>
      <c r="BC264">
        <v>100</v>
      </c>
      <c r="BD264">
        <v>100</v>
      </c>
      <c r="BE264">
        <v>1</v>
      </c>
      <c r="BF264">
        <v>15000</v>
      </c>
      <c r="BG264">
        <v>1000</v>
      </c>
      <c r="BH264" s="7">
        <f>ROUND(Wapato_Inventory[[#This Row],[detatched_value]]*Lookups!$B$22*Lookups!$H$48,-2)</f>
        <v>4700</v>
      </c>
      <c r="BI264" s="7">
        <f>ROUND(((Wapato_Inventory[[#This Row],[land_extract]]*Lookups!$B$3) +(Lookups!$B$2*0.5))*Lookups!$H$48,-2)</f>
        <v>53000</v>
      </c>
      <c r="BJ264" s="7">
        <f>IF(Wapato_Inventory[[#This Row],[bldg_style]]="",0,Lookups!$B$2*0.5)</f>
        <v>53765.27</v>
      </c>
      <c r="BK264" s="7">
        <f>_xlfn.IFNA(VLOOKUP(Wapato_Inventory[[#This Row],[quality]],Lookups!$H$2:$J$14,3,FALSE),0)</f>
        <v>28034</v>
      </c>
      <c r="BL264" s="7">
        <f>_xlfn.IFNA(VLOOKUP(Wapato_Inventory[[#This Row],[condition]],Lookups!$H$17:$J$24,3,FALSE),0)</f>
        <v>52231</v>
      </c>
      <c r="BM264" s="7">
        <f>Wapato_Inventory[[#This Row],[Age]]*Lookups!$B$16</f>
        <v>-36326.2186</v>
      </c>
      <c r="BN264" s="7">
        <f>Wapato_Inventory[[#This Row],[Main Floor]]*Lookups!$B$17</f>
        <v>49450.274236999998</v>
      </c>
      <c r="BO264" s="7">
        <f>Wapato_Inventory[[#This Row],[Upper Floor]]*Lookups!$B$18</f>
        <v>0</v>
      </c>
      <c r="BP264" s="7">
        <f>Wapato_Inventory[[#This Row],[Fin BSMT]]*Lookups!$B$19</f>
        <v>0</v>
      </c>
      <c r="BQ264" s="7">
        <f>(Wapato_Inventory[[#This Row],[att_gar]]+Wapato_Inventory[[#This Row],[blt_gar]])*Lookups!$B$20</f>
        <v>0</v>
      </c>
      <c r="BR264" s="7">
        <f>Wapato_Inventory[[#This Row],[Patio]]*Lookups!$B$21</f>
        <v>12997.1937</v>
      </c>
      <c r="BS264" s="7">
        <f>SUM(Wapato_Inventory[[#This Row],[intercept]:[patio_value]])*Wapato_Inventory[[#This Row],[res_pct]]</f>
        <v>160151.51933700001</v>
      </c>
      <c r="BT264" s="7">
        <f>Wapato_Inventory[[#This Row],[land_value]]</f>
        <v>53000</v>
      </c>
      <c r="BU264" s="2">
        <f>_xlfn.IFNA(VLOOKUP(Wapato_Inventory[[#This Row],[quality]],Lookups!$A$28:$C$37,3,FALSE),1)</f>
        <v>0.96265813922927435</v>
      </c>
      <c r="BV264" s="2">
        <f>_xlfn.IFNA(VLOOKUP(Wapato_Inventory[[#This Row],[condition]],Lookups!$A$41:$C$48,3,FALSE),1)</f>
        <v>0.9832333997567807</v>
      </c>
      <c r="BW264" s="2">
        <f>IF(Wapato_Inventory[[#This Row],[decade]]="",1,_xlfn.IFNA(VLOOKUP(Wapato_Inventory[[#This Row],[decade]],Lookups!$F$28:$H$45,3,FALSE),1))</f>
        <v>1.0114203040664467</v>
      </c>
      <c r="BX264" s="2">
        <f>_xlfn.IFNA(VLOOKUP(Wapato_Inventory[[#This Row],[living_area_range]],Lookups!$K$28:$M$37,3,FALSE),1)</f>
        <v>1.0061411172456287</v>
      </c>
      <c r="BY264" s="2">
        <f>AVERAGE(Wapato_Inventory[[#This Row],[qual_adj]:[range_adj]])</f>
        <v>0.99086324007453253</v>
      </c>
      <c r="BZ264" s="7">
        <f>(Wapato_Inventory[[#This Row],[sum_land]]-IF(Wapato_Inventory[[#This Row],[no_utilities]]=1,12000,0))/IF(Wapato_Inventory[[#This Row],[unbuildable]]=1,2,1)</f>
        <v>53000</v>
      </c>
      <c r="CA264" s="7">
        <f>Wapato_Inventory[[#This Row],[pre_res]]*Wapato_Inventory[[#This Row],[overall_adj]]</f>
        <v>158688.25335311898</v>
      </c>
      <c r="CB26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64" s="3">
        <f>IF(ROUND(Wapato_Inventory[[#This Row],[adj_res]]*Lookups!$H$48,-2)&lt;Wapato_Inventory[[#This Row],[min_res]],Wapato_Inventory[[#This Row],[min_res]],ROUND(Wapato_Inventory[[#This Row],[adj_res]]*Lookups!$H$48,-2))</f>
        <v>150800</v>
      </c>
      <c r="CD264" s="3">
        <f>ROUND(Wapato_Inventory[[#This Row],[det_value]]*Lookups!$H$48,-2)</f>
        <v>4500</v>
      </c>
      <c r="CE264" s="3">
        <f>Wapato_Inventory[[#This Row],[final_res]]+Wapato_Inventory[[#This Row],[final_det]]</f>
        <v>155300</v>
      </c>
      <c r="CF264" s="3">
        <f>Wapato_Inventory[[#This Row],[crop_value]]+Wapato_Inventory[[#This Row],[final_land]]+Wapato_Inventory[[#This Row],[final_imp]]</f>
        <v>205700</v>
      </c>
      <c r="CH264" t="str">
        <f t="shared" si="4"/>
        <v>update valuation set market_land =50400, market_bldg=155300, market_total =205700, market_mdno =405, market_date ='9/10/2023' where link_id = (select link_id from parcel where parcel_year = '2024' and parcel_id = '19111041568');</v>
      </c>
    </row>
    <row r="265" spans="1:86" x14ac:dyDescent="0.25">
      <c r="A265">
        <v>19111041569</v>
      </c>
      <c r="B265">
        <v>0.14000000000000001</v>
      </c>
      <c r="C265">
        <v>6226</v>
      </c>
      <c r="D265" t="s">
        <v>144</v>
      </c>
      <c r="E265" t="s">
        <v>54</v>
      </c>
      <c r="F265" t="s">
        <v>54</v>
      </c>
      <c r="G265">
        <v>3</v>
      </c>
      <c r="H265" t="s">
        <v>55</v>
      </c>
      <c r="I265">
        <v>142300</v>
      </c>
      <c r="J265">
        <v>31900</v>
      </c>
      <c r="K265">
        <v>0.14000000000000001</v>
      </c>
      <c r="L265">
        <f>IF(Wapato_Inventory[[#This Row],[parcel_acres]]-Wapato_Inventory[[#This Row],[non_valued_acres]] =0,0,LN(Wapato_Inventory[[#This Row],[parcel_acres]]-Wapato_Inventory[[#This Row],[non_valued_acres]]))</f>
        <v>-1.9661128563728327</v>
      </c>
      <c r="M265">
        <v>0</v>
      </c>
      <c r="N265">
        <v>0</v>
      </c>
      <c r="O265">
        <v>0</v>
      </c>
      <c r="P265">
        <v>27904.037</v>
      </c>
      <c r="Q265">
        <v>74398</v>
      </c>
      <c r="R265" s="3">
        <f>(Wapato_Inventory[[#This Row],[ln_acres]]*Wapato_Inventory[[#This Row],[coeff]])+Wapato_Inventory[[#This Row],[const]]</f>
        <v>19535.514109596792</v>
      </c>
      <c r="S265" t="s">
        <v>66</v>
      </c>
      <c r="T265">
        <v>1</v>
      </c>
      <c r="U265" t="s">
        <v>78</v>
      </c>
      <c r="V265" t="s">
        <v>69</v>
      </c>
      <c r="W265">
        <v>0</v>
      </c>
      <c r="X265">
        <v>0</v>
      </c>
      <c r="Y265">
        <v>57</v>
      </c>
      <c r="Z265">
        <v>103</v>
      </c>
      <c r="AA265">
        <v>110</v>
      </c>
      <c r="AB265">
        <v>1000</v>
      </c>
      <c r="AC265">
        <v>676</v>
      </c>
      <c r="AD265">
        <v>676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5</v>
      </c>
      <c r="AQ265">
        <v>0</v>
      </c>
      <c r="AR265">
        <v>0</v>
      </c>
      <c r="AS265" t="s">
        <v>59</v>
      </c>
      <c r="AT265">
        <v>0</v>
      </c>
      <c r="AU265" t="s">
        <v>80</v>
      </c>
      <c r="AV265" t="s">
        <v>61</v>
      </c>
      <c r="AW265">
        <v>0</v>
      </c>
      <c r="AX265">
        <v>2</v>
      </c>
      <c r="AY265">
        <v>0</v>
      </c>
      <c r="AZ265">
        <v>0</v>
      </c>
      <c r="BA265">
        <v>100</v>
      </c>
      <c r="BB265">
        <v>100</v>
      </c>
      <c r="BC265">
        <v>100</v>
      </c>
      <c r="BD265">
        <v>100</v>
      </c>
      <c r="BE265">
        <v>1</v>
      </c>
      <c r="BF265">
        <v>15000</v>
      </c>
      <c r="BG265">
        <v>1000</v>
      </c>
      <c r="BH265" s="7">
        <f>ROUND(Wapato_Inventory[[#This Row],[detatched_value]]*Lookups!$B$22*Lookups!$H$48,-2)</f>
        <v>0</v>
      </c>
      <c r="BI265" s="7">
        <f>ROUND(((Wapato_Inventory[[#This Row],[land_extract]]*Lookups!$B$3) +(Lookups!$B$2*0.5))*Lookups!$H$48,-2)</f>
        <v>53000</v>
      </c>
      <c r="BJ265" s="7">
        <f>IF(Wapato_Inventory[[#This Row],[bldg_style]]="",0,Lookups!$B$2*0.5)</f>
        <v>53765.27</v>
      </c>
      <c r="BK265" s="7">
        <f>_xlfn.IFNA(VLOOKUP(Wapato_Inventory[[#This Row],[quality]],Lookups!$H$2:$J$14,3,FALSE),0)</f>
        <v>23424</v>
      </c>
      <c r="BL265" s="7">
        <f>_xlfn.IFNA(VLOOKUP(Wapato_Inventory[[#This Row],[condition]],Lookups!$H$17:$J$24,3,FALSE),0)</f>
        <v>74543</v>
      </c>
      <c r="BM265" s="7">
        <f>Wapato_Inventory[[#This Row],[Age]]*Lookups!$B$16</f>
        <v>-38179.597099999999</v>
      </c>
      <c r="BN265" s="7">
        <f>Wapato_Inventory[[#This Row],[Main Floor]]*Lookups!$B$17</f>
        <v>28257.299564000001</v>
      </c>
      <c r="BO265" s="7">
        <f>Wapato_Inventory[[#This Row],[Upper Floor]]*Lookups!$B$18</f>
        <v>0</v>
      </c>
      <c r="BP265" s="7">
        <f>Wapato_Inventory[[#This Row],[Fin BSMT]]*Lookups!$B$19</f>
        <v>0</v>
      </c>
      <c r="BQ265" s="7">
        <f>(Wapato_Inventory[[#This Row],[att_gar]]+Wapato_Inventory[[#This Row],[blt_gar]])*Lookups!$B$20</f>
        <v>0</v>
      </c>
      <c r="BR265" s="7">
        <f>Wapato_Inventory[[#This Row],[Patio]]*Lookups!$B$21</f>
        <v>0</v>
      </c>
      <c r="BS265" s="7">
        <f>SUM(Wapato_Inventory[[#This Row],[intercept]:[patio_value]])*Wapato_Inventory[[#This Row],[res_pct]]</f>
        <v>141809.97246399999</v>
      </c>
      <c r="BT265" s="7">
        <f>Wapato_Inventory[[#This Row],[land_value]]</f>
        <v>53000</v>
      </c>
      <c r="BU265" s="2">
        <f>_xlfn.IFNA(VLOOKUP(Wapato_Inventory[[#This Row],[quality]],Lookups!$A$28:$C$37,3,FALSE),1)</f>
        <v>1.0091195562373767</v>
      </c>
      <c r="BV265" s="2">
        <f>_xlfn.IFNA(VLOOKUP(Wapato_Inventory[[#This Row],[condition]],Lookups!$A$41:$C$48,3,FALSE),1)</f>
        <v>0.98442438223270734</v>
      </c>
      <c r="BW265" s="2">
        <f>IF(Wapato_Inventory[[#This Row],[decade]]="",1,_xlfn.IFNA(VLOOKUP(Wapato_Inventory[[#This Row],[decade]],Lookups!$F$28:$H$45,3,FALSE),1))</f>
        <v>0.93664589651353292</v>
      </c>
      <c r="BX265" s="2">
        <f>_xlfn.IFNA(VLOOKUP(Wapato_Inventory[[#This Row],[living_area_range]],Lookups!$K$28:$M$37,3,FALSE),1)</f>
        <v>0.99022994770196116</v>
      </c>
      <c r="BY265" s="2">
        <f>AVERAGE(Wapato_Inventory[[#This Row],[qual_adj]:[range_adj]])</f>
        <v>0.9801049456713945</v>
      </c>
      <c r="BZ265" s="7">
        <f>(Wapato_Inventory[[#This Row],[sum_land]]-IF(Wapato_Inventory[[#This Row],[no_utilities]]=1,12000,0))/IF(Wapato_Inventory[[#This Row],[unbuildable]]=1,2,1)</f>
        <v>53000</v>
      </c>
      <c r="CA265" s="7">
        <f>Wapato_Inventory[[#This Row],[pre_res]]*Wapato_Inventory[[#This Row],[overall_adj]]</f>
        <v>138988.65535749067</v>
      </c>
      <c r="CB26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65" s="3">
        <f>IF(ROUND(Wapato_Inventory[[#This Row],[adj_res]]*Lookups!$H$48,-2)&lt;Wapato_Inventory[[#This Row],[min_res]],Wapato_Inventory[[#This Row],[min_res]],ROUND(Wapato_Inventory[[#This Row],[adj_res]]*Lookups!$H$48,-2))</f>
        <v>132000</v>
      </c>
      <c r="CD265" s="3">
        <f>ROUND(Wapato_Inventory[[#This Row],[det_value]]*Lookups!$H$48,-2)</f>
        <v>0</v>
      </c>
      <c r="CE265" s="3">
        <f>Wapato_Inventory[[#This Row],[final_res]]+Wapato_Inventory[[#This Row],[final_det]]</f>
        <v>132000</v>
      </c>
      <c r="CF265" s="3">
        <f>Wapato_Inventory[[#This Row],[crop_value]]+Wapato_Inventory[[#This Row],[final_land]]+Wapato_Inventory[[#This Row],[final_imp]]</f>
        <v>182400</v>
      </c>
      <c r="CH265" t="str">
        <f t="shared" si="4"/>
        <v>update valuation set market_land =50400, market_bldg=132000, market_total =182400, market_mdno =405, market_date ='9/10/2023' where link_id = (select link_id from parcel where parcel_year = '2024' and parcel_id = '19111041569');</v>
      </c>
    </row>
    <row r="266" spans="1:86" x14ac:dyDescent="0.25">
      <c r="A266">
        <v>19111041571</v>
      </c>
      <c r="B266">
        <v>0.14000000000000001</v>
      </c>
      <c r="C266">
        <v>6226</v>
      </c>
      <c r="D266" t="s">
        <v>144</v>
      </c>
      <c r="E266" t="s">
        <v>54</v>
      </c>
      <c r="F266" t="s">
        <v>54</v>
      </c>
      <c r="G266">
        <v>3</v>
      </c>
      <c r="H266" t="s">
        <v>55</v>
      </c>
      <c r="I266">
        <v>13300</v>
      </c>
      <c r="J266">
        <v>31900</v>
      </c>
      <c r="K266">
        <v>0.14000000000000001</v>
      </c>
      <c r="L266">
        <f>IF(Wapato_Inventory[[#This Row],[parcel_acres]]-Wapato_Inventory[[#This Row],[non_valued_acres]] =0,0,LN(Wapato_Inventory[[#This Row],[parcel_acres]]-Wapato_Inventory[[#This Row],[non_valued_acres]]))</f>
        <v>-1.9661128563728327</v>
      </c>
      <c r="M266">
        <v>0</v>
      </c>
      <c r="N266">
        <v>0</v>
      </c>
      <c r="O266">
        <v>0</v>
      </c>
      <c r="P266">
        <v>27904.037</v>
      </c>
      <c r="Q266">
        <v>74398</v>
      </c>
      <c r="R266" s="3">
        <f>(Wapato_Inventory[[#This Row],[ln_acres]]*Wapato_Inventory[[#This Row],[coeff]])+Wapato_Inventory[[#This Row],[const]]</f>
        <v>19535.514109596792</v>
      </c>
      <c r="S266" t="s">
        <v>66</v>
      </c>
      <c r="T266">
        <v>1</v>
      </c>
      <c r="U266" t="s">
        <v>71</v>
      </c>
      <c r="V266" t="s">
        <v>111</v>
      </c>
      <c r="W266">
        <v>0</v>
      </c>
      <c r="X266">
        <v>0</v>
      </c>
      <c r="Y266">
        <v>57</v>
      </c>
      <c r="Z266">
        <v>103</v>
      </c>
      <c r="AA266">
        <v>110</v>
      </c>
      <c r="AB266">
        <v>1000</v>
      </c>
      <c r="AC266">
        <v>796</v>
      </c>
      <c r="AD266">
        <v>796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4</v>
      </c>
      <c r="AQ266">
        <v>0</v>
      </c>
      <c r="AR266">
        <v>0</v>
      </c>
      <c r="AS266" t="s">
        <v>59</v>
      </c>
      <c r="AT266">
        <v>0</v>
      </c>
      <c r="AU266" t="s">
        <v>80</v>
      </c>
      <c r="AV266" t="s">
        <v>77</v>
      </c>
      <c r="AW266">
        <v>0</v>
      </c>
      <c r="AX266">
        <v>2</v>
      </c>
      <c r="AY266">
        <v>0</v>
      </c>
      <c r="AZ266">
        <v>0</v>
      </c>
      <c r="BA266">
        <v>100</v>
      </c>
      <c r="BB266">
        <v>100</v>
      </c>
      <c r="BC266">
        <v>100</v>
      </c>
      <c r="BD266">
        <v>100</v>
      </c>
      <c r="BE266">
        <v>1</v>
      </c>
      <c r="BF266">
        <v>15000</v>
      </c>
      <c r="BG266">
        <v>1000</v>
      </c>
      <c r="BH266" s="7">
        <f>ROUND(Wapato_Inventory[[#This Row],[detatched_value]]*Lookups!$B$22*Lookups!$H$48,-2)</f>
        <v>0</v>
      </c>
      <c r="BI266" s="7">
        <f>ROUND(((Wapato_Inventory[[#This Row],[land_extract]]*Lookups!$B$3) +(Lookups!$B$2*0.5))*Lookups!$H$48,-2)</f>
        <v>53000</v>
      </c>
      <c r="BJ266" s="7">
        <f>IF(Wapato_Inventory[[#This Row],[bldg_style]]="",0,Lookups!$B$2*0.5)</f>
        <v>53765.27</v>
      </c>
      <c r="BK266" s="7">
        <f>_xlfn.IFNA(VLOOKUP(Wapato_Inventory[[#This Row],[quality]],Lookups!$H$2:$J$14,3,FALSE),0)</f>
        <v>28034</v>
      </c>
      <c r="BL266" s="7">
        <f>_xlfn.IFNA(VLOOKUP(Wapato_Inventory[[#This Row],[condition]],Lookups!$H$17:$J$24,3,FALSE),0)</f>
        <v>-25449</v>
      </c>
      <c r="BM266" s="7">
        <f>Wapato_Inventory[[#This Row],[Age]]*Lookups!$B$16</f>
        <v>-38179.597099999999</v>
      </c>
      <c r="BN266" s="7">
        <f>Wapato_Inventory[[#This Row],[Main Floor]]*Lookups!$B$17</f>
        <v>33273.388244000002</v>
      </c>
      <c r="BO266" s="7">
        <f>Wapato_Inventory[[#This Row],[Upper Floor]]*Lookups!$B$18</f>
        <v>0</v>
      </c>
      <c r="BP266" s="7">
        <f>Wapato_Inventory[[#This Row],[Fin BSMT]]*Lookups!$B$19</f>
        <v>0</v>
      </c>
      <c r="BQ266" s="7">
        <f>(Wapato_Inventory[[#This Row],[att_gar]]+Wapato_Inventory[[#This Row],[blt_gar]])*Lookups!$B$20</f>
        <v>0</v>
      </c>
      <c r="BR266" s="7">
        <f>Wapato_Inventory[[#This Row],[Patio]]*Lookups!$B$21</f>
        <v>0</v>
      </c>
      <c r="BS266" s="7">
        <f>SUM(Wapato_Inventory[[#This Row],[intercept]:[patio_value]])*Wapato_Inventory[[#This Row],[res_pct]]</f>
        <v>51444.061143999992</v>
      </c>
      <c r="BT266" s="7">
        <f>Wapato_Inventory[[#This Row],[land_value]]</f>
        <v>53000</v>
      </c>
      <c r="BU266" s="2">
        <f>_xlfn.IFNA(VLOOKUP(Wapato_Inventory[[#This Row],[quality]],Lookups!$A$28:$C$37,3,FALSE),1)</f>
        <v>0.96265813922927435</v>
      </c>
      <c r="BV266" s="2">
        <f>_xlfn.IFNA(VLOOKUP(Wapato_Inventory[[#This Row],[condition]],Lookups!$A$41:$C$48,3,FALSE),1)</f>
        <v>1.0000035546274355</v>
      </c>
      <c r="BW266" s="2">
        <f>IF(Wapato_Inventory[[#This Row],[decade]]="",1,_xlfn.IFNA(VLOOKUP(Wapato_Inventory[[#This Row],[decade]],Lookups!$F$28:$H$45,3,FALSE),1))</f>
        <v>0.93664589651353292</v>
      </c>
      <c r="BX266" s="2">
        <f>_xlfn.IFNA(VLOOKUP(Wapato_Inventory[[#This Row],[living_area_range]],Lookups!$K$28:$M$37,3,FALSE),1)</f>
        <v>0.99022994770196116</v>
      </c>
      <c r="BY266" s="2">
        <f>AVERAGE(Wapato_Inventory[[#This Row],[qual_adj]:[range_adj]])</f>
        <v>0.97238438451805098</v>
      </c>
      <c r="BZ266" s="7">
        <f>(Wapato_Inventory[[#This Row],[sum_land]]-IF(Wapato_Inventory[[#This Row],[no_utilities]]=1,12000,0))/IF(Wapato_Inventory[[#This Row],[unbuildable]]=1,2,1)</f>
        <v>53000</v>
      </c>
      <c r="CA266" s="7">
        <f>Wapato_Inventory[[#This Row],[pre_res]]*Wapato_Inventory[[#This Row],[overall_adj]]</f>
        <v>50023.401732617414</v>
      </c>
      <c r="CB26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66" s="3">
        <f>IF(ROUND(Wapato_Inventory[[#This Row],[adj_res]]*Lookups!$H$48,-2)&lt;Wapato_Inventory[[#This Row],[min_res]],Wapato_Inventory[[#This Row],[min_res]],ROUND(Wapato_Inventory[[#This Row],[adj_res]]*Lookups!$H$48,-2))</f>
        <v>47500</v>
      </c>
      <c r="CD266" s="3">
        <f>ROUND(Wapato_Inventory[[#This Row],[det_value]]*Lookups!$H$48,-2)</f>
        <v>0</v>
      </c>
      <c r="CE266" s="3">
        <f>Wapato_Inventory[[#This Row],[final_res]]+Wapato_Inventory[[#This Row],[final_det]]</f>
        <v>47500</v>
      </c>
      <c r="CF266" s="3">
        <f>Wapato_Inventory[[#This Row],[crop_value]]+Wapato_Inventory[[#This Row],[final_land]]+Wapato_Inventory[[#This Row],[final_imp]]</f>
        <v>97900</v>
      </c>
      <c r="CH266" t="str">
        <f t="shared" si="4"/>
        <v>update valuation set market_land =50400, market_bldg=47500, market_total =97900, market_mdno =405, market_date ='9/10/2023' where link_id = (select link_id from parcel where parcel_year = '2024' and parcel_id = '19111041571');</v>
      </c>
    </row>
    <row r="267" spans="1:86" x14ac:dyDescent="0.25">
      <c r="A267">
        <v>19111041572</v>
      </c>
      <c r="B267">
        <v>0.14000000000000001</v>
      </c>
      <c r="C267">
        <v>6226</v>
      </c>
      <c r="D267" t="s">
        <v>144</v>
      </c>
      <c r="E267" t="s">
        <v>54</v>
      </c>
      <c r="F267" t="s">
        <v>54</v>
      </c>
      <c r="G267">
        <v>3</v>
      </c>
      <c r="H267" t="s">
        <v>55</v>
      </c>
      <c r="I267">
        <v>206900</v>
      </c>
      <c r="J267">
        <v>31900</v>
      </c>
      <c r="K267">
        <v>0.14000000000000001</v>
      </c>
      <c r="L267">
        <f>IF(Wapato_Inventory[[#This Row],[parcel_acres]]-Wapato_Inventory[[#This Row],[non_valued_acres]] =0,0,LN(Wapato_Inventory[[#This Row],[parcel_acres]]-Wapato_Inventory[[#This Row],[non_valued_acres]]))</f>
        <v>-1.9661128563728327</v>
      </c>
      <c r="M267">
        <v>0</v>
      </c>
      <c r="N267">
        <v>0</v>
      </c>
      <c r="O267">
        <v>0</v>
      </c>
      <c r="P267">
        <v>27904.037</v>
      </c>
      <c r="Q267">
        <v>74398</v>
      </c>
      <c r="R267" s="3">
        <f>(Wapato_Inventory[[#This Row],[ln_acres]]*Wapato_Inventory[[#This Row],[coeff]])+Wapato_Inventory[[#This Row],[const]]</f>
        <v>19535.514109596792</v>
      </c>
      <c r="S267" t="s">
        <v>66</v>
      </c>
      <c r="T267">
        <v>1</v>
      </c>
      <c r="U267" t="s">
        <v>75</v>
      </c>
      <c r="V267" t="s">
        <v>69</v>
      </c>
      <c r="W267">
        <v>0</v>
      </c>
      <c r="X267">
        <v>0</v>
      </c>
      <c r="Y267">
        <v>55</v>
      </c>
      <c r="Z267">
        <v>98</v>
      </c>
      <c r="AA267">
        <v>100</v>
      </c>
      <c r="AB267">
        <v>2000</v>
      </c>
      <c r="AC267">
        <v>1524</v>
      </c>
      <c r="AD267">
        <v>1524</v>
      </c>
      <c r="AE267">
        <v>0</v>
      </c>
      <c r="AF267">
        <v>0</v>
      </c>
      <c r="AG267">
        <v>0</v>
      </c>
      <c r="AH267">
        <v>100</v>
      </c>
      <c r="AI267">
        <v>0</v>
      </c>
      <c r="AJ267">
        <v>0</v>
      </c>
      <c r="AK267">
        <v>264</v>
      </c>
      <c r="AL267">
        <v>224</v>
      </c>
      <c r="AM267">
        <v>96</v>
      </c>
      <c r="AN267">
        <v>0</v>
      </c>
      <c r="AO267">
        <v>0</v>
      </c>
      <c r="AP267">
        <v>7</v>
      </c>
      <c r="AQ267">
        <v>0</v>
      </c>
      <c r="AR267">
        <v>0</v>
      </c>
      <c r="AS267" t="s">
        <v>59</v>
      </c>
      <c r="AT267">
        <v>1</v>
      </c>
      <c r="AU267" t="s">
        <v>64</v>
      </c>
      <c r="AV267" t="s">
        <v>65</v>
      </c>
      <c r="AW267">
        <v>1</v>
      </c>
      <c r="AX267">
        <v>3</v>
      </c>
      <c r="AY267">
        <v>0</v>
      </c>
      <c r="AZ267">
        <v>0</v>
      </c>
      <c r="BA267">
        <v>100</v>
      </c>
      <c r="BB267">
        <v>100</v>
      </c>
      <c r="BC267">
        <v>100</v>
      </c>
      <c r="BD267">
        <v>100</v>
      </c>
      <c r="BE267">
        <v>1</v>
      </c>
      <c r="BF267">
        <v>15000</v>
      </c>
      <c r="BG267">
        <v>1000</v>
      </c>
      <c r="BH267" s="7">
        <f>ROUND(Wapato_Inventory[[#This Row],[detatched_value]]*Lookups!$B$22*Lookups!$H$48,-2)</f>
        <v>0</v>
      </c>
      <c r="BI267" s="7">
        <f>ROUND(((Wapato_Inventory[[#This Row],[land_extract]]*Lookups!$B$3) +(Lookups!$B$2*0.5))*Lookups!$H$48,-2)</f>
        <v>53000</v>
      </c>
      <c r="BJ267" s="7">
        <f>IF(Wapato_Inventory[[#This Row],[bldg_style]]="",0,Lookups!$B$2*0.5)</f>
        <v>53765.27</v>
      </c>
      <c r="BK267" s="7">
        <f>_xlfn.IFNA(VLOOKUP(Wapato_Inventory[[#This Row],[quality]],Lookups!$H$2:$J$14,3,FALSE),0)</f>
        <v>48043</v>
      </c>
      <c r="BL267" s="7">
        <f>_xlfn.IFNA(VLOOKUP(Wapato_Inventory[[#This Row],[condition]],Lookups!$H$17:$J$24,3,FALSE),0)</f>
        <v>74543</v>
      </c>
      <c r="BM267" s="7">
        <f>Wapato_Inventory[[#This Row],[Age]]*Lookups!$B$16</f>
        <v>-36326.2186</v>
      </c>
      <c r="BN267" s="7">
        <f>Wapato_Inventory[[#This Row],[Main Floor]]*Lookups!$B$17</f>
        <v>63704.326236000001</v>
      </c>
      <c r="BO267" s="7">
        <f>Wapato_Inventory[[#This Row],[Upper Floor]]*Lookups!$B$18</f>
        <v>0</v>
      </c>
      <c r="BP267" s="7">
        <f>Wapato_Inventory[[#This Row],[Fin BSMT]]*Lookups!$B$19</f>
        <v>0</v>
      </c>
      <c r="BQ267" s="7">
        <f>(Wapato_Inventory[[#This Row],[att_gar]]+Wapato_Inventory[[#This Row],[blt_gar]])*Lookups!$B$20</f>
        <v>0</v>
      </c>
      <c r="BR267" s="7">
        <f>Wapato_Inventory[[#This Row],[Patio]]*Lookups!$B$21</f>
        <v>4159.1019839999999</v>
      </c>
      <c r="BS267" s="7">
        <f>SUM(Wapato_Inventory[[#This Row],[intercept]:[patio_value]])*Wapato_Inventory[[#This Row],[res_pct]]</f>
        <v>207888.47962</v>
      </c>
      <c r="BT267" s="7">
        <f>Wapato_Inventory[[#This Row],[land_value]]</f>
        <v>53000</v>
      </c>
      <c r="BU267" s="2">
        <f>_xlfn.IFNA(VLOOKUP(Wapato_Inventory[[#This Row],[quality]],Lookups!$A$28:$C$37,3,FALSE),1)</f>
        <v>0.98196844879778955</v>
      </c>
      <c r="BV267" s="2">
        <f>_xlfn.IFNA(VLOOKUP(Wapato_Inventory[[#This Row],[condition]],Lookups!$A$41:$C$48,3,FALSE),1)</f>
        <v>0.98442438223270734</v>
      </c>
      <c r="BW267" s="2">
        <f>IF(Wapato_Inventory[[#This Row],[decade]]="",1,_xlfn.IFNA(VLOOKUP(Wapato_Inventory[[#This Row],[decade]],Lookups!$F$28:$H$45,3,FALSE),1))</f>
        <v>1.0114203040664467</v>
      </c>
      <c r="BX267" s="2">
        <f>_xlfn.IFNA(VLOOKUP(Wapato_Inventory[[#This Row],[living_area_range]],Lookups!$K$28:$M$37,3,FALSE),1)</f>
        <v>0.99330894324714125</v>
      </c>
      <c r="BY267" s="2">
        <f>AVERAGE(Wapato_Inventory[[#This Row],[qual_adj]:[range_adj]])</f>
        <v>0.9927805195860212</v>
      </c>
      <c r="BZ267" s="7">
        <f>(Wapato_Inventory[[#This Row],[sum_land]]-IF(Wapato_Inventory[[#This Row],[no_utilities]]=1,12000,0))/IF(Wapato_Inventory[[#This Row],[unbuildable]]=1,2,1)</f>
        <v>53000</v>
      </c>
      <c r="CA267" s="7">
        <f>Wapato_Inventory[[#This Row],[pre_res]]*Wapato_Inventory[[#This Row],[overall_adj]]</f>
        <v>206387.63281309156</v>
      </c>
      <c r="CB26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67" s="3">
        <f>IF(ROUND(Wapato_Inventory[[#This Row],[adj_res]]*Lookups!$H$48,-2)&lt;Wapato_Inventory[[#This Row],[min_res]],Wapato_Inventory[[#This Row],[min_res]],ROUND(Wapato_Inventory[[#This Row],[adj_res]]*Lookups!$H$48,-2))</f>
        <v>196100</v>
      </c>
      <c r="CD267" s="3">
        <f>ROUND(Wapato_Inventory[[#This Row],[det_value]]*Lookups!$H$48,-2)</f>
        <v>0</v>
      </c>
      <c r="CE267" s="3">
        <f>Wapato_Inventory[[#This Row],[final_res]]+Wapato_Inventory[[#This Row],[final_det]]</f>
        <v>196100</v>
      </c>
      <c r="CF267" s="3">
        <f>Wapato_Inventory[[#This Row],[crop_value]]+Wapato_Inventory[[#This Row],[final_land]]+Wapato_Inventory[[#This Row],[final_imp]]</f>
        <v>246500</v>
      </c>
      <c r="CH267" t="str">
        <f t="shared" si="4"/>
        <v>update valuation set market_land =50400, market_bldg=196100, market_total =246500, market_mdno =405, market_date ='9/10/2023' where link_id = (select link_id from parcel where parcel_year = '2024' and parcel_id = '19111041572');</v>
      </c>
    </row>
    <row r="268" spans="1:86" x14ac:dyDescent="0.25">
      <c r="A268">
        <v>19111041573</v>
      </c>
      <c r="B268">
        <v>0.12</v>
      </c>
      <c r="C268">
        <v>5192</v>
      </c>
      <c r="D268" t="s">
        <v>144</v>
      </c>
      <c r="E268" t="s">
        <v>54</v>
      </c>
      <c r="F268" t="s">
        <v>54</v>
      </c>
      <c r="G268">
        <v>3</v>
      </c>
      <c r="H268" t="s">
        <v>55</v>
      </c>
      <c r="I268">
        <v>153900</v>
      </c>
      <c r="J268">
        <v>30800</v>
      </c>
      <c r="K268">
        <v>0.12</v>
      </c>
      <c r="L268">
        <f>IF(Wapato_Inventory[[#This Row],[parcel_acres]]-Wapato_Inventory[[#This Row],[non_valued_acres]] =0,0,LN(Wapato_Inventory[[#This Row],[parcel_acres]]-Wapato_Inventory[[#This Row],[non_valued_acres]]))</f>
        <v>-2.120263536200091</v>
      </c>
      <c r="M268">
        <v>0</v>
      </c>
      <c r="N268">
        <v>0</v>
      </c>
      <c r="O268">
        <v>0</v>
      </c>
      <c r="P268">
        <v>27904.037</v>
      </c>
      <c r="Q268">
        <v>74398</v>
      </c>
      <c r="R268" s="3">
        <f>(Wapato_Inventory[[#This Row],[ln_acres]]*Wapato_Inventory[[#This Row],[coeff]])+Wapato_Inventory[[#This Row],[const]]</f>
        <v>15234.08783612182</v>
      </c>
      <c r="S268" t="s">
        <v>66</v>
      </c>
      <c r="T268">
        <v>1</v>
      </c>
      <c r="U268" t="s">
        <v>75</v>
      </c>
      <c r="V268" t="s">
        <v>69</v>
      </c>
      <c r="W268">
        <v>0</v>
      </c>
      <c r="X268">
        <v>0</v>
      </c>
      <c r="Y268">
        <v>57</v>
      </c>
      <c r="Z268">
        <v>103</v>
      </c>
      <c r="AA268">
        <v>110</v>
      </c>
      <c r="AB268">
        <v>1000</v>
      </c>
      <c r="AC268">
        <v>777</v>
      </c>
      <c r="AD268">
        <v>777</v>
      </c>
      <c r="AE268">
        <v>0</v>
      </c>
      <c r="AF268">
        <v>0</v>
      </c>
      <c r="AG268">
        <v>0</v>
      </c>
      <c r="AH268">
        <v>200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5</v>
      </c>
      <c r="AQ268">
        <v>0</v>
      </c>
      <c r="AR268">
        <v>0</v>
      </c>
      <c r="AS268" t="s">
        <v>59</v>
      </c>
      <c r="AT268">
        <v>0</v>
      </c>
      <c r="AU268" t="s">
        <v>80</v>
      </c>
      <c r="AV268" t="s">
        <v>77</v>
      </c>
      <c r="AW268">
        <v>0</v>
      </c>
      <c r="AX268">
        <v>2</v>
      </c>
      <c r="AY268">
        <v>0</v>
      </c>
      <c r="AZ268">
        <v>1300</v>
      </c>
      <c r="BA268">
        <v>100</v>
      </c>
      <c r="BB268">
        <v>100</v>
      </c>
      <c r="BC268">
        <v>100</v>
      </c>
      <c r="BD268">
        <v>100</v>
      </c>
      <c r="BE268">
        <v>1</v>
      </c>
      <c r="BF268">
        <v>15000</v>
      </c>
      <c r="BG268">
        <v>1000</v>
      </c>
      <c r="BH268" s="7">
        <f>ROUND(Wapato_Inventory[[#This Row],[detatched_value]]*Lookups!$B$22*Lookups!$H$48,-2)</f>
        <v>1200</v>
      </c>
      <c r="BI268" s="7">
        <f>ROUND(((Wapato_Inventory[[#This Row],[land_extract]]*Lookups!$B$3) +(Lookups!$B$2*0.5))*Lookups!$H$48,-2)</f>
        <v>52500</v>
      </c>
      <c r="BJ268" s="7">
        <f>IF(Wapato_Inventory[[#This Row],[bldg_style]]="",0,Lookups!$B$2*0.5)</f>
        <v>53765.27</v>
      </c>
      <c r="BK268" s="7">
        <f>_xlfn.IFNA(VLOOKUP(Wapato_Inventory[[#This Row],[quality]],Lookups!$H$2:$J$14,3,FALSE),0)</f>
        <v>48043</v>
      </c>
      <c r="BL268" s="7">
        <f>_xlfn.IFNA(VLOOKUP(Wapato_Inventory[[#This Row],[condition]],Lookups!$H$17:$J$24,3,FALSE),0)</f>
        <v>74543</v>
      </c>
      <c r="BM268" s="7">
        <f>Wapato_Inventory[[#This Row],[Age]]*Lookups!$B$16</f>
        <v>-38179.597099999999</v>
      </c>
      <c r="BN268" s="7">
        <f>Wapato_Inventory[[#This Row],[Main Floor]]*Lookups!$B$17</f>
        <v>32479.174202999999</v>
      </c>
      <c r="BO268" s="7">
        <f>Wapato_Inventory[[#This Row],[Upper Floor]]*Lookups!$B$18</f>
        <v>0</v>
      </c>
      <c r="BP268" s="7">
        <f>Wapato_Inventory[[#This Row],[Fin BSMT]]*Lookups!$B$19</f>
        <v>0</v>
      </c>
      <c r="BQ268" s="7">
        <f>(Wapato_Inventory[[#This Row],[att_gar]]+Wapato_Inventory[[#This Row],[blt_gar]])*Lookups!$B$20</f>
        <v>0</v>
      </c>
      <c r="BR268" s="7">
        <f>Wapato_Inventory[[#This Row],[Patio]]*Lookups!$B$21</f>
        <v>0</v>
      </c>
      <c r="BS268" s="7">
        <f>SUM(Wapato_Inventory[[#This Row],[intercept]:[patio_value]])*Wapato_Inventory[[#This Row],[res_pct]]</f>
        <v>170650.84710300001</v>
      </c>
      <c r="BT268" s="7">
        <f>Wapato_Inventory[[#This Row],[land_value]]</f>
        <v>52500</v>
      </c>
      <c r="BU268" s="2">
        <f>_xlfn.IFNA(VLOOKUP(Wapato_Inventory[[#This Row],[quality]],Lookups!$A$28:$C$37,3,FALSE),1)</f>
        <v>0.98196844879778955</v>
      </c>
      <c r="BV268" s="2">
        <f>_xlfn.IFNA(VLOOKUP(Wapato_Inventory[[#This Row],[condition]],Lookups!$A$41:$C$48,3,FALSE),1)</f>
        <v>0.98442438223270734</v>
      </c>
      <c r="BW268" s="2">
        <f>IF(Wapato_Inventory[[#This Row],[decade]]="",1,_xlfn.IFNA(VLOOKUP(Wapato_Inventory[[#This Row],[decade]],Lookups!$F$28:$H$45,3,FALSE),1))</f>
        <v>0.93664589651353292</v>
      </c>
      <c r="BX268" s="2">
        <f>_xlfn.IFNA(VLOOKUP(Wapato_Inventory[[#This Row],[living_area_range]],Lookups!$K$28:$M$37,3,FALSE),1)</f>
        <v>0.99022994770196116</v>
      </c>
      <c r="BY268" s="2">
        <f>AVERAGE(Wapato_Inventory[[#This Row],[qual_adj]:[range_adj]])</f>
        <v>0.97331716881149777</v>
      </c>
      <c r="BZ268" s="7">
        <f>(Wapato_Inventory[[#This Row],[sum_land]]-IF(Wapato_Inventory[[#This Row],[no_utilities]]=1,12000,0))/IF(Wapato_Inventory[[#This Row],[unbuildable]]=1,2,1)</f>
        <v>52500</v>
      </c>
      <c r="CA268" s="7">
        <f>Wapato_Inventory[[#This Row],[pre_res]]*Wapato_Inventory[[#This Row],[overall_adj]]</f>
        <v>166097.39935757575</v>
      </c>
      <c r="CB268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268" s="3">
        <f>IF(ROUND(Wapato_Inventory[[#This Row],[adj_res]]*Lookups!$H$48,-2)&lt;Wapato_Inventory[[#This Row],[min_res]],Wapato_Inventory[[#This Row],[min_res]],ROUND(Wapato_Inventory[[#This Row],[adj_res]]*Lookups!$H$48,-2))</f>
        <v>157800</v>
      </c>
      <c r="CD268" s="3">
        <f>ROUND(Wapato_Inventory[[#This Row],[det_value]]*Lookups!$H$48,-2)</f>
        <v>1100</v>
      </c>
      <c r="CE268" s="3">
        <f>Wapato_Inventory[[#This Row],[final_res]]+Wapato_Inventory[[#This Row],[final_det]]</f>
        <v>158900</v>
      </c>
      <c r="CF268" s="3">
        <f>Wapato_Inventory[[#This Row],[crop_value]]+Wapato_Inventory[[#This Row],[final_land]]+Wapato_Inventory[[#This Row],[final_imp]]</f>
        <v>208800</v>
      </c>
      <c r="CH268" t="str">
        <f t="shared" si="4"/>
        <v>update valuation set market_land =49900, market_bldg=158900, market_total =208800, market_mdno =405, market_date ='9/10/2023' where link_id = (select link_id from parcel where parcel_year = '2024' and parcel_id = '19111041573');</v>
      </c>
    </row>
    <row r="269" spans="1:86" x14ac:dyDescent="0.25">
      <c r="A269">
        <v>19111041575</v>
      </c>
      <c r="B269">
        <v>0.15</v>
      </c>
      <c r="C269">
        <v>6451</v>
      </c>
      <c r="D269" t="s">
        <v>144</v>
      </c>
      <c r="E269" t="s">
        <v>54</v>
      </c>
      <c r="F269" t="s">
        <v>54</v>
      </c>
      <c r="G269">
        <v>3</v>
      </c>
      <c r="H269" t="s">
        <v>55</v>
      </c>
      <c r="I269">
        <v>175700</v>
      </c>
      <c r="J269">
        <v>32300</v>
      </c>
      <c r="K269">
        <v>0.15</v>
      </c>
      <c r="L269">
        <f>IF(Wapato_Inventory[[#This Row],[parcel_acres]]-Wapato_Inventory[[#This Row],[non_valued_acres]] =0,0,LN(Wapato_Inventory[[#This Row],[parcel_acres]]-Wapato_Inventory[[#This Row],[non_valued_acres]]))</f>
        <v>-1.8971199848858813</v>
      </c>
      <c r="M269">
        <v>0</v>
      </c>
      <c r="N269">
        <v>0</v>
      </c>
      <c r="O269">
        <v>0</v>
      </c>
      <c r="P269">
        <v>27904.037</v>
      </c>
      <c r="Q269">
        <v>74398</v>
      </c>
      <c r="R269" s="3">
        <f>(Wapato_Inventory[[#This Row],[ln_acres]]*Wapato_Inventory[[#This Row],[coeff]])+Wapato_Inventory[[#This Row],[const]]</f>
        <v>21460.693748304926</v>
      </c>
      <c r="S269" t="s">
        <v>62</v>
      </c>
      <c r="T269">
        <v>1</v>
      </c>
      <c r="U269" t="s">
        <v>75</v>
      </c>
      <c r="V269" t="s">
        <v>68</v>
      </c>
      <c r="W269">
        <v>0</v>
      </c>
      <c r="X269">
        <v>0</v>
      </c>
      <c r="Y269">
        <v>45</v>
      </c>
      <c r="Z269">
        <v>51</v>
      </c>
      <c r="AA269">
        <v>60</v>
      </c>
      <c r="AB269">
        <v>1500</v>
      </c>
      <c r="AC269">
        <v>1248</v>
      </c>
      <c r="AD269">
        <v>1248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5</v>
      </c>
      <c r="AQ269">
        <v>0</v>
      </c>
      <c r="AR269">
        <v>1</v>
      </c>
      <c r="AS269" t="s">
        <v>59</v>
      </c>
      <c r="AT269">
        <v>1</v>
      </c>
      <c r="AU269" t="s">
        <v>72</v>
      </c>
      <c r="AV269" t="s">
        <v>61</v>
      </c>
      <c r="AW269">
        <v>0</v>
      </c>
      <c r="AX269">
        <v>3</v>
      </c>
      <c r="AY269">
        <v>0</v>
      </c>
      <c r="AZ269">
        <v>0</v>
      </c>
      <c r="BA269">
        <v>100</v>
      </c>
      <c r="BB269">
        <v>100</v>
      </c>
      <c r="BC269">
        <v>100</v>
      </c>
      <c r="BD269">
        <v>100</v>
      </c>
      <c r="BE269">
        <v>1</v>
      </c>
      <c r="BF269">
        <v>15000</v>
      </c>
      <c r="BG269">
        <v>1000</v>
      </c>
      <c r="BH269" s="7">
        <f>ROUND(Wapato_Inventory[[#This Row],[detatched_value]]*Lookups!$B$22*Lookups!$H$48,-2)</f>
        <v>0</v>
      </c>
      <c r="BI269" s="7">
        <f>ROUND(((Wapato_Inventory[[#This Row],[land_extract]]*Lookups!$B$3) +(Lookups!$B$2*0.5))*Lookups!$H$48,-2)</f>
        <v>53100</v>
      </c>
      <c r="BJ269" s="7">
        <f>IF(Wapato_Inventory[[#This Row],[bldg_style]]="",0,Lookups!$B$2*0.5)</f>
        <v>53765.27</v>
      </c>
      <c r="BK269" s="7">
        <f>_xlfn.IFNA(VLOOKUP(Wapato_Inventory[[#This Row],[quality]],Lookups!$H$2:$J$14,3,FALSE),0)</f>
        <v>48043</v>
      </c>
      <c r="BL269" s="7">
        <f>_xlfn.IFNA(VLOOKUP(Wapato_Inventory[[#This Row],[condition]],Lookups!$H$17:$J$24,3,FALSE),0)</f>
        <v>52231</v>
      </c>
      <c r="BM269" s="7">
        <f>Wapato_Inventory[[#This Row],[Age]]*Lookups!$B$16</f>
        <v>-18904.4607</v>
      </c>
      <c r="BN269" s="7">
        <f>Wapato_Inventory[[#This Row],[Main Floor]]*Lookups!$B$17</f>
        <v>52167.322271999998</v>
      </c>
      <c r="BO269" s="7">
        <f>Wapato_Inventory[[#This Row],[Upper Floor]]*Lookups!$B$18</f>
        <v>0</v>
      </c>
      <c r="BP269" s="7">
        <f>Wapato_Inventory[[#This Row],[Fin BSMT]]*Lookups!$B$19</f>
        <v>0</v>
      </c>
      <c r="BQ269" s="7">
        <f>(Wapato_Inventory[[#This Row],[att_gar]]+Wapato_Inventory[[#This Row],[blt_gar]])*Lookups!$B$20</f>
        <v>0</v>
      </c>
      <c r="BR269" s="7">
        <f>Wapato_Inventory[[#This Row],[Patio]]*Lookups!$B$21</f>
        <v>0</v>
      </c>
      <c r="BS269" s="7">
        <f>SUM(Wapato_Inventory[[#This Row],[intercept]:[patio_value]])*Wapato_Inventory[[#This Row],[res_pct]]</f>
        <v>187302.13157199998</v>
      </c>
      <c r="BT269" s="7">
        <f>Wapato_Inventory[[#This Row],[land_value]]</f>
        <v>53100</v>
      </c>
      <c r="BU269" s="2">
        <f>_xlfn.IFNA(VLOOKUP(Wapato_Inventory[[#This Row],[quality]],Lookups!$A$28:$C$37,3,FALSE),1)</f>
        <v>0.98196844879778955</v>
      </c>
      <c r="BV269" s="2">
        <f>_xlfn.IFNA(VLOOKUP(Wapato_Inventory[[#This Row],[condition]],Lookups!$A$41:$C$48,3,FALSE),1)</f>
        <v>0.9832333997567807</v>
      </c>
      <c r="BW269" s="2">
        <f>IF(Wapato_Inventory[[#This Row],[decade]]="",1,_xlfn.IFNA(VLOOKUP(Wapato_Inventory[[#This Row],[decade]],Lookups!$F$28:$H$45,3,FALSE),1))</f>
        <v>1.035341704162583</v>
      </c>
      <c r="BX269" s="2">
        <f>_xlfn.IFNA(VLOOKUP(Wapato_Inventory[[#This Row],[living_area_range]],Lookups!$K$28:$M$37,3,FALSE),1)</f>
        <v>1.0061411172456287</v>
      </c>
      <c r="BY269" s="2">
        <f>AVERAGE(Wapato_Inventory[[#This Row],[qual_adj]:[range_adj]])</f>
        <v>1.0016711674906955</v>
      </c>
      <c r="BZ269" s="7">
        <f>(Wapato_Inventory[[#This Row],[sum_land]]-IF(Wapato_Inventory[[#This Row],[no_utilities]]=1,12000,0))/IF(Wapato_Inventory[[#This Row],[unbuildable]]=1,2,1)</f>
        <v>53100</v>
      </c>
      <c r="CA269" s="7">
        <f>Wapato_Inventory[[#This Row],[pre_res]]*Wapato_Inventory[[#This Row],[overall_adj]]</f>
        <v>187615.14480522109</v>
      </c>
      <c r="CB26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69" s="3">
        <f>IF(ROUND(Wapato_Inventory[[#This Row],[adj_res]]*Lookups!$H$48,-2)&lt;Wapato_Inventory[[#This Row],[min_res]],Wapato_Inventory[[#This Row],[min_res]],ROUND(Wapato_Inventory[[#This Row],[adj_res]]*Lookups!$H$48,-2))</f>
        <v>178200</v>
      </c>
      <c r="CD269" s="3">
        <f>ROUND(Wapato_Inventory[[#This Row],[det_value]]*Lookups!$H$48,-2)</f>
        <v>0</v>
      </c>
      <c r="CE269" s="3">
        <f>Wapato_Inventory[[#This Row],[final_res]]+Wapato_Inventory[[#This Row],[final_det]]</f>
        <v>178200</v>
      </c>
      <c r="CF269" s="3">
        <f>Wapato_Inventory[[#This Row],[crop_value]]+Wapato_Inventory[[#This Row],[final_land]]+Wapato_Inventory[[#This Row],[final_imp]]</f>
        <v>228600</v>
      </c>
      <c r="CH269" t="str">
        <f t="shared" si="4"/>
        <v>update valuation set market_land =50400, market_bldg=178200, market_total =228600, market_mdno =405, market_date ='9/10/2023' where link_id = (select link_id from parcel where parcel_year = '2024' and parcel_id = '19111041575');</v>
      </c>
    </row>
    <row r="270" spans="1:86" x14ac:dyDescent="0.25">
      <c r="A270">
        <v>19111041576</v>
      </c>
      <c r="B270">
        <v>0.14000000000000001</v>
      </c>
      <c r="C270">
        <v>6025</v>
      </c>
      <c r="D270" t="s">
        <v>144</v>
      </c>
      <c r="E270" t="s">
        <v>54</v>
      </c>
      <c r="F270" t="s">
        <v>54</v>
      </c>
      <c r="G270">
        <v>3</v>
      </c>
      <c r="H270" t="s">
        <v>55</v>
      </c>
      <c r="I270">
        <v>139800</v>
      </c>
      <c r="J270">
        <v>31900</v>
      </c>
      <c r="K270">
        <v>0.14000000000000001</v>
      </c>
      <c r="L270">
        <f>IF(Wapato_Inventory[[#This Row],[parcel_acres]]-Wapato_Inventory[[#This Row],[non_valued_acres]] =0,0,LN(Wapato_Inventory[[#This Row],[parcel_acres]]-Wapato_Inventory[[#This Row],[non_valued_acres]]))</f>
        <v>-1.9661128563728327</v>
      </c>
      <c r="M270">
        <v>0</v>
      </c>
      <c r="N270">
        <v>0</v>
      </c>
      <c r="O270">
        <v>0</v>
      </c>
      <c r="P270">
        <v>27904.037</v>
      </c>
      <c r="Q270">
        <v>74398</v>
      </c>
      <c r="R270" s="3">
        <f>(Wapato_Inventory[[#This Row],[ln_acres]]*Wapato_Inventory[[#This Row],[coeff]])+Wapato_Inventory[[#This Row],[const]]</f>
        <v>19535.514109596792</v>
      </c>
      <c r="S270" t="s">
        <v>62</v>
      </c>
      <c r="T270">
        <v>1</v>
      </c>
      <c r="U270" t="s">
        <v>71</v>
      </c>
      <c r="V270" t="s">
        <v>68</v>
      </c>
      <c r="W270">
        <v>0</v>
      </c>
      <c r="X270">
        <v>0</v>
      </c>
      <c r="Y270">
        <v>45</v>
      </c>
      <c r="Z270">
        <v>51</v>
      </c>
      <c r="AA270">
        <v>60</v>
      </c>
      <c r="AB270">
        <v>1000</v>
      </c>
      <c r="AC270">
        <v>960</v>
      </c>
      <c r="AD270">
        <v>960</v>
      </c>
      <c r="AE270">
        <v>0</v>
      </c>
      <c r="AF270">
        <v>0</v>
      </c>
      <c r="AG270">
        <v>0</v>
      </c>
      <c r="AH270">
        <v>0</v>
      </c>
      <c r="AI270">
        <v>288</v>
      </c>
      <c r="AJ270">
        <v>0</v>
      </c>
      <c r="AK270">
        <v>0</v>
      </c>
      <c r="AL270">
        <v>84</v>
      </c>
      <c r="AM270">
        <v>0</v>
      </c>
      <c r="AN270">
        <v>0</v>
      </c>
      <c r="AO270">
        <v>84</v>
      </c>
      <c r="AP270">
        <v>5</v>
      </c>
      <c r="AQ270">
        <v>0</v>
      </c>
      <c r="AR270">
        <v>0</v>
      </c>
      <c r="AS270" t="s">
        <v>59</v>
      </c>
      <c r="AT270">
        <v>1</v>
      </c>
      <c r="AU270" t="s">
        <v>72</v>
      </c>
      <c r="AV270" t="s">
        <v>61</v>
      </c>
      <c r="AW270">
        <v>0</v>
      </c>
      <c r="AX270">
        <v>3</v>
      </c>
      <c r="AY270">
        <v>0</v>
      </c>
      <c r="AZ270">
        <v>0</v>
      </c>
      <c r="BA270">
        <v>100</v>
      </c>
      <c r="BB270">
        <v>100</v>
      </c>
      <c r="BC270">
        <v>100</v>
      </c>
      <c r="BD270">
        <v>100</v>
      </c>
      <c r="BE270">
        <v>1</v>
      </c>
      <c r="BF270">
        <v>15000</v>
      </c>
      <c r="BG270">
        <v>1000</v>
      </c>
      <c r="BH270" s="7">
        <f>ROUND(Wapato_Inventory[[#This Row],[detatched_value]]*Lookups!$B$22*Lookups!$H$48,-2)</f>
        <v>0</v>
      </c>
      <c r="BI270" s="7">
        <f>ROUND(((Wapato_Inventory[[#This Row],[land_extract]]*Lookups!$B$3) +(Lookups!$B$2*0.5))*Lookups!$H$48,-2)</f>
        <v>53000</v>
      </c>
      <c r="BJ270" s="7">
        <f>IF(Wapato_Inventory[[#This Row],[bldg_style]]="",0,Lookups!$B$2*0.5)</f>
        <v>53765.27</v>
      </c>
      <c r="BK270" s="7">
        <f>_xlfn.IFNA(VLOOKUP(Wapato_Inventory[[#This Row],[quality]],Lookups!$H$2:$J$14,3,FALSE),0)</f>
        <v>28034</v>
      </c>
      <c r="BL270" s="7">
        <f>_xlfn.IFNA(VLOOKUP(Wapato_Inventory[[#This Row],[condition]],Lookups!$H$17:$J$24,3,FALSE),0)</f>
        <v>52231</v>
      </c>
      <c r="BM270" s="7">
        <f>Wapato_Inventory[[#This Row],[Age]]*Lookups!$B$16</f>
        <v>-18904.4607</v>
      </c>
      <c r="BN270" s="7">
        <f>Wapato_Inventory[[#This Row],[Main Floor]]*Lookups!$B$17</f>
        <v>40128.709439999999</v>
      </c>
      <c r="BO270" s="7">
        <f>Wapato_Inventory[[#This Row],[Upper Floor]]*Lookups!$B$18</f>
        <v>0</v>
      </c>
      <c r="BP270" s="7">
        <f>Wapato_Inventory[[#This Row],[Fin BSMT]]*Lookups!$B$19</f>
        <v>0</v>
      </c>
      <c r="BQ270" s="7">
        <f>(Wapato_Inventory[[#This Row],[att_gar]]+Wapato_Inventory[[#This Row],[blt_gar]])*Lookups!$B$20</f>
        <v>10658.520576000001</v>
      </c>
      <c r="BR270" s="7">
        <f>Wapato_Inventory[[#This Row],[Patio]]*Lookups!$B$21</f>
        <v>0</v>
      </c>
      <c r="BS270" s="7">
        <f>SUM(Wapato_Inventory[[#This Row],[intercept]:[patio_value]])*Wapato_Inventory[[#This Row],[res_pct]]</f>
        <v>165913.03931600001</v>
      </c>
      <c r="BT270" s="7">
        <f>Wapato_Inventory[[#This Row],[land_value]]</f>
        <v>53000</v>
      </c>
      <c r="BU270" s="2">
        <f>_xlfn.IFNA(VLOOKUP(Wapato_Inventory[[#This Row],[quality]],Lookups!$A$28:$C$37,3,FALSE),1)</f>
        <v>0.96265813922927435</v>
      </c>
      <c r="BV270" s="2">
        <f>_xlfn.IFNA(VLOOKUP(Wapato_Inventory[[#This Row],[condition]],Lookups!$A$41:$C$48,3,FALSE),1)</f>
        <v>0.9832333997567807</v>
      </c>
      <c r="BW270" s="2">
        <f>IF(Wapato_Inventory[[#This Row],[decade]]="",1,_xlfn.IFNA(VLOOKUP(Wapato_Inventory[[#This Row],[decade]],Lookups!$F$28:$H$45,3,FALSE),1))</f>
        <v>1.035341704162583</v>
      </c>
      <c r="BX270" s="2">
        <f>_xlfn.IFNA(VLOOKUP(Wapato_Inventory[[#This Row],[living_area_range]],Lookups!$K$28:$M$37,3,FALSE),1)</f>
        <v>0.99022994770196116</v>
      </c>
      <c r="BY270" s="2">
        <f>AVERAGE(Wapato_Inventory[[#This Row],[qual_adj]:[range_adj]])</f>
        <v>0.99286579771264971</v>
      </c>
      <c r="BZ270" s="7">
        <f>(Wapato_Inventory[[#This Row],[sum_land]]-IF(Wapato_Inventory[[#This Row],[no_utilities]]=1,12000,0))/IF(Wapato_Inventory[[#This Row],[unbuildable]]=1,2,1)</f>
        <v>53000</v>
      </c>
      <c r="CA270" s="7">
        <f>Wapato_Inventory[[#This Row],[pre_res]]*Wapato_Inventory[[#This Row],[overall_adj]]</f>
        <v>164729.38213141056</v>
      </c>
      <c r="CB27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70" s="3">
        <f>IF(ROUND(Wapato_Inventory[[#This Row],[adj_res]]*Lookups!$H$48,-2)&lt;Wapato_Inventory[[#This Row],[min_res]],Wapato_Inventory[[#This Row],[min_res]],ROUND(Wapato_Inventory[[#This Row],[adj_res]]*Lookups!$H$48,-2))</f>
        <v>156500</v>
      </c>
      <c r="CD270" s="3">
        <f>ROUND(Wapato_Inventory[[#This Row],[det_value]]*Lookups!$H$48,-2)</f>
        <v>0</v>
      </c>
      <c r="CE270" s="3">
        <f>Wapato_Inventory[[#This Row],[final_res]]+Wapato_Inventory[[#This Row],[final_det]]</f>
        <v>156500</v>
      </c>
      <c r="CF270" s="3">
        <f>Wapato_Inventory[[#This Row],[crop_value]]+Wapato_Inventory[[#This Row],[final_land]]+Wapato_Inventory[[#This Row],[final_imp]]</f>
        <v>206900</v>
      </c>
      <c r="CH270" t="str">
        <f t="shared" si="4"/>
        <v>update valuation set market_land =50400, market_bldg=156500, market_total =206900, market_mdno =405, market_date ='9/10/2023' where link_id = (select link_id from parcel where parcel_year = '2024' and parcel_id = '19111041576');</v>
      </c>
    </row>
    <row r="271" spans="1:86" x14ac:dyDescent="0.25">
      <c r="A271">
        <v>19111041577</v>
      </c>
      <c r="B271">
        <v>0.28999999999999998</v>
      </c>
      <c r="C271">
        <v>12559</v>
      </c>
      <c r="D271" t="s">
        <v>144</v>
      </c>
      <c r="E271" t="s">
        <v>54</v>
      </c>
      <c r="F271" t="s">
        <v>54</v>
      </c>
      <c r="G271">
        <v>3</v>
      </c>
      <c r="H271" t="s">
        <v>55</v>
      </c>
      <c r="I271">
        <v>120900</v>
      </c>
      <c r="J271">
        <v>37100</v>
      </c>
      <c r="K271">
        <v>0.28999999999999998</v>
      </c>
      <c r="L271">
        <f>IF(Wapato_Inventory[[#This Row],[parcel_acres]]-Wapato_Inventory[[#This Row],[non_valued_acres]] =0,0,LN(Wapato_Inventory[[#This Row],[parcel_acres]]-Wapato_Inventory[[#This Row],[non_valued_acres]]))</f>
        <v>-1.2378743560016174</v>
      </c>
      <c r="M271">
        <v>0</v>
      </c>
      <c r="N271">
        <v>0</v>
      </c>
      <c r="O271">
        <v>0</v>
      </c>
      <c r="P271">
        <v>27904.037</v>
      </c>
      <c r="Q271">
        <v>74398</v>
      </c>
      <c r="R271" s="3">
        <f>(Wapato_Inventory[[#This Row],[ln_acres]]*Wapato_Inventory[[#This Row],[coeff]])+Wapato_Inventory[[#This Row],[const]]</f>
        <v>39856.308168779695</v>
      </c>
      <c r="S271" t="s">
        <v>56</v>
      </c>
      <c r="T271">
        <v>2</v>
      </c>
      <c r="U271" t="s">
        <v>71</v>
      </c>
      <c r="V271" t="s">
        <v>68</v>
      </c>
      <c r="W271">
        <v>0</v>
      </c>
      <c r="X271">
        <v>0</v>
      </c>
      <c r="Y271">
        <v>57</v>
      </c>
      <c r="Z271">
        <v>103</v>
      </c>
      <c r="AA271">
        <v>110</v>
      </c>
      <c r="AB271">
        <v>1500</v>
      </c>
      <c r="AC271">
        <v>1356</v>
      </c>
      <c r="AD271">
        <v>972</v>
      </c>
      <c r="AE271">
        <v>384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460</v>
      </c>
      <c r="AL271">
        <v>0</v>
      </c>
      <c r="AM271">
        <v>0</v>
      </c>
      <c r="AN271">
        <v>0</v>
      </c>
      <c r="AO271">
        <v>0</v>
      </c>
      <c r="AP271">
        <v>8</v>
      </c>
      <c r="AQ271">
        <v>0</v>
      </c>
      <c r="AR271">
        <v>0</v>
      </c>
      <c r="AS271" t="s">
        <v>59</v>
      </c>
      <c r="AT271">
        <v>1</v>
      </c>
      <c r="AU271" t="s">
        <v>72</v>
      </c>
      <c r="AV271" t="s">
        <v>61</v>
      </c>
      <c r="AW271">
        <v>0</v>
      </c>
      <c r="AX271">
        <v>4</v>
      </c>
      <c r="AY271">
        <v>0</v>
      </c>
      <c r="AZ271">
        <v>0</v>
      </c>
      <c r="BA271">
        <v>100</v>
      </c>
      <c r="BB271">
        <v>100</v>
      </c>
      <c r="BC271">
        <v>100</v>
      </c>
      <c r="BD271">
        <v>100</v>
      </c>
      <c r="BE271">
        <v>1</v>
      </c>
      <c r="BF271">
        <v>15000</v>
      </c>
      <c r="BG271">
        <v>1000</v>
      </c>
      <c r="BH271" s="7">
        <f>ROUND(Wapato_Inventory[[#This Row],[detatched_value]]*Lookups!$B$22*Lookups!$H$48,-2)</f>
        <v>0</v>
      </c>
      <c r="BI271" s="7">
        <f>ROUND(((Wapato_Inventory[[#This Row],[land_extract]]*Lookups!$B$3) +(Lookups!$B$2*0.5))*Lookups!$H$48,-2)</f>
        <v>54900</v>
      </c>
      <c r="BJ271" s="7">
        <f>IF(Wapato_Inventory[[#This Row],[bldg_style]]="",0,Lookups!$B$2*0.5)</f>
        <v>53765.27</v>
      </c>
      <c r="BK271" s="7">
        <f>_xlfn.IFNA(VLOOKUP(Wapato_Inventory[[#This Row],[quality]],Lookups!$H$2:$J$14,3,FALSE),0)</f>
        <v>28034</v>
      </c>
      <c r="BL271" s="7">
        <f>_xlfn.IFNA(VLOOKUP(Wapato_Inventory[[#This Row],[condition]],Lookups!$H$17:$J$24,3,FALSE),0)</f>
        <v>52231</v>
      </c>
      <c r="BM271" s="7">
        <f>Wapato_Inventory[[#This Row],[Age]]*Lookups!$B$16</f>
        <v>-38179.597099999999</v>
      </c>
      <c r="BN271" s="7">
        <f>Wapato_Inventory[[#This Row],[Main Floor]]*Lookups!$B$17</f>
        <v>40630.318308000002</v>
      </c>
      <c r="BO271" s="7">
        <f>Wapato_Inventory[[#This Row],[Upper Floor]]*Lookups!$B$18</f>
        <v>19046.837376000003</v>
      </c>
      <c r="BP271" s="7">
        <f>Wapato_Inventory[[#This Row],[Fin BSMT]]*Lookups!$B$19</f>
        <v>0</v>
      </c>
      <c r="BQ271" s="7">
        <f>(Wapato_Inventory[[#This Row],[att_gar]]+Wapato_Inventory[[#This Row],[blt_gar]])*Lookups!$B$20</f>
        <v>0</v>
      </c>
      <c r="BR271" s="7">
        <f>Wapato_Inventory[[#This Row],[Patio]]*Lookups!$B$21</f>
        <v>0</v>
      </c>
      <c r="BS271" s="7">
        <f>SUM(Wapato_Inventory[[#This Row],[intercept]:[patio_value]])*Wapato_Inventory[[#This Row],[res_pct]]</f>
        <v>155527.828584</v>
      </c>
      <c r="BT271" s="7">
        <f>Wapato_Inventory[[#This Row],[land_value]]</f>
        <v>54900</v>
      </c>
      <c r="BU271" s="2">
        <f>_xlfn.IFNA(VLOOKUP(Wapato_Inventory[[#This Row],[quality]],Lookups!$A$28:$C$37,3,FALSE),1)</f>
        <v>0.96265813922927435</v>
      </c>
      <c r="BV271" s="2">
        <f>_xlfn.IFNA(VLOOKUP(Wapato_Inventory[[#This Row],[condition]],Lookups!$A$41:$C$48,3,FALSE),1)</f>
        <v>0.9832333997567807</v>
      </c>
      <c r="BW271" s="2">
        <f>IF(Wapato_Inventory[[#This Row],[decade]]="",1,_xlfn.IFNA(VLOOKUP(Wapato_Inventory[[#This Row],[decade]],Lookups!$F$28:$H$45,3,FALSE),1))</f>
        <v>0.93664589651353292</v>
      </c>
      <c r="BX271" s="2">
        <f>_xlfn.IFNA(VLOOKUP(Wapato_Inventory[[#This Row],[living_area_range]],Lookups!$K$28:$M$37,3,FALSE),1)</f>
        <v>1.0061411172456287</v>
      </c>
      <c r="BY271" s="2">
        <f>AVERAGE(Wapato_Inventory[[#This Row],[qual_adj]:[range_adj]])</f>
        <v>0.97216963818630409</v>
      </c>
      <c r="BZ271" s="7">
        <f>(Wapato_Inventory[[#This Row],[sum_land]]-IF(Wapato_Inventory[[#This Row],[no_utilities]]=1,12000,0))/IF(Wapato_Inventory[[#This Row],[unbuildable]]=1,2,1)</f>
        <v>54900</v>
      </c>
      <c r="CA271" s="7">
        <f>Wapato_Inventory[[#This Row],[pre_res]]*Wapato_Inventory[[#This Row],[overall_adj]]</f>
        <v>151199.4328424088</v>
      </c>
      <c r="CB271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271" s="3">
        <f>IF(ROUND(Wapato_Inventory[[#This Row],[adj_res]]*Lookups!$H$48,-2)&lt;Wapato_Inventory[[#This Row],[min_res]],Wapato_Inventory[[#This Row],[min_res]],ROUND(Wapato_Inventory[[#This Row],[adj_res]]*Lookups!$H$48,-2))</f>
        <v>143600</v>
      </c>
      <c r="CD271" s="3">
        <f>ROUND(Wapato_Inventory[[#This Row],[det_value]]*Lookups!$H$48,-2)</f>
        <v>0</v>
      </c>
      <c r="CE271" s="3">
        <f>Wapato_Inventory[[#This Row],[final_res]]+Wapato_Inventory[[#This Row],[final_det]]</f>
        <v>143600</v>
      </c>
      <c r="CF271" s="3">
        <f>Wapato_Inventory[[#This Row],[crop_value]]+Wapato_Inventory[[#This Row],[final_land]]+Wapato_Inventory[[#This Row],[final_imp]]</f>
        <v>195800</v>
      </c>
      <c r="CH271" t="str">
        <f t="shared" si="4"/>
        <v>update valuation set market_land =52200, market_bldg=143600, market_total =195800, market_mdno =405, market_date ='9/10/2023' where link_id = (select link_id from parcel where parcel_year = '2024' and parcel_id = '19111041577');</v>
      </c>
    </row>
    <row r="272" spans="1:86" x14ac:dyDescent="0.25">
      <c r="A272">
        <v>19111041578</v>
      </c>
      <c r="B272">
        <v>0.14000000000000001</v>
      </c>
      <c r="C272">
        <v>6250</v>
      </c>
      <c r="D272" t="s">
        <v>144</v>
      </c>
      <c r="E272" t="s">
        <v>54</v>
      </c>
      <c r="F272" t="s">
        <v>54</v>
      </c>
      <c r="G272">
        <v>3</v>
      </c>
      <c r="H272" t="s">
        <v>55</v>
      </c>
      <c r="I272">
        <v>68600</v>
      </c>
      <c r="J272">
        <v>31900</v>
      </c>
      <c r="K272">
        <v>0.14000000000000001</v>
      </c>
      <c r="L272">
        <f>IF(Wapato_Inventory[[#This Row],[parcel_acres]]-Wapato_Inventory[[#This Row],[non_valued_acres]] =0,0,LN(Wapato_Inventory[[#This Row],[parcel_acres]]-Wapato_Inventory[[#This Row],[non_valued_acres]]))</f>
        <v>-1.9661128563728327</v>
      </c>
      <c r="M272">
        <v>0</v>
      </c>
      <c r="N272">
        <v>0</v>
      </c>
      <c r="O272">
        <v>0</v>
      </c>
      <c r="P272">
        <v>27904.037</v>
      </c>
      <c r="Q272">
        <v>74398</v>
      </c>
      <c r="R272" s="3">
        <f>(Wapato_Inventory[[#This Row],[ln_acres]]*Wapato_Inventory[[#This Row],[coeff]])+Wapato_Inventory[[#This Row],[const]]</f>
        <v>19535.514109596792</v>
      </c>
      <c r="S272" t="s">
        <v>66</v>
      </c>
      <c r="T272">
        <v>1</v>
      </c>
      <c r="U272" t="s">
        <v>71</v>
      </c>
      <c r="V272" t="s">
        <v>73</v>
      </c>
      <c r="W272">
        <v>0</v>
      </c>
      <c r="X272">
        <v>0</v>
      </c>
      <c r="Y272">
        <v>50</v>
      </c>
      <c r="Z272">
        <v>75</v>
      </c>
      <c r="AA272">
        <v>80</v>
      </c>
      <c r="AB272">
        <v>1000</v>
      </c>
      <c r="AC272">
        <v>768</v>
      </c>
      <c r="AD272">
        <v>768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5</v>
      </c>
      <c r="AQ272">
        <v>0</v>
      </c>
      <c r="AR272">
        <v>0</v>
      </c>
      <c r="AS272" t="s">
        <v>59</v>
      </c>
      <c r="AT272">
        <v>0</v>
      </c>
      <c r="AU272" t="s">
        <v>80</v>
      </c>
      <c r="AV272" t="s">
        <v>77</v>
      </c>
      <c r="AW272">
        <v>0</v>
      </c>
      <c r="AX272">
        <v>2</v>
      </c>
      <c r="AY272">
        <v>0</v>
      </c>
      <c r="AZ272">
        <v>0</v>
      </c>
      <c r="BA272">
        <v>100</v>
      </c>
      <c r="BB272">
        <v>100</v>
      </c>
      <c r="BC272">
        <v>100</v>
      </c>
      <c r="BD272">
        <v>100</v>
      </c>
      <c r="BE272">
        <v>1</v>
      </c>
      <c r="BF272">
        <v>15000</v>
      </c>
      <c r="BG272">
        <v>1000</v>
      </c>
      <c r="BH272" s="7">
        <f>ROUND(Wapato_Inventory[[#This Row],[detatched_value]]*Lookups!$B$22*Lookups!$H$48,-2)</f>
        <v>0</v>
      </c>
      <c r="BI272" s="7">
        <f>ROUND(((Wapato_Inventory[[#This Row],[land_extract]]*Lookups!$B$3) +(Lookups!$B$2*0.5))*Lookups!$H$48,-2)</f>
        <v>53000</v>
      </c>
      <c r="BJ272" s="7">
        <f>IF(Wapato_Inventory[[#This Row],[bldg_style]]="",0,Lookups!$B$2*0.5)</f>
        <v>53765.27</v>
      </c>
      <c r="BK272" s="7">
        <f>_xlfn.IFNA(VLOOKUP(Wapato_Inventory[[#This Row],[quality]],Lookups!$H$2:$J$14,3,FALSE),0)</f>
        <v>28034</v>
      </c>
      <c r="BL272" s="7">
        <f>_xlfn.IFNA(VLOOKUP(Wapato_Inventory[[#This Row],[condition]],Lookups!$H$17:$J$24,3,FALSE),0)</f>
        <v>16276</v>
      </c>
      <c r="BM272" s="7">
        <f>Wapato_Inventory[[#This Row],[Age]]*Lookups!$B$16</f>
        <v>-27800.677500000002</v>
      </c>
      <c r="BN272" s="7">
        <f>Wapato_Inventory[[#This Row],[Main Floor]]*Lookups!$B$17</f>
        <v>32102.967552000002</v>
      </c>
      <c r="BO272" s="7">
        <f>Wapato_Inventory[[#This Row],[Upper Floor]]*Lookups!$B$18</f>
        <v>0</v>
      </c>
      <c r="BP272" s="7">
        <f>Wapato_Inventory[[#This Row],[Fin BSMT]]*Lookups!$B$19</f>
        <v>0</v>
      </c>
      <c r="BQ272" s="7">
        <f>(Wapato_Inventory[[#This Row],[att_gar]]+Wapato_Inventory[[#This Row],[blt_gar]])*Lookups!$B$20</f>
        <v>0</v>
      </c>
      <c r="BR272" s="7">
        <f>Wapato_Inventory[[#This Row],[Patio]]*Lookups!$B$21</f>
        <v>0</v>
      </c>
      <c r="BS272" s="7">
        <f>SUM(Wapato_Inventory[[#This Row],[intercept]:[patio_value]])*Wapato_Inventory[[#This Row],[res_pct]]</f>
        <v>102377.56005199999</v>
      </c>
      <c r="BT272" s="7">
        <f>Wapato_Inventory[[#This Row],[land_value]]</f>
        <v>53000</v>
      </c>
      <c r="BU272" s="2">
        <f>_xlfn.IFNA(VLOOKUP(Wapato_Inventory[[#This Row],[quality]],Lookups!$A$28:$C$37,3,FALSE),1)</f>
        <v>0.96265813922927435</v>
      </c>
      <c r="BV272" s="2">
        <f>_xlfn.IFNA(VLOOKUP(Wapato_Inventory[[#This Row],[condition]],Lookups!$A$41:$C$48,3,FALSE),1)</f>
        <v>0.93399385491337139</v>
      </c>
      <c r="BW272" s="2">
        <f>IF(Wapato_Inventory[[#This Row],[decade]]="",1,_xlfn.IFNA(VLOOKUP(Wapato_Inventory[[#This Row],[decade]],Lookups!$F$28:$H$45,3,FALSE),1))</f>
        <v>0.8438929209510081</v>
      </c>
      <c r="BX272" s="2">
        <f>_xlfn.IFNA(VLOOKUP(Wapato_Inventory[[#This Row],[living_area_range]],Lookups!$K$28:$M$37,3,FALSE),1)</f>
        <v>0.99022994770196116</v>
      </c>
      <c r="BY272" s="2">
        <f>AVERAGE(Wapato_Inventory[[#This Row],[qual_adj]:[range_adj]])</f>
        <v>0.9326937156989038</v>
      </c>
      <c r="BZ272" s="7">
        <f>(Wapato_Inventory[[#This Row],[sum_land]]-IF(Wapato_Inventory[[#This Row],[no_utilities]]=1,12000,0))/IF(Wapato_Inventory[[#This Row],[unbuildable]]=1,2,1)</f>
        <v>53000</v>
      </c>
      <c r="CA272" s="7">
        <f>Wapato_Inventory[[#This Row],[pre_res]]*Wapato_Inventory[[#This Row],[overall_adj]]</f>
        <v>95486.906889087521</v>
      </c>
      <c r="CB27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72" s="3">
        <f>IF(ROUND(Wapato_Inventory[[#This Row],[adj_res]]*Lookups!$H$48,-2)&lt;Wapato_Inventory[[#This Row],[min_res]],Wapato_Inventory[[#This Row],[min_res]],ROUND(Wapato_Inventory[[#This Row],[adj_res]]*Lookups!$H$48,-2))</f>
        <v>90700</v>
      </c>
      <c r="CD272" s="3">
        <f>ROUND(Wapato_Inventory[[#This Row],[det_value]]*Lookups!$H$48,-2)</f>
        <v>0</v>
      </c>
      <c r="CE272" s="3">
        <f>Wapato_Inventory[[#This Row],[final_res]]+Wapato_Inventory[[#This Row],[final_det]]</f>
        <v>90700</v>
      </c>
      <c r="CF272" s="3">
        <f>Wapato_Inventory[[#This Row],[crop_value]]+Wapato_Inventory[[#This Row],[final_land]]+Wapato_Inventory[[#This Row],[final_imp]]</f>
        <v>141100</v>
      </c>
      <c r="CH272" t="str">
        <f t="shared" si="4"/>
        <v>update valuation set market_land =50400, market_bldg=90700, market_total =141100, market_mdno =405, market_date ='9/10/2023' where link_id = (select link_id from parcel where parcel_year = '2024' and parcel_id = '19111041578');</v>
      </c>
    </row>
    <row r="273" spans="1:86" x14ac:dyDescent="0.25">
      <c r="A273">
        <v>19111041579</v>
      </c>
      <c r="B273">
        <v>0.14000000000000001</v>
      </c>
      <c r="C273">
        <v>6250</v>
      </c>
      <c r="D273" t="s">
        <v>144</v>
      </c>
      <c r="E273" t="s">
        <v>54</v>
      </c>
      <c r="F273" t="s">
        <v>54</v>
      </c>
      <c r="G273">
        <v>3</v>
      </c>
      <c r="H273" t="s">
        <v>55</v>
      </c>
      <c r="I273">
        <v>189500</v>
      </c>
      <c r="J273">
        <v>31900</v>
      </c>
      <c r="K273">
        <v>0.14000000000000001</v>
      </c>
      <c r="L273">
        <f>IF(Wapato_Inventory[[#This Row],[parcel_acres]]-Wapato_Inventory[[#This Row],[non_valued_acres]] =0,0,LN(Wapato_Inventory[[#This Row],[parcel_acres]]-Wapato_Inventory[[#This Row],[non_valued_acres]]))</f>
        <v>-1.9661128563728327</v>
      </c>
      <c r="M273">
        <v>0</v>
      </c>
      <c r="N273">
        <v>0</v>
      </c>
      <c r="O273">
        <v>0</v>
      </c>
      <c r="P273">
        <v>27904.037</v>
      </c>
      <c r="Q273">
        <v>74398</v>
      </c>
      <c r="R273" s="3">
        <f>(Wapato_Inventory[[#This Row],[ln_acres]]*Wapato_Inventory[[#This Row],[coeff]])+Wapato_Inventory[[#This Row],[const]]</f>
        <v>19535.514109596792</v>
      </c>
      <c r="S273" t="s">
        <v>66</v>
      </c>
      <c r="T273">
        <v>1</v>
      </c>
      <c r="U273" t="s">
        <v>71</v>
      </c>
      <c r="V273" t="s">
        <v>69</v>
      </c>
      <c r="W273">
        <v>0</v>
      </c>
      <c r="X273">
        <v>0</v>
      </c>
      <c r="Y273">
        <v>55</v>
      </c>
      <c r="Z273">
        <v>98</v>
      </c>
      <c r="AA273">
        <v>100</v>
      </c>
      <c r="AB273">
        <v>1000</v>
      </c>
      <c r="AC273">
        <v>960</v>
      </c>
      <c r="AD273">
        <v>960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348</v>
      </c>
      <c r="AN273">
        <v>0</v>
      </c>
      <c r="AO273">
        <v>0</v>
      </c>
      <c r="AP273">
        <v>5</v>
      </c>
      <c r="AQ273">
        <v>0</v>
      </c>
      <c r="AR273">
        <v>0</v>
      </c>
      <c r="AS273" t="s">
        <v>82</v>
      </c>
      <c r="AT273">
        <v>1</v>
      </c>
      <c r="AU273" t="s">
        <v>60</v>
      </c>
      <c r="AV273" t="s">
        <v>61</v>
      </c>
      <c r="AW273">
        <v>1</v>
      </c>
      <c r="AX273">
        <v>3</v>
      </c>
      <c r="AY273">
        <v>0</v>
      </c>
      <c r="AZ273">
        <v>17800</v>
      </c>
      <c r="BA273">
        <v>100</v>
      </c>
      <c r="BB273">
        <v>100</v>
      </c>
      <c r="BC273">
        <v>100</v>
      </c>
      <c r="BD273">
        <v>100</v>
      </c>
      <c r="BE273">
        <v>1</v>
      </c>
      <c r="BF273">
        <v>15000</v>
      </c>
      <c r="BG273">
        <v>1000</v>
      </c>
      <c r="BH273" s="7">
        <f>ROUND(Wapato_Inventory[[#This Row],[detatched_value]]*Lookups!$B$22*Lookups!$H$48,-2)</f>
        <v>15900</v>
      </c>
      <c r="BI273" s="7">
        <f>ROUND(((Wapato_Inventory[[#This Row],[land_extract]]*Lookups!$B$3) +(Lookups!$B$2*0.5))*Lookups!$H$48,-2)</f>
        <v>53000</v>
      </c>
      <c r="BJ273" s="7">
        <f>IF(Wapato_Inventory[[#This Row],[bldg_style]]="",0,Lookups!$B$2*0.5)</f>
        <v>53765.27</v>
      </c>
      <c r="BK273" s="7">
        <f>_xlfn.IFNA(VLOOKUP(Wapato_Inventory[[#This Row],[quality]],Lookups!$H$2:$J$14,3,FALSE),0)</f>
        <v>28034</v>
      </c>
      <c r="BL273" s="7">
        <f>_xlfn.IFNA(VLOOKUP(Wapato_Inventory[[#This Row],[condition]],Lookups!$H$17:$J$24,3,FALSE),0)</f>
        <v>74543</v>
      </c>
      <c r="BM273" s="7">
        <f>Wapato_Inventory[[#This Row],[Age]]*Lookups!$B$16</f>
        <v>-36326.2186</v>
      </c>
      <c r="BN273" s="7">
        <f>Wapato_Inventory[[#This Row],[Main Floor]]*Lookups!$B$17</f>
        <v>40128.709439999999</v>
      </c>
      <c r="BO273" s="7">
        <f>Wapato_Inventory[[#This Row],[Upper Floor]]*Lookups!$B$18</f>
        <v>0</v>
      </c>
      <c r="BP273" s="7">
        <f>Wapato_Inventory[[#This Row],[Fin BSMT]]*Lookups!$B$19</f>
        <v>0</v>
      </c>
      <c r="BQ273" s="7">
        <f>(Wapato_Inventory[[#This Row],[att_gar]]+Wapato_Inventory[[#This Row],[blt_gar]])*Lookups!$B$20</f>
        <v>0</v>
      </c>
      <c r="BR273" s="7">
        <f>Wapato_Inventory[[#This Row],[Patio]]*Lookups!$B$21</f>
        <v>15076.744692</v>
      </c>
      <c r="BS273" s="7">
        <f>SUM(Wapato_Inventory[[#This Row],[intercept]:[patio_value]])*Wapato_Inventory[[#This Row],[res_pct]]</f>
        <v>175221.50553200001</v>
      </c>
      <c r="BT273" s="7">
        <f>Wapato_Inventory[[#This Row],[land_value]]</f>
        <v>53000</v>
      </c>
      <c r="BU273" s="2">
        <f>_xlfn.IFNA(VLOOKUP(Wapato_Inventory[[#This Row],[quality]],Lookups!$A$28:$C$37,3,FALSE),1)</f>
        <v>0.96265813922927435</v>
      </c>
      <c r="BV273" s="2">
        <f>_xlfn.IFNA(VLOOKUP(Wapato_Inventory[[#This Row],[condition]],Lookups!$A$41:$C$48,3,FALSE),1)</f>
        <v>0.98442438223270734</v>
      </c>
      <c r="BW273" s="2">
        <f>IF(Wapato_Inventory[[#This Row],[decade]]="",1,_xlfn.IFNA(VLOOKUP(Wapato_Inventory[[#This Row],[decade]],Lookups!$F$28:$H$45,3,FALSE),1))</f>
        <v>1.0114203040664467</v>
      </c>
      <c r="BX273" s="2">
        <f>_xlfn.IFNA(VLOOKUP(Wapato_Inventory[[#This Row],[living_area_range]],Lookups!$K$28:$M$37,3,FALSE),1)</f>
        <v>0.99022994770196116</v>
      </c>
      <c r="BY273" s="2">
        <f>AVERAGE(Wapato_Inventory[[#This Row],[qual_adj]:[range_adj]])</f>
        <v>0.9871831933075973</v>
      </c>
      <c r="BZ273" s="7">
        <f>(Wapato_Inventory[[#This Row],[sum_land]]-IF(Wapato_Inventory[[#This Row],[no_utilities]]=1,12000,0))/IF(Wapato_Inventory[[#This Row],[unbuildable]]=1,2,1)</f>
        <v>53000</v>
      </c>
      <c r="CA273" s="7">
        <f>Wapato_Inventory[[#This Row],[pre_res]]*Wapato_Inventory[[#This Row],[overall_adj]]</f>
        <v>172975.72536724459</v>
      </c>
      <c r="CB27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73" s="3">
        <f>IF(ROUND(Wapato_Inventory[[#This Row],[adj_res]]*Lookups!$H$48,-2)&lt;Wapato_Inventory[[#This Row],[min_res]],Wapato_Inventory[[#This Row],[min_res]],ROUND(Wapato_Inventory[[#This Row],[adj_res]]*Lookups!$H$48,-2))</f>
        <v>164300</v>
      </c>
      <c r="CD273" s="3">
        <f>ROUND(Wapato_Inventory[[#This Row],[det_value]]*Lookups!$H$48,-2)</f>
        <v>15100</v>
      </c>
      <c r="CE273" s="3">
        <f>Wapato_Inventory[[#This Row],[final_res]]+Wapato_Inventory[[#This Row],[final_det]]</f>
        <v>179400</v>
      </c>
      <c r="CF273" s="3">
        <f>Wapato_Inventory[[#This Row],[crop_value]]+Wapato_Inventory[[#This Row],[final_land]]+Wapato_Inventory[[#This Row],[final_imp]]</f>
        <v>229800</v>
      </c>
      <c r="CH273" t="str">
        <f t="shared" si="4"/>
        <v>update valuation set market_land =50400, market_bldg=179400, market_total =229800, market_mdno =405, market_date ='9/10/2023' where link_id = (select link_id from parcel where parcel_year = '2024' and parcel_id = '19111041579');</v>
      </c>
    </row>
    <row r="274" spans="1:86" x14ac:dyDescent="0.25">
      <c r="A274">
        <v>19111041580</v>
      </c>
      <c r="B274">
        <v>0.21</v>
      </c>
      <c r="C274">
        <v>9066</v>
      </c>
      <c r="D274" t="s">
        <v>144</v>
      </c>
      <c r="E274" t="s">
        <v>54</v>
      </c>
      <c r="F274" t="s">
        <v>54</v>
      </c>
      <c r="G274">
        <v>3</v>
      </c>
      <c r="H274" t="s">
        <v>55</v>
      </c>
      <c r="I274">
        <v>137100</v>
      </c>
      <c r="J274">
        <v>34800</v>
      </c>
      <c r="K274">
        <v>0.21</v>
      </c>
      <c r="L274">
        <f>IF(Wapato_Inventory[[#This Row],[parcel_acres]]-Wapato_Inventory[[#This Row],[non_valued_acres]] =0,0,LN(Wapato_Inventory[[#This Row],[parcel_acres]]-Wapato_Inventory[[#This Row],[non_valued_acres]]))</f>
        <v>-1.5606477482646683</v>
      </c>
      <c r="M274">
        <v>0</v>
      </c>
      <c r="N274">
        <v>0</v>
      </c>
      <c r="O274">
        <v>0</v>
      </c>
      <c r="P274">
        <v>27904.037</v>
      </c>
      <c r="Q274">
        <v>74398</v>
      </c>
      <c r="R274" s="3">
        <f>(Wapato_Inventory[[#This Row],[ln_acres]]*Wapato_Inventory[[#This Row],[coeff]])+Wapato_Inventory[[#This Row],[const]]</f>
        <v>30849.627488456012</v>
      </c>
      <c r="S274" t="s">
        <v>66</v>
      </c>
      <c r="T274">
        <v>1</v>
      </c>
      <c r="U274" t="s">
        <v>75</v>
      </c>
      <c r="V274" t="s">
        <v>68</v>
      </c>
      <c r="W274">
        <v>0</v>
      </c>
      <c r="X274">
        <v>0</v>
      </c>
      <c r="Y274">
        <v>57</v>
      </c>
      <c r="Z274">
        <v>103</v>
      </c>
      <c r="AA274">
        <v>110</v>
      </c>
      <c r="AB274">
        <v>1500</v>
      </c>
      <c r="AC274">
        <v>1140</v>
      </c>
      <c r="AD274">
        <v>1140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8</v>
      </c>
      <c r="AQ274">
        <v>0</v>
      </c>
      <c r="AR274">
        <v>0</v>
      </c>
      <c r="AS274" t="s">
        <v>59</v>
      </c>
      <c r="AT274">
        <v>1</v>
      </c>
      <c r="AU274" t="s">
        <v>64</v>
      </c>
      <c r="AV274" t="s">
        <v>65</v>
      </c>
      <c r="AW274">
        <v>1</v>
      </c>
      <c r="AX274">
        <v>4</v>
      </c>
      <c r="AY274">
        <v>0</v>
      </c>
      <c r="AZ274">
        <v>0</v>
      </c>
      <c r="BA274">
        <v>100</v>
      </c>
      <c r="BB274">
        <v>100</v>
      </c>
      <c r="BC274">
        <v>100</v>
      </c>
      <c r="BD274">
        <v>100</v>
      </c>
      <c r="BE274">
        <v>1</v>
      </c>
      <c r="BF274">
        <v>15000</v>
      </c>
      <c r="BG274">
        <v>1000</v>
      </c>
      <c r="BH274" s="7">
        <f>ROUND(Wapato_Inventory[[#This Row],[detatched_value]]*Lookups!$B$22*Lookups!$H$48,-2)</f>
        <v>0</v>
      </c>
      <c r="BI274" s="7">
        <f>ROUND(((Wapato_Inventory[[#This Row],[land_extract]]*Lookups!$B$3) +(Lookups!$B$2*0.5))*Lookups!$H$48,-2)</f>
        <v>54100</v>
      </c>
      <c r="BJ274" s="7">
        <f>IF(Wapato_Inventory[[#This Row],[bldg_style]]="",0,Lookups!$B$2*0.5)</f>
        <v>53765.27</v>
      </c>
      <c r="BK274" s="7">
        <f>_xlfn.IFNA(VLOOKUP(Wapato_Inventory[[#This Row],[quality]],Lookups!$H$2:$J$14,3,FALSE),0)</f>
        <v>48043</v>
      </c>
      <c r="BL274" s="7">
        <f>_xlfn.IFNA(VLOOKUP(Wapato_Inventory[[#This Row],[condition]],Lookups!$H$17:$J$24,3,FALSE),0)</f>
        <v>52231</v>
      </c>
      <c r="BM274" s="7">
        <f>Wapato_Inventory[[#This Row],[Age]]*Lookups!$B$16</f>
        <v>-38179.597099999999</v>
      </c>
      <c r="BN274" s="7">
        <f>Wapato_Inventory[[#This Row],[Main Floor]]*Lookups!$B$17</f>
        <v>47652.84246</v>
      </c>
      <c r="BO274" s="7">
        <f>Wapato_Inventory[[#This Row],[Upper Floor]]*Lookups!$B$18</f>
        <v>0</v>
      </c>
      <c r="BP274" s="7">
        <f>Wapato_Inventory[[#This Row],[Fin BSMT]]*Lookups!$B$19</f>
        <v>0</v>
      </c>
      <c r="BQ274" s="7">
        <f>(Wapato_Inventory[[#This Row],[att_gar]]+Wapato_Inventory[[#This Row],[blt_gar]])*Lookups!$B$20</f>
        <v>0</v>
      </c>
      <c r="BR274" s="7">
        <f>Wapato_Inventory[[#This Row],[Patio]]*Lookups!$B$21</f>
        <v>0</v>
      </c>
      <c r="BS274" s="7">
        <f>SUM(Wapato_Inventory[[#This Row],[intercept]:[patio_value]])*Wapato_Inventory[[#This Row],[res_pct]]</f>
        <v>163512.51535999999</v>
      </c>
      <c r="BT274" s="7">
        <f>Wapato_Inventory[[#This Row],[land_value]]</f>
        <v>54100</v>
      </c>
      <c r="BU274" s="2">
        <f>_xlfn.IFNA(VLOOKUP(Wapato_Inventory[[#This Row],[quality]],Lookups!$A$28:$C$37,3,FALSE),1)</f>
        <v>0.98196844879778955</v>
      </c>
      <c r="BV274" s="2">
        <f>_xlfn.IFNA(VLOOKUP(Wapato_Inventory[[#This Row],[condition]],Lookups!$A$41:$C$48,3,FALSE),1)</f>
        <v>0.9832333997567807</v>
      </c>
      <c r="BW274" s="2">
        <f>IF(Wapato_Inventory[[#This Row],[decade]]="",1,_xlfn.IFNA(VLOOKUP(Wapato_Inventory[[#This Row],[decade]],Lookups!$F$28:$H$45,3,FALSE),1))</f>
        <v>0.93664589651353292</v>
      </c>
      <c r="BX274" s="2">
        <f>_xlfn.IFNA(VLOOKUP(Wapato_Inventory[[#This Row],[living_area_range]],Lookups!$K$28:$M$37,3,FALSE),1)</f>
        <v>1.0061411172456287</v>
      </c>
      <c r="BY274" s="2">
        <f>AVERAGE(Wapato_Inventory[[#This Row],[qual_adj]:[range_adj]])</f>
        <v>0.976997215578433</v>
      </c>
      <c r="BZ274" s="7">
        <f>(Wapato_Inventory[[#This Row],[sum_land]]-IF(Wapato_Inventory[[#This Row],[no_utilities]]=1,12000,0))/IF(Wapato_Inventory[[#This Row],[unbuildable]]=1,2,1)</f>
        <v>54100</v>
      </c>
      <c r="CA274" s="7">
        <f>Wapato_Inventory[[#This Row],[pre_res]]*Wapato_Inventory[[#This Row],[overall_adj]]</f>
        <v>159751.27221894576</v>
      </c>
      <c r="CB274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274" s="3">
        <f>IF(ROUND(Wapato_Inventory[[#This Row],[adj_res]]*Lookups!$H$48,-2)&lt;Wapato_Inventory[[#This Row],[min_res]],Wapato_Inventory[[#This Row],[min_res]],ROUND(Wapato_Inventory[[#This Row],[adj_res]]*Lookups!$H$48,-2))</f>
        <v>151800</v>
      </c>
      <c r="CD274" s="3">
        <f>ROUND(Wapato_Inventory[[#This Row],[det_value]]*Lookups!$H$48,-2)</f>
        <v>0</v>
      </c>
      <c r="CE274" s="3">
        <f>Wapato_Inventory[[#This Row],[final_res]]+Wapato_Inventory[[#This Row],[final_det]]</f>
        <v>151800</v>
      </c>
      <c r="CF274" s="3">
        <f>Wapato_Inventory[[#This Row],[crop_value]]+Wapato_Inventory[[#This Row],[final_land]]+Wapato_Inventory[[#This Row],[final_imp]]</f>
        <v>203200</v>
      </c>
      <c r="CH274" t="str">
        <f t="shared" si="4"/>
        <v>update valuation set market_land =51400, market_bldg=151800, market_total =203200, market_mdno =405, market_date ='9/10/2023' where link_id = (select link_id from parcel where parcel_year = '2024' and parcel_id = '19111041580');</v>
      </c>
    </row>
    <row r="275" spans="1:86" x14ac:dyDescent="0.25">
      <c r="A275">
        <v>19111041581</v>
      </c>
      <c r="B275">
        <v>0.14000000000000001</v>
      </c>
      <c r="C275">
        <v>6001</v>
      </c>
      <c r="D275" t="s">
        <v>144</v>
      </c>
      <c r="E275" t="s">
        <v>54</v>
      </c>
      <c r="F275" t="s">
        <v>54</v>
      </c>
      <c r="G275">
        <v>3</v>
      </c>
      <c r="H275" t="s">
        <v>55</v>
      </c>
      <c r="I275">
        <v>123500</v>
      </c>
      <c r="J275">
        <v>31900</v>
      </c>
      <c r="K275">
        <v>0.14000000000000001</v>
      </c>
      <c r="L275">
        <f>IF(Wapato_Inventory[[#This Row],[parcel_acres]]-Wapato_Inventory[[#This Row],[non_valued_acres]] =0,0,LN(Wapato_Inventory[[#This Row],[parcel_acres]]-Wapato_Inventory[[#This Row],[non_valued_acres]]))</f>
        <v>-1.9661128563728327</v>
      </c>
      <c r="M275">
        <v>0</v>
      </c>
      <c r="N275">
        <v>0</v>
      </c>
      <c r="O275">
        <v>0</v>
      </c>
      <c r="P275">
        <v>27904.037</v>
      </c>
      <c r="Q275">
        <v>74398</v>
      </c>
      <c r="R275" s="3">
        <f>(Wapato_Inventory[[#This Row],[ln_acres]]*Wapato_Inventory[[#This Row],[coeff]])+Wapato_Inventory[[#This Row],[const]]</f>
        <v>19535.514109596792</v>
      </c>
      <c r="S275" t="s">
        <v>66</v>
      </c>
      <c r="T275">
        <v>1</v>
      </c>
      <c r="U275" t="s">
        <v>71</v>
      </c>
      <c r="V275" t="s">
        <v>68</v>
      </c>
      <c r="W275">
        <v>0</v>
      </c>
      <c r="X275">
        <v>0</v>
      </c>
      <c r="Y275">
        <v>57</v>
      </c>
      <c r="Z275">
        <v>103</v>
      </c>
      <c r="AA275">
        <v>110</v>
      </c>
      <c r="AB275">
        <v>1500</v>
      </c>
      <c r="AC275">
        <v>1300</v>
      </c>
      <c r="AD275">
        <v>1300</v>
      </c>
      <c r="AE275">
        <v>0</v>
      </c>
      <c r="AF275">
        <v>0</v>
      </c>
      <c r="AG275">
        <v>0</v>
      </c>
      <c r="AH275">
        <v>100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5</v>
      </c>
      <c r="AQ275">
        <v>0</v>
      </c>
      <c r="AR275">
        <v>0</v>
      </c>
      <c r="AS275" t="s">
        <v>59</v>
      </c>
      <c r="AT275">
        <v>1</v>
      </c>
      <c r="AU275" t="s">
        <v>72</v>
      </c>
      <c r="AV275" t="s">
        <v>61</v>
      </c>
      <c r="AW275">
        <v>0</v>
      </c>
      <c r="AX275">
        <v>4</v>
      </c>
      <c r="AY275">
        <v>0</v>
      </c>
      <c r="AZ275">
        <v>0</v>
      </c>
      <c r="BA275">
        <v>100</v>
      </c>
      <c r="BB275">
        <v>100</v>
      </c>
      <c r="BC275">
        <v>100</v>
      </c>
      <c r="BD275">
        <v>100</v>
      </c>
      <c r="BE275">
        <v>1</v>
      </c>
      <c r="BF275">
        <v>15000</v>
      </c>
      <c r="BG275">
        <v>1000</v>
      </c>
      <c r="BH275" s="7">
        <f>ROUND(Wapato_Inventory[[#This Row],[detatched_value]]*Lookups!$B$22*Lookups!$H$48,-2)</f>
        <v>0</v>
      </c>
      <c r="BI275" s="7">
        <f>ROUND(((Wapato_Inventory[[#This Row],[land_extract]]*Lookups!$B$3) +(Lookups!$B$2*0.5))*Lookups!$H$48,-2)</f>
        <v>53000</v>
      </c>
      <c r="BJ275" s="7">
        <f>IF(Wapato_Inventory[[#This Row],[bldg_style]]="",0,Lookups!$B$2*0.5)</f>
        <v>53765.27</v>
      </c>
      <c r="BK275" s="7">
        <f>_xlfn.IFNA(VLOOKUP(Wapato_Inventory[[#This Row],[quality]],Lookups!$H$2:$J$14,3,FALSE),0)</f>
        <v>28034</v>
      </c>
      <c r="BL275" s="7">
        <f>_xlfn.IFNA(VLOOKUP(Wapato_Inventory[[#This Row],[condition]],Lookups!$H$17:$J$24,3,FALSE),0)</f>
        <v>52231</v>
      </c>
      <c r="BM275" s="7">
        <f>Wapato_Inventory[[#This Row],[Age]]*Lookups!$B$16</f>
        <v>-38179.597099999999</v>
      </c>
      <c r="BN275" s="7">
        <f>Wapato_Inventory[[#This Row],[Main Floor]]*Lookups!$B$17</f>
        <v>54340.960700000003</v>
      </c>
      <c r="BO275" s="7">
        <f>Wapato_Inventory[[#This Row],[Upper Floor]]*Lookups!$B$18</f>
        <v>0</v>
      </c>
      <c r="BP275" s="7">
        <f>Wapato_Inventory[[#This Row],[Fin BSMT]]*Lookups!$B$19</f>
        <v>0</v>
      </c>
      <c r="BQ275" s="7">
        <f>(Wapato_Inventory[[#This Row],[att_gar]]+Wapato_Inventory[[#This Row],[blt_gar]])*Lookups!$B$20</f>
        <v>0</v>
      </c>
      <c r="BR275" s="7">
        <f>Wapato_Inventory[[#This Row],[Patio]]*Lookups!$B$21</f>
        <v>0</v>
      </c>
      <c r="BS275" s="7">
        <f>SUM(Wapato_Inventory[[#This Row],[intercept]:[patio_value]])*Wapato_Inventory[[#This Row],[res_pct]]</f>
        <v>150191.6336</v>
      </c>
      <c r="BT275" s="7">
        <f>Wapato_Inventory[[#This Row],[land_value]]</f>
        <v>53000</v>
      </c>
      <c r="BU275" s="2">
        <f>_xlfn.IFNA(VLOOKUP(Wapato_Inventory[[#This Row],[quality]],Lookups!$A$28:$C$37,3,FALSE),1)</f>
        <v>0.96265813922927435</v>
      </c>
      <c r="BV275" s="2">
        <f>_xlfn.IFNA(VLOOKUP(Wapato_Inventory[[#This Row],[condition]],Lookups!$A$41:$C$48,3,FALSE),1)</f>
        <v>0.9832333997567807</v>
      </c>
      <c r="BW275" s="2">
        <f>IF(Wapato_Inventory[[#This Row],[decade]]="",1,_xlfn.IFNA(VLOOKUP(Wapato_Inventory[[#This Row],[decade]],Lookups!$F$28:$H$45,3,FALSE),1))</f>
        <v>0.93664589651353292</v>
      </c>
      <c r="BX275" s="2">
        <f>_xlfn.IFNA(VLOOKUP(Wapato_Inventory[[#This Row],[living_area_range]],Lookups!$K$28:$M$37,3,FALSE),1)</f>
        <v>1.0061411172456287</v>
      </c>
      <c r="BY275" s="2">
        <f>AVERAGE(Wapato_Inventory[[#This Row],[qual_adj]:[range_adj]])</f>
        <v>0.97216963818630409</v>
      </c>
      <c r="BZ275" s="7">
        <f>(Wapato_Inventory[[#This Row],[sum_land]]-IF(Wapato_Inventory[[#This Row],[no_utilities]]=1,12000,0))/IF(Wapato_Inventory[[#This Row],[unbuildable]]=1,2,1)</f>
        <v>53000</v>
      </c>
      <c r="CA275" s="7">
        <f>Wapato_Inventory[[#This Row],[pre_res]]*Wapato_Inventory[[#This Row],[overall_adj]]</f>
        <v>146011.74609552196</v>
      </c>
      <c r="CB27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75" s="3">
        <f>IF(ROUND(Wapato_Inventory[[#This Row],[adj_res]]*Lookups!$H$48,-2)&lt;Wapato_Inventory[[#This Row],[min_res]],Wapato_Inventory[[#This Row],[min_res]],ROUND(Wapato_Inventory[[#This Row],[adj_res]]*Lookups!$H$48,-2))</f>
        <v>138700</v>
      </c>
      <c r="CD275" s="3">
        <f>ROUND(Wapato_Inventory[[#This Row],[det_value]]*Lookups!$H$48,-2)</f>
        <v>0</v>
      </c>
      <c r="CE275" s="3">
        <f>Wapato_Inventory[[#This Row],[final_res]]+Wapato_Inventory[[#This Row],[final_det]]</f>
        <v>138700</v>
      </c>
      <c r="CF275" s="3">
        <f>Wapato_Inventory[[#This Row],[crop_value]]+Wapato_Inventory[[#This Row],[final_land]]+Wapato_Inventory[[#This Row],[final_imp]]</f>
        <v>189100</v>
      </c>
      <c r="CH275" t="str">
        <f t="shared" si="4"/>
        <v>update valuation set market_land =50400, market_bldg=138700, market_total =189100, market_mdno =405, market_date ='9/10/2023' where link_id = (select link_id from parcel where parcel_year = '2024' and parcel_id = '19111041581');</v>
      </c>
    </row>
    <row r="276" spans="1:86" x14ac:dyDescent="0.25">
      <c r="A276">
        <v>19111041585</v>
      </c>
      <c r="B276">
        <v>7.0000000000000007E-2</v>
      </c>
      <c r="C276">
        <v>3005</v>
      </c>
      <c r="D276" t="s">
        <v>144</v>
      </c>
      <c r="E276" t="s">
        <v>54</v>
      </c>
      <c r="F276" t="s">
        <v>54</v>
      </c>
      <c r="G276">
        <v>3</v>
      </c>
      <c r="H276" t="s">
        <v>55</v>
      </c>
      <c r="I276">
        <v>171200</v>
      </c>
      <c r="J276">
        <v>26900</v>
      </c>
      <c r="K276">
        <v>7.0000000000000007E-2</v>
      </c>
      <c r="L276">
        <f>IF(Wapato_Inventory[[#This Row],[parcel_acres]]-Wapato_Inventory[[#This Row],[non_valued_acres]] =0,0,LN(Wapato_Inventory[[#This Row],[parcel_acres]]-Wapato_Inventory[[#This Row],[non_valued_acres]]))</f>
        <v>-2.6592600369327779</v>
      </c>
      <c r="M276">
        <v>0</v>
      </c>
      <c r="N276">
        <v>0</v>
      </c>
      <c r="O276">
        <v>0</v>
      </c>
      <c r="P276">
        <v>27904.037</v>
      </c>
      <c r="Q276">
        <v>74398</v>
      </c>
      <c r="R276" s="3">
        <f>(Wapato_Inventory[[#This Row],[ln_acres]]*Wapato_Inventory[[#This Row],[coeff]])+Wapato_Inventory[[#This Row],[const]]</f>
        <v>193.90953680640087</v>
      </c>
      <c r="S276" t="s">
        <v>66</v>
      </c>
      <c r="T276">
        <v>1</v>
      </c>
      <c r="U276" t="s">
        <v>75</v>
      </c>
      <c r="V276" t="s">
        <v>68</v>
      </c>
      <c r="W276">
        <v>0</v>
      </c>
      <c r="X276">
        <v>0</v>
      </c>
      <c r="Y276">
        <v>35</v>
      </c>
      <c r="Z276">
        <v>35</v>
      </c>
      <c r="AA276">
        <v>40</v>
      </c>
      <c r="AB276">
        <v>1500</v>
      </c>
      <c r="AC276">
        <v>1034</v>
      </c>
      <c r="AD276">
        <v>1034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168</v>
      </c>
      <c r="AO276">
        <v>0</v>
      </c>
      <c r="AP276">
        <v>5</v>
      </c>
      <c r="AQ276">
        <v>0</v>
      </c>
      <c r="AR276">
        <v>0</v>
      </c>
      <c r="AS276" t="s">
        <v>59</v>
      </c>
      <c r="AT276">
        <v>1</v>
      </c>
      <c r="AU276" t="s">
        <v>64</v>
      </c>
      <c r="AV276" t="s">
        <v>61</v>
      </c>
      <c r="AW276">
        <v>0</v>
      </c>
      <c r="AX276">
        <v>3</v>
      </c>
      <c r="AY276">
        <v>0</v>
      </c>
      <c r="AZ276">
        <v>0</v>
      </c>
      <c r="BA276">
        <v>100</v>
      </c>
      <c r="BB276">
        <v>100</v>
      </c>
      <c r="BC276">
        <v>100</v>
      </c>
      <c r="BD276">
        <v>100</v>
      </c>
      <c r="BE276">
        <v>1</v>
      </c>
      <c r="BF276">
        <v>15000</v>
      </c>
      <c r="BG276">
        <v>1000</v>
      </c>
      <c r="BH276" s="7">
        <f>ROUND(Wapato_Inventory[[#This Row],[detatched_value]]*Lookups!$B$22*Lookups!$H$48,-2)</f>
        <v>0</v>
      </c>
      <c r="BI276" s="7">
        <f>ROUND(((Wapato_Inventory[[#This Row],[land_extract]]*Lookups!$B$3) +(Lookups!$B$2*0.5))*Lookups!$H$48,-2)</f>
        <v>51100</v>
      </c>
      <c r="BJ276" s="7">
        <f>IF(Wapato_Inventory[[#This Row],[bldg_style]]="",0,Lookups!$B$2*0.5)</f>
        <v>53765.27</v>
      </c>
      <c r="BK276" s="7">
        <f>_xlfn.IFNA(VLOOKUP(Wapato_Inventory[[#This Row],[quality]],Lookups!$H$2:$J$14,3,FALSE),0)</f>
        <v>48043</v>
      </c>
      <c r="BL276" s="7">
        <f>_xlfn.IFNA(VLOOKUP(Wapato_Inventory[[#This Row],[condition]],Lookups!$H$17:$J$24,3,FALSE),0)</f>
        <v>52231</v>
      </c>
      <c r="BM276" s="7">
        <f>Wapato_Inventory[[#This Row],[Age]]*Lookups!$B$16</f>
        <v>-12973.6495</v>
      </c>
      <c r="BN276" s="7">
        <f>Wapato_Inventory[[#This Row],[Main Floor]]*Lookups!$B$17</f>
        <v>43221.964125999999</v>
      </c>
      <c r="BO276" s="7">
        <f>Wapato_Inventory[[#This Row],[Upper Floor]]*Lookups!$B$18</f>
        <v>0</v>
      </c>
      <c r="BP276" s="7">
        <f>Wapato_Inventory[[#This Row],[Fin BSMT]]*Lookups!$B$19</f>
        <v>0</v>
      </c>
      <c r="BQ276" s="7">
        <f>(Wapato_Inventory[[#This Row],[att_gar]]+Wapato_Inventory[[#This Row],[blt_gar]])*Lookups!$B$20</f>
        <v>0</v>
      </c>
      <c r="BR276" s="7">
        <f>Wapato_Inventory[[#This Row],[Patio]]*Lookups!$B$21</f>
        <v>0</v>
      </c>
      <c r="BS276" s="7">
        <f>SUM(Wapato_Inventory[[#This Row],[intercept]:[patio_value]])*Wapato_Inventory[[#This Row],[res_pct]]</f>
        <v>184287.584626</v>
      </c>
      <c r="BT276" s="7">
        <f>Wapato_Inventory[[#This Row],[land_value]]</f>
        <v>51100</v>
      </c>
      <c r="BU276" s="2">
        <f>_xlfn.IFNA(VLOOKUP(Wapato_Inventory[[#This Row],[quality]],Lookups!$A$28:$C$37,3,FALSE),1)</f>
        <v>0.98196844879778955</v>
      </c>
      <c r="BV276" s="2">
        <f>_xlfn.IFNA(VLOOKUP(Wapato_Inventory[[#This Row],[condition]],Lookups!$A$41:$C$48,3,FALSE),1)</f>
        <v>0.9832333997567807</v>
      </c>
      <c r="BW276" s="2">
        <f>IF(Wapato_Inventory[[#This Row],[decade]]="",1,_xlfn.IFNA(VLOOKUP(Wapato_Inventory[[#This Row],[decade]],Lookups!$F$28:$H$45,3,FALSE),1))</f>
        <v>1.0327621624630683</v>
      </c>
      <c r="BX276" s="2">
        <f>_xlfn.IFNA(VLOOKUP(Wapato_Inventory[[#This Row],[living_area_range]],Lookups!$K$28:$M$37,3,FALSE),1)</f>
        <v>1.0061411172456287</v>
      </c>
      <c r="BY276" s="2">
        <f>AVERAGE(Wapato_Inventory[[#This Row],[qual_adj]:[range_adj]])</f>
        <v>1.0010262820658169</v>
      </c>
      <c r="BZ276" s="7">
        <f>(Wapato_Inventory[[#This Row],[sum_land]]-IF(Wapato_Inventory[[#This Row],[no_utilities]]=1,12000,0))/IF(Wapato_Inventory[[#This Row],[unbuildable]]=1,2,1)</f>
        <v>51100</v>
      </c>
      <c r="CA276" s="7">
        <f>Wapato_Inventory[[#This Row],[pre_res]]*Wapato_Inventory[[#This Row],[overall_adj]]</f>
        <v>184476.71566905436</v>
      </c>
      <c r="CB276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276" s="3">
        <f>IF(ROUND(Wapato_Inventory[[#This Row],[adj_res]]*Lookups!$H$48,-2)&lt;Wapato_Inventory[[#This Row],[min_res]],Wapato_Inventory[[#This Row],[min_res]],ROUND(Wapato_Inventory[[#This Row],[adj_res]]*Lookups!$H$48,-2))</f>
        <v>175300</v>
      </c>
      <c r="CD276" s="3">
        <f>ROUND(Wapato_Inventory[[#This Row],[det_value]]*Lookups!$H$48,-2)</f>
        <v>0</v>
      </c>
      <c r="CE276" s="3">
        <f>Wapato_Inventory[[#This Row],[final_res]]+Wapato_Inventory[[#This Row],[final_det]]</f>
        <v>175300</v>
      </c>
      <c r="CF276" s="3">
        <f>Wapato_Inventory[[#This Row],[crop_value]]+Wapato_Inventory[[#This Row],[final_land]]+Wapato_Inventory[[#This Row],[final_imp]]</f>
        <v>223800</v>
      </c>
      <c r="CH276" t="str">
        <f t="shared" si="4"/>
        <v>update valuation set market_land =48500, market_bldg=175300, market_total =223800, market_mdno =405, market_date ='9/10/2023' where link_id = (select link_id from parcel where parcel_year = '2024' and parcel_id = '19111041585');</v>
      </c>
    </row>
    <row r="277" spans="1:86" x14ac:dyDescent="0.25">
      <c r="A277">
        <v>19111041586</v>
      </c>
      <c r="B277">
        <v>7.0000000000000007E-2</v>
      </c>
      <c r="C277">
        <v>3000</v>
      </c>
      <c r="D277" t="s">
        <v>144</v>
      </c>
      <c r="E277" t="s">
        <v>54</v>
      </c>
      <c r="F277" t="s">
        <v>54</v>
      </c>
      <c r="G277">
        <v>3</v>
      </c>
      <c r="H277" t="s">
        <v>55</v>
      </c>
      <c r="I277">
        <v>84300</v>
      </c>
      <c r="J277">
        <v>26900</v>
      </c>
      <c r="K277">
        <v>7.0000000000000007E-2</v>
      </c>
      <c r="L277">
        <f>IF(Wapato_Inventory[[#This Row],[parcel_acres]]-Wapato_Inventory[[#This Row],[non_valued_acres]] =0,0,LN(Wapato_Inventory[[#This Row],[parcel_acres]]-Wapato_Inventory[[#This Row],[non_valued_acres]]))</f>
        <v>-2.6592600369327779</v>
      </c>
      <c r="M277">
        <v>0</v>
      </c>
      <c r="N277">
        <v>0</v>
      </c>
      <c r="O277">
        <v>0</v>
      </c>
      <c r="P277">
        <v>27904.037</v>
      </c>
      <c r="Q277">
        <v>74398</v>
      </c>
      <c r="R277" s="3">
        <f>(Wapato_Inventory[[#This Row],[ln_acres]]*Wapato_Inventory[[#This Row],[coeff]])+Wapato_Inventory[[#This Row],[const]]</f>
        <v>193.90953680640087</v>
      </c>
      <c r="S277" t="s">
        <v>66</v>
      </c>
      <c r="T277">
        <v>1</v>
      </c>
      <c r="U277" t="s">
        <v>71</v>
      </c>
      <c r="V277" t="s">
        <v>73</v>
      </c>
      <c r="W277">
        <v>0</v>
      </c>
      <c r="X277">
        <v>0</v>
      </c>
      <c r="Y277">
        <v>35</v>
      </c>
      <c r="Z277">
        <v>35</v>
      </c>
      <c r="AA277">
        <v>40</v>
      </c>
      <c r="AB277">
        <v>1000</v>
      </c>
      <c r="AC277">
        <v>720</v>
      </c>
      <c r="AD277">
        <v>720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5</v>
      </c>
      <c r="AQ277">
        <v>0</v>
      </c>
      <c r="AR277">
        <v>0</v>
      </c>
      <c r="AS277" t="s">
        <v>59</v>
      </c>
      <c r="AT277">
        <v>1</v>
      </c>
      <c r="AU277" t="s">
        <v>72</v>
      </c>
      <c r="AV277" t="s">
        <v>61</v>
      </c>
      <c r="AW277">
        <v>0</v>
      </c>
      <c r="AX277">
        <v>2</v>
      </c>
      <c r="AY277">
        <v>0</v>
      </c>
      <c r="AZ277">
        <v>0</v>
      </c>
      <c r="BA277">
        <v>100</v>
      </c>
      <c r="BB277">
        <v>100</v>
      </c>
      <c r="BC277">
        <v>100</v>
      </c>
      <c r="BD277">
        <v>100</v>
      </c>
      <c r="BE277">
        <v>1</v>
      </c>
      <c r="BF277">
        <v>15000</v>
      </c>
      <c r="BG277">
        <v>1000</v>
      </c>
      <c r="BH277" s="7">
        <f>ROUND(Wapato_Inventory[[#This Row],[detatched_value]]*Lookups!$B$22*Lookups!$H$48,-2)</f>
        <v>0</v>
      </c>
      <c r="BI277" s="7">
        <f>ROUND(((Wapato_Inventory[[#This Row],[land_extract]]*Lookups!$B$3) +(Lookups!$B$2*0.5))*Lookups!$H$48,-2)</f>
        <v>51100</v>
      </c>
      <c r="BJ277" s="7">
        <f>IF(Wapato_Inventory[[#This Row],[bldg_style]]="",0,Lookups!$B$2*0.5)</f>
        <v>53765.27</v>
      </c>
      <c r="BK277" s="7">
        <f>_xlfn.IFNA(VLOOKUP(Wapato_Inventory[[#This Row],[quality]],Lookups!$H$2:$J$14,3,FALSE),0)</f>
        <v>28034</v>
      </c>
      <c r="BL277" s="7">
        <f>_xlfn.IFNA(VLOOKUP(Wapato_Inventory[[#This Row],[condition]],Lookups!$H$17:$J$24,3,FALSE),0)</f>
        <v>16276</v>
      </c>
      <c r="BM277" s="7">
        <f>Wapato_Inventory[[#This Row],[Age]]*Lookups!$B$16</f>
        <v>-12973.6495</v>
      </c>
      <c r="BN277" s="7">
        <f>Wapato_Inventory[[#This Row],[Main Floor]]*Lookups!$B$17</f>
        <v>30096.532080000001</v>
      </c>
      <c r="BO277" s="7">
        <f>Wapato_Inventory[[#This Row],[Upper Floor]]*Lookups!$B$18</f>
        <v>0</v>
      </c>
      <c r="BP277" s="7">
        <f>Wapato_Inventory[[#This Row],[Fin BSMT]]*Lookups!$B$19</f>
        <v>0</v>
      </c>
      <c r="BQ277" s="7">
        <f>(Wapato_Inventory[[#This Row],[att_gar]]+Wapato_Inventory[[#This Row],[blt_gar]])*Lookups!$B$20</f>
        <v>0</v>
      </c>
      <c r="BR277" s="7">
        <f>Wapato_Inventory[[#This Row],[Patio]]*Lookups!$B$21</f>
        <v>0</v>
      </c>
      <c r="BS277" s="7">
        <f>SUM(Wapato_Inventory[[#This Row],[intercept]:[patio_value]])*Wapato_Inventory[[#This Row],[res_pct]]</f>
        <v>115198.15257999999</v>
      </c>
      <c r="BT277" s="7">
        <f>Wapato_Inventory[[#This Row],[land_value]]</f>
        <v>51100</v>
      </c>
      <c r="BU277" s="2">
        <f>_xlfn.IFNA(VLOOKUP(Wapato_Inventory[[#This Row],[quality]],Lookups!$A$28:$C$37,3,FALSE),1)</f>
        <v>0.96265813922927435</v>
      </c>
      <c r="BV277" s="2">
        <f>_xlfn.IFNA(VLOOKUP(Wapato_Inventory[[#This Row],[condition]],Lookups!$A$41:$C$48,3,FALSE),1)</f>
        <v>0.93399385491337139</v>
      </c>
      <c r="BW277" s="2">
        <f>IF(Wapato_Inventory[[#This Row],[decade]]="",1,_xlfn.IFNA(VLOOKUP(Wapato_Inventory[[#This Row],[decade]],Lookups!$F$28:$H$45,3,FALSE),1))</f>
        <v>1.0327621624630683</v>
      </c>
      <c r="BX277" s="2">
        <f>_xlfn.IFNA(VLOOKUP(Wapato_Inventory[[#This Row],[living_area_range]],Lookups!$K$28:$M$37,3,FALSE),1)</f>
        <v>0.99022994770196116</v>
      </c>
      <c r="BY277" s="2">
        <f>AVERAGE(Wapato_Inventory[[#This Row],[qual_adj]:[range_adj]])</f>
        <v>0.97991102607691882</v>
      </c>
      <c r="BZ277" s="7">
        <f>(Wapato_Inventory[[#This Row],[sum_land]]-IF(Wapato_Inventory[[#This Row],[no_utilities]]=1,12000,0))/IF(Wapato_Inventory[[#This Row],[unbuildable]]=1,2,1)</f>
        <v>51100</v>
      </c>
      <c r="CA277" s="7">
        <f>Wapato_Inventory[[#This Row],[pre_res]]*Wapato_Inventory[[#This Row],[overall_adj]]</f>
        <v>112883.93989683325</v>
      </c>
      <c r="CB277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277" s="3">
        <f>IF(ROUND(Wapato_Inventory[[#This Row],[adj_res]]*Lookups!$H$48,-2)&lt;Wapato_Inventory[[#This Row],[min_res]],Wapato_Inventory[[#This Row],[min_res]],ROUND(Wapato_Inventory[[#This Row],[adj_res]]*Lookups!$H$48,-2))</f>
        <v>107200</v>
      </c>
      <c r="CD277" s="3">
        <f>ROUND(Wapato_Inventory[[#This Row],[det_value]]*Lookups!$H$48,-2)</f>
        <v>0</v>
      </c>
      <c r="CE277" s="3">
        <f>Wapato_Inventory[[#This Row],[final_res]]+Wapato_Inventory[[#This Row],[final_det]]</f>
        <v>107200</v>
      </c>
      <c r="CF277" s="3">
        <f>Wapato_Inventory[[#This Row],[crop_value]]+Wapato_Inventory[[#This Row],[final_land]]+Wapato_Inventory[[#This Row],[final_imp]]</f>
        <v>155700</v>
      </c>
      <c r="CH277" t="str">
        <f t="shared" si="4"/>
        <v>update valuation set market_land =48500, market_bldg=107200, market_total =155700, market_mdno =405, market_date ='9/10/2023' where link_id = (select link_id from parcel where parcel_year = '2024' and parcel_id = '19111041586');</v>
      </c>
    </row>
    <row r="278" spans="1:86" x14ac:dyDescent="0.25">
      <c r="A278">
        <v>19111041587</v>
      </c>
      <c r="B278">
        <v>0.14000000000000001</v>
      </c>
      <c r="C278">
        <v>6250</v>
      </c>
      <c r="D278" t="s">
        <v>144</v>
      </c>
      <c r="E278" t="s">
        <v>54</v>
      </c>
      <c r="F278" t="s">
        <v>54</v>
      </c>
      <c r="G278">
        <v>3</v>
      </c>
      <c r="H278" t="s">
        <v>55</v>
      </c>
      <c r="I278">
        <v>304500</v>
      </c>
      <c r="J278">
        <v>31900</v>
      </c>
      <c r="K278">
        <v>0.14000000000000001</v>
      </c>
      <c r="L278">
        <f>IF(Wapato_Inventory[[#This Row],[parcel_acres]]-Wapato_Inventory[[#This Row],[non_valued_acres]] =0,0,LN(Wapato_Inventory[[#This Row],[parcel_acres]]-Wapato_Inventory[[#This Row],[non_valued_acres]]))</f>
        <v>-1.9661128563728327</v>
      </c>
      <c r="M278">
        <v>0</v>
      </c>
      <c r="N278">
        <v>0</v>
      </c>
      <c r="O278">
        <v>0</v>
      </c>
      <c r="P278">
        <v>27904.037</v>
      </c>
      <c r="Q278">
        <v>74398</v>
      </c>
      <c r="R278" s="3">
        <f>(Wapato_Inventory[[#This Row],[ln_acres]]*Wapato_Inventory[[#This Row],[coeff]])+Wapato_Inventory[[#This Row],[const]]</f>
        <v>19535.514109596792</v>
      </c>
      <c r="S278" t="s">
        <v>62</v>
      </c>
      <c r="T278">
        <v>1</v>
      </c>
      <c r="U278" t="s">
        <v>63</v>
      </c>
      <c r="V278" t="s">
        <v>58</v>
      </c>
      <c r="W278">
        <v>0</v>
      </c>
      <c r="X278">
        <v>0</v>
      </c>
      <c r="Y278">
        <v>4</v>
      </c>
      <c r="Z278">
        <v>4</v>
      </c>
      <c r="AA278">
        <v>10</v>
      </c>
      <c r="AB278">
        <v>2000</v>
      </c>
      <c r="AC278">
        <v>1540</v>
      </c>
      <c r="AD278">
        <v>1540</v>
      </c>
      <c r="AE278">
        <v>0</v>
      </c>
      <c r="AF278">
        <v>0</v>
      </c>
      <c r="AG278">
        <v>0</v>
      </c>
      <c r="AH278">
        <v>0</v>
      </c>
      <c r="AI278">
        <v>440</v>
      </c>
      <c r="AJ278">
        <v>0</v>
      </c>
      <c r="AK278">
        <v>0</v>
      </c>
      <c r="AL278">
        <v>0</v>
      </c>
      <c r="AM278">
        <v>0</v>
      </c>
      <c r="AN278">
        <v>426</v>
      </c>
      <c r="AO278">
        <v>0</v>
      </c>
      <c r="AP278">
        <v>8</v>
      </c>
      <c r="AQ278">
        <v>0</v>
      </c>
      <c r="AR278">
        <v>0</v>
      </c>
      <c r="AS278" t="s">
        <v>59</v>
      </c>
      <c r="AT278">
        <v>1</v>
      </c>
      <c r="AU278" t="s">
        <v>60</v>
      </c>
      <c r="AV278" t="s">
        <v>61</v>
      </c>
      <c r="AW278">
        <v>1</v>
      </c>
      <c r="AX278">
        <v>3</v>
      </c>
      <c r="AY278">
        <v>0</v>
      </c>
      <c r="AZ278">
        <v>0</v>
      </c>
      <c r="BA278">
        <v>100</v>
      </c>
      <c r="BB278">
        <v>100</v>
      </c>
      <c r="BC278">
        <v>100</v>
      </c>
      <c r="BD278">
        <v>100</v>
      </c>
      <c r="BE278">
        <v>1</v>
      </c>
      <c r="BF278">
        <v>15000</v>
      </c>
      <c r="BG278">
        <v>1000</v>
      </c>
      <c r="BH278" s="7">
        <f>ROUND(Wapato_Inventory[[#This Row],[detatched_value]]*Lookups!$B$22*Lookups!$H$48,-2)</f>
        <v>0</v>
      </c>
      <c r="BI278" s="7">
        <f>ROUND(((Wapato_Inventory[[#This Row],[land_extract]]*Lookups!$B$3) +(Lookups!$B$2*0.5))*Lookups!$H$48,-2)</f>
        <v>53000</v>
      </c>
      <c r="BJ278" s="7">
        <f>IF(Wapato_Inventory[[#This Row],[bldg_style]]="",0,Lookups!$B$2*0.5)</f>
        <v>53765.27</v>
      </c>
      <c r="BK278" s="7">
        <f>_xlfn.IFNA(VLOOKUP(Wapato_Inventory[[#This Row],[quality]],Lookups!$H$2:$J$14,3,FALSE),0)</f>
        <v>50594</v>
      </c>
      <c r="BL278" s="7">
        <f>_xlfn.IFNA(VLOOKUP(Wapato_Inventory[[#This Row],[condition]],Lookups!$H$17:$J$24,3,FALSE),0)</f>
        <v>122095</v>
      </c>
      <c r="BM278" s="7">
        <f>Wapato_Inventory[[#This Row],[Age]]*Lookups!$B$16</f>
        <v>-1482.7028</v>
      </c>
      <c r="BN278" s="7">
        <f>Wapato_Inventory[[#This Row],[Main Floor]]*Lookups!$B$17</f>
        <v>64373.138059999997</v>
      </c>
      <c r="BO278" s="7">
        <f>Wapato_Inventory[[#This Row],[Upper Floor]]*Lookups!$B$18</f>
        <v>0</v>
      </c>
      <c r="BP278" s="7">
        <f>Wapato_Inventory[[#This Row],[Fin BSMT]]*Lookups!$B$19</f>
        <v>0</v>
      </c>
      <c r="BQ278" s="7">
        <f>(Wapato_Inventory[[#This Row],[att_gar]]+Wapato_Inventory[[#This Row],[blt_gar]])*Lookups!$B$20</f>
        <v>16283.85088</v>
      </c>
      <c r="BR278" s="7">
        <f>Wapato_Inventory[[#This Row],[Patio]]*Lookups!$B$21</f>
        <v>0</v>
      </c>
      <c r="BS278" s="7">
        <f>SUM(Wapato_Inventory[[#This Row],[intercept]:[patio_value]])*Wapato_Inventory[[#This Row],[res_pct]]</f>
        <v>305628.55613999994</v>
      </c>
      <c r="BT278" s="7">
        <f>Wapato_Inventory[[#This Row],[land_value]]</f>
        <v>53000</v>
      </c>
      <c r="BU278" s="2">
        <f>_xlfn.IFNA(VLOOKUP(Wapato_Inventory[[#This Row],[quality]],Lookups!$A$28:$C$37,3,FALSE),1)</f>
        <v>0.99197423394367223</v>
      </c>
      <c r="BV278" s="2">
        <f>_xlfn.IFNA(VLOOKUP(Wapato_Inventory[[#This Row],[condition]],Lookups!$A$41:$C$48,3,FALSE),1)</f>
        <v>1.00041560026225</v>
      </c>
      <c r="BW278" s="2">
        <f>IF(Wapato_Inventory[[#This Row],[decade]]="",1,_xlfn.IFNA(VLOOKUP(Wapato_Inventory[[#This Row],[decade]],Lookups!$F$28:$H$45,3,FALSE),1))</f>
        <v>1.0321018519633791</v>
      </c>
      <c r="BX278" s="2">
        <f>_xlfn.IFNA(VLOOKUP(Wapato_Inventory[[#This Row],[living_area_range]],Lookups!$K$28:$M$37,3,FALSE),1)</f>
        <v>0.99330894324714125</v>
      </c>
      <c r="BY278" s="2">
        <f>AVERAGE(Wapato_Inventory[[#This Row],[qual_adj]:[range_adj]])</f>
        <v>1.0044501573541107</v>
      </c>
      <c r="BZ278" s="7">
        <f>(Wapato_Inventory[[#This Row],[sum_land]]-IF(Wapato_Inventory[[#This Row],[no_utilities]]=1,12000,0))/IF(Wapato_Inventory[[#This Row],[unbuildable]]=1,2,1)</f>
        <v>53000</v>
      </c>
      <c r="CA278" s="7">
        <f>Wapato_Inventory[[#This Row],[pre_res]]*Wapato_Inventory[[#This Row],[overall_adj]]</f>
        <v>306988.65130673262</v>
      </c>
      <c r="CB27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78" s="3">
        <f>IF(ROUND(Wapato_Inventory[[#This Row],[adj_res]]*Lookups!$H$48,-2)&lt;Wapato_Inventory[[#This Row],[min_res]],Wapato_Inventory[[#This Row],[min_res]],ROUND(Wapato_Inventory[[#This Row],[adj_res]]*Lookups!$H$48,-2))</f>
        <v>291600</v>
      </c>
      <c r="CD278" s="3">
        <f>ROUND(Wapato_Inventory[[#This Row],[det_value]]*Lookups!$H$48,-2)</f>
        <v>0</v>
      </c>
      <c r="CE278" s="3">
        <f>Wapato_Inventory[[#This Row],[final_res]]+Wapato_Inventory[[#This Row],[final_det]]</f>
        <v>291600</v>
      </c>
      <c r="CF278" s="3">
        <f>Wapato_Inventory[[#This Row],[crop_value]]+Wapato_Inventory[[#This Row],[final_land]]+Wapato_Inventory[[#This Row],[final_imp]]</f>
        <v>342000</v>
      </c>
      <c r="CH278" t="str">
        <f t="shared" si="4"/>
        <v>update valuation set market_land =50400, market_bldg=291600, market_total =342000, market_mdno =405, market_date ='9/10/2023' where link_id = (select link_id from parcel where parcel_year = '2024' and parcel_id = '19111041587');</v>
      </c>
    </row>
    <row r="279" spans="1:86" x14ac:dyDescent="0.25">
      <c r="A279">
        <v>19111041588</v>
      </c>
      <c r="B279">
        <v>0.14000000000000001</v>
      </c>
      <c r="C279">
        <v>6250</v>
      </c>
      <c r="D279" t="s">
        <v>144</v>
      </c>
      <c r="E279" t="s">
        <v>54</v>
      </c>
      <c r="F279" t="s">
        <v>54</v>
      </c>
      <c r="G279">
        <v>3</v>
      </c>
      <c r="H279" t="s">
        <v>55</v>
      </c>
      <c r="I279">
        <v>184900</v>
      </c>
      <c r="J279">
        <v>31900</v>
      </c>
      <c r="K279">
        <v>0.14000000000000001</v>
      </c>
      <c r="L279">
        <f>IF(Wapato_Inventory[[#This Row],[parcel_acres]]-Wapato_Inventory[[#This Row],[non_valued_acres]] =0,0,LN(Wapato_Inventory[[#This Row],[parcel_acres]]-Wapato_Inventory[[#This Row],[non_valued_acres]]))</f>
        <v>-1.9661128563728327</v>
      </c>
      <c r="M279">
        <v>0</v>
      </c>
      <c r="N279">
        <v>0</v>
      </c>
      <c r="O279">
        <v>0</v>
      </c>
      <c r="P279">
        <v>27904.037</v>
      </c>
      <c r="Q279">
        <v>74398</v>
      </c>
      <c r="R279" s="3">
        <f>(Wapato_Inventory[[#This Row],[ln_acres]]*Wapato_Inventory[[#This Row],[coeff]])+Wapato_Inventory[[#This Row],[const]]</f>
        <v>19535.514109596792</v>
      </c>
      <c r="S279" t="s">
        <v>66</v>
      </c>
      <c r="T279">
        <v>1</v>
      </c>
      <c r="U279" t="s">
        <v>75</v>
      </c>
      <c r="V279" t="s">
        <v>69</v>
      </c>
      <c r="W279">
        <v>0</v>
      </c>
      <c r="X279">
        <v>0</v>
      </c>
      <c r="Y279">
        <v>57</v>
      </c>
      <c r="Z279">
        <v>103</v>
      </c>
      <c r="AA279">
        <v>110</v>
      </c>
      <c r="AB279">
        <v>1500</v>
      </c>
      <c r="AC279">
        <v>1234</v>
      </c>
      <c r="AD279">
        <v>1234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40</v>
      </c>
      <c r="AM279">
        <v>0</v>
      </c>
      <c r="AN279">
        <v>0</v>
      </c>
      <c r="AO279">
        <v>40</v>
      </c>
      <c r="AP279">
        <v>5</v>
      </c>
      <c r="AQ279">
        <v>0</v>
      </c>
      <c r="AR279">
        <v>0</v>
      </c>
      <c r="AS279" t="s">
        <v>59</v>
      </c>
      <c r="AT279">
        <v>0</v>
      </c>
      <c r="AU279" t="s">
        <v>80</v>
      </c>
      <c r="AV279" t="s">
        <v>65</v>
      </c>
      <c r="AW279">
        <v>0</v>
      </c>
      <c r="AX279">
        <v>2</v>
      </c>
      <c r="AY279">
        <v>0</v>
      </c>
      <c r="AZ279">
        <v>3400</v>
      </c>
      <c r="BA279">
        <v>100</v>
      </c>
      <c r="BB279">
        <v>100</v>
      </c>
      <c r="BC279">
        <v>100</v>
      </c>
      <c r="BD279">
        <v>100</v>
      </c>
      <c r="BE279">
        <v>1</v>
      </c>
      <c r="BF279">
        <v>15000</v>
      </c>
      <c r="BG279">
        <v>1000</v>
      </c>
      <c r="BH279" s="7">
        <f>ROUND(Wapato_Inventory[[#This Row],[detatched_value]]*Lookups!$B$22*Lookups!$H$48,-2)</f>
        <v>3000</v>
      </c>
      <c r="BI279" s="7">
        <f>ROUND(((Wapato_Inventory[[#This Row],[land_extract]]*Lookups!$B$3) +(Lookups!$B$2*0.5))*Lookups!$H$48,-2)</f>
        <v>53000</v>
      </c>
      <c r="BJ279" s="7">
        <f>IF(Wapato_Inventory[[#This Row],[bldg_style]]="",0,Lookups!$B$2*0.5)</f>
        <v>53765.27</v>
      </c>
      <c r="BK279" s="7">
        <f>_xlfn.IFNA(VLOOKUP(Wapato_Inventory[[#This Row],[quality]],Lookups!$H$2:$J$14,3,FALSE),0)</f>
        <v>48043</v>
      </c>
      <c r="BL279" s="7">
        <f>_xlfn.IFNA(VLOOKUP(Wapato_Inventory[[#This Row],[condition]],Lookups!$H$17:$J$24,3,FALSE),0)</f>
        <v>74543</v>
      </c>
      <c r="BM279" s="7">
        <f>Wapato_Inventory[[#This Row],[Age]]*Lookups!$B$16</f>
        <v>-38179.597099999999</v>
      </c>
      <c r="BN279" s="7">
        <f>Wapato_Inventory[[#This Row],[Main Floor]]*Lookups!$B$17</f>
        <v>51582.111925999998</v>
      </c>
      <c r="BO279" s="7">
        <f>Wapato_Inventory[[#This Row],[Upper Floor]]*Lookups!$B$18</f>
        <v>0</v>
      </c>
      <c r="BP279" s="7">
        <f>Wapato_Inventory[[#This Row],[Fin BSMT]]*Lookups!$B$19</f>
        <v>0</v>
      </c>
      <c r="BQ279" s="7">
        <f>(Wapato_Inventory[[#This Row],[att_gar]]+Wapato_Inventory[[#This Row],[blt_gar]])*Lookups!$B$20</f>
        <v>0</v>
      </c>
      <c r="BR279" s="7">
        <f>Wapato_Inventory[[#This Row],[Patio]]*Lookups!$B$21</f>
        <v>0</v>
      </c>
      <c r="BS279" s="7">
        <f>SUM(Wapato_Inventory[[#This Row],[intercept]:[patio_value]])*Wapato_Inventory[[#This Row],[res_pct]]</f>
        <v>189753.78482599999</v>
      </c>
      <c r="BT279" s="7">
        <f>Wapato_Inventory[[#This Row],[land_value]]</f>
        <v>53000</v>
      </c>
      <c r="BU279" s="2">
        <f>_xlfn.IFNA(VLOOKUP(Wapato_Inventory[[#This Row],[quality]],Lookups!$A$28:$C$37,3,FALSE),1)</f>
        <v>0.98196844879778955</v>
      </c>
      <c r="BV279" s="2">
        <f>_xlfn.IFNA(VLOOKUP(Wapato_Inventory[[#This Row],[condition]],Lookups!$A$41:$C$48,3,FALSE),1)</f>
        <v>0.98442438223270734</v>
      </c>
      <c r="BW279" s="2">
        <f>IF(Wapato_Inventory[[#This Row],[decade]]="",1,_xlfn.IFNA(VLOOKUP(Wapato_Inventory[[#This Row],[decade]],Lookups!$F$28:$H$45,3,FALSE),1))</f>
        <v>0.93664589651353292</v>
      </c>
      <c r="BX279" s="2">
        <f>_xlfn.IFNA(VLOOKUP(Wapato_Inventory[[#This Row],[living_area_range]],Lookups!$K$28:$M$37,3,FALSE),1)</f>
        <v>1.0061411172456287</v>
      </c>
      <c r="BY279" s="2">
        <f>AVERAGE(Wapato_Inventory[[#This Row],[qual_adj]:[range_adj]])</f>
        <v>0.97729496119741466</v>
      </c>
      <c r="BZ279" s="7">
        <f>(Wapato_Inventory[[#This Row],[sum_land]]-IF(Wapato_Inventory[[#This Row],[no_utilities]]=1,12000,0))/IF(Wapato_Inventory[[#This Row],[unbuildable]]=1,2,1)</f>
        <v>53000</v>
      </c>
      <c r="CA279" s="7">
        <f>Wapato_Inventory[[#This Row],[pre_res]]*Wapato_Inventory[[#This Row],[overall_adj]]</f>
        <v>185445.41777858822</v>
      </c>
      <c r="CB27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79" s="3">
        <f>IF(ROUND(Wapato_Inventory[[#This Row],[adj_res]]*Lookups!$H$48,-2)&lt;Wapato_Inventory[[#This Row],[min_res]],Wapato_Inventory[[#This Row],[min_res]],ROUND(Wapato_Inventory[[#This Row],[adj_res]]*Lookups!$H$48,-2))</f>
        <v>176200</v>
      </c>
      <c r="CD279" s="3">
        <f>ROUND(Wapato_Inventory[[#This Row],[det_value]]*Lookups!$H$48,-2)</f>
        <v>2900</v>
      </c>
      <c r="CE279" s="3">
        <f>Wapato_Inventory[[#This Row],[final_res]]+Wapato_Inventory[[#This Row],[final_det]]</f>
        <v>179100</v>
      </c>
      <c r="CF279" s="3">
        <f>Wapato_Inventory[[#This Row],[crop_value]]+Wapato_Inventory[[#This Row],[final_land]]+Wapato_Inventory[[#This Row],[final_imp]]</f>
        <v>229500</v>
      </c>
      <c r="CH279" t="str">
        <f t="shared" si="4"/>
        <v>update valuation set market_land =50400, market_bldg=179100, market_total =229500, market_mdno =405, market_date ='9/10/2023' where link_id = (select link_id from parcel where parcel_year = '2024' and parcel_id = '19111041588');</v>
      </c>
    </row>
    <row r="280" spans="1:86" x14ac:dyDescent="0.25">
      <c r="A280">
        <v>19111041591</v>
      </c>
      <c r="B280">
        <v>0.14000000000000001</v>
      </c>
      <c r="C280">
        <v>6226</v>
      </c>
      <c r="D280" t="s">
        <v>144</v>
      </c>
      <c r="E280" t="s">
        <v>54</v>
      </c>
      <c r="F280" t="s">
        <v>54</v>
      </c>
      <c r="G280">
        <v>3</v>
      </c>
      <c r="H280" t="s">
        <v>55</v>
      </c>
      <c r="I280">
        <v>59600</v>
      </c>
      <c r="J280">
        <v>31900</v>
      </c>
      <c r="K280">
        <v>0.14000000000000001</v>
      </c>
      <c r="L280">
        <f>IF(Wapato_Inventory[[#This Row],[parcel_acres]]-Wapato_Inventory[[#This Row],[non_valued_acres]] =0,0,LN(Wapato_Inventory[[#This Row],[parcel_acres]]-Wapato_Inventory[[#This Row],[non_valued_acres]]))</f>
        <v>-1.9661128563728327</v>
      </c>
      <c r="M280">
        <v>0</v>
      </c>
      <c r="N280">
        <v>0</v>
      </c>
      <c r="O280">
        <v>0</v>
      </c>
      <c r="P280">
        <v>27904.037</v>
      </c>
      <c r="Q280">
        <v>74398</v>
      </c>
      <c r="R280" s="3">
        <f>(Wapato_Inventory[[#This Row],[ln_acres]]*Wapato_Inventory[[#This Row],[coeff]])+Wapato_Inventory[[#This Row],[const]]</f>
        <v>19535.514109596792</v>
      </c>
      <c r="S280" t="s">
        <v>66</v>
      </c>
      <c r="T280">
        <v>1</v>
      </c>
      <c r="U280" t="s">
        <v>71</v>
      </c>
      <c r="V280" t="s">
        <v>73</v>
      </c>
      <c r="W280">
        <v>0</v>
      </c>
      <c r="X280">
        <v>0</v>
      </c>
      <c r="Y280">
        <v>57</v>
      </c>
      <c r="Z280">
        <v>103</v>
      </c>
      <c r="AA280">
        <v>110</v>
      </c>
      <c r="AB280">
        <v>1000</v>
      </c>
      <c r="AC280">
        <v>768</v>
      </c>
      <c r="AD280">
        <v>768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5</v>
      </c>
      <c r="AQ280">
        <v>0</v>
      </c>
      <c r="AR280">
        <v>0</v>
      </c>
      <c r="AS280" t="s">
        <v>59</v>
      </c>
      <c r="AT280">
        <v>1</v>
      </c>
      <c r="AU280" t="s">
        <v>72</v>
      </c>
      <c r="AV280" t="s">
        <v>61</v>
      </c>
      <c r="AW280">
        <v>0</v>
      </c>
      <c r="AX280">
        <v>1</v>
      </c>
      <c r="AY280">
        <v>0</v>
      </c>
      <c r="AZ280">
        <v>0</v>
      </c>
      <c r="BA280">
        <v>100</v>
      </c>
      <c r="BB280">
        <v>100</v>
      </c>
      <c r="BC280">
        <v>100</v>
      </c>
      <c r="BD280">
        <v>100</v>
      </c>
      <c r="BE280">
        <v>1</v>
      </c>
      <c r="BF280">
        <v>15000</v>
      </c>
      <c r="BG280">
        <v>1000</v>
      </c>
      <c r="BH280" s="7">
        <f>ROUND(Wapato_Inventory[[#This Row],[detatched_value]]*Lookups!$B$22*Lookups!$H$48,-2)</f>
        <v>0</v>
      </c>
      <c r="BI280" s="7">
        <f>ROUND(((Wapato_Inventory[[#This Row],[land_extract]]*Lookups!$B$3) +(Lookups!$B$2*0.5))*Lookups!$H$48,-2)</f>
        <v>53000</v>
      </c>
      <c r="BJ280" s="7">
        <f>IF(Wapato_Inventory[[#This Row],[bldg_style]]="",0,Lookups!$B$2*0.5)</f>
        <v>53765.27</v>
      </c>
      <c r="BK280" s="7">
        <f>_xlfn.IFNA(VLOOKUP(Wapato_Inventory[[#This Row],[quality]],Lookups!$H$2:$J$14,3,FALSE),0)</f>
        <v>28034</v>
      </c>
      <c r="BL280" s="7">
        <f>_xlfn.IFNA(VLOOKUP(Wapato_Inventory[[#This Row],[condition]],Lookups!$H$17:$J$24,3,FALSE),0)</f>
        <v>16276</v>
      </c>
      <c r="BM280" s="7">
        <f>Wapato_Inventory[[#This Row],[Age]]*Lookups!$B$16</f>
        <v>-38179.597099999999</v>
      </c>
      <c r="BN280" s="7">
        <f>Wapato_Inventory[[#This Row],[Main Floor]]*Lookups!$B$17</f>
        <v>32102.967552000002</v>
      </c>
      <c r="BO280" s="7">
        <f>Wapato_Inventory[[#This Row],[Upper Floor]]*Lookups!$B$18</f>
        <v>0</v>
      </c>
      <c r="BP280" s="7">
        <f>Wapato_Inventory[[#This Row],[Fin BSMT]]*Lookups!$B$19</f>
        <v>0</v>
      </c>
      <c r="BQ280" s="7">
        <f>(Wapato_Inventory[[#This Row],[att_gar]]+Wapato_Inventory[[#This Row],[blt_gar]])*Lookups!$B$20</f>
        <v>0</v>
      </c>
      <c r="BR280" s="7">
        <f>Wapato_Inventory[[#This Row],[Patio]]*Lookups!$B$21</f>
        <v>0</v>
      </c>
      <c r="BS280" s="7">
        <f>SUM(Wapato_Inventory[[#This Row],[intercept]:[patio_value]])*Wapato_Inventory[[#This Row],[res_pct]]</f>
        <v>91998.640451999992</v>
      </c>
      <c r="BT280" s="7">
        <f>Wapato_Inventory[[#This Row],[land_value]]</f>
        <v>53000</v>
      </c>
      <c r="BU280" s="2">
        <f>_xlfn.IFNA(VLOOKUP(Wapato_Inventory[[#This Row],[quality]],Lookups!$A$28:$C$37,3,FALSE),1)</f>
        <v>0.96265813922927435</v>
      </c>
      <c r="BV280" s="2">
        <f>_xlfn.IFNA(VLOOKUP(Wapato_Inventory[[#This Row],[condition]],Lookups!$A$41:$C$48,3,FALSE),1)</f>
        <v>0.93399385491337139</v>
      </c>
      <c r="BW280" s="2">
        <f>IF(Wapato_Inventory[[#This Row],[decade]]="",1,_xlfn.IFNA(VLOOKUP(Wapato_Inventory[[#This Row],[decade]],Lookups!$F$28:$H$45,3,FALSE),1))</f>
        <v>0.93664589651353292</v>
      </c>
      <c r="BX280" s="2">
        <f>_xlfn.IFNA(VLOOKUP(Wapato_Inventory[[#This Row],[living_area_range]],Lookups!$K$28:$M$37,3,FALSE),1)</f>
        <v>0.99022994770196116</v>
      </c>
      <c r="BY280" s="2">
        <f>AVERAGE(Wapato_Inventory[[#This Row],[qual_adj]:[range_adj]])</f>
        <v>0.95588195958953504</v>
      </c>
      <c r="BZ280" s="7">
        <f>(Wapato_Inventory[[#This Row],[sum_land]]-IF(Wapato_Inventory[[#This Row],[no_utilities]]=1,12000,0))/IF(Wapato_Inventory[[#This Row],[unbuildable]]=1,2,1)</f>
        <v>53000</v>
      </c>
      <c r="CA280" s="7">
        <f>Wapato_Inventory[[#This Row],[pre_res]]*Wapato_Inventory[[#This Row],[overall_adj]]</f>
        <v>87939.840714830818</v>
      </c>
      <c r="CB28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80" s="3">
        <f>IF(ROUND(Wapato_Inventory[[#This Row],[adj_res]]*Lookups!$H$48,-2)&lt;Wapato_Inventory[[#This Row],[min_res]],Wapato_Inventory[[#This Row],[min_res]],ROUND(Wapato_Inventory[[#This Row],[adj_res]]*Lookups!$H$48,-2))</f>
        <v>83500</v>
      </c>
      <c r="CD280" s="3">
        <f>ROUND(Wapato_Inventory[[#This Row],[det_value]]*Lookups!$H$48,-2)</f>
        <v>0</v>
      </c>
      <c r="CE280" s="3">
        <f>Wapato_Inventory[[#This Row],[final_res]]+Wapato_Inventory[[#This Row],[final_det]]</f>
        <v>83500</v>
      </c>
      <c r="CF280" s="3">
        <f>Wapato_Inventory[[#This Row],[crop_value]]+Wapato_Inventory[[#This Row],[final_land]]+Wapato_Inventory[[#This Row],[final_imp]]</f>
        <v>133900</v>
      </c>
      <c r="CH280" t="str">
        <f t="shared" si="4"/>
        <v>update valuation set market_land =50400, market_bldg=83500, market_total =133900, market_mdno =405, market_date ='9/10/2023' where link_id = (select link_id from parcel where parcel_year = '2024' and parcel_id = '19111041591');</v>
      </c>
    </row>
    <row r="281" spans="1:86" x14ac:dyDescent="0.25">
      <c r="A281">
        <v>19111042403</v>
      </c>
      <c r="B281">
        <v>0.17</v>
      </c>
      <c r="C281">
        <v>7499</v>
      </c>
      <c r="D281" t="s">
        <v>144</v>
      </c>
      <c r="E281" t="s">
        <v>54</v>
      </c>
      <c r="F281" t="s">
        <v>54</v>
      </c>
      <c r="G281">
        <v>3</v>
      </c>
      <c r="H281" t="s">
        <v>55</v>
      </c>
      <c r="I281">
        <v>86000</v>
      </c>
      <c r="J281">
        <v>33200</v>
      </c>
      <c r="K281">
        <v>0.17</v>
      </c>
      <c r="L281">
        <f>IF(Wapato_Inventory[[#This Row],[parcel_acres]]-Wapato_Inventory[[#This Row],[non_valued_acres]] =0,0,LN(Wapato_Inventory[[#This Row],[parcel_acres]]-Wapato_Inventory[[#This Row],[non_valued_acres]]))</f>
        <v>-1.7719568419318752</v>
      </c>
      <c r="M281">
        <v>0</v>
      </c>
      <c r="N281">
        <v>0</v>
      </c>
      <c r="O281">
        <v>0</v>
      </c>
      <c r="P281">
        <v>27904.037</v>
      </c>
      <c r="Q281">
        <v>74398</v>
      </c>
      <c r="R281" s="3">
        <f>(Wapato_Inventory[[#This Row],[ln_acres]]*Wapato_Inventory[[#This Row],[coeff]])+Wapato_Inventory[[#This Row],[const]]</f>
        <v>24953.250720329801</v>
      </c>
      <c r="S281" t="s">
        <v>66</v>
      </c>
      <c r="T281">
        <v>1</v>
      </c>
      <c r="U281" t="s">
        <v>71</v>
      </c>
      <c r="V281" t="s">
        <v>73</v>
      </c>
      <c r="W281">
        <v>0</v>
      </c>
      <c r="X281">
        <v>0</v>
      </c>
      <c r="Y281">
        <v>57</v>
      </c>
      <c r="Z281">
        <v>103</v>
      </c>
      <c r="AA281">
        <v>110</v>
      </c>
      <c r="AB281">
        <v>1500</v>
      </c>
      <c r="AC281">
        <v>1008</v>
      </c>
      <c r="AD281">
        <v>1008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5</v>
      </c>
      <c r="AQ281">
        <v>0</v>
      </c>
      <c r="AR281">
        <v>1</v>
      </c>
      <c r="AS281" t="s">
        <v>59</v>
      </c>
      <c r="AT281">
        <v>1</v>
      </c>
      <c r="AU281" t="s">
        <v>72</v>
      </c>
      <c r="AV281" t="s">
        <v>61</v>
      </c>
      <c r="AW281">
        <v>0</v>
      </c>
      <c r="AX281">
        <v>2</v>
      </c>
      <c r="AY281">
        <v>0</v>
      </c>
      <c r="AZ281">
        <v>5400</v>
      </c>
      <c r="BA281">
        <v>100</v>
      </c>
      <c r="BB281">
        <v>100</v>
      </c>
      <c r="BC281">
        <v>100</v>
      </c>
      <c r="BD281">
        <v>100</v>
      </c>
      <c r="BE281">
        <v>1</v>
      </c>
      <c r="BF281">
        <v>15000</v>
      </c>
      <c r="BG281">
        <v>1000</v>
      </c>
      <c r="BH281" s="7">
        <f>ROUND(Wapato_Inventory[[#This Row],[detatched_value]]*Lookups!$B$22*Lookups!$H$48,-2)</f>
        <v>4800</v>
      </c>
      <c r="BI281" s="7">
        <f>ROUND(((Wapato_Inventory[[#This Row],[land_extract]]*Lookups!$B$3) +(Lookups!$B$2*0.5))*Lookups!$H$48,-2)</f>
        <v>53500</v>
      </c>
      <c r="BJ281" s="7">
        <f>IF(Wapato_Inventory[[#This Row],[bldg_style]]="",0,Lookups!$B$2*0.5)</f>
        <v>53765.27</v>
      </c>
      <c r="BK281" s="7">
        <f>_xlfn.IFNA(VLOOKUP(Wapato_Inventory[[#This Row],[quality]],Lookups!$H$2:$J$14,3,FALSE),0)</f>
        <v>28034</v>
      </c>
      <c r="BL281" s="7">
        <f>_xlfn.IFNA(VLOOKUP(Wapato_Inventory[[#This Row],[condition]],Lookups!$H$17:$J$24,3,FALSE),0)</f>
        <v>16276</v>
      </c>
      <c r="BM281" s="7">
        <f>Wapato_Inventory[[#This Row],[Age]]*Lookups!$B$16</f>
        <v>-38179.597099999999</v>
      </c>
      <c r="BN281" s="7">
        <f>Wapato_Inventory[[#This Row],[Main Floor]]*Lookups!$B$17</f>
        <v>42135.144912000003</v>
      </c>
      <c r="BO281" s="7">
        <f>Wapato_Inventory[[#This Row],[Upper Floor]]*Lookups!$B$18</f>
        <v>0</v>
      </c>
      <c r="BP281" s="7">
        <f>Wapato_Inventory[[#This Row],[Fin BSMT]]*Lookups!$B$19</f>
        <v>0</v>
      </c>
      <c r="BQ281" s="7">
        <f>(Wapato_Inventory[[#This Row],[att_gar]]+Wapato_Inventory[[#This Row],[blt_gar]])*Lookups!$B$20</f>
        <v>0</v>
      </c>
      <c r="BR281" s="7">
        <f>Wapato_Inventory[[#This Row],[Patio]]*Lookups!$B$21</f>
        <v>0</v>
      </c>
      <c r="BS281" s="7">
        <f>SUM(Wapato_Inventory[[#This Row],[intercept]:[patio_value]])*Wapato_Inventory[[#This Row],[res_pct]]</f>
        <v>102030.81781199999</v>
      </c>
      <c r="BT281" s="7">
        <f>Wapato_Inventory[[#This Row],[land_value]]</f>
        <v>53500</v>
      </c>
      <c r="BU281" s="2">
        <f>_xlfn.IFNA(VLOOKUP(Wapato_Inventory[[#This Row],[quality]],Lookups!$A$28:$C$37,3,FALSE),1)</f>
        <v>0.96265813922927435</v>
      </c>
      <c r="BV281" s="2">
        <f>_xlfn.IFNA(VLOOKUP(Wapato_Inventory[[#This Row],[condition]],Lookups!$A$41:$C$48,3,FALSE),1)</f>
        <v>0.93399385491337139</v>
      </c>
      <c r="BW281" s="2">
        <f>IF(Wapato_Inventory[[#This Row],[decade]]="",1,_xlfn.IFNA(VLOOKUP(Wapato_Inventory[[#This Row],[decade]],Lookups!$F$28:$H$45,3,FALSE),1))</f>
        <v>0.93664589651353292</v>
      </c>
      <c r="BX281" s="2">
        <f>_xlfn.IFNA(VLOOKUP(Wapato_Inventory[[#This Row],[living_area_range]],Lookups!$K$28:$M$37,3,FALSE),1)</f>
        <v>1.0061411172456287</v>
      </c>
      <c r="BY281" s="2">
        <f>AVERAGE(Wapato_Inventory[[#This Row],[qual_adj]:[range_adj]])</f>
        <v>0.95985975197545192</v>
      </c>
      <c r="BZ281" s="7">
        <f>(Wapato_Inventory[[#This Row],[sum_land]]-IF(Wapato_Inventory[[#This Row],[no_utilities]]=1,12000,0))/IF(Wapato_Inventory[[#This Row],[unbuildable]]=1,2,1)</f>
        <v>53500</v>
      </c>
      <c r="CA281" s="7">
        <f>Wapato_Inventory[[#This Row],[pre_res]]*Wapato_Inventory[[#This Row],[overall_adj]]</f>
        <v>97935.27547887883</v>
      </c>
      <c r="CB281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281" s="3">
        <f>IF(ROUND(Wapato_Inventory[[#This Row],[adj_res]]*Lookups!$H$48,-2)&lt;Wapato_Inventory[[#This Row],[min_res]],Wapato_Inventory[[#This Row],[min_res]],ROUND(Wapato_Inventory[[#This Row],[adj_res]]*Lookups!$H$48,-2))</f>
        <v>93000</v>
      </c>
      <c r="CD281" s="3">
        <f>ROUND(Wapato_Inventory[[#This Row],[det_value]]*Lookups!$H$48,-2)</f>
        <v>4600</v>
      </c>
      <c r="CE281" s="3">
        <f>Wapato_Inventory[[#This Row],[final_res]]+Wapato_Inventory[[#This Row],[final_det]]</f>
        <v>97600</v>
      </c>
      <c r="CF281" s="3">
        <f>Wapato_Inventory[[#This Row],[crop_value]]+Wapato_Inventory[[#This Row],[final_land]]+Wapato_Inventory[[#This Row],[final_imp]]</f>
        <v>148400</v>
      </c>
      <c r="CH281" t="str">
        <f t="shared" si="4"/>
        <v>update valuation set market_land =50800, market_bldg=97600, market_total =148400, market_mdno =405, market_date ='9/10/2023' where link_id = (select link_id from parcel where parcel_year = '2024' and parcel_id = '19111042403');</v>
      </c>
    </row>
    <row r="282" spans="1:86" x14ac:dyDescent="0.25">
      <c r="A282">
        <v>19111042408</v>
      </c>
      <c r="B282">
        <v>0.14000000000000001</v>
      </c>
      <c r="C282">
        <v>6249</v>
      </c>
      <c r="D282" t="s">
        <v>144</v>
      </c>
      <c r="E282" t="s">
        <v>54</v>
      </c>
      <c r="F282" t="s">
        <v>54</v>
      </c>
      <c r="G282">
        <v>3</v>
      </c>
      <c r="H282" t="s">
        <v>55</v>
      </c>
      <c r="I282">
        <v>104200</v>
      </c>
      <c r="J282">
        <v>31900</v>
      </c>
      <c r="K282">
        <v>0.14000000000000001</v>
      </c>
      <c r="L282">
        <f>IF(Wapato_Inventory[[#This Row],[parcel_acres]]-Wapato_Inventory[[#This Row],[non_valued_acres]] =0,0,LN(Wapato_Inventory[[#This Row],[parcel_acres]]-Wapato_Inventory[[#This Row],[non_valued_acres]]))</f>
        <v>-1.9661128563728327</v>
      </c>
      <c r="M282">
        <v>0</v>
      </c>
      <c r="N282">
        <v>0</v>
      </c>
      <c r="O282">
        <v>0</v>
      </c>
      <c r="P282">
        <v>27904.037</v>
      </c>
      <c r="Q282">
        <v>74398</v>
      </c>
      <c r="R282" s="3">
        <f>(Wapato_Inventory[[#This Row],[ln_acres]]*Wapato_Inventory[[#This Row],[coeff]])+Wapato_Inventory[[#This Row],[const]]</f>
        <v>19535.514109596792</v>
      </c>
      <c r="S282" t="s">
        <v>66</v>
      </c>
      <c r="T282">
        <v>1</v>
      </c>
      <c r="U282" t="s">
        <v>71</v>
      </c>
      <c r="V282" t="s">
        <v>68</v>
      </c>
      <c r="W282">
        <v>0</v>
      </c>
      <c r="X282">
        <v>0</v>
      </c>
      <c r="Y282">
        <v>55</v>
      </c>
      <c r="Z282">
        <v>98</v>
      </c>
      <c r="AA282">
        <v>100</v>
      </c>
      <c r="AB282">
        <v>1000</v>
      </c>
      <c r="AC282">
        <v>972</v>
      </c>
      <c r="AD282">
        <v>972</v>
      </c>
      <c r="AE282">
        <v>0</v>
      </c>
      <c r="AF282">
        <v>0</v>
      </c>
      <c r="AG282">
        <v>0</v>
      </c>
      <c r="AH282">
        <v>100</v>
      </c>
      <c r="AI282">
        <v>0</v>
      </c>
      <c r="AJ282">
        <v>0</v>
      </c>
      <c r="AK282">
        <v>247</v>
      </c>
      <c r="AL282">
        <v>0</v>
      </c>
      <c r="AM282">
        <v>0</v>
      </c>
      <c r="AN282">
        <v>0</v>
      </c>
      <c r="AO282">
        <v>0</v>
      </c>
      <c r="AP282">
        <v>5</v>
      </c>
      <c r="AQ282">
        <v>0</v>
      </c>
      <c r="AR282">
        <v>0</v>
      </c>
      <c r="AS282" t="s">
        <v>59</v>
      </c>
      <c r="AT282">
        <v>1</v>
      </c>
      <c r="AU282" t="s">
        <v>76</v>
      </c>
      <c r="AV282" t="s">
        <v>61</v>
      </c>
      <c r="AW282">
        <v>0</v>
      </c>
      <c r="AX282">
        <v>3</v>
      </c>
      <c r="AY282">
        <v>0</v>
      </c>
      <c r="AZ282">
        <v>0</v>
      </c>
      <c r="BA282">
        <v>100</v>
      </c>
      <c r="BB282">
        <v>100</v>
      </c>
      <c r="BC282">
        <v>100</v>
      </c>
      <c r="BD282">
        <v>100</v>
      </c>
      <c r="BE282">
        <v>1</v>
      </c>
      <c r="BF282">
        <v>15000</v>
      </c>
      <c r="BG282">
        <v>1000</v>
      </c>
      <c r="BH282" s="7">
        <f>ROUND(Wapato_Inventory[[#This Row],[detatched_value]]*Lookups!$B$22*Lookups!$H$48,-2)</f>
        <v>0</v>
      </c>
      <c r="BI282" s="7">
        <f>ROUND(((Wapato_Inventory[[#This Row],[land_extract]]*Lookups!$B$3) +(Lookups!$B$2*0.5))*Lookups!$H$48,-2)</f>
        <v>53000</v>
      </c>
      <c r="BJ282" s="7">
        <f>IF(Wapato_Inventory[[#This Row],[bldg_style]]="",0,Lookups!$B$2*0.5)</f>
        <v>53765.27</v>
      </c>
      <c r="BK282" s="7">
        <f>_xlfn.IFNA(VLOOKUP(Wapato_Inventory[[#This Row],[quality]],Lookups!$H$2:$J$14,3,FALSE),0)</f>
        <v>28034</v>
      </c>
      <c r="BL282" s="7">
        <f>_xlfn.IFNA(VLOOKUP(Wapato_Inventory[[#This Row],[condition]],Lookups!$H$17:$J$24,3,FALSE),0)</f>
        <v>52231</v>
      </c>
      <c r="BM282" s="7">
        <f>Wapato_Inventory[[#This Row],[Age]]*Lookups!$B$16</f>
        <v>-36326.2186</v>
      </c>
      <c r="BN282" s="7">
        <f>Wapato_Inventory[[#This Row],[Main Floor]]*Lookups!$B$17</f>
        <v>40630.318308000002</v>
      </c>
      <c r="BO282" s="7">
        <f>Wapato_Inventory[[#This Row],[Upper Floor]]*Lookups!$B$18</f>
        <v>0</v>
      </c>
      <c r="BP282" s="7">
        <f>Wapato_Inventory[[#This Row],[Fin BSMT]]*Lookups!$B$19</f>
        <v>0</v>
      </c>
      <c r="BQ282" s="7">
        <f>(Wapato_Inventory[[#This Row],[att_gar]]+Wapato_Inventory[[#This Row],[blt_gar]])*Lookups!$B$20</f>
        <v>0</v>
      </c>
      <c r="BR282" s="7">
        <f>Wapato_Inventory[[#This Row],[Patio]]*Lookups!$B$21</f>
        <v>0</v>
      </c>
      <c r="BS282" s="7">
        <f>SUM(Wapato_Inventory[[#This Row],[intercept]:[patio_value]])*Wapato_Inventory[[#This Row],[res_pct]]</f>
        <v>138334.36970799998</v>
      </c>
      <c r="BT282" s="7">
        <f>Wapato_Inventory[[#This Row],[land_value]]</f>
        <v>53000</v>
      </c>
      <c r="BU282" s="2">
        <f>_xlfn.IFNA(VLOOKUP(Wapato_Inventory[[#This Row],[quality]],Lookups!$A$28:$C$37,3,FALSE),1)</f>
        <v>0.96265813922927435</v>
      </c>
      <c r="BV282" s="2">
        <f>_xlfn.IFNA(VLOOKUP(Wapato_Inventory[[#This Row],[condition]],Lookups!$A$41:$C$48,3,FALSE),1)</f>
        <v>0.9832333997567807</v>
      </c>
      <c r="BW282" s="2">
        <f>IF(Wapato_Inventory[[#This Row],[decade]]="",1,_xlfn.IFNA(VLOOKUP(Wapato_Inventory[[#This Row],[decade]],Lookups!$F$28:$H$45,3,FALSE),1))</f>
        <v>1.0114203040664467</v>
      </c>
      <c r="BX282" s="2">
        <f>_xlfn.IFNA(VLOOKUP(Wapato_Inventory[[#This Row],[living_area_range]],Lookups!$K$28:$M$37,3,FALSE),1)</f>
        <v>0.99022994770196116</v>
      </c>
      <c r="BY282" s="2">
        <f>AVERAGE(Wapato_Inventory[[#This Row],[qual_adj]:[range_adj]])</f>
        <v>0.98688544768861564</v>
      </c>
      <c r="BZ282" s="7">
        <f>(Wapato_Inventory[[#This Row],[sum_land]]-IF(Wapato_Inventory[[#This Row],[no_utilities]]=1,12000,0))/IF(Wapato_Inventory[[#This Row],[unbuildable]]=1,2,1)</f>
        <v>53000</v>
      </c>
      <c r="CA282" s="7">
        <f>Wapato_Inventory[[#This Row],[pre_res]]*Wapato_Inventory[[#This Row],[overall_adj]]</f>
        <v>136520.17638000203</v>
      </c>
      <c r="CB28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82" s="3">
        <f>IF(ROUND(Wapato_Inventory[[#This Row],[adj_res]]*Lookups!$H$48,-2)&lt;Wapato_Inventory[[#This Row],[min_res]],Wapato_Inventory[[#This Row],[min_res]],ROUND(Wapato_Inventory[[#This Row],[adj_res]]*Lookups!$H$48,-2))</f>
        <v>129700</v>
      </c>
      <c r="CD282" s="3">
        <f>ROUND(Wapato_Inventory[[#This Row],[det_value]]*Lookups!$H$48,-2)</f>
        <v>0</v>
      </c>
      <c r="CE282" s="3">
        <f>Wapato_Inventory[[#This Row],[final_res]]+Wapato_Inventory[[#This Row],[final_det]]</f>
        <v>129700</v>
      </c>
      <c r="CF282" s="3">
        <f>Wapato_Inventory[[#This Row],[crop_value]]+Wapato_Inventory[[#This Row],[final_land]]+Wapato_Inventory[[#This Row],[final_imp]]</f>
        <v>180100</v>
      </c>
      <c r="CH282" t="str">
        <f t="shared" si="4"/>
        <v>update valuation set market_land =50400, market_bldg=129700, market_total =180100, market_mdno =405, market_date ='9/10/2023' where link_id = (select link_id from parcel where parcel_year = '2024' and parcel_id = '19111042408');</v>
      </c>
    </row>
    <row r="283" spans="1:86" x14ac:dyDescent="0.25">
      <c r="A283">
        <v>19111042409</v>
      </c>
      <c r="B283">
        <v>0.14000000000000001</v>
      </c>
      <c r="C283">
        <v>6249</v>
      </c>
      <c r="D283" t="s">
        <v>144</v>
      </c>
      <c r="E283" t="s">
        <v>54</v>
      </c>
      <c r="F283" t="s">
        <v>54</v>
      </c>
      <c r="G283">
        <v>3</v>
      </c>
      <c r="H283" t="s">
        <v>55</v>
      </c>
      <c r="I283">
        <v>128200</v>
      </c>
      <c r="J283">
        <v>31900</v>
      </c>
      <c r="K283">
        <v>0.14000000000000001</v>
      </c>
      <c r="L283">
        <f>IF(Wapato_Inventory[[#This Row],[parcel_acres]]-Wapato_Inventory[[#This Row],[non_valued_acres]] =0,0,LN(Wapato_Inventory[[#This Row],[parcel_acres]]-Wapato_Inventory[[#This Row],[non_valued_acres]]))</f>
        <v>-1.9661128563728327</v>
      </c>
      <c r="M283">
        <v>0</v>
      </c>
      <c r="N283">
        <v>0</v>
      </c>
      <c r="O283">
        <v>0</v>
      </c>
      <c r="P283">
        <v>27904.037</v>
      </c>
      <c r="Q283">
        <v>74398</v>
      </c>
      <c r="R283" s="3">
        <f>(Wapato_Inventory[[#This Row],[ln_acres]]*Wapato_Inventory[[#This Row],[coeff]])+Wapato_Inventory[[#This Row],[const]]</f>
        <v>19535.514109596792</v>
      </c>
      <c r="S283" t="s">
        <v>66</v>
      </c>
      <c r="T283">
        <v>1</v>
      </c>
      <c r="U283" t="s">
        <v>75</v>
      </c>
      <c r="V283" t="s">
        <v>73</v>
      </c>
      <c r="W283">
        <v>0</v>
      </c>
      <c r="X283">
        <v>0</v>
      </c>
      <c r="Y283">
        <v>45</v>
      </c>
      <c r="Z283">
        <v>52</v>
      </c>
      <c r="AA283">
        <v>60</v>
      </c>
      <c r="AB283">
        <v>1500</v>
      </c>
      <c r="AC283">
        <v>1196</v>
      </c>
      <c r="AD283">
        <v>1196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338</v>
      </c>
      <c r="AL283">
        <v>0</v>
      </c>
      <c r="AM283">
        <v>0</v>
      </c>
      <c r="AN283">
        <v>60</v>
      </c>
      <c r="AO283">
        <v>0</v>
      </c>
      <c r="AP283">
        <v>7</v>
      </c>
      <c r="AQ283">
        <v>0</v>
      </c>
      <c r="AR283">
        <v>0</v>
      </c>
      <c r="AS283" t="s">
        <v>59</v>
      </c>
      <c r="AT283">
        <v>1</v>
      </c>
      <c r="AU283" t="s">
        <v>64</v>
      </c>
      <c r="AV283" t="s">
        <v>65</v>
      </c>
      <c r="AW283">
        <v>0</v>
      </c>
      <c r="AX283">
        <v>4</v>
      </c>
      <c r="AY283">
        <v>0</v>
      </c>
      <c r="AZ283">
        <v>0</v>
      </c>
      <c r="BA283">
        <v>100</v>
      </c>
      <c r="BB283">
        <v>100</v>
      </c>
      <c r="BC283">
        <v>100</v>
      </c>
      <c r="BD283">
        <v>100</v>
      </c>
      <c r="BE283">
        <v>1</v>
      </c>
      <c r="BF283">
        <v>15000</v>
      </c>
      <c r="BG283">
        <v>1000</v>
      </c>
      <c r="BH283" s="7">
        <f>ROUND(Wapato_Inventory[[#This Row],[detatched_value]]*Lookups!$B$22*Lookups!$H$48,-2)</f>
        <v>0</v>
      </c>
      <c r="BI283" s="7">
        <f>ROUND(((Wapato_Inventory[[#This Row],[land_extract]]*Lookups!$B$3) +(Lookups!$B$2*0.5))*Lookups!$H$48,-2)</f>
        <v>53000</v>
      </c>
      <c r="BJ283" s="7">
        <f>IF(Wapato_Inventory[[#This Row],[bldg_style]]="",0,Lookups!$B$2*0.5)</f>
        <v>53765.27</v>
      </c>
      <c r="BK283" s="7">
        <f>_xlfn.IFNA(VLOOKUP(Wapato_Inventory[[#This Row],[quality]],Lookups!$H$2:$J$14,3,FALSE),0)</f>
        <v>48043</v>
      </c>
      <c r="BL283" s="7">
        <f>_xlfn.IFNA(VLOOKUP(Wapato_Inventory[[#This Row],[condition]],Lookups!$H$17:$J$24,3,FALSE),0)</f>
        <v>16276</v>
      </c>
      <c r="BM283" s="7">
        <f>Wapato_Inventory[[#This Row],[Age]]*Lookups!$B$16</f>
        <v>-19275.136399999999</v>
      </c>
      <c r="BN283" s="7">
        <f>Wapato_Inventory[[#This Row],[Main Floor]]*Lookups!$B$17</f>
        <v>49993.683843999999</v>
      </c>
      <c r="BO283" s="7">
        <f>Wapato_Inventory[[#This Row],[Upper Floor]]*Lookups!$B$18</f>
        <v>0</v>
      </c>
      <c r="BP283" s="7">
        <f>Wapato_Inventory[[#This Row],[Fin BSMT]]*Lookups!$B$19</f>
        <v>0</v>
      </c>
      <c r="BQ283" s="7">
        <f>(Wapato_Inventory[[#This Row],[att_gar]]+Wapato_Inventory[[#This Row],[blt_gar]])*Lookups!$B$20</f>
        <v>0</v>
      </c>
      <c r="BR283" s="7">
        <f>Wapato_Inventory[[#This Row],[Patio]]*Lookups!$B$21</f>
        <v>0</v>
      </c>
      <c r="BS283" s="7">
        <f>SUM(Wapato_Inventory[[#This Row],[intercept]:[patio_value]])*Wapato_Inventory[[#This Row],[res_pct]]</f>
        <v>148802.81744399999</v>
      </c>
      <c r="BT283" s="7">
        <f>Wapato_Inventory[[#This Row],[land_value]]</f>
        <v>53000</v>
      </c>
      <c r="BU283" s="2">
        <f>_xlfn.IFNA(VLOOKUP(Wapato_Inventory[[#This Row],[quality]],Lookups!$A$28:$C$37,3,FALSE),1)</f>
        <v>0.98196844879778955</v>
      </c>
      <c r="BV283" s="2">
        <f>_xlfn.IFNA(VLOOKUP(Wapato_Inventory[[#This Row],[condition]],Lookups!$A$41:$C$48,3,FALSE),1)</f>
        <v>0.93399385491337139</v>
      </c>
      <c r="BW283" s="2">
        <f>IF(Wapato_Inventory[[#This Row],[decade]]="",1,_xlfn.IFNA(VLOOKUP(Wapato_Inventory[[#This Row],[decade]],Lookups!$F$28:$H$45,3,FALSE),1))</f>
        <v>1.035341704162583</v>
      </c>
      <c r="BX283" s="2">
        <f>_xlfn.IFNA(VLOOKUP(Wapato_Inventory[[#This Row],[living_area_range]],Lookups!$K$28:$M$37,3,FALSE),1)</f>
        <v>1.0061411172456287</v>
      </c>
      <c r="BY283" s="2">
        <f>AVERAGE(Wapato_Inventory[[#This Row],[qual_adj]:[range_adj]])</f>
        <v>0.98936128127984313</v>
      </c>
      <c r="BZ283" s="7">
        <f>(Wapato_Inventory[[#This Row],[sum_land]]-IF(Wapato_Inventory[[#This Row],[no_utilities]]=1,12000,0))/IF(Wapato_Inventory[[#This Row],[unbuildable]]=1,2,1)</f>
        <v>53000</v>
      </c>
      <c r="CA283" s="7">
        <f>Wapato_Inventory[[#This Row],[pre_res]]*Wapato_Inventory[[#This Row],[overall_adj]]</f>
        <v>147219.74612444642</v>
      </c>
      <c r="CB28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83" s="3">
        <f>IF(ROUND(Wapato_Inventory[[#This Row],[adj_res]]*Lookups!$H$48,-2)&lt;Wapato_Inventory[[#This Row],[min_res]],Wapato_Inventory[[#This Row],[min_res]],ROUND(Wapato_Inventory[[#This Row],[adj_res]]*Lookups!$H$48,-2))</f>
        <v>139900</v>
      </c>
      <c r="CD283" s="3">
        <f>ROUND(Wapato_Inventory[[#This Row],[det_value]]*Lookups!$H$48,-2)</f>
        <v>0</v>
      </c>
      <c r="CE283" s="3">
        <f>Wapato_Inventory[[#This Row],[final_res]]+Wapato_Inventory[[#This Row],[final_det]]</f>
        <v>139900</v>
      </c>
      <c r="CF283" s="3">
        <f>Wapato_Inventory[[#This Row],[crop_value]]+Wapato_Inventory[[#This Row],[final_land]]+Wapato_Inventory[[#This Row],[final_imp]]</f>
        <v>190300</v>
      </c>
      <c r="CH283" t="str">
        <f t="shared" si="4"/>
        <v>update valuation set market_land =50400, market_bldg=139900, market_total =190300, market_mdno =405, market_date ='9/10/2023' where link_id = (select link_id from parcel where parcel_year = '2024' and parcel_id = '19111042409');</v>
      </c>
    </row>
    <row r="284" spans="1:86" x14ac:dyDescent="0.25">
      <c r="A284">
        <v>19111042410</v>
      </c>
      <c r="B284">
        <v>0.14000000000000001</v>
      </c>
      <c r="C284">
        <v>6249</v>
      </c>
      <c r="D284" t="s">
        <v>144</v>
      </c>
      <c r="E284" t="s">
        <v>54</v>
      </c>
      <c r="F284" t="s">
        <v>54</v>
      </c>
      <c r="G284">
        <v>3</v>
      </c>
      <c r="H284" t="s">
        <v>55</v>
      </c>
      <c r="I284">
        <v>144900</v>
      </c>
      <c r="J284">
        <v>31900</v>
      </c>
      <c r="K284">
        <v>0.14000000000000001</v>
      </c>
      <c r="L284">
        <f>IF(Wapato_Inventory[[#This Row],[parcel_acres]]-Wapato_Inventory[[#This Row],[non_valued_acres]] =0,0,LN(Wapato_Inventory[[#This Row],[parcel_acres]]-Wapato_Inventory[[#This Row],[non_valued_acres]]))</f>
        <v>-1.9661128563728327</v>
      </c>
      <c r="M284">
        <v>0</v>
      </c>
      <c r="N284">
        <v>0</v>
      </c>
      <c r="O284">
        <v>0</v>
      </c>
      <c r="P284">
        <v>27904.037</v>
      </c>
      <c r="Q284">
        <v>74398</v>
      </c>
      <c r="R284" s="3">
        <f>(Wapato_Inventory[[#This Row],[ln_acres]]*Wapato_Inventory[[#This Row],[coeff]])+Wapato_Inventory[[#This Row],[const]]</f>
        <v>19535.514109596792</v>
      </c>
      <c r="S284" t="s">
        <v>66</v>
      </c>
      <c r="T284">
        <v>1</v>
      </c>
      <c r="U284" t="s">
        <v>71</v>
      </c>
      <c r="V284" t="s">
        <v>69</v>
      </c>
      <c r="W284">
        <v>0</v>
      </c>
      <c r="X284">
        <v>0</v>
      </c>
      <c r="Y284">
        <v>57</v>
      </c>
      <c r="Z284">
        <v>103</v>
      </c>
      <c r="AA284">
        <v>110</v>
      </c>
      <c r="AB284">
        <v>1000</v>
      </c>
      <c r="AC284">
        <v>780</v>
      </c>
      <c r="AD284">
        <v>780</v>
      </c>
      <c r="AE284">
        <v>0</v>
      </c>
      <c r="AF284">
        <v>0</v>
      </c>
      <c r="AG284">
        <v>0</v>
      </c>
      <c r="AH284">
        <v>100</v>
      </c>
      <c r="AI284">
        <v>0</v>
      </c>
      <c r="AJ284">
        <v>0</v>
      </c>
      <c r="AK284">
        <v>0</v>
      </c>
      <c r="AL284">
        <v>288</v>
      </c>
      <c r="AM284">
        <v>0</v>
      </c>
      <c r="AN284">
        <v>0</v>
      </c>
      <c r="AO284">
        <v>0</v>
      </c>
      <c r="AP284">
        <v>7</v>
      </c>
      <c r="AQ284">
        <v>0</v>
      </c>
      <c r="AR284">
        <v>0</v>
      </c>
      <c r="AS284" t="s">
        <v>59</v>
      </c>
      <c r="AT284">
        <v>1</v>
      </c>
      <c r="AU284" t="s">
        <v>64</v>
      </c>
      <c r="AV284" t="s">
        <v>61</v>
      </c>
      <c r="AW284">
        <v>0</v>
      </c>
      <c r="AX284">
        <v>2</v>
      </c>
      <c r="AY284">
        <v>0</v>
      </c>
      <c r="AZ284">
        <v>0</v>
      </c>
      <c r="BA284">
        <v>100</v>
      </c>
      <c r="BB284">
        <v>100</v>
      </c>
      <c r="BC284">
        <v>100</v>
      </c>
      <c r="BD284">
        <v>100</v>
      </c>
      <c r="BE284">
        <v>1</v>
      </c>
      <c r="BF284">
        <v>15000</v>
      </c>
      <c r="BG284">
        <v>1000</v>
      </c>
      <c r="BH284" s="7">
        <f>ROUND(Wapato_Inventory[[#This Row],[detatched_value]]*Lookups!$B$22*Lookups!$H$48,-2)</f>
        <v>0</v>
      </c>
      <c r="BI284" s="7">
        <f>ROUND(((Wapato_Inventory[[#This Row],[land_extract]]*Lookups!$B$3) +(Lookups!$B$2*0.5))*Lookups!$H$48,-2)</f>
        <v>53000</v>
      </c>
      <c r="BJ284" s="7">
        <f>IF(Wapato_Inventory[[#This Row],[bldg_style]]="",0,Lookups!$B$2*0.5)</f>
        <v>53765.27</v>
      </c>
      <c r="BK284" s="7">
        <f>_xlfn.IFNA(VLOOKUP(Wapato_Inventory[[#This Row],[quality]],Lookups!$H$2:$J$14,3,FALSE),0)</f>
        <v>28034</v>
      </c>
      <c r="BL284" s="7">
        <f>_xlfn.IFNA(VLOOKUP(Wapato_Inventory[[#This Row],[condition]],Lookups!$H$17:$J$24,3,FALSE),0)</f>
        <v>74543</v>
      </c>
      <c r="BM284" s="7">
        <f>Wapato_Inventory[[#This Row],[Age]]*Lookups!$B$16</f>
        <v>-38179.597099999999</v>
      </c>
      <c r="BN284" s="7">
        <f>Wapato_Inventory[[#This Row],[Main Floor]]*Lookups!$B$17</f>
        <v>32604.576420000001</v>
      </c>
      <c r="BO284" s="7">
        <f>Wapato_Inventory[[#This Row],[Upper Floor]]*Lookups!$B$18</f>
        <v>0</v>
      </c>
      <c r="BP284" s="7">
        <f>Wapato_Inventory[[#This Row],[Fin BSMT]]*Lookups!$B$19</f>
        <v>0</v>
      </c>
      <c r="BQ284" s="7">
        <f>(Wapato_Inventory[[#This Row],[att_gar]]+Wapato_Inventory[[#This Row],[blt_gar]])*Lookups!$B$20</f>
        <v>0</v>
      </c>
      <c r="BR284" s="7">
        <f>Wapato_Inventory[[#This Row],[Patio]]*Lookups!$B$21</f>
        <v>0</v>
      </c>
      <c r="BS284" s="7">
        <f>SUM(Wapato_Inventory[[#This Row],[intercept]:[patio_value]])*Wapato_Inventory[[#This Row],[res_pct]]</f>
        <v>150767.24932</v>
      </c>
      <c r="BT284" s="7">
        <f>Wapato_Inventory[[#This Row],[land_value]]</f>
        <v>53000</v>
      </c>
      <c r="BU284" s="2">
        <f>_xlfn.IFNA(VLOOKUP(Wapato_Inventory[[#This Row],[quality]],Lookups!$A$28:$C$37,3,FALSE),1)</f>
        <v>0.96265813922927435</v>
      </c>
      <c r="BV284" s="2">
        <f>_xlfn.IFNA(VLOOKUP(Wapato_Inventory[[#This Row],[condition]],Lookups!$A$41:$C$48,3,FALSE),1)</f>
        <v>0.98442438223270734</v>
      </c>
      <c r="BW284" s="2">
        <f>IF(Wapato_Inventory[[#This Row],[decade]]="",1,_xlfn.IFNA(VLOOKUP(Wapato_Inventory[[#This Row],[decade]],Lookups!$F$28:$H$45,3,FALSE),1))</f>
        <v>0.93664589651353292</v>
      </c>
      <c r="BX284" s="2">
        <f>_xlfn.IFNA(VLOOKUP(Wapato_Inventory[[#This Row],[living_area_range]],Lookups!$K$28:$M$37,3,FALSE),1)</f>
        <v>0.99022994770196116</v>
      </c>
      <c r="BY284" s="2">
        <f>AVERAGE(Wapato_Inventory[[#This Row],[qual_adj]:[range_adj]])</f>
        <v>0.96848959141936886</v>
      </c>
      <c r="BZ284" s="7">
        <f>(Wapato_Inventory[[#This Row],[sum_land]]-IF(Wapato_Inventory[[#This Row],[no_utilities]]=1,12000,0))/IF(Wapato_Inventory[[#This Row],[unbuildable]]=1,2,1)</f>
        <v>53000</v>
      </c>
      <c r="CA284" s="7">
        <f>Wapato_Inventory[[#This Row],[pre_res]]*Wapato_Inventory[[#This Row],[overall_adj]]</f>
        <v>146016.51169334893</v>
      </c>
      <c r="CB28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84" s="3">
        <f>IF(ROUND(Wapato_Inventory[[#This Row],[adj_res]]*Lookups!$H$48,-2)&lt;Wapato_Inventory[[#This Row],[min_res]],Wapato_Inventory[[#This Row],[min_res]],ROUND(Wapato_Inventory[[#This Row],[adj_res]]*Lookups!$H$48,-2))</f>
        <v>138700</v>
      </c>
      <c r="CD284" s="3">
        <f>ROUND(Wapato_Inventory[[#This Row],[det_value]]*Lookups!$H$48,-2)</f>
        <v>0</v>
      </c>
      <c r="CE284" s="3">
        <f>Wapato_Inventory[[#This Row],[final_res]]+Wapato_Inventory[[#This Row],[final_det]]</f>
        <v>138700</v>
      </c>
      <c r="CF284" s="3">
        <f>Wapato_Inventory[[#This Row],[crop_value]]+Wapato_Inventory[[#This Row],[final_land]]+Wapato_Inventory[[#This Row],[final_imp]]</f>
        <v>189100</v>
      </c>
      <c r="CH284" t="str">
        <f t="shared" si="4"/>
        <v>update valuation set market_land =50400, market_bldg=138700, market_total =189100, market_mdno =405, market_date ='9/10/2023' where link_id = (select link_id from parcel where parcel_year = '2024' and parcel_id = '19111042410');</v>
      </c>
    </row>
    <row r="285" spans="1:86" x14ac:dyDescent="0.25">
      <c r="A285">
        <v>19111042411</v>
      </c>
      <c r="B285">
        <v>0.14000000000000001</v>
      </c>
      <c r="C285">
        <v>6249</v>
      </c>
      <c r="D285" t="s">
        <v>144</v>
      </c>
      <c r="E285" t="s">
        <v>54</v>
      </c>
      <c r="F285" t="s">
        <v>54</v>
      </c>
      <c r="G285">
        <v>3</v>
      </c>
      <c r="H285" t="s">
        <v>55</v>
      </c>
      <c r="I285">
        <v>104600</v>
      </c>
      <c r="J285">
        <v>31900</v>
      </c>
      <c r="K285">
        <v>0.14000000000000001</v>
      </c>
      <c r="L285">
        <f>IF(Wapato_Inventory[[#This Row],[parcel_acres]]-Wapato_Inventory[[#This Row],[non_valued_acres]] =0,0,LN(Wapato_Inventory[[#This Row],[parcel_acres]]-Wapato_Inventory[[#This Row],[non_valued_acres]]))</f>
        <v>-1.9661128563728327</v>
      </c>
      <c r="M285">
        <v>0</v>
      </c>
      <c r="N285">
        <v>0</v>
      </c>
      <c r="O285">
        <v>0</v>
      </c>
      <c r="P285">
        <v>27904.037</v>
      </c>
      <c r="Q285">
        <v>74398</v>
      </c>
      <c r="R285" s="3">
        <f>(Wapato_Inventory[[#This Row],[ln_acres]]*Wapato_Inventory[[#This Row],[coeff]])+Wapato_Inventory[[#This Row],[const]]</f>
        <v>19535.514109596792</v>
      </c>
      <c r="S285" t="s">
        <v>66</v>
      </c>
      <c r="T285">
        <v>1</v>
      </c>
      <c r="U285" t="s">
        <v>71</v>
      </c>
      <c r="V285" t="s">
        <v>68</v>
      </c>
      <c r="W285">
        <v>0</v>
      </c>
      <c r="X285">
        <v>0</v>
      </c>
      <c r="Y285">
        <v>55</v>
      </c>
      <c r="Z285">
        <v>98</v>
      </c>
      <c r="AA285">
        <v>100</v>
      </c>
      <c r="AB285">
        <v>1000</v>
      </c>
      <c r="AC285">
        <v>702</v>
      </c>
      <c r="AD285">
        <v>702</v>
      </c>
      <c r="AE285">
        <v>0</v>
      </c>
      <c r="AF285">
        <v>0</v>
      </c>
      <c r="AG285">
        <v>0</v>
      </c>
      <c r="AH285">
        <v>120</v>
      </c>
      <c r="AI285">
        <v>0</v>
      </c>
      <c r="AJ285">
        <v>0</v>
      </c>
      <c r="AK285">
        <v>0</v>
      </c>
      <c r="AL285">
        <v>0</v>
      </c>
      <c r="AM285">
        <v>168</v>
      </c>
      <c r="AN285">
        <v>0</v>
      </c>
      <c r="AO285">
        <v>198</v>
      </c>
      <c r="AP285">
        <v>5</v>
      </c>
      <c r="AQ285">
        <v>0</v>
      </c>
      <c r="AR285">
        <v>0</v>
      </c>
      <c r="AS285" t="s">
        <v>59</v>
      </c>
      <c r="AT285">
        <v>0</v>
      </c>
      <c r="AU285" t="s">
        <v>80</v>
      </c>
      <c r="AV285" t="s">
        <v>61</v>
      </c>
      <c r="AW285">
        <v>0</v>
      </c>
      <c r="AX285">
        <v>2</v>
      </c>
      <c r="AY285">
        <v>0</v>
      </c>
      <c r="AZ285">
        <v>4700</v>
      </c>
      <c r="BA285">
        <v>100</v>
      </c>
      <c r="BB285">
        <v>100</v>
      </c>
      <c r="BC285">
        <v>100</v>
      </c>
      <c r="BD285">
        <v>100</v>
      </c>
      <c r="BE285">
        <v>1</v>
      </c>
      <c r="BF285">
        <v>15000</v>
      </c>
      <c r="BG285">
        <v>1000</v>
      </c>
      <c r="BH285" s="7">
        <f>ROUND(Wapato_Inventory[[#This Row],[detatched_value]]*Lookups!$B$22*Lookups!$H$48,-2)</f>
        <v>4200</v>
      </c>
      <c r="BI285" s="7">
        <f>ROUND(((Wapato_Inventory[[#This Row],[land_extract]]*Lookups!$B$3) +(Lookups!$B$2*0.5))*Lookups!$H$48,-2)</f>
        <v>53000</v>
      </c>
      <c r="BJ285" s="7">
        <f>IF(Wapato_Inventory[[#This Row],[bldg_style]]="",0,Lookups!$B$2*0.5)</f>
        <v>53765.27</v>
      </c>
      <c r="BK285" s="7">
        <f>_xlfn.IFNA(VLOOKUP(Wapato_Inventory[[#This Row],[quality]],Lookups!$H$2:$J$14,3,FALSE),0)</f>
        <v>28034</v>
      </c>
      <c r="BL285" s="7">
        <f>_xlfn.IFNA(VLOOKUP(Wapato_Inventory[[#This Row],[condition]],Lookups!$H$17:$J$24,3,FALSE),0)</f>
        <v>52231</v>
      </c>
      <c r="BM285" s="7">
        <f>Wapato_Inventory[[#This Row],[Age]]*Lookups!$B$16</f>
        <v>-36326.2186</v>
      </c>
      <c r="BN285" s="7">
        <f>Wapato_Inventory[[#This Row],[Main Floor]]*Lookups!$B$17</f>
        <v>29344.118778</v>
      </c>
      <c r="BO285" s="7">
        <f>Wapato_Inventory[[#This Row],[Upper Floor]]*Lookups!$B$18</f>
        <v>0</v>
      </c>
      <c r="BP285" s="7">
        <f>Wapato_Inventory[[#This Row],[Fin BSMT]]*Lookups!$B$19</f>
        <v>0</v>
      </c>
      <c r="BQ285" s="7">
        <f>(Wapato_Inventory[[#This Row],[att_gar]]+Wapato_Inventory[[#This Row],[blt_gar]])*Lookups!$B$20</f>
        <v>0</v>
      </c>
      <c r="BR285" s="7">
        <f>Wapato_Inventory[[#This Row],[Patio]]*Lookups!$B$21</f>
        <v>7278.4284720000005</v>
      </c>
      <c r="BS285" s="7">
        <f>SUM(Wapato_Inventory[[#This Row],[intercept]:[patio_value]])*Wapato_Inventory[[#This Row],[res_pct]]</f>
        <v>134326.59865</v>
      </c>
      <c r="BT285" s="7">
        <f>Wapato_Inventory[[#This Row],[land_value]]</f>
        <v>53000</v>
      </c>
      <c r="BU285" s="2">
        <f>_xlfn.IFNA(VLOOKUP(Wapato_Inventory[[#This Row],[quality]],Lookups!$A$28:$C$37,3,FALSE),1)</f>
        <v>0.96265813922927435</v>
      </c>
      <c r="BV285" s="2">
        <f>_xlfn.IFNA(VLOOKUP(Wapato_Inventory[[#This Row],[condition]],Lookups!$A$41:$C$48,3,FALSE),1)</f>
        <v>0.9832333997567807</v>
      </c>
      <c r="BW285" s="2">
        <f>IF(Wapato_Inventory[[#This Row],[decade]]="",1,_xlfn.IFNA(VLOOKUP(Wapato_Inventory[[#This Row],[decade]],Lookups!$F$28:$H$45,3,FALSE),1))</f>
        <v>1.0114203040664467</v>
      </c>
      <c r="BX285" s="2">
        <f>_xlfn.IFNA(VLOOKUP(Wapato_Inventory[[#This Row],[living_area_range]],Lookups!$K$28:$M$37,3,FALSE),1)</f>
        <v>0.99022994770196116</v>
      </c>
      <c r="BY285" s="2">
        <f>AVERAGE(Wapato_Inventory[[#This Row],[qual_adj]:[range_adj]])</f>
        <v>0.98688544768861564</v>
      </c>
      <c r="BZ285" s="7">
        <f>(Wapato_Inventory[[#This Row],[sum_land]]-IF(Wapato_Inventory[[#This Row],[no_utilities]]=1,12000,0))/IF(Wapato_Inventory[[#This Row],[unbuildable]]=1,2,1)</f>
        <v>53000</v>
      </c>
      <c r="CA285" s="7">
        <f>Wapato_Inventory[[#This Row],[pre_res]]*Wapato_Inventory[[#This Row],[overall_adj]]</f>
        <v>132564.96544519425</v>
      </c>
      <c r="CB28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85" s="3">
        <f>IF(ROUND(Wapato_Inventory[[#This Row],[adj_res]]*Lookups!$H$48,-2)&lt;Wapato_Inventory[[#This Row],[min_res]],Wapato_Inventory[[#This Row],[min_res]],ROUND(Wapato_Inventory[[#This Row],[adj_res]]*Lookups!$H$48,-2))</f>
        <v>125900</v>
      </c>
      <c r="CD285" s="3">
        <f>ROUND(Wapato_Inventory[[#This Row],[det_value]]*Lookups!$H$48,-2)</f>
        <v>4000</v>
      </c>
      <c r="CE285" s="3">
        <f>Wapato_Inventory[[#This Row],[final_res]]+Wapato_Inventory[[#This Row],[final_det]]</f>
        <v>129900</v>
      </c>
      <c r="CF285" s="3">
        <f>Wapato_Inventory[[#This Row],[crop_value]]+Wapato_Inventory[[#This Row],[final_land]]+Wapato_Inventory[[#This Row],[final_imp]]</f>
        <v>180300</v>
      </c>
      <c r="CH285" t="str">
        <f t="shared" si="4"/>
        <v>update valuation set market_land =50400, market_bldg=129900, market_total =180300, market_mdno =405, market_date ='9/10/2023' where link_id = (select link_id from parcel where parcel_year = '2024' and parcel_id = '19111042411');</v>
      </c>
    </row>
    <row r="286" spans="1:86" x14ac:dyDescent="0.25">
      <c r="A286">
        <v>19111042412</v>
      </c>
      <c r="B286">
        <v>0.14000000000000001</v>
      </c>
      <c r="C286">
        <v>6249</v>
      </c>
      <c r="D286" t="s">
        <v>144</v>
      </c>
      <c r="E286" t="s">
        <v>54</v>
      </c>
      <c r="F286" t="s">
        <v>54</v>
      </c>
      <c r="G286">
        <v>3</v>
      </c>
      <c r="H286" t="s">
        <v>55</v>
      </c>
      <c r="I286">
        <v>111000</v>
      </c>
      <c r="J286">
        <v>31900</v>
      </c>
      <c r="K286">
        <v>0.14000000000000001</v>
      </c>
      <c r="L286">
        <f>IF(Wapato_Inventory[[#This Row],[parcel_acres]]-Wapato_Inventory[[#This Row],[non_valued_acres]] =0,0,LN(Wapato_Inventory[[#This Row],[parcel_acres]]-Wapato_Inventory[[#This Row],[non_valued_acres]]))</f>
        <v>-1.9661128563728327</v>
      </c>
      <c r="M286">
        <v>0</v>
      </c>
      <c r="N286">
        <v>0</v>
      </c>
      <c r="O286">
        <v>0</v>
      </c>
      <c r="P286">
        <v>27904.037</v>
      </c>
      <c r="Q286">
        <v>74398</v>
      </c>
      <c r="R286" s="3">
        <f>(Wapato_Inventory[[#This Row],[ln_acres]]*Wapato_Inventory[[#This Row],[coeff]])+Wapato_Inventory[[#This Row],[const]]</f>
        <v>19535.514109596792</v>
      </c>
      <c r="S286" t="s">
        <v>66</v>
      </c>
      <c r="T286">
        <v>1</v>
      </c>
      <c r="U286" t="s">
        <v>71</v>
      </c>
      <c r="V286" t="s">
        <v>68</v>
      </c>
      <c r="W286">
        <v>0</v>
      </c>
      <c r="X286">
        <v>0</v>
      </c>
      <c r="Y286">
        <v>55</v>
      </c>
      <c r="Z286">
        <v>98</v>
      </c>
      <c r="AA286">
        <v>100</v>
      </c>
      <c r="AB286">
        <v>1500</v>
      </c>
      <c r="AC286">
        <v>1056</v>
      </c>
      <c r="AD286">
        <v>1056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72</v>
      </c>
      <c r="AO286">
        <v>0</v>
      </c>
      <c r="AP286">
        <v>5</v>
      </c>
      <c r="AQ286">
        <v>0</v>
      </c>
      <c r="AR286">
        <v>0</v>
      </c>
      <c r="AS286" t="s">
        <v>59</v>
      </c>
      <c r="AT286">
        <v>1</v>
      </c>
      <c r="AU286" t="s">
        <v>72</v>
      </c>
      <c r="AV286" t="s">
        <v>61</v>
      </c>
      <c r="AW286">
        <v>0</v>
      </c>
      <c r="AX286">
        <v>3</v>
      </c>
      <c r="AY286">
        <v>0</v>
      </c>
      <c r="AZ286">
        <v>0</v>
      </c>
      <c r="BA286">
        <v>100</v>
      </c>
      <c r="BB286">
        <v>100</v>
      </c>
      <c r="BC286">
        <v>100</v>
      </c>
      <c r="BD286">
        <v>100</v>
      </c>
      <c r="BE286">
        <v>1</v>
      </c>
      <c r="BF286">
        <v>15000</v>
      </c>
      <c r="BG286">
        <v>1000</v>
      </c>
      <c r="BH286" s="7">
        <f>ROUND(Wapato_Inventory[[#This Row],[detatched_value]]*Lookups!$B$22*Lookups!$H$48,-2)</f>
        <v>0</v>
      </c>
      <c r="BI286" s="7">
        <f>ROUND(((Wapato_Inventory[[#This Row],[land_extract]]*Lookups!$B$3) +(Lookups!$B$2*0.5))*Lookups!$H$48,-2)</f>
        <v>53000</v>
      </c>
      <c r="BJ286" s="7">
        <f>IF(Wapato_Inventory[[#This Row],[bldg_style]]="",0,Lookups!$B$2*0.5)</f>
        <v>53765.27</v>
      </c>
      <c r="BK286" s="7">
        <f>_xlfn.IFNA(VLOOKUP(Wapato_Inventory[[#This Row],[quality]],Lookups!$H$2:$J$14,3,FALSE),0)</f>
        <v>28034</v>
      </c>
      <c r="BL286" s="7">
        <f>_xlfn.IFNA(VLOOKUP(Wapato_Inventory[[#This Row],[condition]],Lookups!$H$17:$J$24,3,FALSE),0)</f>
        <v>52231</v>
      </c>
      <c r="BM286" s="7">
        <f>Wapato_Inventory[[#This Row],[Age]]*Lookups!$B$16</f>
        <v>-36326.2186</v>
      </c>
      <c r="BN286" s="7">
        <f>Wapato_Inventory[[#This Row],[Main Floor]]*Lookups!$B$17</f>
        <v>44141.580384000001</v>
      </c>
      <c r="BO286" s="7">
        <f>Wapato_Inventory[[#This Row],[Upper Floor]]*Lookups!$B$18</f>
        <v>0</v>
      </c>
      <c r="BP286" s="7">
        <f>Wapato_Inventory[[#This Row],[Fin BSMT]]*Lookups!$B$19</f>
        <v>0</v>
      </c>
      <c r="BQ286" s="7">
        <f>(Wapato_Inventory[[#This Row],[att_gar]]+Wapato_Inventory[[#This Row],[blt_gar]])*Lookups!$B$20</f>
        <v>0</v>
      </c>
      <c r="BR286" s="7">
        <f>Wapato_Inventory[[#This Row],[Patio]]*Lookups!$B$21</f>
        <v>0</v>
      </c>
      <c r="BS286" s="7">
        <f>SUM(Wapato_Inventory[[#This Row],[intercept]:[patio_value]])*Wapato_Inventory[[#This Row],[res_pct]]</f>
        <v>141845.631784</v>
      </c>
      <c r="BT286" s="7">
        <f>Wapato_Inventory[[#This Row],[land_value]]</f>
        <v>53000</v>
      </c>
      <c r="BU286" s="2">
        <f>_xlfn.IFNA(VLOOKUP(Wapato_Inventory[[#This Row],[quality]],Lookups!$A$28:$C$37,3,FALSE),1)</f>
        <v>0.96265813922927435</v>
      </c>
      <c r="BV286" s="2">
        <f>_xlfn.IFNA(VLOOKUP(Wapato_Inventory[[#This Row],[condition]],Lookups!$A$41:$C$48,3,FALSE),1)</f>
        <v>0.9832333997567807</v>
      </c>
      <c r="BW286" s="2">
        <f>IF(Wapato_Inventory[[#This Row],[decade]]="",1,_xlfn.IFNA(VLOOKUP(Wapato_Inventory[[#This Row],[decade]],Lookups!$F$28:$H$45,3,FALSE),1))</f>
        <v>1.0114203040664467</v>
      </c>
      <c r="BX286" s="2">
        <f>_xlfn.IFNA(VLOOKUP(Wapato_Inventory[[#This Row],[living_area_range]],Lookups!$K$28:$M$37,3,FALSE),1)</f>
        <v>1.0061411172456287</v>
      </c>
      <c r="BY286" s="2">
        <f>AVERAGE(Wapato_Inventory[[#This Row],[qual_adj]:[range_adj]])</f>
        <v>0.99086324007453253</v>
      </c>
      <c r="BZ286" s="7">
        <f>(Wapato_Inventory[[#This Row],[sum_land]]-IF(Wapato_Inventory[[#This Row],[no_utilities]]=1,12000,0))/IF(Wapato_Inventory[[#This Row],[unbuildable]]=1,2,1)</f>
        <v>53000</v>
      </c>
      <c r="CA286" s="7">
        <f>Wapato_Inventory[[#This Row],[pre_res]]*Wapato_Inventory[[#This Row],[overall_adj]]</f>
        <v>140549.62229991332</v>
      </c>
      <c r="CB28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86" s="3">
        <f>IF(ROUND(Wapato_Inventory[[#This Row],[adj_res]]*Lookups!$H$48,-2)&lt;Wapato_Inventory[[#This Row],[min_res]],Wapato_Inventory[[#This Row],[min_res]],ROUND(Wapato_Inventory[[#This Row],[adj_res]]*Lookups!$H$48,-2))</f>
        <v>133500</v>
      </c>
      <c r="CD286" s="3">
        <f>ROUND(Wapato_Inventory[[#This Row],[det_value]]*Lookups!$H$48,-2)</f>
        <v>0</v>
      </c>
      <c r="CE286" s="3">
        <f>Wapato_Inventory[[#This Row],[final_res]]+Wapato_Inventory[[#This Row],[final_det]]</f>
        <v>133500</v>
      </c>
      <c r="CF286" s="3">
        <f>Wapato_Inventory[[#This Row],[crop_value]]+Wapato_Inventory[[#This Row],[final_land]]+Wapato_Inventory[[#This Row],[final_imp]]</f>
        <v>183900</v>
      </c>
      <c r="CH286" t="str">
        <f t="shared" si="4"/>
        <v>update valuation set market_land =50400, market_bldg=133500, market_total =183900, market_mdno =405, market_date ='9/10/2023' where link_id = (select link_id from parcel where parcel_year = '2024' and parcel_id = '19111042412');</v>
      </c>
    </row>
    <row r="287" spans="1:86" x14ac:dyDescent="0.25">
      <c r="A287">
        <v>19111042413</v>
      </c>
      <c r="B287">
        <v>0.14000000000000001</v>
      </c>
      <c r="C287">
        <v>6249</v>
      </c>
      <c r="D287" t="s">
        <v>144</v>
      </c>
      <c r="E287" t="s">
        <v>54</v>
      </c>
      <c r="F287" t="s">
        <v>54</v>
      </c>
      <c r="G287">
        <v>3</v>
      </c>
      <c r="H287" t="s">
        <v>55</v>
      </c>
      <c r="I287">
        <v>164400</v>
      </c>
      <c r="J287">
        <v>31900</v>
      </c>
      <c r="K287">
        <v>0.14000000000000001</v>
      </c>
      <c r="L287">
        <f>IF(Wapato_Inventory[[#This Row],[parcel_acres]]-Wapato_Inventory[[#This Row],[non_valued_acres]] =0,0,LN(Wapato_Inventory[[#This Row],[parcel_acres]]-Wapato_Inventory[[#This Row],[non_valued_acres]]))</f>
        <v>-1.9661128563728327</v>
      </c>
      <c r="M287">
        <v>0</v>
      </c>
      <c r="N287">
        <v>0</v>
      </c>
      <c r="O287">
        <v>0</v>
      </c>
      <c r="P287">
        <v>27904.037</v>
      </c>
      <c r="Q287">
        <v>74398</v>
      </c>
      <c r="R287" s="3">
        <f>(Wapato_Inventory[[#This Row],[ln_acres]]*Wapato_Inventory[[#This Row],[coeff]])+Wapato_Inventory[[#This Row],[const]]</f>
        <v>19535.514109596792</v>
      </c>
      <c r="S287" t="s">
        <v>62</v>
      </c>
      <c r="T287">
        <v>1</v>
      </c>
      <c r="U287" t="s">
        <v>71</v>
      </c>
      <c r="V287" t="s">
        <v>68</v>
      </c>
      <c r="W287">
        <v>0</v>
      </c>
      <c r="X287">
        <v>0</v>
      </c>
      <c r="Y287">
        <v>44</v>
      </c>
      <c r="Z287">
        <v>48</v>
      </c>
      <c r="AA287">
        <v>50</v>
      </c>
      <c r="AB287">
        <v>2000</v>
      </c>
      <c r="AC287">
        <v>1534</v>
      </c>
      <c r="AD287">
        <v>1534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8</v>
      </c>
      <c r="AQ287">
        <v>0</v>
      </c>
      <c r="AR287">
        <v>1</v>
      </c>
      <c r="AS287" t="s">
        <v>59</v>
      </c>
      <c r="AT287">
        <v>1</v>
      </c>
      <c r="AU287" t="s">
        <v>64</v>
      </c>
      <c r="AV287" t="s">
        <v>65</v>
      </c>
      <c r="AW287">
        <v>0</v>
      </c>
      <c r="AX287">
        <v>3</v>
      </c>
      <c r="AY287">
        <v>0</v>
      </c>
      <c r="AZ287">
        <v>0</v>
      </c>
      <c r="BA287">
        <v>100</v>
      </c>
      <c r="BB287">
        <v>100</v>
      </c>
      <c r="BC287">
        <v>100</v>
      </c>
      <c r="BD287">
        <v>100</v>
      </c>
      <c r="BE287">
        <v>1</v>
      </c>
      <c r="BF287">
        <v>15000</v>
      </c>
      <c r="BG287">
        <v>1000</v>
      </c>
      <c r="BH287" s="7">
        <f>ROUND(Wapato_Inventory[[#This Row],[detatched_value]]*Lookups!$B$22*Lookups!$H$48,-2)</f>
        <v>0</v>
      </c>
      <c r="BI287" s="7">
        <f>ROUND(((Wapato_Inventory[[#This Row],[land_extract]]*Lookups!$B$3) +(Lookups!$B$2*0.5))*Lookups!$H$48,-2)</f>
        <v>53000</v>
      </c>
      <c r="BJ287" s="7">
        <f>IF(Wapato_Inventory[[#This Row],[bldg_style]]="",0,Lookups!$B$2*0.5)</f>
        <v>53765.27</v>
      </c>
      <c r="BK287" s="7">
        <f>_xlfn.IFNA(VLOOKUP(Wapato_Inventory[[#This Row],[quality]],Lookups!$H$2:$J$14,3,FALSE),0)</f>
        <v>28034</v>
      </c>
      <c r="BL287" s="7">
        <f>_xlfn.IFNA(VLOOKUP(Wapato_Inventory[[#This Row],[condition]],Lookups!$H$17:$J$24,3,FALSE),0)</f>
        <v>52231</v>
      </c>
      <c r="BM287" s="7">
        <f>Wapato_Inventory[[#This Row],[Age]]*Lookups!$B$16</f>
        <v>-17792.4336</v>
      </c>
      <c r="BN287" s="7">
        <f>Wapato_Inventory[[#This Row],[Main Floor]]*Lookups!$B$17</f>
        <v>64122.333626</v>
      </c>
      <c r="BO287" s="7">
        <f>Wapato_Inventory[[#This Row],[Upper Floor]]*Lookups!$B$18</f>
        <v>0</v>
      </c>
      <c r="BP287" s="7">
        <f>Wapato_Inventory[[#This Row],[Fin BSMT]]*Lookups!$B$19</f>
        <v>0</v>
      </c>
      <c r="BQ287" s="7">
        <f>(Wapato_Inventory[[#This Row],[att_gar]]+Wapato_Inventory[[#This Row],[blt_gar]])*Lookups!$B$20</f>
        <v>0</v>
      </c>
      <c r="BR287" s="7">
        <f>Wapato_Inventory[[#This Row],[Patio]]*Lookups!$B$21</f>
        <v>0</v>
      </c>
      <c r="BS287" s="7">
        <f>SUM(Wapato_Inventory[[#This Row],[intercept]:[patio_value]])*Wapato_Inventory[[#This Row],[res_pct]]</f>
        <v>180360.17002599998</v>
      </c>
      <c r="BT287" s="7">
        <f>Wapato_Inventory[[#This Row],[land_value]]</f>
        <v>53000</v>
      </c>
      <c r="BU287" s="2">
        <f>_xlfn.IFNA(VLOOKUP(Wapato_Inventory[[#This Row],[quality]],Lookups!$A$28:$C$37,3,FALSE),1)</f>
        <v>0.96265813922927435</v>
      </c>
      <c r="BV287" s="2">
        <f>_xlfn.IFNA(VLOOKUP(Wapato_Inventory[[#This Row],[condition]],Lookups!$A$41:$C$48,3,FALSE),1)</f>
        <v>0.9832333997567807</v>
      </c>
      <c r="BW287" s="2">
        <f>IF(Wapato_Inventory[[#This Row],[decade]]="",1,_xlfn.IFNA(VLOOKUP(Wapato_Inventory[[#This Row],[decade]],Lookups!$F$28:$H$45,3,FALSE),1))</f>
        <v>0.96240333884358298</v>
      </c>
      <c r="BX287" s="2">
        <f>_xlfn.IFNA(VLOOKUP(Wapato_Inventory[[#This Row],[living_area_range]],Lookups!$K$28:$M$37,3,FALSE),1)</f>
        <v>0.99330894324714125</v>
      </c>
      <c r="BY287" s="2">
        <f>AVERAGE(Wapato_Inventory[[#This Row],[qual_adj]:[range_adj]])</f>
        <v>0.97540095526919479</v>
      </c>
      <c r="BZ287" s="7">
        <f>(Wapato_Inventory[[#This Row],[sum_land]]-IF(Wapato_Inventory[[#This Row],[no_utilities]]=1,12000,0))/IF(Wapato_Inventory[[#This Row],[unbuildable]]=1,2,1)</f>
        <v>53000</v>
      </c>
      <c r="CA287" s="7">
        <f>Wapato_Inventory[[#This Row],[pre_res]]*Wapato_Inventory[[#This Row],[overall_adj]]</f>
        <v>175923.48213587477</v>
      </c>
      <c r="CB28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87" s="3">
        <f>IF(ROUND(Wapato_Inventory[[#This Row],[adj_res]]*Lookups!$H$48,-2)&lt;Wapato_Inventory[[#This Row],[min_res]],Wapato_Inventory[[#This Row],[min_res]],ROUND(Wapato_Inventory[[#This Row],[adj_res]]*Lookups!$H$48,-2))</f>
        <v>167100</v>
      </c>
      <c r="CD287" s="3">
        <f>ROUND(Wapato_Inventory[[#This Row],[det_value]]*Lookups!$H$48,-2)</f>
        <v>0</v>
      </c>
      <c r="CE287" s="3">
        <f>Wapato_Inventory[[#This Row],[final_res]]+Wapato_Inventory[[#This Row],[final_det]]</f>
        <v>167100</v>
      </c>
      <c r="CF287" s="3">
        <f>Wapato_Inventory[[#This Row],[crop_value]]+Wapato_Inventory[[#This Row],[final_land]]+Wapato_Inventory[[#This Row],[final_imp]]</f>
        <v>217500</v>
      </c>
      <c r="CH287" t="str">
        <f t="shared" si="4"/>
        <v>update valuation set market_land =50400, market_bldg=167100, market_total =217500, market_mdno =405, market_date ='9/10/2023' where link_id = (select link_id from parcel where parcel_year = '2024' and parcel_id = '19111042413');</v>
      </c>
    </row>
    <row r="288" spans="1:86" x14ac:dyDescent="0.25">
      <c r="A288">
        <v>19111042414</v>
      </c>
      <c r="B288">
        <v>0.14000000000000001</v>
      </c>
      <c r="C288">
        <v>6249</v>
      </c>
      <c r="D288" t="s">
        <v>144</v>
      </c>
      <c r="E288" t="s">
        <v>54</v>
      </c>
      <c r="F288" t="s">
        <v>54</v>
      </c>
      <c r="G288">
        <v>3</v>
      </c>
      <c r="H288" t="s">
        <v>55</v>
      </c>
      <c r="I288">
        <v>128300</v>
      </c>
      <c r="J288">
        <v>31900</v>
      </c>
      <c r="K288">
        <v>0.14000000000000001</v>
      </c>
      <c r="L288">
        <f>IF(Wapato_Inventory[[#This Row],[parcel_acres]]-Wapato_Inventory[[#This Row],[non_valued_acres]] =0,0,LN(Wapato_Inventory[[#This Row],[parcel_acres]]-Wapato_Inventory[[#This Row],[non_valued_acres]]))</f>
        <v>-1.9661128563728327</v>
      </c>
      <c r="M288">
        <v>0</v>
      </c>
      <c r="N288">
        <v>0</v>
      </c>
      <c r="O288">
        <v>0</v>
      </c>
      <c r="P288">
        <v>27904.037</v>
      </c>
      <c r="Q288">
        <v>74398</v>
      </c>
      <c r="R288" s="3">
        <f>(Wapato_Inventory[[#This Row],[ln_acres]]*Wapato_Inventory[[#This Row],[coeff]])+Wapato_Inventory[[#This Row],[const]]</f>
        <v>19535.514109596792</v>
      </c>
      <c r="S288" t="s">
        <v>62</v>
      </c>
      <c r="T288">
        <v>1</v>
      </c>
      <c r="U288" t="s">
        <v>71</v>
      </c>
      <c r="V288" t="s">
        <v>68</v>
      </c>
      <c r="W288">
        <v>0</v>
      </c>
      <c r="X288">
        <v>0</v>
      </c>
      <c r="Y288">
        <v>46</v>
      </c>
      <c r="Z288">
        <v>53</v>
      </c>
      <c r="AA288">
        <v>60</v>
      </c>
      <c r="AB288">
        <v>1000</v>
      </c>
      <c r="AC288">
        <v>829</v>
      </c>
      <c r="AD288">
        <v>829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48</v>
      </c>
      <c r="AN288">
        <v>56</v>
      </c>
      <c r="AO288">
        <v>0</v>
      </c>
      <c r="AP288">
        <v>5</v>
      </c>
      <c r="AQ288">
        <v>0</v>
      </c>
      <c r="AR288">
        <v>0</v>
      </c>
      <c r="AS288" t="s">
        <v>82</v>
      </c>
      <c r="AT288">
        <v>0</v>
      </c>
      <c r="AU288" t="s">
        <v>80</v>
      </c>
      <c r="AV288" t="s">
        <v>61</v>
      </c>
      <c r="AW288">
        <v>0</v>
      </c>
      <c r="AX288">
        <v>2</v>
      </c>
      <c r="AY288">
        <v>0</v>
      </c>
      <c r="AZ288">
        <v>0</v>
      </c>
      <c r="BA288">
        <v>100</v>
      </c>
      <c r="BB288">
        <v>100</v>
      </c>
      <c r="BC288">
        <v>100</v>
      </c>
      <c r="BD288">
        <v>100</v>
      </c>
      <c r="BE288">
        <v>1</v>
      </c>
      <c r="BF288">
        <v>15000</v>
      </c>
      <c r="BG288">
        <v>1000</v>
      </c>
      <c r="BH288" s="7">
        <f>ROUND(Wapato_Inventory[[#This Row],[detatched_value]]*Lookups!$B$22*Lookups!$H$48,-2)</f>
        <v>0</v>
      </c>
      <c r="BI288" s="7">
        <f>ROUND(((Wapato_Inventory[[#This Row],[land_extract]]*Lookups!$B$3) +(Lookups!$B$2*0.5))*Lookups!$H$48,-2)</f>
        <v>53000</v>
      </c>
      <c r="BJ288" s="7">
        <f>IF(Wapato_Inventory[[#This Row],[bldg_style]]="",0,Lookups!$B$2*0.5)</f>
        <v>53765.27</v>
      </c>
      <c r="BK288" s="7">
        <f>_xlfn.IFNA(VLOOKUP(Wapato_Inventory[[#This Row],[quality]],Lookups!$H$2:$J$14,3,FALSE),0)</f>
        <v>28034</v>
      </c>
      <c r="BL288" s="7">
        <f>_xlfn.IFNA(VLOOKUP(Wapato_Inventory[[#This Row],[condition]],Lookups!$H$17:$J$24,3,FALSE),0)</f>
        <v>52231</v>
      </c>
      <c r="BM288" s="7">
        <f>Wapato_Inventory[[#This Row],[Age]]*Lookups!$B$16</f>
        <v>-19645.812099999999</v>
      </c>
      <c r="BN288" s="7">
        <f>Wapato_Inventory[[#This Row],[Main Floor]]*Lookups!$B$17</f>
        <v>34652.812631000001</v>
      </c>
      <c r="BO288" s="7">
        <f>Wapato_Inventory[[#This Row],[Upper Floor]]*Lookups!$B$18</f>
        <v>0</v>
      </c>
      <c r="BP288" s="7">
        <f>Wapato_Inventory[[#This Row],[Fin BSMT]]*Lookups!$B$19</f>
        <v>0</v>
      </c>
      <c r="BQ288" s="7">
        <f>(Wapato_Inventory[[#This Row],[att_gar]]+Wapato_Inventory[[#This Row],[blt_gar]])*Lookups!$B$20</f>
        <v>0</v>
      </c>
      <c r="BR288" s="7">
        <f>Wapato_Inventory[[#This Row],[Patio]]*Lookups!$B$21</f>
        <v>2079.550992</v>
      </c>
      <c r="BS288" s="7">
        <f>SUM(Wapato_Inventory[[#This Row],[intercept]:[patio_value]])*Wapato_Inventory[[#This Row],[res_pct]]</f>
        <v>151116.82152299999</v>
      </c>
      <c r="BT288" s="7">
        <f>Wapato_Inventory[[#This Row],[land_value]]</f>
        <v>53000</v>
      </c>
      <c r="BU288" s="2">
        <f>_xlfn.IFNA(VLOOKUP(Wapato_Inventory[[#This Row],[quality]],Lookups!$A$28:$C$37,3,FALSE),1)</f>
        <v>0.96265813922927435</v>
      </c>
      <c r="BV288" s="2">
        <f>_xlfn.IFNA(VLOOKUP(Wapato_Inventory[[#This Row],[condition]],Lookups!$A$41:$C$48,3,FALSE),1)</f>
        <v>0.9832333997567807</v>
      </c>
      <c r="BW288" s="2">
        <f>IF(Wapato_Inventory[[#This Row],[decade]]="",1,_xlfn.IFNA(VLOOKUP(Wapato_Inventory[[#This Row],[decade]],Lookups!$F$28:$H$45,3,FALSE),1))</f>
        <v>1.035341704162583</v>
      </c>
      <c r="BX288" s="2">
        <f>_xlfn.IFNA(VLOOKUP(Wapato_Inventory[[#This Row],[living_area_range]],Lookups!$K$28:$M$37,3,FALSE),1)</f>
        <v>0.99022994770196116</v>
      </c>
      <c r="BY288" s="2">
        <f>AVERAGE(Wapato_Inventory[[#This Row],[qual_adj]:[range_adj]])</f>
        <v>0.99286579771264971</v>
      </c>
      <c r="BZ288" s="7">
        <f>(Wapato_Inventory[[#This Row],[sum_land]]-IF(Wapato_Inventory[[#This Row],[no_utilities]]=1,12000,0))/IF(Wapato_Inventory[[#This Row],[unbuildable]]=1,2,1)</f>
        <v>53000</v>
      </c>
      <c r="CA288" s="7">
        <f>Wapato_Inventory[[#This Row],[pre_res]]*Wapato_Inventory[[#This Row],[overall_adj]]</f>
        <v>150038.72354923349</v>
      </c>
      <c r="CB28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88" s="3">
        <f>IF(ROUND(Wapato_Inventory[[#This Row],[adj_res]]*Lookups!$H$48,-2)&lt;Wapato_Inventory[[#This Row],[min_res]],Wapato_Inventory[[#This Row],[min_res]],ROUND(Wapato_Inventory[[#This Row],[adj_res]]*Lookups!$H$48,-2))</f>
        <v>142500</v>
      </c>
      <c r="CD288" s="3">
        <f>ROUND(Wapato_Inventory[[#This Row],[det_value]]*Lookups!$H$48,-2)</f>
        <v>0</v>
      </c>
      <c r="CE288" s="3">
        <f>Wapato_Inventory[[#This Row],[final_res]]+Wapato_Inventory[[#This Row],[final_det]]</f>
        <v>142500</v>
      </c>
      <c r="CF288" s="3">
        <f>Wapato_Inventory[[#This Row],[crop_value]]+Wapato_Inventory[[#This Row],[final_land]]+Wapato_Inventory[[#This Row],[final_imp]]</f>
        <v>192900</v>
      </c>
      <c r="CH288" t="str">
        <f t="shared" si="4"/>
        <v>update valuation set market_land =50400, market_bldg=142500, market_total =192900, market_mdno =405, market_date ='9/10/2023' where link_id = (select link_id from parcel where parcel_year = '2024' and parcel_id = '19111042414');</v>
      </c>
    </row>
    <row r="289" spans="1:86" x14ac:dyDescent="0.25">
      <c r="A289">
        <v>19111042415</v>
      </c>
      <c r="B289">
        <v>0.14000000000000001</v>
      </c>
      <c r="C289">
        <v>6249</v>
      </c>
      <c r="D289" t="s">
        <v>144</v>
      </c>
      <c r="E289" t="s">
        <v>54</v>
      </c>
      <c r="F289" t="s">
        <v>54</v>
      </c>
      <c r="G289">
        <v>3</v>
      </c>
      <c r="H289" t="s">
        <v>55</v>
      </c>
      <c r="I289">
        <v>115300</v>
      </c>
      <c r="J289">
        <v>31900</v>
      </c>
      <c r="K289">
        <v>0.14000000000000001</v>
      </c>
      <c r="L289">
        <f>IF(Wapato_Inventory[[#This Row],[parcel_acres]]-Wapato_Inventory[[#This Row],[non_valued_acres]] =0,0,LN(Wapato_Inventory[[#This Row],[parcel_acres]]-Wapato_Inventory[[#This Row],[non_valued_acres]]))</f>
        <v>-1.9661128563728327</v>
      </c>
      <c r="M289">
        <v>0</v>
      </c>
      <c r="N289">
        <v>0</v>
      </c>
      <c r="O289">
        <v>0</v>
      </c>
      <c r="P289">
        <v>27904.037</v>
      </c>
      <c r="Q289">
        <v>74398</v>
      </c>
      <c r="R289" s="3">
        <f>(Wapato_Inventory[[#This Row],[ln_acres]]*Wapato_Inventory[[#This Row],[coeff]])+Wapato_Inventory[[#This Row],[const]]</f>
        <v>19535.514109596792</v>
      </c>
      <c r="S289" t="s">
        <v>66</v>
      </c>
      <c r="T289">
        <v>1</v>
      </c>
      <c r="U289" t="s">
        <v>71</v>
      </c>
      <c r="V289" t="s">
        <v>68</v>
      </c>
      <c r="W289">
        <v>0</v>
      </c>
      <c r="X289">
        <v>0</v>
      </c>
      <c r="Y289">
        <v>50</v>
      </c>
      <c r="Z289">
        <v>73</v>
      </c>
      <c r="AA289">
        <v>80</v>
      </c>
      <c r="AB289">
        <v>1000</v>
      </c>
      <c r="AC289">
        <v>957</v>
      </c>
      <c r="AD289">
        <v>957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239</v>
      </c>
      <c r="AN289">
        <v>0</v>
      </c>
      <c r="AO289">
        <v>50</v>
      </c>
      <c r="AP289">
        <v>5</v>
      </c>
      <c r="AQ289">
        <v>0</v>
      </c>
      <c r="AR289">
        <v>0</v>
      </c>
      <c r="AS289" t="s">
        <v>59</v>
      </c>
      <c r="AT289">
        <v>1</v>
      </c>
      <c r="AU289" t="s">
        <v>72</v>
      </c>
      <c r="AV289" t="s">
        <v>61</v>
      </c>
      <c r="AW289">
        <v>0</v>
      </c>
      <c r="AX289">
        <v>2</v>
      </c>
      <c r="AY289">
        <v>0</v>
      </c>
      <c r="AZ289">
        <v>0</v>
      </c>
      <c r="BA289">
        <v>100</v>
      </c>
      <c r="BB289">
        <v>100</v>
      </c>
      <c r="BC289">
        <v>100</v>
      </c>
      <c r="BD289">
        <v>100</v>
      </c>
      <c r="BE289">
        <v>1</v>
      </c>
      <c r="BF289">
        <v>15000</v>
      </c>
      <c r="BG289">
        <v>1000</v>
      </c>
      <c r="BH289" s="7">
        <f>ROUND(Wapato_Inventory[[#This Row],[detatched_value]]*Lookups!$B$22*Lookups!$H$48,-2)</f>
        <v>0</v>
      </c>
      <c r="BI289" s="7">
        <f>ROUND(((Wapato_Inventory[[#This Row],[land_extract]]*Lookups!$B$3) +(Lookups!$B$2*0.5))*Lookups!$H$48,-2)</f>
        <v>53000</v>
      </c>
      <c r="BJ289" s="7">
        <f>IF(Wapato_Inventory[[#This Row],[bldg_style]]="",0,Lookups!$B$2*0.5)</f>
        <v>53765.27</v>
      </c>
      <c r="BK289" s="7">
        <f>_xlfn.IFNA(VLOOKUP(Wapato_Inventory[[#This Row],[quality]],Lookups!$H$2:$J$14,3,FALSE),0)</f>
        <v>28034</v>
      </c>
      <c r="BL289" s="7">
        <f>_xlfn.IFNA(VLOOKUP(Wapato_Inventory[[#This Row],[condition]],Lookups!$H$17:$J$24,3,FALSE),0)</f>
        <v>52231</v>
      </c>
      <c r="BM289" s="7">
        <f>Wapato_Inventory[[#This Row],[Age]]*Lookups!$B$16</f>
        <v>-27059.326100000002</v>
      </c>
      <c r="BN289" s="7">
        <f>Wapato_Inventory[[#This Row],[Main Floor]]*Lookups!$B$17</f>
        <v>40003.307223000003</v>
      </c>
      <c r="BO289" s="7">
        <f>Wapato_Inventory[[#This Row],[Upper Floor]]*Lookups!$B$18</f>
        <v>0</v>
      </c>
      <c r="BP289" s="7">
        <f>Wapato_Inventory[[#This Row],[Fin BSMT]]*Lookups!$B$19</f>
        <v>0</v>
      </c>
      <c r="BQ289" s="7">
        <f>(Wapato_Inventory[[#This Row],[att_gar]]+Wapato_Inventory[[#This Row],[blt_gar]])*Lookups!$B$20</f>
        <v>0</v>
      </c>
      <c r="BR289" s="7">
        <f>Wapato_Inventory[[#This Row],[Patio]]*Lookups!$B$21</f>
        <v>10354.430981</v>
      </c>
      <c r="BS289" s="7">
        <f>SUM(Wapato_Inventory[[#This Row],[intercept]:[patio_value]])*Wapato_Inventory[[#This Row],[res_pct]]</f>
        <v>157328.68210400001</v>
      </c>
      <c r="BT289" s="7">
        <f>Wapato_Inventory[[#This Row],[land_value]]</f>
        <v>53000</v>
      </c>
      <c r="BU289" s="2">
        <f>_xlfn.IFNA(VLOOKUP(Wapato_Inventory[[#This Row],[quality]],Lookups!$A$28:$C$37,3,FALSE),1)</f>
        <v>0.96265813922927435</v>
      </c>
      <c r="BV289" s="2">
        <f>_xlfn.IFNA(VLOOKUP(Wapato_Inventory[[#This Row],[condition]],Lookups!$A$41:$C$48,3,FALSE),1)</f>
        <v>0.9832333997567807</v>
      </c>
      <c r="BW289" s="2">
        <f>IF(Wapato_Inventory[[#This Row],[decade]]="",1,_xlfn.IFNA(VLOOKUP(Wapato_Inventory[[#This Row],[decade]],Lookups!$F$28:$H$45,3,FALSE),1))</f>
        <v>0.8438929209510081</v>
      </c>
      <c r="BX289" s="2">
        <f>_xlfn.IFNA(VLOOKUP(Wapato_Inventory[[#This Row],[living_area_range]],Lookups!$K$28:$M$37,3,FALSE),1)</f>
        <v>0.99022994770196116</v>
      </c>
      <c r="BY289" s="2">
        <f>AVERAGE(Wapato_Inventory[[#This Row],[qual_adj]:[range_adj]])</f>
        <v>0.94500360190975607</v>
      </c>
      <c r="BZ289" s="7">
        <f>(Wapato_Inventory[[#This Row],[sum_land]]-IF(Wapato_Inventory[[#This Row],[no_utilities]]=1,12000,0))/IF(Wapato_Inventory[[#This Row],[unbuildable]]=1,2,1)</f>
        <v>53000</v>
      </c>
      <c r="CA289" s="7">
        <f>Wapato_Inventory[[#This Row],[pre_res]]*Wapato_Inventory[[#This Row],[overall_adj]]</f>
        <v>148676.171271995</v>
      </c>
      <c r="CB28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89" s="3">
        <f>IF(ROUND(Wapato_Inventory[[#This Row],[adj_res]]*Lookups!$H$48,-2)&lt;Wapato_Inventory[[#This Row],[min_res]],Wapato_Inventory[[#This Row],[min_res]],ROUND(Wapato_Inventory[[#This Row],[adj_res]]*Lookups!$H$48,-2))</f>
        <v>141200</v>
      </c>
      <c r="CD289" s="3">
        <f>ROUND(Wapato_Inventory[[#This Row],[det_value]]*Lookups!$H$48,-2)</f>
        <v>0</v>
      </c>
      <c r="CE289" s="3">
        <f>Wapato_Inventory[[#This Row],[final_res]]+Wapato_Inventory[[#This Row],[final_det]]</f>
        <v>141200</v>
      </c>
      <c r="CF289" s="3">
        <f>Wapato_Inventory[[#This Row],[crop_value]]+Wapato_Inventory[[#This Row],[final_land]]+Wapato_Inventory[[#This Row],[final_imp]]</f>
        <v>191600</v>
      </c>
      <c r="CH289" t="str">
        <f t="shared" si="4"/>
        <v>update valuation set market_land =50400, market_bldg=141200, market_total =191600, market_mdno =405, market_date ='9/10/2023' where link_id = (select link_id from parcel where parcel_year = '2024' and parcel_id = '19111042415');</v>
      </c>
    </row>
    <row r="290" spans="1:86" x14ac:dyDescent="0.25">
      <c r="A290">
        <v>19111042416</v>
      </c>
      <c r="B290">
        <v>0.14000000000000001</v>
      </c>
      <c r="C290">
        <v>6249</v>
      </c>
      <c r="D290" t="s">
        <v>144</v>
      </c>
      <c r="E290" t="s">
        <v>54</v>
      </c>
      <c r="F290" t="s">
        <v>54</v>
      </c>
      <c r="G290">
        <v>3</v>
      </c>
      <c r="H290" t="s">
        <v>55</v>
      </c>
      <c r="I290">
        <v>63500</v>
      </c>
      <c r="J290">
        <v>31900</v>
      </c>
      <c r="K290">
        <v>0.14000000000000001</v>
      </c>
      <c r="L290">
        <f>IF(Wapato_Inventory[[#This Row],[parcel_acres]]-Wapato_Inventory[[#This Row],[non_valued_acres]] =0,0,LN(Wapato_Inventory[[#This Row],[parcel_acres]]-Wapato_Inventory[[#This Row],[non_valued_acres]]))</f>
        <v>-1.9661128563728327</v>
      </c>
      <c r="M290">
        <v>0</v>
      </c>
      <c r="N290">
        <v>0</v>
      </c>
      <c r="O290">
        <v>0</v>
      </c>
      <c r="P290">
        <v>27904.037</v>
      </c>
      <c r="Q290">
        <v>74398</v>
      </c>
      <c r="R290" s="3">
        <f>(Wapato_Inventory[[#This Row],[ln_acres]]*Wapato_Inventory[[#This Row],[coeff]])+Wapato_Inventory[[#This Row],[const]]</f>
        <v>19535.514109596792</v>
      </c>
      <c r="S290" t="s">
        <v>66</v>
      </c>
      <c r="T290">
        <v>1</v>
      </c>
      <c r="U290" t="s">
        <v>71</v>
      </c>
      <c r="V290" t="s">
        <v>73</v>
      </c>
      <c r="W290">
        <v>0</v>
      </c>
      <c r="X290">
        <v>0</v>
      </c>
      <c r="Y290">
        <v>57</v>
      </c>
      <c r="Z290">
        <v>103</v>
      </c>
      <c r="AA290">
        <v>110</v>
      </c>
      <c r="AB290">
        <v>1000</v>
      </c>
      <c r="AC290">
        <v>835</v>
      </c>
      <c r="AD290">
        <v>835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5</v>
      </c>
      <c r="AQ290">
        <v>0</v>
      </c>
      <c r="AR290">
        <v>0</v>
      </c>
      <c r="AS290" t="s">
        <v>59</v>
      </c>
      <c r="AT290">
        <v>1</v>
      </c>
      <c r="AU290" t="s">
        <v>72</v>
      </c>
      <c r="AV290" t="s">
        <v>61</v>
      </c>
      <c r="AW290">
        <v>0</v>
      </c>
      <c r="AX290">
        <v>2</v>
      </c>
      <c r="AY290">
        <v>0</v>
      </c>
      <c r="AZ290">
        <v>0</v>
      </c>
      <c r="BA290">
        <v>100</v>
      </c>
      <c r="BB290">
        <v>100</v>
      </c>
      <c r="BC290">
        <v>100</v>
      </c>
      <c r="BD290">
        <v>100</v>
      </c>
      <c r="BE290">
        <v>1</v>
      </c>
      <c r="BF290">
        <v>15000</v>
      </c>
      <c r="BG290">
        <v>1000</v>
      </c>
      <c r="BH290" s="7">
        <f>ROUND(Wapato_Inventory[[#This Row],[detatched_value]]*Lookups!$B$22*Lookups!$H$48,-2)</f>
        <v>0</v>
      </c>
      <c r="BI290" s="7">
        <f>ROUND(((Wapato_Inventory[[#This Row],[land_extract]]*Lookups!$B$3) +(Lookups!$B$2*0.5))*Lookups!$H$48,-2)</f>
        <v>53000</v>
      </c>
      <c r="BJ290" s="7">
        <f>IF(Wapato_Inventory[[#This Row],[bldg_style]]="",0,Lookups!$B$2*0.5)</f>
        <v>53765.27</v>
      </c>
      <c r="BK290" s="7">
        <f>_xlfn.IFNA(VLOOKUP(Wapato_Inventory[[#This Row],[quality]],Lookups!$H$2:$J$14,3,FALSE),0)</f>
        <v>28034</v>
      </c>
      <c r="BL290" s="7">
        <f>_xlfn.IFNA(VLOOKUP(Wapato_Inventory[[#This Row],[condition]],Lookups!$H$17:$J$24,3,FALSE),0)</f>
        <v>16276</v>
      </c>
      <c r="BM290" s="7">
        <f>Wapato_Inventory[[#This Row],[Age]]*Lookups!$B$16</f>
        <v>-38179.597099999999</v>
      </c>
      <c r="BN290" s="7">
        <f>Wapato_Inventory[[#This Row],[Main Floor]]*Lookups!$B$17</f>
        <v>34903.617064999999</v>
      </c>
      <c r="BO290" s="7">
        <f>Wapato_Inventory[[#This Row],[Upper Floor]]*Lookups!$B$18</f>
        <v>0</v>
      </c>
      <c r="BP290" s="7">
        <f>Wapato_Inventory[[#This Row],[Fin BSMT]]*Lookups!$B$19</f>
        <v>0</v>
      </c>
      <c r="BQ290" s="7">
        <f>(Wapato_Inventory[[#This Row],[att_gar]]+Wapato_Inventory[[#This Row],[blt_gar]])*Lookups!$B$20</f>
        <v>0</v>
      </c>
      <c r="BR290" s="7">
        <f>Wapato_Inventory[[#This Row],[Patio]]*Lookups!$B$21</f>
        <v>0</v>
      </c>
      <c r="BS290" s="7">
        <f>SUM(Wapato_Inventory[[#This Row],[intercept]:[patio_value]])*Wapato_Inventory[[#This Row],[res_pct]]</f>
        <v>94799.289964999989</v>
      </c>
      <c r="BT290" s="7">
        <f>Wapato_Inventory[[#This Row],[land_value]]</f>
        <v>53000</v>
      </c>
      <c r="BU290" s="2">
        <f>_xlfn.IFNA(VLOOKUP(Wapato_Inventory[[#This Row],[quality]],Lookups!$A$28:$C$37,3,FALSE),1)</f>
        <v>0.96265813922927435</v>
      </c>
      <c r="BV290" s="2">
        <f>_xlfn.IFNA(VLOOKUP(Wapato_Inventory[[#This Row],[condition]],Lookups!$A$41:$C$48,3,FALSE),1)</f>
        <v>0.93399385491337139</v>
      </c>
      <c r="BW290" s="2">
        <f>IF(Wapato_Inventory[[#This Row],[decade]]="",1,_xlfn.IFNA(VLOOKUP(Wapato_Inventory[[#This Row],[decade]],Lookups!$F$28:$H$45,3,FALSE),1))</f>
        <v>0.93664589651353292</v>
      </c>
      <c r="BX290" s="2">
        <f>_xlfn.IFNA(VLOOKUP(Wapato_Inventory[[#This Row],[living_area_range]],Lookups!$K$28:$M$37,3,FALSE),1)</f>
        <v>0.99022994770196116</v>
      </c>
      <c r="BY290" s="2">
        <f>AVERAGE(Wapato_Inventory[[#This Row],[qual_adj]:[range_adj]])</f>
        <v>0.95588195958953504</v>
      </c>
      <c r="BZ290" s="7">
        <f>(Wapato_Inventory[[#This Row],[sum_land]]-IF(Wapato_Inventory[[#This Row],[no_utilities]]=1,12000,0))/IF(Wapato_Inventory[[#This Row],[unbuildable]]=1,2,1)</f>
        <v>53000</v>
      </c>
      <c r="CA290" s="7">
        <f>Wapato_Inventory[[#This Row],[pre_res]]*Wapato_Inventory[[#This Row],[overall_adj]]</f>
        <v>90616.931059440729</v>
      </c>
      <c r="CB29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90" s="3">
        <f>IF(ROUND(Wapato_Inventory[[#This Row],[adj_res]]*Lookups!$H$48,-2)&lt;Wapato_Inventory[[#This Row],[min_res]],Wapato_Inventory[[#This Row],[min_res]],ROUND(Wapato_Inventory[[#This Row],[adj_res]]*Lookups!$H$48,-2))</f>
        <v>86100</v>
      </c>
      <c r="CD290" s="3">
        <f>ROUND(Wapato_Inventory[[#This Row],[det_value]]*Lookups!$H$48,-2)</f>
        <v>0</v>
      </c>
      <c r="CE290" s="3">
        <f>Wapato_Inventory[[#This Row],[final_res]]+Wapato_Inventory[[#This Row],[final_det]]</f>
        <v>86100</v>
      </c>
      <c r="CF290" s="3">
        <f>Wapato_Inventory[[#This Row],[crop_value]]+Wapato_Inventory[[#This Row],[final_land]]+Wapato_Inventory[[#This Row],[final_imp]]</f>
        <v>136500</v>
      </c>
      <c r="CH290" t="str">
        <f t="shared" si="4"/>
        <v>update valuation set market_land =50400, market_bldg=86100, market_total =136500, market_mdno =405, market_date ='9/10/2023' where link_id = (select link_id from parcel where parcel_year = '2024' and parcel_id = '19111042416');</v>
      </c>
    </row>
    <row r="291" spans="1:86" x14ac:dyDescent="0.25">
      <c r="A291">
        <v>19111042417</v>
      </c>
      <c r="B291">
        <v>0.14000000000000001</v>
      </c>
      <c r="C291">
        <v>6249</v>
      </c>
      <c r="D291" t="s">
        <v>144</v>
      </c>
      <c r="E291" t="s">
        <v>54</v>
      </c>
      <c r="F291" t="s">
        <v>54</v>
      </c>
      <c r="G291">
        <v>3</v>
      </c>
      <c r="H291" t="s">
        <v>55</v>
      </c>
      <c r="I291">
        <v>123400</v>
      </c>
      <c r="J291">
        <v>31900</v>
      </c>
      <c r="K291">
        <v>0.14000000000000001</v>
      </c>
      <c r="L291">
        <f>IF(Wapato_Inventory[[#This Row],[parcel_acres]]-Wapato_Inventory[[#This Row],[non_valued_acres]] =0,0,LN(Wapato_Inventory[[#This Row],[parcel_acres]]-Wapato_Inventory[[#This Row],[non_valued_acres]]))</f>
        <v>-1.9661128563728327</v>
      </c>
      <c r="M291">
        <v>0</v>
      </c>
      <c r="N291">
        <v>0</v>
      </c>
      <c r="O291">
        <v>0</v>
      </c>
      <c r="P291">
        <v>27904.037</v>
      </c>
      <c r="Q291">
        <v>74398</v>
      </c>
      <c r="R291" s="3">
        <f>(Wapato_Inventory[[#This Row],[ln_acres]]*Wapato_Inventory[[#This Row],[coeff]])+Wapato_Inventory[[#This Row],[const]]</f>
        <v>19535.514109596792</v>
      </c>
      <c r="S291" t="s">
        <v>66</v>
      </c>
      <c r="T291">
        <v>1</v>
      </c>
      <c r="U291" t="s">
        <v>75</v>
      </c>
      <c r="V291" t="s">
        <v>68</v>
      </c>
      <c r="W291">
        <v>0</v>
      </c>
      <c r="X291">
        <v>0</v>
      </c>
      <c r="Y291">
        <v>55</v>
      </c>
      <c r="Z291">
        <v>98</v>
      </c>
      <c r="AA291">
        <v>100</v>
      </c>
      <c r="AB291">
        <v>1000</v>
      </c>
      <c r="AC291">
        <v>856</v>
      </c>
      <c r="AD291">
        <v>856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484</v>
      </c>
      <c r="AL291">
        <v>0</v>
      </c>
      <c r="AM291">
        <v>264</v>
      </c>
      <c r="AN291">
        <v>0</v>
      </c>
      <c r="AO291">
        <v>264</v>
      </c>
      <c r="AP291">
        <v>6</v>
      </c>
      <c r="AQ291">
        <v>0</v>
      </c>
      <c r="AR291">
        <v>0</v>
      </c>
      <c r="AS291" t="s">
        <v>59</v>
      </c>
      <c r="AT291">
        <v>1</v>
      </c>
      <c r="AU291" t="s">
        <v>76</v>
      </c>
      <c r="AV291" t="s">
        <v>61</v>
      </c>
      <c r="AW291">
        <v>0</v>
      </c>
      <c r="AX291">
        <v>3</v>
      </c>
      <c r="AY291">
        <v>0</v>
      </c>
      <c r="AZ291">
        <v>4400</v>
      </c>
      <c r="BA291">
        <v>100</v>
      </c>
      <c r="BB291">
        <v>100</v>
      </c>
      <c r="BC291">
        <v>100</v>
      </c>
      <c r="BD291">
        <v>100</v>
      </c>
      <c r="BE291">
        <v>1</v>
      </c>
      <c r="BF291">
        <v>15000</v>
      </c>
      <c r="BG291">
        <v>1000</v>
      </c>
      <c r="BH291" s="7">
        <f>ROUND(Wapato_Inventory[[#This Row],[detatched_value]]*Lookups!$B$22*Lookups!$H$48,-2)</f>
        <v>3900</v>
      </c>
      <c r="BI291" s="7">
        <f>ROUND(((Wapato_Inventory[[#This Row],[land_extract]]*Lookups!$B$3) +(Lookups!$B$2*0.5))*Lookups!$H$48,-2)</f>
        <v>53000</v>
      </c>
      <c r="BJ291" s="7">
        <f>IF(Wapato_Inventory[[#This Row],[bldg_style]]="",0,Lookups!$B$2*0.5)</f>
        <v>53765.27</v>
      </c>
      <c r="BK291" s="7">
        <f>_xlfn.IFNA(VLOOKUP(Wapato_Inventory[[#This Row],[quality]],Lookups!$H$2:$J$14,3,FALSE),0)</f>
        <v>48043</v>
      </c>
      <c r="BL291" s="7">
        <f>_xlfn.IFNA(VLOOKUP(Wapato_Inventory[[#This Row],[condition]],Lookups!$H$17:$J$24,3,FALSE),0)</f>
        <v>52231</v>
      </c>
      <c r="BM291" s="7">
        <f>Wapato_Inventory[[#This Row],[Age]]*Lookups!$B$16</f>
        <v>-36326.2186</v>
      </c>
      <c r="BN291" s="7">
        <f>Wapato_Inventory[[#This Row],[Main Floor]]*Lookups!$B$17</f>
        <v>35781.432584000002</v>
      </c>
      <c r="BO291" s="7">
        <f>Wapato_Inventory[[#This Row],[Upper Floor]]*Lookups!$B$18</f>
        <v>0</v>
      </c>
      <c r="BP291" s="7">
        <f>Wapato_Inventory[[#This Row],[Fin BSMT]]*Lookups!$B$19</f>
        <v>0</v>
      </c>
      <c r="BQ291" s="7">
        <f>(Wapato_Inventory[[#This Row],[att_gar]]+Wapato_Inventory[[#This Row],[blt_gar]])*Lookups!$B$20</f>
        <v>0</v>
      </c>
      <c r="BR291" s="7">
        <f>Wapato_Inventory[[#This Row],[Patio]]*Lookups!$B$21</f>
        <v>11437.530456</v>
      </c>
      <c r="BS291" s="7">
        <f>SUM(Wapato_Inventory[[#This Row],[intercept]:[patio_value]])*Wapato_Inventory[[#This Row],[res_pct]]</f>
        <v>164932.01444</v>
      </c>
      <c r="BT291" s="7">
        <f>Wapato_Inventory[[#This Row],[land_value]]</f>
        <v>53000</v>
      </c>
      <c r="BU291" s="2">
        <f>_xlfn.IFNA(VLOOKUP(Wapato_Inventory[[#This Row],[quality]],Lookups!$A$28:$C$37,3,FALSE),1)</f>
        <v>0.98196844879778955</v>
      </c>
      <c r="BV291" s="2">
        <f>_xlfn.IFNA(VLOOKUP(Wapato_Inventory[[#This Row],[condition]],Lookups!$A$41:$C$48,3,FALSE),1)</f>
        <v>0.9832333997567807</v>
      </c>
      <c r="BW291" s="2">
        <f>IF(Wapato_Inventory[[#This Row],[decade]]="",1,_xlfn.IFNA(VLOOKUP(Wapato_Inventory[[#This Row],[decade]],Lookups!$F$28:$H$45,3,FALSE),1))</f>
        <v>1.0114203040664467</v>
      </c>
      <c r="BX291" s="2">
        <f>_xlfn.IFNA(VLOOKUP(Wapato_Inventory[[#This Row],[living_area_range]],Lookups!$K$28:$M$37,3,FALSE),1)</f>
        <v>0.99022994770196116</v>
      </c>
      <c r="BY291" s="2">
        <f>AVERAGE(Wapato_Inventory[[#This Row],[qual_adj]:[range_adj]])</f>
        <v>0.99171302508074455</v>
      </c>
      <c r="BZ291" s="7">
        <f>(Wapato_Inventory[[#This Row],[sum_land]]-IF(Wapato_Inventory[[#This Row],[no_utilities]]=1,12000,0))/IF(Wapato_Inventory[[#This Row],[unbuildable]]=1,2,1)</f>
        <v>53000</v>
      </c>
      <c r="CA291" s="7">
        <f>Wapato_Inventory[[#This Row],[pre_res]]*Wapato_Inventory[[#This Row],[overall_adj]]</f>
        <v>163565.22697295345</v>
      </c>
      <c r="CB29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91" s="3">
        <f>IF(ROUND(Wapato_Inventory[[#This Row],[adj_res]]*Lookups!$H$48,-2)&lt;Wapato_Inventory[[#This Row],[min_res]],Wapato_Inventory[[#This Row],[min_res]],ROUND(Wapato_Inventory[[#This Row],[adj_res]]*Lookups!$H$48,-2))</f>
        <v>155400</v>
      </c>
      <c r="CD291" s="3">
        <f>ROUND(Wapato_Inventory[[#This Row],[det_value]]*Lookups!$H$48,-2)</f>
        <v>3700</v>
      </c>
      <c r="CE291" s="3">
        <f>Wapato_Inventory[[#This Row],[final_res]]+Wapato_Inventory[[#This Row],[final_det]]</f>
        <v>159100</v>
      </c>
      <c r="CF291" s="3">
        <f>Wapato_Inventory[[#This Row],[crop_value]]+Wapato_Inventory[[#This Row],[final_land]]+Wapato_Inventory[[#This Row],[final_imp]]</f>
        <v>209500</v>
      </c>
      <c r="CH291" t="str">
        <f t="shared" si="4"/>
        <v>update valuation set market_land =50400, market_bldg=159100, market_total =209500, market_mdno =405, market_date ='9/10/2023' where link_id = (select link_id from parcel where parcel_year = '2024' and parcel_id = '19111042417');</v>
      </c>
    </row>
    <row r="292" spans="1:86" x14ac:dyDescent="0.25">
      <c r="A292">
        <v>19111042418</v>
      </c>
      <c r="B292">
        <v>0.14000000000000001</v>
      </c>
      <c r="C292">
        <v>6249</v>
      </c>
      <c r="D292" t="s">
        <v>144</v>
      </c>
      <c r="E292" t="s">
        <v>54</v>
      </c>
      <c r="F292" t="s">
        <v>54</v>
      </c>
      <c r="G292">
        <v>3</v>
      </c>
      <c r="H292" t="s">
        <v>55</v>
      </c>
      <c r="I292">
        <v>163100</v>
      </c>
      <c r="J292">
        <v>31900</v>
      </c>
      <c r="K292">
        <v>0.14000000000000001</v>
      </c>
      <c r="L292">
        <f>IF(Wapato_Inventory[[#This Row],[parcel_acres]]-Wapato_Inventory[[#This Row],[non_valued_acres]] =0,0,LN(Wapato_Inventory[[#This Row],[parcel_acres]]-Wapato_Inventory[[#This Row],[non_valued_acres]]))</f>
        <v>-1.9661128563728327</v>
      </c>
      <c r="M292">
        <v>0</v>
      </c>
      <c r="N292">
        <v>0</v>
      </c>
      <c r="O292">
        <v>0</v>
      </c>
      <c r="P292">
        <v>27904.037</v>
      </c>
      <c r="Q292">
        <v>74398</v>
      </c>
      <c r="R292" s="3">
        <f>(Wapato_Inventory[[#This Row],[ln_acres]]*Wapato_Inventory[[#This Row],[coeff]])+Wapato_Inventory[[#This Row],[const]]</f>
        <v>19535.514109596792</v>
      </c>
      <c r="S292" t="s">
        <v>66</v>
      </c>
      <c r="T292">
        <v>1</v>
      </c>
      <c r="U292" t="s">
        <v>75</v>
      </c>
      <c r="V292" t="s">
        <v>68</v>
      </c>
      <c r="W292">
        <v>0</v>
      </c>
      <c r="X292">
        <v>0</v>
      </c>
      <c r="Y292">
        <v>48</v>
      </c>
      <c r="Z292">
        <v>103</v>
      </c>
      <c r="AA292">
        <v>110</v>
      </c>
      <c r="AB292">
        <v>1500</v>
      </c>
      <c r="AC292">
        <v>1288</v>
      </c>
      <c r="AD292">
        <v>1288</v>
      </c>
      <c r="AE292">
        <v>0</v>
      </c>
      <c r="AF292">
        <v>0</v>
      </c>
      <c r="AG292">
        <v>0</v>
      </c>
      <c r="AH292">
        <v>0</v>
      </c>
      <c r="AI292">
        <v>400</v>
      </c>
      <c r="AJ292">
        <v>0</v>
      </c>
      <c r="AK292">
        <v>506</v>
      </c>
      <c r="AL292">
        <v>0</v>
      </c>
      <c r="AM292">
        <v>380</v>
      </c>
      <c r="AN292">
        <v>0</v>
      </c>
      <c r="AO292">
        <v>0</v>
      </c>
      <c r="AP292">
        <v>5</v>
      </c>
      <c r="AQ292">
        <v>0</v>
      </c>
      <c r="AR292">
        <v>0</v>
      </c>
      <c r="AS292" t="s">
        <v>59</v>
      </c>
      <c r="AT292">
        <v>1</v>
      </c>
      <c r="AU292" t="s">
        <v>76</v>
      </c>
      <c r="AV292" t="s">
        <v>61</v>
      </c>
      <c r="AW292">
        <v>0</v>
      </c>
      <c r="AX292">
        <v>3</v>
      </c>
      <c r="AY292">
        <v>0</v>
      </c>
      <c r="AZ292">
        <v>0</v>
      </c>
      <c r="BA292">
        <v>100</v>
      </c>
      <c r="BB292">
        <v>100</v>
      </c>
      <c r="BC292">
        <v>100</v>
      </c>
      <c r="BD292">
        <v>100</v>
      </c>
      <c r="BE292">
        <v>1</v>
      </c>
      <c r="BF292">
        <v>15000</v>
      </c>
      <c r="BG292">
        <v>1000</v>
      </c>
      <c r="BH292" s="7">
        <f>ROUND(Wapato_Inventory[[#This Row],[detatched_value]]*Lookups!$B$22*Lookups!$H$48,-2)</f>
        <v>0</v>
      </c>
      <c r="BI292" s="7">
        <f>ROUND(((Wapato_Inventory[[#This Row],[land_extract]]*Lookups!$B$3) +(Lookups!$B$2*0.5))*Lookups!$H$48,-2)</f>
        <v>53000</v>
      </c>
      <c r="BJ292" s="7">
        <f>IF(Wapato_Inventory[[#This Row],[bldg_style]]="",0,Lookups!$B$2*0.5)</f>
        <v>53765.27</v>
      </c>
      <c r="BK292" s="7">
        <f>_xlfn.IFNA(VLOOKUP(Wapato_Inventory[[#This Row],[quality]],Lookups!$H$2:$J$14,3,FALSE),0)</f>
        <v>48043</v>
      </c>
      <c r="BL292" s="7">
        <f>_xlfn.IFNA(VLOOKUP(Wapato_Inventory[[#This Row],[condition]],Lookups!$H$17:$J$24,3,FALSE),0)</f>
        <v>52231</v>
      </c>
      <c r="BM292" s="7">
        <f>Wapato_Inventory[[#This Row],[Age]]*Lookups!$B$16</f>
        <v>-38179.597099999999</v>
      </c>
      <c r="BN292" s="7">
        <f>Wapato_Inventory[[#This Row],[Main Floor]]*Lookups!$B$17</f>
        <v>53839.351832</v>
      </c>
      <c r="BO292" s="7">
        <f>Wapato_Inventory[[#This Row],[Upper Floor]]*Lookups!$B$18</f>
        <v>0</v>
      </c>
      <c r="BP292" s="7">
        <f>Wapato_Inventory[[#This Row],[Fin BSMT]]*Lookups!$B$19</f>
        <v>0</v>
      </c>
      <c r="BQ292" s="7">
        <f>(Wapato_Inventory[[#This Row],[att_gar]]+Wapato_Inventory[[#This Row],[blt_gar]])*Lookups!$B$20</f>
        <v>14803.5008</v>
      </c>
      <c r="BR292" s="7">
        <f>Wapato_Inventory[[#This Row],[Patio]]*Lookups!$B$21</f>
        <v>16463.11202</v>
      </c>
      <c r="BS292" s="7">
        <f>SUM(Wapato_Inventory[[#This Row],[intercept]:[patio_value]])*Wapato_Inventory[[#This Row],[res_pct]]</f>
        <v>200965.637552</v>
      </c>
      <c r="BT292" s="7">
        <f>Wapato_Inventory[[#This Row],[land_value]]</f>
        <v>53000</v>
      </c>
      <c r="BU292" s="2">
        <f>_xlfn.IFNA(VLOOKUP(Wapato_Inventory[[#This Row],[quality]],Lookups!$A$28:$C$37,3,FALSE),1)</f>
        <v>0.98196844879778955</v>
      </c>
      <c r="BV292" s="2">
        <f>_xlfn.IFNA(VLOOKUP(Wapato_Inventory[[#This Row],[condition]],Lookups!$A$41:$C$48,3,FALSE),1)</f>
        <v>0.9832333997567807</v>
      </c>
      <c r="BW292" s="2">
        <f>IF(Wapato_Inventory[[#This Row],[decade]]="",1,_xlfn.IFNA(VLOOKUP(Wapato_Inventory[[#This Row],[decade]],Lookups!$F$28:$H$45,3,FALSE),1))</f>
        <v>0.93664589651353292</v>
      </c>
      <c r="BX292" s="2">
        <f>_xlfn.IFNA(VLOOKUP(Wapato_Inventory[[#This Row],[living_area_range]],Lookups!$K$28:$M$37,3,FALSE),1)</f>
        <v>1.0061411172456287</v>
      </c>
      <c r="BY292" s="2">
        <f>AVERAGE(Wapato_Inventory[[#This Row],[qual_adj]:[range_adj]])</f>
        <v>0.976997215578433</v>
      </c>
      <c r="BZ292" s="7">
        <f>(Wapato_Inventory[[#This Row],[sum_land]]-IF(Wapato_Inventory[[#This Row],[no_utilities]]=1,12000,0))/IF(Wapato_Inventory[[#This Row],[unbuildable]]=1,2,1)</f>
        <v>53000</v>
      </c>
      <c r="CA292" s="7">
        <f>Wapato_Inventory[[#This Row],[pre_res]]*Wapato_Inventory[[#This Row],[overall_adj]]</f>
        <v>196342.86831524858</v>
      </c>
      <c r="CB29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92" s="3">
        <f>IF(ROUND(Wapato_Inventory[[#This Row],[adj_res]]*Lookups!$H$48,-2)&lt;Wapato_Inventory[[#This Row],[min_res]],Wapato_Inventory[[#This Row],[min_res]],ROUND(Wapato_Inventory[[#This Row],[adj_res]]*Lookups!$H$48,-2))</f>
        <v>186500</v>
      </c>
      <c r="CD292" s="3">
        <f>ROUND(Wapato_Inventory[[#This Row],[det_value]]*Lookups!$H$48,-2)</f>
        <v>0</v>
      </c>
      <c r="CE292" s="3">
        <f>Wapato_Inventory[[#This Row],[final_res]]+Wapato_Inventory[[#This Row],[final_det]]</f>
        <v>186500</v>
      </c>
      <c r="CF292" s="3">
        <f>Wapato_Inventory[[#This Row],[crop_value]]+Wapato_Inventory[[#This Row],[final_land]]+Wapato_Inventory[[#This Row],[final_imp]]</f>
        <v>236900</v>
      </c>
      <c r="CH292" t="str">
        <f t="shared" si="4"/>
        <v>update valuation set market_land =50400, market_bldg=186500, market_total =236900, market_mdno =405, market_date ='9/10/2023' where link_id = (select link_id from parcel where parcel_year = '2024' and parcel_id = '19111042418');</v>
      </c>
    </row>
    <row r="293" spans="1:86" x14ac:dyDescent="0.25">
      <c r="A293">
        <v>19111042421</v>
      </c>
      <c r="B293">
        <v>0.19</v>
      </c>
      <c r="C293">
        <v>8109</v>
      </c>
      <c r="D293" t="s">
        <v>144</v>
      </c>
      <c r="E293" t="s">
        <v>54</v>
      </c>
      <c r="F293" t="s">
        <v>54</v>
      </c>
      <c r="G293">
        <v>3</v>
      </c>
      <c r="H293" t="s">
        <v>55</v>
      </c>
      <c r="I293">
        <v>101100</v>
      </c>
      <c r="J293">
        <v>34100</v>
      </c>
      <c r="K293">
        <v>0.19</v>
      </c>
      <c r="L293">
        <f>IF(Wapato_Inventory[[#This Row],[parcel_acres]]-Wapato_Inventory[[#This Row],[non_valued_acres]] =0,0,LN(Wapato_Inventory[[#This Row],[parcel_acres]]-Wapato_Inventory[[#This Row],[non_valued_acres]]))</f>
        <v>-1.6607312068216509</v>
      </c>
      <c r="M293">
        <v>0</v>
      </c>
      <c r="N293">
        <v>0</v>
      </c>
      <c r="O293">
        <v>0</v>
      </c>
      <c r="P293">
        <v>27904.037</v>
      </c>
      <c r="Q293">
        <v>74398</v>
      </c>
      <c r="R293" s="3">
        <f>(Wapato_Inventory[[#This Row],[ln_acres]]*Wapato_Inventory[[#This Row],[coeff]])+Wapato_Inventory[[#This Row],[const]]</f>
        <v>28056.894957794</v>
      </c>
      <c r="S293" t="s">
        <v>66</v>
      </c>
      <c r="T293">
        <v>1</v>
      </c>
      <c r="U293" t="s">
        <v>71</v>
      </c>
      <c r="V293" t="s">
        <v>68</v>
      </c>
      <c r="W293">
        <v>0</v>
      </c>
      <c r="X293">
        <v>0</v>
      </c>
      <c r="Y293">
        <v>57</v>
      </c>
      <c r="Z293">
        <v>103</v>
      </c>
      <c r="AA293">
        <v>110</v>
      </c>
      <c r="AB293">
        <v>1000</v>
      </c>
      <c r="AC293">
        <v>960</v>
      </c>
      <c r="AD293">
        <v>960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5</v>
      </c>
      <c r="AQ293">
        <v>0</v>
      </c>
      <c r="AR293">
        <v>0</v>
      </c>
      <c r="AS293" t="s">
        <v>59</v>
      </c>
      <c r="AT293">
        <v>0</v>
      </c>
      <c r="AU293" t="s">
        <v>80</v>
      </c>
      <c r="AV293" t="s">
        <v>77</v>
      </c>
      <c r="AW293">
        <v>0</v>
      </c>
      <c r="AX293">
        <v>2</v>
      </c>
      <c r="AY293">
        <v>0</v>
      </c>
      <c r="AZ293">
        <v>0</v>
      </c>
      <c r="BA293">
        <v>100</v>
      </c>
      <c r="BB293">
        <v>100</v>
      </c>
      <c r="BC293">
        <v>100</v>
      </c>
      <c r="BD293">
        <v>100</v>
      </c>
      <c r="BE293">
        <v>1</v>
      </c>
      <c r="BF293">
        <v>15000</v>
      </c>
      <c r="BG293">
        <v>1000</v>
      </c>
      <c r="BH293" s="7">
        <f>ROUND(Wapato_Inventory[[#This Row],[detatched_value]]*Lookups!$B$22*Lookups!$H$48,-2)</f>
        <v>0</v>
      </c>
      <c r="BI293" s="7">
        <f>ROUND(((Wapato_Inventory[[#This Row],[land_extract]]*Lookups!$B$3) +(Lookups!$B$2*0.5))*Lookups!$H$48,-2)</f>
        <v>53800</v>
      </c>
      <c r="BJ293" s="7">
        <f>IF(Wapato_Inventory[[#This Row],[bldg_style]]="",0,Lookups!$B$2*0.5)</f>
        <v>53765.27</v>
      </c>
      <c r="BK293" s="7">
        <f>_xlfn.IFNA(VLOOKUP(Wapato_Inventory[[#This Row],[quality]],Lookups!$H$2:$J$14,3,FALSE),0)</f>
        <v>28034</v>
      </c>
      <c r="BL293" s="7">
        <f>_xlfn.IFNA(VLOOKUP(Wapato_Inventory[[#This Row],[condition]],Lookups!$H$17:$J$24,3,FALSE),0)</f>
        <v>52231</v>
      </c>
      <c r="BM293" s="7">
        <f>Wapato_Inventory[[#This Row],[Age]]*Lookups!$B$16</f>
        <v>-38179.597099999999</v>
      </c>
      <c r="BN293" s="7">
        <f>Wapato_Inventory[[#This Row],[Main Floor]]*Lookups!$B$17</f>
        <v>40128.709439999999</v>
      </c>
      <c r="BO293" s="7">
        <f>Wapato_Inventory[[#This Row],[Upper Floor]]*Lookups!$B$18</f>
        <v>0</v>
      </c>
      <c r="BP293" s="7">
        <f>Wapato_Inventory[[#This Row],[Fin BSMT]]*Lookups!$B$19</f>
        <v>0</v>
      </c>
      <c r="BQ293" s="7">
        <f>(Wapato_Inventory[[#This Row],[att_gar]]+Wapato_Inventory[[#This Row],[blt_gar]])*Lookups!$B$20</f>
        <v>0</v>
      </c>
      <c r="BR293" s="7">
        <f>Wapato_Inventory[[#This Row],[Patio]]*Lookups!$B$21</f>
        <v>0</v>
      </c>
      <c r="BS293" s="7">
        <f>SUM(Wapato_Inventory[[#This Row],[intercept]:[patio_value]])*Wapato_Inventory[[#This Row],[res_pct]]</f>
        <v>135979.38233999998</v>
      </c>
      <c r="BT293" s="7">
        <f>Wapato_Inventory[[#This Row],[land_value]]</f>
        <v>53800</v>
      </c>
      <c r="BU293" s="2">
        <f>_xlfn.IFNA(VLOOKUP(Wapato_Inventory[[#This Row],[quality]],Lookups!$A$28:$C$37,3,FALSE),1)</f>
        <v>0.96265813922927435</v>
      </c>
      <c r="BV293" s="2">
        <f>_xlfn.IFNA(VLOOKUP(Wapato_Inventory[[#This Row],[condition]],Lookups!$A$41:$C$48,3,FALSE),1)</f>
        <v>0.9832333997567807</v>
      </c>
      <c r="BW293" s="2">
        <f>IF(Wapato_Inventory[[#This Row],[decade]]="",1,_xlfn.IFNA(VLOOKUP(Wapato_Inventory[[#This Row],[decade]],Lookups!$F$28:$H$45,3,FALSE),1))</f>
        <v>0.93664589651353292</v>
      </c>
      <c r="BX293" s="2">
        <f>_xlfn.IFNA(VLOOKUP(Wapato_Inventory[[#This Row],[living_area_range]],Lookups!$K$28:$M$37,3,FALSE),1)</f>
        <v>0.99022994770196116</v>
      </c>
      <c r="BY293" s="2">
        <f>AVERAGE(Wapato_Inventory[[#This Row],[qual_adj]:[range_adj]])</f>
        <v>0.9681918458003872</v>
      </c>
      <c r="BZ293" s="7">
        <f>(Wapato_Inventory[[#This Row],[sum_land]]-IF(Wapato_Inventory[[#This Row],[no_utilities]]=1,12000,0))/IF(Wapato_Inventory[[#This Row],[unbuildable]]=1,2,1)</f>
        <v>53800</v>
      </c>
      <c r="CA293" s="7">
        <f>Wapato_Inventory[[#This Row],[pre_res]]*Wapato_Inventory[[#This Row],[overall_adj]]</f>
        <v>131654.12917856115</v>
      </c>
      <c r="CB293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293" s="3">
        <f>IF(ROUND(Wapato_Inventory[[#This Row],[adj_res]]*Lookups!$H$48,-2)&lt;Wapato_Inventory[[#This Row],[min_res]],Wapato_Inventory[[#This Row],[min_res]],ROUND(Wapato_Inventory[[#This Row],[adj_res]]*Lookups!$H$48,-2))</f>
        <v>125100</v>
      </c>
      <c r="CD293" s="3">
        <f>ROUND(Wapato_Inventory[[#This Row],[det_value]]*Lookups!$H$48,-2)</f>
        <v>0</v>
      </c>
      <c r="CE293" s="3">
        <f>Wapato_Inventory[[#This Row],[final_res]]+Wapato_Inventory[[#This Row],[final_det]]</f>
        <v>125100</v>
      </c>
      <c r="CF293" s="3">
        <f>Wapato_Inventory[[#This Row],[crop_value]]+Wapato_Inventory[[#This Row],[final_land]]+Wapato_Inventory[[#This Row],[final_imp]]</f>
        <v>176200</v>
      </c>
      <c r="CH293" t="str">
        <f t="shared" si="4"/>
        <v>update valuation set market_land =51100, market_bldg=125100, market_total =176200, market_mdno =405, market_date ='9/10/2023' where link_id = (select link_id from parcel where parcel_year = '2024' and parcel_id = '19111042421');</v>
      </c>
    </row>
    <row r="294" spans="1:86" x14ac:dyDescent="0.25">
      <c r="A294">
        <v>19111042424</v>
      </c>
      <c r="B294">
        <v>0.15</v>
      </c>
      <c r="C294">
        <v>6499</v>
      </c>
      <c r="D294" t="s">
        <v>144</v>
      </c>
      <c r="E294" t="s">
        <v>54</v>
      </c>
      <c r="F294" t="s">
        <v>54</v>
      </c>
      <c r="G294">
        <v>3</v>
      </c>
      <c r="H294" t="s">
        <v>55</v>
      </c>
      <c r="I294">
        <v>76700</v>
      </c>
      <c r="J294">
        <v>32300</v>
      </c>
      <c r="K294">
        <v>0.15</v>
      </c>
      <c r="L294">
        <f>IF(Wapato_Inventory[[#This Row],[parcel_acres]]-Wapato_Inventory[[#This Row],[non_valued_acres]] =0,0,LN(Wapato_Inventory[[#This Row],[parcel_acres]]-Wapato_Inventory[[#This Row],[non_valued_acres]]))</f>
        <v>-1.8971199848858813</v>
      </c>
      <c r="M294">
        <v>0</v>
      </c>
      <c r="N294">
        <v>0</v>
      </c>
      <c r="O294">
        <v>0</v>
      </c>
      <c r="P294">
        <v>27904.037</v>
      </c>
      <c r="Q294">
        <v>74398</v>
      </c>
      <c r="R294" s="3">
        <f>(Wapato_Inventory[[#This Row],[ln_acres]]*Wapato_Inventory[[#This Row],[coeff]])+Wapato_Inventory[[#This Row],[const]]</f>
        <v>21460.693748304926</v>
      </c>
      <c r="S294" t="s">
        <v>66</v>
      </c>
      <c r="T294">
        <v>1</v>
      </c>
      <c r="U294" t="s">
        <v>71</v>
      </c>
      <c r="V294" t="s">
        <v>73</v>
      </c>
      <c r="W294">
        <v>0</v>
      </c>
      <c r="X294">
        <v>0</v>
      </c>
      <c r="Y294">
        <v>57</v>
      </c>
      <c r="Z294">
        <v>103</v>
      </c>
      <c r="AA294">
        <v>110</v>
      </c>
      <c r="AB294">
        <v>1000</v>
      </c>
      <c r="AC294">
        <v>928</v>
      </c>
      <c r="AD294">
        <v>928</v>
      </c>
      <c r="AE294">
        <v>0</v>
      </c>
      <c r="AF294">
        <v>0</v>
      </c>
      <c r="AG294">
        <v>0</v>
      </c>
      <c r="AH294">
        <v>464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5</v>
      </c>
      <c r="AQ294">
        <v>0</v>
      </c>
      <c r="AR294">
        <v>0</v>
      </c>
      <c r="AS294" t="s">
        <v>59</v>
      </c>
      <c r="AT294">
        <v>1</v>
      </c>
      <c r="AU294" t="s">
        <v>72</v>
      </c>
      <c r="AV294" t="s">
        <v>61</v>
      </c>
      <c r="AW294">
        <v>0</v>
      </c>
      <c r="AX294">
        <v>2</v>
      </c>
      <c r="AY294">
        <v>0</v>
      </c>
      <c r="AZ294">
        <v>7200</v>
      </c>
      <c r="BA294">
        <v>100</v>
      </c>
      <c r="BB294">
        <v>100</v>
      </c>
      <c r="BC294">
        <v>100</v>
      </c>
      <c r="BD294">
        <v>100</v>
      </c>
      <c r="BE294">
        <v>1</v>
      </c>
      <c r="BF294">
        <v>15000</v>
      </c>
      <c r="BG294">
        <v>1000</v>
      </c>
      <c r="BH294" s="7">
        <f>ROUND(Wapato_Inventory[[#This Row],[detatched_value]]*Lookups!$B$22*Lookups!$H$48,-2)</f>
        <v>6400</v>
      </c>
      <c r="BI294" s="7">
        <f>ROUND(((Wapato_Inventory[[#This Row],[land_extract]]*Lookups!$B$3) +(Lookups!$B$2*0.5))*Lookups!$H$48,-2)</f>
        <v>53100</v>
      </c>
      <c r="BJ294" s="7">
        <f>IF(Wapato_Inventory[[#This Row],[bldg_style]]="",0,Lookups!$B$2*0.5)</f>
        <v>53765.27</v>
      </c>
      <c r="BK294" s="7">
        <f>_xlfn.IFNA(VLOOKUP(Wapato_Inventory[[#This Row],[quality]],Lookups!$H$2:$J$14,3,FALSE),0)</f>
        <v>28034</v>
      </c>
      <c r="BL294" s="7">
        <f>_xlfn.IFNA(VLOOKUP(Wapato_Inventory[[#This Row],[condition]],Lookups!$H$17:$J$24,3,FALSE),0)</f>
        <v>16276</v>
      </c>
      <c r="BM294" s="7">
        <f>Wapato_Inventory[[#This Row],[Age]]*Lookups!$B$16</f>
        <v>-38179.597099999999</v>
      </c>
      <c r="BN294" s="7">
        <f>Wapato_Inventory[[#This Row],[Main Floor]]*Lookups!$B$17</f>
        <v>38791.085791999998</v>
      </c>
      <c r="BO294" s="7">
        <f>Wapato_Inventory[[#This Row],[Upper Floor]]*Lookups!$B$18</f>
        <v>0</v>
      </c>
      <c r="BP294" s="7">
        <f>Wapato_Inventory[[#This Row],[Fin BSMT]]*Lookups!$B$19</f>
        <v>0</v>
      </c>
      <c r="BQ294" s="7">
        <f>(Wapato_Inventory[[#This Row],[att_gar]]+Wapato_Inventory[[#This Row],[blt_gar]])*Lookups!$B$20</f>
        <v>0</v>
      </c>
      <c r="BR294" s="7">
        <f>Wapato_Inventory[[#This Row],[Patio]]*Lookups!$B$21</f>
        <v>0</v>
      </c>
      <c r="BS294" s="7">
        <f>SUM(Wapato_Inventory[[#This Row],[intercept]:[patio_value]])*Wapato_Inventory[[#This Row],[res_pct]]</f>
        <v>98686.758691999989</v>
      </c>
      <c r="BT294" s="7">
        <f>Wapato_Inventory[[#This Row],[land_value]]</f>
        <v>53100</v>
      </c>
      <c r="BU294" s="2">
        <f>_xlfn.IFNA(VLOOKUP(Wapato_Inventory[[#This Row],[quality]],Lookups!$A$28:$C$37,3,FALSE),1)</f>
        <v>0.96265813922927435</v>
      </c>
      <c r="BV294" s="2">
        <f>_xlfn.IFNA(VLOOKUP(Wapato_Inventory[[#This Row],[condition]],Lookups!$A$41:$C$48,3,FALSE),1)</f>
        <v>0.93399385491337139</v>
      </c>
      <c r="BW294" s="2">
        <f>IF(Wapato_Inventory[[#This Row],[decade]]="",1,_xlfn.IFNA(VLOOKUP(Wapato_Inventory[[#This Row],[decade]],Lookups!$F$28:$H$45,3,FALSE),1))</f>
        <v>0.93664589651353292</v>
      </c>
      <c r="BX294" s="2">
        <f>_xlfn.IFNA(VLOOKUP(Wapato_Inventory[[#This Row],[living_area_range]],Lookups!$K$28:$M$37,3,FALSE),1)</f>
        <v>0.99022994770196116</v>
      </c>
      <c r="BY294" s="2">
        <f>AVERAGE(Wapato_Inventory[[#This Row],[qual_adj]:[range_adj]])</f>
        <v>0.95588195958953504</v>
      </c>
      <c r="BZ294" s="7">
        <f>(Wapato_Inventory[[#This Row],[sum_land]]-IF(Wapato_Inventory[[#This Row],[no_utilities]]=1,12000,0))/IF(Wapato_Inventory[[#This Row],[unbuildable]]=1,2,1)</f>
        <v>53100</v>
      </c>
      <c r="CA294" s="7">
        <f>Wapato_Inventory[[#This Row],[pre_res]]*Wapato_Inventory[[#This Row],[overall_adj]]</f>
        <v>94332.892284048532</v>
      </c>
      <c r="CB29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94" s="3">
        <f>IF(ROUND(Wapato_Inventory[[#This Row],[adj_res]]*Lookups!$H$48,-2)&lt;Wapato_Inventory[[#This Row],[min_res]],Wapato_Inventory[[#This Row],[min_res]],ROUND(Wapato_Inventory[[#This Row],[adj_res]]*Lookups!$H$48,-2))</f>
        <v>89600</v>
      </c>
      <c r="CD294" s="3">
        <f>ROUND(Wapato_Inventory[[#This Row],[det_value]]*Lookups!$H$48,-2)</f>
        <v>6100</v>
      </c>
      <c r="CE294" s="3">
        <f>Wapato_Inventory[[#This Row],[final_res]]+Wapato_Inventory[[#This Row],[final_det]]</f>
        <v>95700</v>
      </c>
      <c r="CF294" s="3">
        <f>Wapato_Inventory[[#This Row],[crop_value]]+Wapato_Inventory[[#This Row],[final_land]]+Wapato_Inventory[[#This Row],[final_imp]]</f>
        <v>146100</v>
      </c>
      <c r="CH294" t="str">
        <f t="shared" si="4"/>
        <v>update valuation set market_land =50400, market_bldg=95700, market_total =146100, market_mdno =405, market_date ='9/10/2023' where link_id = (select link_id from parcel where parcel_year = '2024' and parcel_id = '19111042424');</v>
      </c>
    </row>
    <row r="295" spans="1:86" x14ac:dyDescent="0.25">
      <c r="A295">
        <v>19111042426</v>
      </c>
      <c r="B295">
        <v>0.14000000000000001</v>
      </c>
      <c r="C295">
        <v>5999</v>
      </c>
      <c r="D295" t="s">
        <v>144</v>
      </c>
      <c r="E295" t="s">
        <v>54</v>
      </c>
      <c r="F295" t="s">
        <v>54</v>
      </c>
      <c r="G295">
        <v>3</v>
      </c>
      <c r="H295" t="s">
        <v>55</v>
      </c>
      <c r="I295">
        <v>39700</v>
      </c>
      <c r="J295">
        <v>31900</v>
      </c>
      <c r="K295">
        <v>0.14000000000000001</v>
      </c>
      <c r="L295">
        <f>IF(Wapato_Inventory[[#This Row],[parcel_acres]]-Wapato_Inventory[[#This Row],[non_valued_acres]] =0,0,LN(Wapato_Inventory[[#This Row],[parcel_acres]]-Wapato_Inventory[[#This Row],[non_valued_acres]]))</f>
        <v>-1.9661128563728327</v>
      </c>
      <c r="M295">
        <v>0</v>
      </c>
      <c r="N295">
        <v>0</v>
      </c>
      <c r="O295">
        <v>0</v>
      </c>
      <c r="P295">
        <v>27904.037</v>
      </c>
      <c r="Q295">
        <v>74398</v>
      </c>
      <c r="R295" s="3">
        <f>(Wapato_Inventory[[#This Row],[ln_acres]]*Wapato_Inventory[[#This Row],[coeff]])+Wapato_Inventory[[#This Row],[const]]</f>
        <v>19535.514109596792</v>
      </c>
      <c r="S295" t="s">
        <v>66</v>
      </c>
      <c r="T295">
        <v>2</v>
      </c>
      <c r="U295" t="s">
        <v>86</v>
      </c>
      <c r="V295" t="s">
        <v>73</v>
      </c>
      <c r="W295">
        <v>0</v>
      </c>
      <c r="X295">
        <v>0</v>
      </c>
      <c r="Y295">
        <v>57</v>
      </c>
      <c r="Z295">
        <v>103</v>
      </c>
      <c r="AA295">
        <v>110</v>
      </c>
      <c r="AB295">
        <v>1000</v>
      </c>
      <c r="AC295">
        <v>800</v>
      </c>
      <c r="AD295">
        <v>550</v>
      </c>
      <c r="AE295">
        <v>250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5</v>
      </c>
      <c r="AQ295">
        <v>0</v>
      </c>
      <c r="AR295">
        <v>0</v>
      </c>
      <c r="AS295" t="s">
        <v>59</v>
      </c>
      <c r="AT295">
        <v>1</v>
      </c>
      <c r="AU295" t="s">
        <v>76</v>
      </c>
      <c r="AV295" t="s">
        <v>61</v>
      </c>
      <c r="AW295">
        <v>0</v>
      </c>
      <c r="AX295">
        <v>2</v>
      </c>
      <c r="AY295">
        <v>0</v>
      </c>
      <c r="AZ295">
        <v>0</v>
      </c>
      <c r="BA295">
        <v>100</v>
      </c>
      <c r="BB295">
        <v>100</v>
      </c>
      <c r="BC295">
        <v>100</v>
      </c>
      <c r="BD295">
        <v>100</v>
      </c>
      <c r="BE295">
        <v>1</v>
      </c>
      <c r="BF295">
        <v>15000</v>
      </c>
      <c r="BG295">
        <v>1000</v>
      </c>
      <c r="BH295" s="7">
        <f>ROUND(Wapato_Inventory[[#This Row],[detatched_value]]*Lookups!$B$22*Lookups!$H$48,-2)</f>
        <v>0</v>
      </c>
      <c r="BI295" s="7">
        <f>ROUND(((Wapato_Inventory[[#This Row],[land_extract]]*Lookups!$B$3) +(Lookups!$B$2*0.5))*Lookups!$H$48,-2)</f>
        <v>53000</v>
      </c>
      <c r="BJ295" s="7">
        <f>IF(Wapato_Inventory[[#This Row],[bldg_style]]="",0,Lookups!$B$2*0.5)</f>
        <v>53765.27</v>
      </c>
      <c r="BK295" s="7">
        <f>_xlfn.IFNA(VLOOKUP(Wapato_Inventory[[#This Row],[quality]],Lookups!$H$2:$J$14,3,FALSE),0)</f>
        <v>0</v>
      </c>
      <c r="BL295" s="7">
        <f>_xlfn.IFNA(VLOOKUP(Wapato_Inventory[[#This Row],[condition]],Lookups!$H$17:$J$24,3,FALSE),0)</f>
        <v>16276</v>
      </c>
      <c r="BM295" s="7">
        <f>Wapato_Inventory[[#This Row],[Age]]*Lookups!$B$16</f>
        <v>-38179.597099999999</v>
      </c>
      <c r="BN295" s="7">
        <f>Wapato_Inventory[[#This Row],[Main Floor]]*Lookups!$B$17</f>
        <v>22990.406449999999</v>
      </c>
      <c r="BO295" s="7">
        <f>Wapato_Inventory[[#This Row],[Upper Floor]]*Lookups!$B$18</f>
        <v>12400.284750000001</v>
      </c>
      <c r="BP295" s="7">
        <f>Wapato_Inventory[[#This Row],[Fin BSMT]]*Lookups!$B$19</f>
        <v>0</v>
      </c>
      <c r="BQ295" s="7">
        <f>(Wapato_Inventory[[#This Row],[att_gar]]+Wapato_Inventory[[#This Row],[blt_gar]])*Lookups!$B$20</f>
        <v>0</v>
      </c>
      <c r="BR295" s="7">
        <f>Wapato_Inventory[[#This Row],[Patio]]*Lookups!$B$21</f>
        <v>0</v>
      </c>
      <c r="BS295" s="7">
        <f>SUM(Wapato_Inventory[[#This Row],[intercept]:[patio_value]])*Wapato_Inventory[[#This Row],[res_pct]]</f>
        <v>67252.364099999992</v>
      </c>
      <c r="BT295" s="7">
        <f>Wapato_Inventory[[#This Row],[land_value]]</f>
        <v>53000</v>
      </c>
      <c r="BU295" s="2">
        <f>_xlfn.IFNA(VLOOKUP(Wapato_Inventory[[#This Row],[quality]],Lookups!$A$28:$C$37,3,FALSE),1)</f>
        <v>1.0000010866511106</v>
      </c>
      <c r="BV295" s="2">
        <f>_xlfn.IFNA(VLOOKUP(Wapato_Inventory[[#This Row],[condition]],Lookups!$A$41:$C$48,3,FALSE),1)</f>
        <v>0.93399385491337139</v>
      </c>
      <c r="BW295" s="2">
        <f>IF(Wapato_Inventory[[#This Row],[decade]]="",1,_xlfn.IFNA(VLOOKUP(Wapato_Inventory[[#This Row],[decade]],Lookups!$F$28:$H$45,3,FALSE),1))</f>
        <v>0.93664589651353292</v>
      </c>
      <c r="BX295" s="2">
        <f>_xlfn.IFNA(VLOOKUP(Wapato_Inventory[[#This Row],[living_area_range]],Lookups!$K$28:$M$37,3,FALSE),1)</f>
        <v>0.99022994770196116</v>
      </c>
      <c r="BY295" s="2">
        <f>AVERAGE(Wapato_Inventory[[#This Row],[qual_adj]:[range_adj]])</f>
        <v>0.965217696444994</v>
      </c>
      <c r="BZ295" s="7">
        <f>(Wapato_Inventory[[#This Row],[sum_land]]-IF(Wapato_Inventory[[#This Row],[no_utilities]]=1,12000,0))/IF(Wapato_Inventory[[#This Row],[unbuildable]]=1,2,1)</f>
        <v>53000</v>
      </c>
      <c r="CA295" s="7">
        <f>Wapato_Inventory[[#This Row],[pre_res]]*Wapato_Inventory[[#This Row],[overall_adj]]</f>
        <v>64913.171957082006</v>
      </c>
      <c r="CB29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95" s="3">
        <f>IF(ROUND(Wapato_Inventory[[#This Row],[adj_res]]*Lookups!$H$48,-2)&lt;Wapato_Inventory[[#This Row],[min_res]],Wapato_Inventory[[#This Row],[min_res]],ROUND(Wapato_Inventory[[#This Row],[adj_res]]*Lookups!$H$48,-2))</f>
        <v>61700</v>
      </c>
      <c r="CD295" s="3">
        <f>ROUND(Wapato_Inventory[[#This Row],[det_value]]*Lookups!$H$48,-2)</f>
        <v>0</v>
      </c>
      <c r="CE295" s="3">
        <f>Wapato_Inventory[[#This Row],[final_res]]+Wapato_Inventory[[#This Row],[final_det]]</f>
        <v>61700</v>
      </c>
      <c r="CF295" s="3">
        <f>Wapato_Inventory[[#This Row],[crop_value]]+Wapato_Inventory[[#This Row],[final_land]]+Wapato_Inventory[[#This Row],[final_imp]]</f>
        <v>112100</v>
      </c>
      <c r="CH295" t="str">
        <f t="shared" si="4"/>
        <v>update valuation set market_land =50400, market_bldg=61700, market_total =112100, market_mdno =405, market_date ='9/10/2023' where link_id = (select link_id from parcel where parcel_year = '2024' and parcel_id = '19111042426');</v>
      </c>
    </row>
    <row r="296" spans="1:86" x14ac:dyDescent="0.25">
      <c r="A296">
        <v>19111042428</v>
      </c>
      <c r="B296">
        <v>0.14000000000000001</v>
      </c>
      <c r="C296">
        <v>6249</v>
      </c>
      <c r="D296" t="s">
        <v>144</v>
      </c>
      <c r="E296" t="s">
        <v>54</v>
      </c>
      <c r="F296" t="s">
        <v>54</v>
      </c>
      <c r="G296">
        <v>3</v>
      </c>
      <c r="H296" t="s">
        <v>55</v>
      </c>
      <c r="I296">
        <v>71500</v>
      </c>
      <c r="J296">
        <v>31900</v>
      </c>
      <c r="K296">
        <v>0.14000000000000001</v>
      </c>
      <c r="L296">
        <f>IF(Wapato_Inventory[[#This Row],[parcel_acres]]-Wapato_Inventory[[#This Row],[non_valued_acres]] =0,0,LN(Wapato_Inventory[[#This Row],[parcel_acres]]-Wapato_Inventory[[#This Row],[non_valued_acres]]))</f>
        <v>-1.9661128563728327</v>
      </c>
      <c r="M296">
        <v>0</v>
      </c>
      <c r="N296">
        <v>0</v>
      </c>
      <c r="O296">
        <v>0</v>
      </c>
      <c r="P296">
        <v>27904.037</v>
      </c>
      <c r="Q296">
        <v>74398</v>
      </c>
      <c r="R296" s="3">
        <f>(Wapato_Inventory[[#This Row],[ln_acres]]*Wapato_Inventory[[#This Row],[coeff]])+Wapato_Inventory[[#This Row],[const]]</f>
        <v>19535.514109596792</v>
      </c>
      <c r="S296" t="s">
        <v>83</v>
      </c>
      <c r="T296">
        <v>1</v>
      </c>
      <c r="U296" t="s">
        <v>86</v>
      </c>
      <c r="V296" t="s">
        <v>68</v>
      </c>
      <c r="W296">
        <v>0</v>
      </c>
      <c r="X296">
        <v>0</v>
      </c>
      <c r="Y296">
        <v>83</v>
      </c>
      <c r="Z296">
        <v>102</v>
      </c>
      <c r="AA296">
        <v>110</v>
      </c>
      <c r="AB296">
        <v>1000</v>
      </c>
      <c r="AC296">
        <v>904</v>
      </c>
      <c r="AD296">
        <v>904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5</v>
      </c>
      <c r="AQ296">
        <v>0</v>
      </c>
      <c r="AR296">
        <v>0</v>
      </c>
      <c r="AS296" t="s">
        <v>59</v>
      </c>
      <c r="AT296">
        <v>0</v>
      </c>
      <c r="AU296" t="s">
        <v>80</v>
      </c>
      <c r="AV296" t="s">
        <v>65</v>
      </c>
      <c r="AW296">
        <v>0</v>
      </c>
      <c r="AX296">
        <v>2</v>
      </c>
      <c r="AY296">
        <v>0</v>
      </c>
      <c r="AZ296">
        <v>0</v>
      </c>
      <c r="BA296">
        <v>100</v>
      </c>
      <c r="BB296">
        <v>100</v>
      </c>
      <c r="BC296">
        <v>100</v>
      </c>
      <c r="BD296">
        <v>100</v>
      </c>
      <c r="BE296">
        <v>1</v>
      </c>
      <c r="BF296">
        <v>15000</v>
      </c>
      <c r="BG296">
        <v>1000</v>
      </c>
      <c r="BH296" s="7">
        <f>ROUND(Wapato_Inventory[[#This Row],[detatched_value]]*Lookups!$B$22*Lookups!$H$48,-2)</f>
        <v>0</v>
      </c>
      <c r="BI296" s="7">
        <f>ROUND(((Wapato_Inventory[[#This Row],[land_extract]]*Lookups!$B$3) +(Lookups!$B$2*0.5))*Lookups!$H$48,-2)</f>
        <v>53000</v>
      </c>
      <c r="BJ296" s="7">
        <f>IF(Wapato_Inventory[[#This Row],[bldg_style]]="",0,Lookups!$B$2*0.5)</f>
        <v>53765.27</v>
      </c>
      <c r="BK296" s="7">
        <f>_xlfn.IFNA(VLOOKUP(Wapato_Inventory[[#This Row],[quality]],Lookups!$H$2:$J$14,3,FALSE),0)</f>
        <v>0</v>
      </c>
      <c r="BL296" s="7">
        <f>_xlfn.IFNA(VLOOKUP(Wapato_Inventory[[#This Row],[condition]],Lookups!$H$17:$J$24,3,FALSE),0)</f>
        <v>52231</v>
      </c>
      <c r="BM296" s="7">
        <f>Wapato_Inventory[[#This Row],[Age]]*Lookups!$B$16</f>
        <v>-37808.921399999999</v>
      </c>
      <c r="BN296" s="7">
        <f>Wapato_Inventory[[#This Row],[Main Floor]]*Lookups!$B$17</f>
        <v>37787.868055999999</v>
      </c>
      <c r="BO296" s="7">
        <f>Wapato_Inventory[[#This Row],[Upper Floor]]*Lookups!$B$18</f>
        <v>0</v>
      </c>
      <c r="BP296" s="7">
        <f>Wapato_Inventory[[#This Row],[Fin BSMT]]*Lookups!$B$19</f>
        <v>0</v>
      </c>
      <c r="BQ296" s="7">
        <f>(Wapato_Inventory[[#This Row],[att_gar]]+Wapato_Inventory[[#This Row],[blt_gar]])*Lookups!$B$20</f>
        <v>0</v>
      </c>
      <c r="BR296" s="7">
        <f>Wapato_Inventory[[#This Row],[Patio]]*Lookups!$B$21</f>
        <v>0</v>
      </c>
      <c r="BS296" s="7">
        <f>SUM(Wapato_Inventory[[#This Row],[intercept]:[patio_value]])*Wapato_Inventory[[#This Row],[res_pct]]</f>
        <v>105975.216656</v>
      </c>
      <c r="BT296" s="7">
        <f>Wapato_Inventory[[#This Row],[land_value]]</f>
        <v>53000</v>
      </c>
      <c r="BU296" s="2">
        <f>_xlfn.IFNA(VLOOKUP(Wapato_Inventory[[#This Row],[quality]],Lookups!$A$28:$C$37,3,FALSE),1)</f>
        <v>1.0000010866511106</v>
      </c>
      <c r="BV296" s="2">
        <f>_xlfn.IFNA(VLOOKUP(Wapato_Inventory[[#This Row],[condition]],Lookups!$A$41:$C$48,3,FALSE),1)</f>
        <v>0.9832333997567807</v>
      </c>
      <c r="BW296" s="2">
        <f>IF(Wapato_Inventory[[#This Row],[decade]]="",1,_xlfn.IFNA(VLOOKUP(Wapato_Inventory[[#This Row],[decade]],Lookups!$F$28:$H$45,3,FALSE),1))</f>
        <v>0.93664589651353292</v>
      </c>
      <c r="BX296" s="2">
        <f>_xlfn.IFNA(VLOOKUP(Wapato_Inventory[[#This Row],[living_area_range]],Lookups!$K$28:$M$37,3,FALSE),1)</f>
        <v>0.99022994770196116</v>
      </c>
      <c r="BY296" s="2">
        <f>AVERAGE(Wapato_Inventory[[#This Row],[qual_adj]:[range_adj]])</f>
        <v>0.97752758265584638</v>
      </c>
      <c r="BZ296" s="7">
        <f>(Wapato_Inventory[[#This Row],[sum_land]]-IF(Wapato_Inventory[[#This Row],[no_utilities]]=1,12000,0))/IF(Wapato_Inventory[[#This Row],[unbuildable]]=1,2,1)</f>
        <v>53000</v>
      </c>
      <c r="CA296" s="7">
        <f>Wapato_Inventory[[#This Row],[pre_res]]*Wapato_Inventory[[#This Row],[overall_adj]]</f>
        <v>103593.69735916927</v>
      </c>
      <c r="CB29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96" s="3">
        <f>IF(ROUND(Wapato_Inventory[[#This Row],[adj_res]]*Lookups!$H$48,-2)&lt;Wapato_Inventory[[#This Row],[min_res]],Wapato_Inventory[[#This Row],[min_res]],ROUND(Wapato_Inventory[[#This Row],[adj_res]]*Lookups!$H$48,-2))</f>
        <v>98400</v>
      </c>
      <c r="CD296" s="3">
        <f>ROUND(Wapato_Inventory[[#This Row],[det_value]]*Lookups!$H$48,-2)</f>
        <v>0</v>
      </c>
      <c r="CE296" s="3">
        <f>Wapato_Inventory[[#This Row],[final_res]]+Wapato_Inventory[[#This Row],[final_det]]</f>
        <v>98400</v>
      </c>
      <c r="CF296" s="3">
        <f>Wapato_Inventory[[#This Row],[crop_value]]+Wapato_Inventory[[#This Row],[final_land]]+Wapato_Inventory[[#This Row],[final_imp]]</f>
        <v>148800</v>
      </c>
      <c r="CH296" t="str">
        <f t="shared" si="4"/>
        <v>update valuation set market_land =50400, market_bldg=98400, market_total =148800, market_mdno =405, market_date ='9/10/2023' where link_id = (select link_id from parcel where parcel_year = '2024' and parcel_id = '19111042428');</v>
      </c>
    </row>
    <row r="297" spans="1:86" x14ac:dyDescent="0.25">
      <c r="A297">
        <v>19111042429</v>
      </c>
      <c r="B297">
        <v>0.14000000000000001</v>
      </c>
      <c r="C297">
        <v>6249</v>
      </c>
      <c r="D297" t="s">
        <v>144</v>
      </c>
      <c r="E297" t="s">
        <v>54</v>
      </c>
      <c r="F297" t="s">
        <v>54</v>
      </c>
      <c r="G297">
        <v>3</v>
      </c>
      <c r="H297" t="s">
        <v>55</v>
      </c>
      <c r="I297">
        <v>59900</v>
      </c>
      <c r="J297">
        <v>31900</v>
      </c>
      <c r="K297">
        <v>0.14000000000000001</v>
      </c>
      <c r="L297">
        <f>IF(Wapato_Inventory[[#This Row],[parcel_acres]]-Wapato_Inventory[[#This Row],[non_valued_acres]] =0,0,LN(Wapato_Inventory[[#This Row],[parcel_acres]]-Wapato_Inventory[[#This Row],[non_valued_acres]]))</f>
        <v>-1.9661128563728327</v>
      </c>
      <c r="M297">
        <v>0</v>
      </c>
      <c r="N297">
        <v>0</v>
      </c>
      <c r="O297">
        <v>0</v>
      </c>
      <c r="P297">
        <v>27904.037</v>
      </c>
      <c r="Q297">
        <v>74398</v>
      </c>
      <c r="R297" s="3">
        <f>(Wapato_Inventory[[#This Row],[ln_acres]]*Wapato_Inventory[[#This Row],[coeff]])+Wapato_Inventory[[#This Row],[const]]</f>
        <v>19535.514109596792</v>
      </c>
      <c r="S297" t="s">
        <v>66</v>
      </c>
      <c r="T297">
        <v>1</v>
      </c>
      <c r="U297" t="s">
        <v>78</v>
      </c>
      <c r="V297" t="s">
        <v>73</v>
      </c>
      <c r="W297">
        <v>0</v>
      </c>
      <c r="X297">
        <v>0</v>
      </c>
      <c r="Y297">
        <v>53</v>
      </c>
      <c r="Z297">
        <v>90</v>
      </c>
      <c r="AA297">
        <v>90</v>
      </c>
      <c r="AB297">
        <v>1000</v>
      </c>
      <c r="AC297">
        <v>620</v>
      </c>
      <c r="AD297">
        <v>620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5</v>
      </c>
      <c r="AQ297">
        <v>0</v>
      </c>
      <c r="AR297">
        <v>0</v>
      </c>
      <c r="AS297" t="s">
        <v>59</v>
      </c>
      <c r="AT297">
        <v>1</v>
      </c>
      <c r="AU297" t="s">
        <v>64</v>
      </c>
      <c r="AV297" t="s">
        <v>77</v>
      </c>
      <c r="AW297">
        <v>0</v>
      </c>
      <c r="AX297">
        <v>1</v>
      </c>
      <c r="AY297">
        <v>0</v>
      </c>
      <c r="AZ297">
        <v>0</v>
      </c>
      <c r="BA297">
        <v>100</v>
      </c>
      <c r="BB297">
        <v>100</v>
      </c>
      <c r="BC297">
        <v>100</v>
      </c>
      <c r="BD297">
        <v>100</v>
      </c>
      <c r="BE297">
        <v>1</v>
      </c>
      <c r="BF297">
        <v>15000</v>
      </c>
      <c r="BG297">
        <v>1000</v>
      </c>
      <c r="BH297" s="7">
        <f>ROUND(Wapato_Inventory[[#This Row],[detatched_value]]*Lookups!$B$22*Lookups!$H$48,-2)</f>
        <v>0</v>
      </c>
      <c r="BI297" s="7">
        <f>ROUND(((Wapato_Inventory[[#This Row],[land_extract]]*Lookups!$B$3) +(Lookups!$B$2*0.5))*Lookups!$H$48,-2)</f>
        <v>53000</v>
      </c>
      <c r="BJ297" s="7">
        <f>IF(Wapato_Inventory[[#This Row],[bldg_style]]="",0,Lookups!$B$2*0.5)</f>
        <v>53765.27</v>
      </c>
      <c r="BK297" s="7">
        <f>_xlfn.IFNA(VLOOKUP(Wapato_Inventory[[#This Row],[quality]],Lookups!$H$2:$J$14,3,FALSE),0)</f>
        <v>23424</v>
      </c>
      <c r="BL297" s="7">
        <f>_xlfn.IFNA(VLOOKUP(Wapato_Inventory[[#This Row],[condition]],Lookups!$H$17:$J$24,3,FALSE),0)</f>
        <v>16276</v>
      </c>
      <c r="BM297" s="7">
        <f>Wapato_Inventory[[#This Row],[Age]]*Lookups!$B$16</f>
        <v>-33360.813000000002</v>
      </c>
      <c r="BN297" s="7">
        <f>Wapato_Inventory[[#This Row],[Main Floor]]*Lookups!$B$17</f>
        <v>25916.458180000001</v>
      </c>
      <c r="BO297" s="7">
        <f>Wapato_Inventory[[#This Row],[Upper Floor]]*Lookups!$B$18</f>
        <v>0</v>
      </c>
      <c r="BP297" s="7">
        <f>Wapato_Inventory[[#This Row],[Fin BSMT]]*Lookups!$B$19</f>
        <v>0</v>
      </c>
      <c r="BQ297" s="7">
        <f>(Wapato_Inventory[[#This Row],[att_gar]]+Wapato_Inventory[[#This Row],[blt_gar]])*Lookups!$B$20</f>
        <v>0</v>
      </c>
      <c r="BR297" s="7">
        <f>Wapato_Inventory[[#This Row],[Patio]]*Lookups!$B$21</f>
        <v>0</v>
      </c>
      <c r="BS297" s="7">
        <f>SUM(Wapato_Inventory[[#This Row],[intercept]:[patio_value]])*Wapato_Inventory[[#This Row],[res_pct]]</f>
        <v>86020.915179999982</v>
      </c>
      <c r="BT297" s="7">
        <f>Wapato_Inventory[[#This Row],[land_value]]</f>
        <v>53000</v>
      </c>
      <c r="BU297" s="2">
        <f>_xlfn.IFNA(VLOOKUP(Wapato_Inventory[[#This Row],[quality]],Lookups!$A$28:$C$37,3,FALSE),1)</f>
        <v>1.0091195562373767</v>
      </c>
      <c r="BV297" s="2">
        <f>_xlfn.IFNA(VLOOKUP(Wapato_Inventory[[#This Row],[condition]],Lookups!$A$41:$C$48,3,FALSE),1)</f>
        <v>0.93399385491337139</v>
      </c>
      <c r="BW297" s="2">
        <f>IF(Wapato_Inventory[[#This Row],[decade]]="",1,_xlfn.IFNA(VLOOKUP(Wapato_Inventory[[#This Row],[decade]],Lookups!$F$28:$H$45,3,FALSE),1))</f>
        <v>0.94742695999815718</v>
      </c>
      <c r="BX297" s="2">
        <f>_xlfn.IFNA(VLOOKUP(Wapato_Inventory[[#This Row],[living_area_range]],Lookups!$K$28:$M$37,3,FALSE),1)</f>
        <v>0.99022994770196116</v>
      </c>
      <c r="BY297" s="2">
        <f>AVERAGE(Wapato_Inventory[[#This Row],[qual_adj]:[range_adj]])</f>
        <v>0.97019257971271655</v>
      </c>
      <c r="BZ297" s="7">
        <f>(Wapato_Inventory[[#This Row],[sum_land]]-IF(Wapato_Inventory[[#This Row],[no_utilities]]=1,12000,0))/IF(Wapato_Inventory[[#This Row],[unbuildable]]=1,2,1)</f>
        <v>53000</v>
      </c>
      <c r="CA297" s="7">
        <f>Wapato_Inventory[[#This Row],[pre_res]]*Wapato_Inventory[[#This Row],[overall_adj]]</f>
        <v>83456.853607732963</v>
      </c>
      <c r="CB29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97" s="3">
        <f>IF(ROUND(Wapato_Inventory[[#This Row],[adj_res]]*Lookups!$H$48,-2)&lt;Wapato_Inventory[[#This Row],[min_res]],Wapato_Inventory[[#This Row],[min_res]],ROUND(Wapato_Inventory[[#This Row],[adj_res]]*Lookups!$H$48,-2))</f>
        <v>79300</v>
      </c>
      <c r="CD297" s="3">
        <f>ROUND(Wapato_Inventory[[#This Row],[det_value]]*Lookups!$H$48,-2)</f>
        <v>0</v>
      </c>
      <c r="CE297" s="3">
        <f>Wapato_Inventory[[#This Row],[final_res]]+Wapato_Inventory[[#This Row],[final_det]]</f>
        <v>79300</v>
      </c>
      <c r="CF297" s="3">
        <f>Wapato_Inventory[[#This Row],[crop_value]]+Wapato_Inventory[[#This Row],[final_land]]+Wapato_Inventory[[#This Row],[final_imp]]</f>
        <v>129700</v>
      </c>
      <c r="CH297" t="str">
        <f t="shared" si="4"/>
        <v>update valuation set market_land =50400, market_bldg=79300, market_total =129700, market_mdno =405, market_date ='9/10/2023' where link_id = (select link_id from parcel where parcel_year = '2024' and parcel_id = '19111042429');</v>
      </c>
    </row>
    <row r="298" spans="1:86" x14ac:dyDescent="0.25">
      <c r="A298">
        <v>19111042430</v>
      </c>
      <c r="B298">
        <v>0.14000000000000001</v>
      </c>
      <c r="C298">
        <v>6249</v>
      </c>
      <c r="D298" t="s">
        <v>144</v>
      </c>
      <c r="E298" t="s">
        <v>54</v>
      </c>
      <c r="F298" t="s">
        <v>54</v>
      </c>
      <c r="G298">
        <v>3</v>
      </c>
      <c r="H298" t="s">
        <v>55</v>
      </c>
      <c r="I298">
        <v>88400</v>
      </c>
      <c r="J298">
        <v>31900</v>
      </c>
      <c r="K298">
        <v>0.14000000000000001</v>
      </c>
      <c r="L298">
        <f>IF(Wapato_Inventory[[#This Row],[parcel_acres]]-Wapato_Inventory[[#This Row],[non_valued_acres]] =0,0,LN(Wapato_Inventory[[#This Row],[parcel_acres]]-Wapato_Inventory[[#This Row],[non_valued_acres]]))</f>
        <v>-1.9661128563728327</v>
      </c>
      <c r="M298">
        <v>0</v>
      </c>
      <c r="N298">
        <v>0</v>
      </c>
      <c r="O298">
        <v>0</v>
      </c>
      <c r="P298">
        <v>27904.037</v>
      </c>
      <c r="Q298">
        <v>74398</v>
      </c>
      <c r="R298" s="3">
        <f>(Wapato_Inventory[[#This Row],[ln_acres]]*Wapato_Inventory[[#This Row],[coeff]])+Wapato_Inventory[[#This Row],[const]]</f>
        <v>19535.514109596792</v>
      </c>
      <c r="S298" t="s">
        <v>66</v>
      </c>
      <c r="T298">
        <v>1</v>
      </c>
      <c r="U298" t="s">
        <v>71</v>
      </c>
      <c r="V298" t="s">
        <v>68</v>
      </c>
      <c r="W298">
        <v>0</v>
      </c>
      <c r="X298">
        <v>0</v>
      </c>
      <c r="Y298">
        <v>57</v>
      </c>
      <c r="Z298">
        <v>103</v>
      </c>
      <c r="AA298">
        <v>110</v>
      </c>
      <c r="AB298">
        <v>1000</v>
      </c>
      <c r="AC298">
        <v>700</v>
      </c>
      <c r="AD298">
        <v>700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5</v>
      </c>
      <c r="AQ298">
        <v>0</v>
      </c>
      <c r="AR298">
        <v>0</v>
      </c>
      <c r="AS298" t="s">
        <v>59</v>
      </c>
      <c r="AT298">
        <v>1</v>
      </c>
      <c r="AU298" t="s">
        <v>72</v>
      </c>
      <c r="AV298" t="s">
        <v>61</v>
      </c>
      <c r="AW298">
        <v>0</v>
      </c>
      <c r="AX298">
        <v>2</v>
      </c>
      <c r="AY298">
        <v>0</v>
      </c>
      <c r="AZ298">
        <v>0</v>
      </c>
      <c r="BA298">
        <v>100</v>
      </c>
      <c r="BB298">
        <v>100</v>
      </c>
      <c r="BC298">
        <v>100</v>
      </c>
      <c r="BD298">
        <v>100</v>
      </c>
      <c r="BE298">
        <v>1</v>
      </c>
      <c r="BF298">
        <v>15000</v>
      </c>
      <c r="BG298">
        <v>1000</v>
      </c>
      <c r="BH298" s="7">
        <f>ROUND(Wapato_Inventory[[#This Row],[detatched_value]]*Lookups!$B$22*Lookups!$H$48,-2)</f>
        <v>0</v>
      </c>
      <c r="BI298" s="7">
        <f>ROUND(((Wapato_Inventory[[#This Row],[land_extract]]*Lookups!$B$3) +(Lookups!$B$2*0.5))*Lookups!$H$48,-2)</f>
        <v>53000</v>
      </c>
      <c r="BJ298" s="7">
        <f>IF(Wapato_Inventory[[#This Row],[bldg_style]]="",0,Lookups!$B$2*0.5)</f>
        <v>53765.27</v>
      </c>
      <c r="BK298" s="7">
        <f>_xlfn.IFNA(VLOOKUP(Wapato_Inventory[[#This Row],[quality]],Lookups!$H$2:$J$14,3,FALSE),0)</f>
        <v>28034</v>
      </c>
      <c r="BL298" s="7">
        <f>_xlfn.IFNA(VLOOKUP(Wapato_Inventory[[#This Row],[condition]],Lookups!$H$17:$J$24,3,FALSE),0)</f>
        <v>52231</v>
      </c>
      <c r="BM298" s="7">
        <f>Wapato_Inventory[[#This Row],[Age]]*Lookups!$B$16</f>
        <v>-38179.597099999999</v>
      </c>
      <c r="BN298" s="7">
        <f>Wapato_Inventory[[#This Row],[Main Floor]]*Lookups!$B$17</f>
        <v>29260.5173</v>
      </c>
      <c r="BO298" s="7">
        <f>Wapato_Inventory[[#This Row],[Upper Floor]]*Lookups!$B$18</f>
        <v>0</v>
      </c>
      <c r="BP298" s="7">
        <f>Wapato_Inventory[[#This Row],[Fin BSMT]]*Lookups!$B$19</f>
        <v>0</v>
      </c>
      <c r="BQ298" s="7">
        <f>(Wapato_Inventory[[#This Row],[att_gar]]+Wapato_Inventory[[#This Row],[blt_gar]])*Lookups!$B$20</f>
        <v>0</v>
      </c>
      <c r="BR298" s="7">
        <f>Wapato_Inventory[[#This Row],[Patio]]*Lookups!$B$21</f>
        <v>0</v>
      </c>
      <c r="BS298" s="7">
        <f>SUM(Wapato_Inventory[[#This Row],[intercept]:[patio_value]])*Wapato_Inventory[[#This Row],[res_pct]]</f>
        <v>125111.19019999998</v>
      </c>
      <c r="BT298" s="7">
        <f>Wapato_Inventory[[#This Row],[land_value]]</f>
        <v>53000</v>
      </c>
      <c r="BU298" s="2">
        <f>_xlfn.IFNA(VLOOKUP(Wapato_Inventory[[#This Row],[quality]],Lookups!$A$28:$C$37,3,FALSE),1)</f>
        <v>0.96265813922927435</v>
      </c>
      <c r="BV298" s="2">
        <f>_xlfn.IFNA(VLOOKUP(Wapato_Inventory[[#This Row],[condition]],Lookups!$A$41:$C$48,3,FALSE),1)</f>
        <v>0.9832333997567807</v>
      </c>
      <c r="BW298" s="2">
        <f>IF(Wapato_Inventory[[#This Row],[decade]]="",1,_xlfn.IFNA(VLOOKUP(Wapato_Inventory[[#This Row],[decade]],Lookups!$F$28:$H$45,3,FALSE),1))</f>
        <v>0.93664589651353292</v>
      </c>
      <c r="BX298" s="2">
        <f>_xlfn.IFNA(VLOOKUP(Wapato_Inventory[[#This Row],[living_area_range]],Lookups!$K$28:$M$37,3,FALSE),1)</f>
        <v>0.99022994770196116</v>
      </c>
      <c r="BY298" s="2">
        <f>AVERAGE(Wapato_Inventory[[#This Row],[qual_adj]:[range_adj]])</f>
        <v>0.9681918458003872</v>
      </c>
      <c r="BZ298" s="7">
        <f>(Wapato_Inventory[[#This Row],[sum_land]]-IF(Wapato_Inventory[[#This Row],[no_utilities]]=1,12000,0))/IF(Wapato_Inventory[[#This Row],[unbuildable]]=1,2,1)</f>
        <v>53000</v>
      </c>
      <c r="CA298" s="7">
        <f>Wapato_Inventory[[#This Row],[pre_res]]*Wapato_Inventory[[#This Row],[overall_adj]]</f>
        <v>121131.63417002129</v>
      </c>
      <c r="CB29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98" s="3">
        <f>IF(ROUND(Wapato_Inventory[[#This Row],[adj_res]]*Lookups!$H$48,-2)&lt;Wapato_Inventory[[#This Row],[min_res]],Wapato_Inventory[[#This Row],[min_res]],ROUND(Wapato_Inventory[[#This Row],[adj_res]]*Lookups!$H$48,-2))</f>
        <v>115100</v>
      </c>
      <c r="CD298" s="3">
        <f>ROUND(Wapato_Inventory[[#This Row],[det_value]]*Lookups!$H$48,-2)</f>
        <v>0</v>
      </c>
      <c r="CE298" s="3">
        <f>Wapato_Inventory[[#This Row],[final_res]]+Wapato_Inventory[[#This Row],[final_det]]</f>
        <v>115100</v>
      </c>
      <c r="CF298" s="3">
        <f>Wapato_Inventory[[#This Row],[crop_value]]+Wapato_Inventory[[#This Row],[final_land]]+Wapato_Inventory[[#This Row],[final_imp]]</f>
        <v>165500</v>
      </c>
      <c r="CH298" t="str">
        <f t="shared" si="4"/>
        <v>update valuation set market_land =50400, market_bldg=115100, market_total =165500, market_mdno =405, market_date ='9/10/2023' where link_id = (select link_id from parcel where parcel_year = '2024' and parcel_id = '19111042430');</v>
      </c>
    </row>
    <row r="299" spans="1:86" x14ac:dyDescent="0.25">
      <c r="A299">
        <v>19111042431</v>
      </c>
      <c r="B299">
        <v>0.14000000000000001</v>
      </c>
      <c r="C299">
        <v>6249</v>
      </c>
      <c r="D299" t="s">
        <v>144</v>
      </c>
      <c r="E299" t="s">
        <v>54</v>
      </c>
      <c r="F299" t="s">
        <v>54</v>
      </c>
      <c r="G299">
        <v>3</v>
      </c>
      <c r="H299" t="s">
        <v>55</v>
      </c>
      <c r="I299">
        <v>170900</v>
      </c>
      <c r="J299">
        <v>31900</v>
      </c>
      <c r="K299">
        <v>0.14000000000000001</v>
      </c>
      <c r="L299">
        <f>IF(Wapato_Inventory[[#This Row],[parcel_acres]]-Wapato_Inventory[[#This Row],[non_valued_acres]] =0,0,LN(Wapato_Inventory[[#This Row],[parcel_acres]]-Wapato_Inventory[[#This Row],[non_valued_acres]]))</f>
        <v>-1.9661128563728327</v>
      </c>
      <c r="M299">
        <v>0</v>
      </c>
      <c r="N299">
        <v>0</v>
      </c>
      <c r="O299">
        <v>0</v>
      </c>
      <c r="P299">
        <v>27904.037</v>
      </c>
      <c r="Q299">
        <v>74398</v>
      </c>
      <c r="R299" s="3">
        <f>(Wapato_Inventory[[#This Row],[ln_acres]]*Wapato_Inventory[[#This Row],[coeff]])+Wapato_Inventory[[#This Row],[const]]</f>
        <v>19535.514109596792</v>
      </c>
      <c r="S299" t="s">
        <v>62</v>
      </c>
      <c r="T299">
        <v>1</v>
      </c>
      <c r="U299" t="s">
        <v>75</v>
      </c>
      <c r="V299" t="s">
        <v>68</v>
      </c>
      <c r="W299">
        <v>0</v>
      </c>
      <c r="X299">
        <v>0</v>
      </c>
      <c r="Y299">
        <v>45</v>
      </c>
      <c r="Z299">
        <v>52</v>
      </c>
      <c r="AA299">
        <v>60</v>
      </c>
      <c r="AB299">
        <v>1500</v>
      </c>
      <c r="AC299">
        <v>1248</v>
      </c>
      <c r="AD299">
        <v>1248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857</v>
      </c>
      <c r="AN299">
        <v>0</v>
      </c>
      <c r="AO299">
        <v>130</v>
      </c>
      <c r="AP299">
        <v>5</v>
      </c>
      <c r="AQ299">
        <v>0</v>
      </c>
      <c r="AR299">
        <v>0</v>
      </c>
      <c r="AS299" t="s">
        <v>59</v>
      </c>
      <c r="AT299">
        <v>1</v>
      </c>
      <c r="AU299" t="s">
        <v>72</v>
      </c>
      <c r="AV299" t="s">
        <v>65</v>
      </c>
      <c r="AW299">
        <v>0</v>
      </c>
      <c r="AX299">
        <v>3</v>
      </c>
      <c r="AY299">
        <v>0</v>
      </c>
      <c r="AZ299">
        <v>18300</v>
      </c>
      <c r="BA299">
        <v>100</v>
      </c>
      <c r="BB299">
        <v>100</v>
      </c>
      <c r="BC299">
        <v>100</v>
      </c>
      <c r="BD299">
        <v>100</v>
      </c>
      <c r="BE299">
        <v>1</v>
      </c>
      <c r="BF299">
        <v>15000</v>
      </c>
      <c r="BG299">
        <v>1000</v>
      </c>
      <c r="BH299" s="7">
        <f>ROUND(Wapato_Inventory[[#This Row],[detatched_value]]*Lookups!$B$22*Lookups!$H$48,-2)</f>
        <v>16300</v>
      </c>
      <c r="BI299" s="7">
        <f>ROUND(((Wapato_Inventory[[#This Row],[land_extract]]*Lookups!$B$3) +(Lookups!$B$2*0.5))*Lookups!$H$48,-2)</f>
        <v>53000</v>
      </c>
      <c r="BJ299" s="7">
        <f>IF(Wapato_Inventory[[#This Row],[bldg_style]]="",0,Lookups!$B$2*0.5)</f>
        <v>53765.27</v>
      </c>
      <c r="BK299" s="7">
        <f>_xlfn.IFNA(VLOOKUP(Wapato_Inventory[[#This Row],[quality]],Lookups!$H$2:$J$14,3,FALSE),0)</f>
        <v>48043</v>
      </c>
      <c r="BL299" s="7">
        <f>_xlfn.IFNA(VLOOKUP(Wapato_Inventory[[#This Row],[condition]],Lookups!$H$17:$J$24,3,FALSE),0)</f>
        <v>52231</v>
      </c>
      <c r="BM299" s="7">
        <f>Wapato_Inventory[[#This Row],[Age]]*Lookups!$B$16</f>
        <v>-19275.136399999999</v>
      </c>
      <c r="BN299" s="7">
        <f>Wapato_Inventory[[#This Row],[Main Floor]]*Lookups!$B$17</f>
        <v>52167.322271999998</v>
      </c>
      <c r="BO299" s="7">
        <f>Wapato_Inventory[[#This Row],[Upper Floor]]*Lookups!$B$18</f>
        <v>0</v>
      </c>
      <c r="BP299" s="7">
        <f>Wapato_Inventory[[#This Row],[Fin BSMT]]*Lookups!$B$19</f>
        <v>0</v>
      </c>
      <c r="BQ299" s="7">
        <f>(Wapato_Inventory[[#This Row],[att_gar]]+Wapato_Inventory[[#This Row],[blt_gar]])*Lookups!$B$20</f>
        <v>0</v>
      </c>
      <c r="BR299" s="7">
        <f>Wapato_Inventory[[#This Row],[Patio]]*Lookups!$B$21</f>
        <v>37128.650003000002</v>
      </c>
      <c r="BS299" s="7">
        <f>SUM(Wapato_Inventory[[#This Row],[intercept]:[patio_value]])*Wapato_Inventory[[#This Row],[res_pct]]</f>
        <v>224060.10587500001</v>
      </c>
      <c r="BT299" s="7">
        <f>Wapato_Inventory[[#This Row],[land_value]]</f>
        <v>53000</v>
      </c>
      <c r="BU299" s="2">
        <f>_xlfn.IFNA(VLOOKUP(Wapato_Inventory[[#This Row],[quality]],Lookups!$A$28:$C$37,3,FALSE),1)</f>
        <v>0.98196844879778955</v>
      </c>
      <c r="BV299" s="2">
        <f>_xlfn.IFNA(VLOOKUP(Wapato_Inventory[[#This Row],[condition]],Lookups!$A$41:$C$48,3,FALSE),1)</f>
        <v>0.9832333997567807</v>
      </c>
      <c r="BW299" s="2">
        <f>IF(Wapato_Inventory[[#This Row],[decade]]="",1,_xlfn.IFNA(VLOOKUP(Wapato_Inventory[[#This Row],[decade]],Lookups!$F$28:$H$45,3,FALSE),1))</f>
        <v>1.035341704162583</v>
      </c>
      <c r="BX299" s="2">
        <f>_xlfn.IFNA(VLOOKUP(Wapato_Inventory[[#This Row],[living_area_range]],Lookups!$K$28:$M$37,3,FALSE),1)</f>
        <v>1.0061411172456287</v>
      </c>
      <c r="BY299" s="2">
        <f>AVERAGE(Wapato_Inventory[[#This Row],[qual_adj]:[range_adj]])</f>
        <v>1.0016711674906955</v>
      </c>
      <c r="BZ299" s="7">
        <f>(Wapato_Inventory[[#This Row],[sum_land]]-IF(Wapato_Inventory[[#This Row],[no_utilities]]=1,12000,0))/IF(Wapato_Inventory[[#This Row],[unbuildable]]=1,2,1)</f>
        <v>53000</v>
      </c>
      <c r="CA299" s="7">
        <f>Wapato_Inventory[[#This Row],[pre_res]]*Wapato_Inventory[[#This Row],[overall_adj]]</f>
        <v>224434.5478399001</v>
      </c>
      <c r="CB29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299" s="3">
        <f>IF(ROUND(Wapato_Inventory[[#This Row],[adj_res]]*Lookups!$H$48,-2)&lt;Wapato_Inventory[[#This Row],[min_res]],Wapato_Inventory[[#This Row],[min_res]],ROUND(Wapato_Inventory[[#This Row],[adj_res]]*Lookups!$H$48,-2))</f>
        <v>213200</v>
      </c>
      <c r="CD299" s="3">
        <f>ROUND(Wapato_Inventory[[#This Row],[det_value]]*Lookups!$H$48,-2)</f>
        <v>15500</v>
      </c>
      <c r="CE299" s="3">
        <f>Wapato_Inventory[[#This Row],[final_res]]+Wapato_Inventory[[#This Row],[final_det]]</f>
        <v>228700</v>
      </c>
      <c r="CF299" s="3">
        <f>Wapato_Inventory[[#This Row],[crop_value]]+Wapato_Inventory[[#This Row],[final_land]]+Wapato_Inventory[[#This Row],[final_imp]]</f>
        <v>279100</v>
      </c>
      <c r="CH299" t="str">
        <f t="shared" si="4"/>
        <v>update valuation set market_land =50400, market_bldg=228700, market_total =279100, market_mdno =405, market_date ='9/10/2023' where link_id = (select link_id from parcel where parcel_year = '2024' and parcel_id = '19111042431');</v>
      </c>
    </row>
    <row r="300" spans="1:86" x14ac:dyDescent="0.25">
      <c r="A300">
        <v>19111042435</v>
      </c>
      <c r="B300">
        <v>0.15</v>
      </c>
      <c r="C300">
        <v>6533</v>
      </c>
      <c r="D300" t="s">
        <v>144</v>
      </c>
      <c r="E300" t="s">
        <v>54</v>
      </c>
      <c r="F300" t="s">
        <v>54</v>
      </c>
      <c r="G300">
        <v>3</v>
      </c>
      <c r="H300" t="s">
        <v>55</v>
      </c>
      <c r="I300">
        <v>105200</v>
      </c>
      <c r="J300">
        <v>32300</v>
      </c>
      <c r="K300">
        <v>0.15</v>
      </c>
      <c r="L300">
        <f>IF(Wapato_Inventory[[#This Row],[parcel_acres]]-Wapato_Inventory[[#This Row],[non_valued_acres]] =0,0,LN(Wapato_Inventory[[#This Row],[parcel_acres]]-Wapato_Inventory[[#This Row],[non_valued_acres]]))</f>
        <v>-1.8971199848858813</v>
      </c>
      <c r="M300">
        <v>0</v>
      </c>
      <c r="N300">
        <v>0</v>
      </c>
      <c r="O300">
        <v>0</v>
      </c>
      <c r="P300">
        <v>27904.037</v>
      </c>
      <c r="Q300">
        <v>74398</v>
      </c>
      <c r="R300" s="3">
        <f>(Wapato_Inventory[[#This Row],[ln_acres]]*Wapato_Inventory[[#This Row],[coeff]])+Wapato_Inventory[[#This Row],[const]]</f>
        <v>21460.693748304926</v>
      </c>
      <c r="S300" t="s">
        <v>66</v>
      </c>
      <c r="T300">
        <v>1</v>
      </c>
      <c r="U300" t="s">
        <v>71</v>
      </c>
      <c r="V300" t="s">
        <v>68</v>
      </c>
      <c r="W300">
        <v>0</v>
      </c>
      <c r="X300">
        <v>0</v>
      </c>
      <c r="Y300">
        <v>55</v>
      </c>
      <c r="Z300">
        <v>98</v>
      </c>
      <c r="AA300">
        <v>100</v>
      </c>
      <c r="AB300">
        <v>1500</v>
      </c>
      <c r="AC300">
        <v>1036</v>
      </c>
      <c r="AD300">
        <v>1036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5</v>
      </c>
      <c r="AQ300">
        <v>0</v>
      </c>
      <c r="AR300">
        <v>0</v>
      </c>
      <c r="AS300" t="s">
        <v>59</v>
      </c>
      <c r="AT300">
        <v>1</v>
      </c>
      <c r="AU300" t="s">
        <v>76</v>
      </c>
      <c r="AV300" t="s">
        <v>61</v>
      </c>
      <c r="AW300">
        <v>0</v>
      </c>
      <c r="AX300">
        <v>3</v>
      </c>
      <c r="AY300">
        <v>0</v>
      </c>
      <c r="AZ300">
        <v>0</v>
      </c>
      <c r="BA300">
        <v>100</v>
      </c>
      <c r="BB300">
        <v>100</v>
      </c>
      <c r="BC300">
        <v>100</v>
      </c>
      <c r="BD300">
        <v>100</v>
      </c>
      <c r="BE300">
        <v>1</v>
      </c>
      <c r="BF300">
        <v>15000</v>
      </c>
      <c r="BG300">
        <v>1000</v>
      </c>
      <c r="BH300" s="7">
        <f>ROUND(Wapato_Inventory[[#This Row],[detatched_value]]*Lookups!$B$22*Lookups!$H$48,-2)</f>
        <v>0</v>
      </c>
      <c r="BI300" s="7">
        <f>ROUND(((Wapato_Inventory[[#This Row],[land_extract]]*Lookups!$B$3) +(Lookups!$B$2*0.5))*Lookups!$H$48,-2)</f>
        <v>53100</v>
      </c>
      <c r="BJ300" s="7">
        <f>IF(Wapato_Inventory[[#This Row],[bldg_style]]="",0,Lookups!$B$2*0.5)</f>
        <v>53765.27</v>
      </c>
      <c r="BK300" s="7">
        <f>_xlfn.IFNA(VLOOKUP(Wapato_Inventory[[#This Row],[quality]],Lookups!$H$2:$J$14,3,FALSE),0)</f>
        <v>28034</v>
      </c>
      <c r="BL300" s="7">
        <f>_xlfn.IFNA(VLOOKUP(Wapato_Inventory[[#This Row],[condition]],Lookups!$H$17:$J$24,3,FALSE),0)</f>
        <v>52231</v>
      </c>
      <c r="BM300" s="7">
        <f>Wapato_Inventory[[#This Row],[Age]]*Lookups!$B$16</f>
        <v>-36326.2186</v>
      </c>
      <c r="BN300" s="7">
        <f>Wapato_Inventory[[#This Row],[Main Floor]]*Lookups!$B$17</f>
        <v>43305.565604000003</v>
      </c>
      <c r="BO300" s="7">
        <f>Wapato_Inventory[[#This Row],[Upper Floor]]*Lookups!$B$18</f>
        <v>0</v>
      </c>
      <c r="BP300" s="7">
        <f>Wapato_Inventory[[#This Row],[Fin BSMT]]*Lookups!$B$19</f>
        <v>0</v>
      </c>
      <c r="BQ300" s="7">
        <f>(Wapato_Inventory[[#This Row],[att_gar]]+Wapato_Inventory[[#This Row],[blt_gar]])*Lookups!$B$20</f>
        <v>0</v>
      </c>
      <c r="BR300" s="7">
        <f>Wapato_Inventory[[#This Row],[Patio]]*Lookups!$B$21</f>
        <v>0</v>
      </c>
      <c r="BS300" s="7">
        <f>SUM(Wapato_Inventory[[#This Row],[intercept]:[patio_value]])*Wapato_Inventory[[#This Row],[res_pct]]</f>
        <v>141009.617004</v>
      </c>
      <c r="BT300" s="7">
        <f>Wapato_Inventory[[#This Row],[land_value]]</f>
        <v>53100</v>
      </c>
      <c r="BU300" s="2">
        <f>_xlfn.IFNA(VLOOKUP(Wapato_Inventory[[#This Row],[quality]],Lookups!$A$28:$C$37,3,FALSE),1)</f>
        <v>0.96265813922927435</v>
      </c>
      <c r="BV300" s="2">
        <f>_xlfn.IFNA(VLOOKUP(Wapato_Inventory[[#This Row],[condition]],Lookups!$A$41:$C$48,3,FALSE),1)</f>
        <v>0.9832333997567807</v>
      </c>
      <c r="BW300" s="2">
        <f>IF(Wapato_Inventory[[#This Row],[decade]]="",1,_xlfn.IFNA(VLOOKUP(Wapato_Inventory[[#This Row],[decade]],Lookups!$F$28:$H$45,3,FALSE),1))</f>
        <v>1.0114203040664467</v>
      </c>
      <c r="BX300" s="2">
        <f>_xlfn.IFNA(VLOOKUP(Wapato_Inventory[[#This Row],[living_area_range]],Lookups!$K$28:$M$37,3,FALSE),1)</f>
        <v>1.0061411172456287</v>
      </c>
      <c r="BY300" s="2">
        <f>AVERAGE(Wapato_Inventory[[#This Row],[qual_adj]:[range_adj]])</f>
        <v>0.99086324007453253</v>
      </c>
      <c r="BZ300" s="7">
        <f>(Wapato_Inventory[[#This Row],[sum_land]]-IF(Wapato_Inventory[[#This Row],[no_utilities]]=1,12000,0))/IF(Wapato_Inventory[[#This Row],[unbuildable]]=1,2,1)</f>
        <v>53100</v>
      </c>
      <c r="CA300" s="7">
        <f>Wapato_Inventory[[#This Row],[pre_res]]*Wapato_Inventory[[#This Row],[overall_adj]]</f>
        <v>139721.24598625232</v>
      </c>
      <c r="CB30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00" s="3">
        <f>IF(ROUND(Wapato_Inventory[[#This Row],[adj_res]]*Lookups!$H$48,-2)&lt;Wapato_Inventory[[#This Row],[min_res]],Wapato_Inventory[[#This Row],[min_res]],ROUND(Wapato_Inventory[[#This Row],[adj_res]]*Lookups!$H$48,-2))</f>
        <v>132700</v>
      </c>
      <c r="CD300" s="3">
        <f>ROUND(Wapato_Inventory[[#This Row],[det_value]]*Lookups!$H$48,-2)</f>
        <v>0</v>
      </c>
      <c r="CE300" s="3">
        <f>Wapato_Inventory[[#This Row],[final_res]]+Wapato_Inventory[[#This Row],[final_det]]</f>
        <v>132700</v>
      </c>
      <c r="CF300" s="3">
        <f>Wapato_Inventory[[#This Row],[crop_value]]+Wapato_Inventory[[#This Row],[final_land]]+Wapato_Inventory[[#This Row],[final_imp]]</f>
        <v>183100</v>
      </c>
      <c r="CH300" t="str">
        <f t="shared" si="4"/>
        <v>update valuation set market_land =50400, market_bldg=132700, market_total =183100, market_mdno =405, market_date ='9/10/2023' where link_id = (select link_id from parcel where parcel_year = '2024' and parcel_id = '19111042435');</v>
      </c>
    </row>
    <row r="301" spans="1:86" x14ac:dyDescent="0.25">
      <c r="A301">
        <v>19111042436</v>
      </c>
      <c r="B301">
        <v>0.62</v>
      </c>
      <c r="C301">
        <v>27085</v>
      </c>
      <c r="D301" t="s">
        <v>144</v>
      </c>
      <c r="E301" t="s">
        <v>54</v>
      </c>
      <c r="F301" t="s">
        <v>54</v>
      </c>
      <c r="G301">
        <v>3</v>
      </c>
      <c r="H301" t="s">
        <v>55</v>
      </c>
      <c r="I301">
        <v>126900</v>
      </c>
      <c r="J301">
        <v>42500</v>
      </c>
      <c r="K301">
        <v>0.62</v>
      </c>
      <c r="L301">
        <f>IF(Wapato_Inventory[[#This Row],[parcel_acres]]-Wapato_Inventory[[#This Row],[non_valued_acres]] =0,0,LN(Wapato_Inventory[[#This Row],[parcel_acres]]-Wapato_Inventory[[#This Row],[non_valued_acres]]))</f>
        <v>-0.4780358009429998</v>
      </c>
      <c r="M301">
        <v>0</v>
      </c>
      <c r="N301">
        <v>0</v>
      </c>
      <c r="O301">
        <v>0</v>
      </c>
      <c r="P301">
        <v>27904.037</v>
      </c>
      <c r="Q301">
        <v>74398</v>
      </c>
      <c r="R301" s="3">
        <f>(Wapato_Inventory[[#This Row],[ln_acres]]*Wapato_Inventory[[#This Row],[coeff]])+Wapato_Inventory[[#This Row],[const]]</f>
        <v>61058.871323161897</v>
      </c>
      <c r="S301" t="s">
        <v>66</v>
      </c>
      <c r="T301">
        <v>1</v>
      </c>
      <c r="U301" t="s">
        <v>78</v>
      </c>
      <c r="V301" t="s">
        <v>68</v>
      </c>
      <c r="W301">
        <v>0</v>
      </c>
      <c r="X301">
        <v>0</v>
      </c>
      <c r="Y301">
        <v>57</v>
      </c>
      <c r="Z301">
        <v>103</v>
      </c>
      <c r="AA301">
        <v>110</v>
      </c>
      <c r="AB301">
        <v>1000</v>
      </c>
      <c r="AC301">
        <v>884</v>
      </c>
      <c r="AD301">
        <v>884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5</v>
      </c>
      <c r="AQ301">
        <v>0</v>
      </c>
      <c r="AR301">
        <v>0</v>
      </c>
      <c r="AS301" t="s">
        <v>59</v>
      </c>
      <c r="AT301">
        <v>1</v>
      </c>
      <c r="AU301" t="s">
        <v>72</v>
      </c>
      <c r="AV301" t="s">
        <v>61</v>
      </c>
      <c r="AW301">
        <v>0</v>
      </c>
      <c r="AX301">
        <v>2</v>
      </c>
      <c r="AY301">
        <v>0</v>
      </c>
      <c r="AZ301">
        <v>20900</v>
      </c>
      <c r="BA301">
        <v>100</v>
      </c>
      <c r="BB301">
        <v>100</v>
      </c>
      <c r="BC301">
        <v>100</v>
      </c>
      <c r="BD301">
        <v>100</v>
      </c>
      <c r="BE301">
        <v>1</v>
      </c>
      <c r="BF301">
        <v>15000</v>
      </c>
      <c r="BG301">
        <v>1000</v>
      </c>
      <c r="BH301" s="7">
        <f>ROUND(Wapato_Inventory[[#This Row],[detatched_value]]*Lookups!$B$22*Lookups!$H$48,-2)</f>
        <v>18700</v>
      </c>
      <c r="BI301" s="7">
        <f>ROUND(((Wapato_Inventory[[#This Row],[land_extract]]*Lookups!$B$3) +(Lookups!$B$2*0.5))*Lookups!$H$48,-2)</f>
        <v>57000</v>
      </c>
      <c r="BJ301" s="7">
        <f>IF(Wapato_Inventory[[#This Row],[bldg_style]]="",0,Lookups!$B$2*0.5)</f>
        <v>53765.27</v>
      </c>
      <c r="BK301" s="7">
        <f>_xlfn.IFNA(VLOOKUP(Wapato_Inventory[[#This Row],[quality]],Lookups!$H$2:$J$14,3,FALSE),0)</f>
        <v>23424</v>
      </c>
      <c r="BL301" s="7">
        <f>_xlfn.IFNA(VLOOKUP(Wapato_Inventory[[#This Row],[condition]],Lookups!$H$17:$J$24,3,FALSE),0)</f>
        <v>52231</v>
      </c>
      <c r="BM301" s="7">
        <f>Wapato_Inventory[[#This Row],[Age]]*Lookups!$B$16</f>
        <v>-38179.597099999999</v>
      </c>
      <c r="BN301" s="7">
        <f>Wapato_Inventory[[#This Row],[Main Floor]]*Lookups!$B$17</f>
        <v>36951.853276000002</v>
      </c>
      <c r="BO301" s="7">
        <f>Wapato_Inventory[[#This Row],[Upper Floor]]*Lookups!$B$18</f>
        <v>0</v>
      </c>
      <c r="BP301" s="7">
        <f>Wapato_Inventory[[#This Row],[Fin BSMT]]*Lookups!$B$19</f>
        <v>0</v>
      </c>
      <c r="BQ301" s="7">
        <f>(Wapato_Inventory[[#This Row],[att_gar]]+Wapato_Inventory[[#This Row],[blt_gar]])*Lookups!$B$20</f>
        <v>0</v>
      </c>
      <c r="BR301" s="7">
        <f>Wapato_Inventory[[#This Row],[Patio]]*Lookups!$B$21</f>
        <v>0</v>
      </c>
      <c r="BS301" s="7">
        <f>SUM(Wapato_Inventory[[#This Row],[intercept]:[patio_value]])*Wapato_Inventory[[#This Row],[res_pct]]</f>
        <v>128192.52617599998</v>
      </c>
      <c r="BT301" s="7">
        <f>Wapato_Inventory[[#This Row],[land_value]]</f>
        <v>57000</v>
      </c>
      <c r="BU301" s="2">
        <f>_xlfn.IFNA(VLOOKUP(Wapato_Inventory[[#This Row],[quality]],Lookups!$A$28:$C$37,3,FALSE),1)</f>
        <v>1.0091195562373767</v>
      </c>
      <c r="BV301" s="2">
        <f>_xlfn.IFNA(VLOOKUP(Wapato_Inventory[[#This Row],[condition]],Lookups!$A$41:$C$48,3,FALSE),1)</f>
        <v>0.9832333997567807</v>
      </c>
      <c r="BW301" s="2">
        <f>IF(Wapato_Inventory[[#This Row],[decade]]="",1,_xlfn.IFNA(VLOOKUP(Wapato_Inventory[[#This Row],[decade]],Lookups!$F$28:$H$45,3,FALSE),1))</f>
        <v>0.93664589651353292</v>
      </c>
      <c r="BX301" s="2">
        <f>_xlfn.IFNA(VLOOKUP(Wapato_Inventory[[#This Row],[living_area_range]],Lookups!$K$28:$M$37,3,FALSE),1)</f>
        <v>0.99022994770196116</v>
      </c>
      <c r="BY301" s="2">
        <f>AVERAGE(Wapato_Inventory[[#This Row],[qual_adj]:[range_adj]])</f>
        <v>0.97980720005241284</v>
      </c>
      <c r="BZ301" s="7">
        <f>(Wapato_Inventory[[#This Row],[sum_land]]-IF(Wapato_Inventory[[#This Row],[no_utilities]]=1,12000,0))/IF(Wapato_Inventory[[#This Row],[unbuildable]]=1,2,1)</f>
        <v>57000</v>
      </c>
      <c r="CA301" s="7">
        <f>Wapato_Inventory[[#This Row],[pre_res]]*Wapato_Inventory[[#This Row],[overall_adj]]</f>
        <v>125603.96014015219</v>
      </c>
      <c r="CB301" s="3">
        <f>IF(ROUND(Wapato_Inventory[[#This Row],[adj_land]]*Lookups!$H$48,-2)&lt;Wapato_Inventory[[#This Row],[min_land]],Wapato_Inventory[[#This Row],[min_land]],ROUND(Wapato_Inventory[[#This Row],[adj_land]]*Lookups!$H$48,-2))</f>
        <v>54200</v>
      </c>
      <c r="CC301" s="3">
        <f>IF(ROUND(Wapato_Inventory[[#This Row],[adj_res]]*Lookups!$H$48,-2)&lt;Wapato_Inventory[[#This Row],[min_res]],Wapato_Inventory[[#This Row],[min_res]],ROUND(Wapato_Inventory[[#This Row],[adj_res]]*Lookups!$H$48,-2))</f>
        <v>119300</v>
      </c>
      <c r="CD301" s="3">
        <f>ROUND(Wapato_Inventory[[#This Row],[det_value]]*Lookups!$H$48,-2)</f>
        <v>17800</v>
      </c>
      <c r="CE301" s="3">
        <f>Wapato_Inventory[[#This Row],[final_res]]+Wapato_Inventory[[#This Row],[final_det]]</f>
        <v>137100</v>
      </c>
      <c r="CF301" s="3">
        <f>Wapato_Inventory[[#This Row],[crop_value]]+Wapato_Inventory[[#This Row],[final_land]]+Wapato_Inventory[[#This Row],[final_imp]]</f>
        <v>191300</v>
      </c>
      <c r="CH301" t="str">
        <f t="shared" si="4"/>
        <v>update valuation set market_land =54200, market_bldg=137100, market_total =191300, market_mdno =405, market_date ='9/10/2023' where link_id = (select link_id from parcel where parcel_year = '2024' and parcel_id = '19111042436');</v>
      </c>
    </row>
    <row r="302" spans="1:86" x14ac:dyDescent="0.25">
      <c r="A302">
        <v>19111042437</v>
      </c>
      <c r="B302">
        <v>0.31</v>
      </c>
      <c r="C302">
        <v>13542</v>
      </c>
      <c r="D302" t="s">
        <v>144</v>
      </c>
      <c r="E302" t="s">
        <v>54</v>
      </c>
      <c r="F302" t="s">
        <v>54</v>
      </c>
      <c r="G302">
        <v>3</v>
      </c>
      <c r="H302" t="s">
        <v>55</v>
      </c>
      <c r="I302">
        <v>93600</v>
      </c>
      <c r="J302">
        <v>37600</v>
      </c>
      <c r="K302">
        <v>0.31</v>
      </c>
      <c r="L302">
        <f>IF(Wapato_Inventory[[#This Row],[parcel_acres]]-Wapato_Inventory[[#This Row],[non_valued_acres]] =0,0,LN(Wapato_Inventory[[#This Row],[parcel_acres]]-Wapato_Inventory[[#This Row],[non_valued_acres]]))</f>
        <v>-1.1711829815029451</v>
      </c>
      <c r="M302">
        <v>0</v>
      </c>
      <c r="N302">
        <v>0</v>
      </c>
      <c r="O302">
        <v>0</v>
      </c>
      <c r="P302">
        <v>27904.037</v>
      </c>
      <c r="Q302">
        <v>74398</v>
      </c>
      <c r="R302" s="3">
        <f>(Wapato_Inventory[[#This Row],[ln_acres]]*Wapato_Inventory[[#This Row],[coeff]])+Wapato_Inventory[[#This Row],[const]]</f>
        <v>41717.266750371506</v>
      </c>
      <c r="S302" t="s">
        <v>66</v>
      </c>
      <c r="T302">
        <v>1</v>
      </c>
      <c r="U302" t="s">
        <v>71</v>
      </c>
      <c r="V302" t="s">
        <v>68</v>
      </c>
      <c r="W302">
        <v>0</v>
      </c>
      <c r="X302">
        <v>0</v>
      </c>
      <c r="Y302">
        <v>57</v>
      </c>
      <c r="Z302">
        <v>102</v>
      </c>
      <c r="AA302">
        <v>110</v>
      </c>
      <c r="AB302">
        <v>1000</v>
      </c>
      <c r="AC302">
        <v>864</v>
      </c>
      <c r="AD302">
        <v>864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5</v>
      </c>
      <c r="AQ302">
        <v>0</v>
      </c>
      <c r="AR302">
        <v>0</v>
      </c>
      <c r="AS302" t="s">
        <v>59</v>
      </c>
      <c r="AT302">
        <v>1</v>
      </c>
      <c r="AU302" t="s">
        <v>76</v>
      </c>
      <c r="AV302" t="s">
        <v>61</v>
      </c>
      <c r="AW302">
        <v>0</v>
      </c>
      <c r="AX302">
        <v>2</v>
      </c>
      <c r="AY302">
        <v>0</v>
      </c>
      <c r="AZ302">
        <v>0</v>
      </c>
      <c r="BA302">
        <v>100</v>
      </c>
      <c r="BB302">
        <v>100</v>
      </c>
      <c r="BC302">
        <v>100</v>
      </c>
      <c r="BD302">
        <v>100</v>
      </c>
      <c r="BE302">
        <v>1</v>
      </c>
      <c r="BF302">
        <v>15000</v>
      </c>
      <c r="BG302">
        <v>1000</v>
      </c>
      <c r="BH302" s="7">
        <f>ROUND(Wapato_Inventory[[#This Row],[detatched_value]]*Lookups!$B$22*Lookups!$H$48,-2)</f>
        <v>0</v>
      </c>
      <c r="BI302" s="7">
        <f>ROUND(((Wapato_Inventory[[#This Row],[land_extract]]*Lookups!$B$3) +(Lookups!$B$2*0.5))*Lookups!$H$48,-2)</f>
        <v>55100</v>
      </c>
      <c r="BJ302" s="7">
        <f>IF(Wapato_Inventory[[#This Row],[bldg_style]]="",0,Lookups!$B$2*0.5)</f>
        <v>53765.27</v>
      </c>
      <c r="BK302" s="7">
        <f>_xlfn.IFNA(VLOOKUP(Wapato_Inventory[[#This Row],[quality]],Lookups!$H$2:$J$14,3,FALSE),0)</f>
        <v>28034</v>
      </c>
      <c r="BL302" s="7">
        <f>_xlfn.IFNA(VLOOKUP(Wapato_Inventory[[#This Row],[condition]],Lookups!$H$17:$J$24,3,FALSE),0)</f>
        <v>52231</v>
      </c>
      <c r="BM302" s="7">
        <f>Wapato_Inventory[[#This Row],[Age]]*Lookups!$B$16</f>
        <v>-37808.921399999999</v>
      </c>
      <c r="BN302" s="7">
        <f>Wapato_Inventory[[#This Row],[Main Floor]]*Lookups!$B$17</f>
        <v>36115.838495999997</v>
      </c>
      <c r="BO302" s="7">
        <f>Wapato_Inventory[[#This Row],[Upper Floor]]*Lookups!$B$18</f>
        <v>0</v>
      </c>
      <c r="BP302" s="7">
        <f>Wapato_Inventory[[#This Row],[Fin BSMT]]*Lookups!$B$19</f>
        <v>0</v>
      </c>
      <c r="BQ302" s="7">
        <f>(Wapato_Inventory[[#This Row],[att_gar]]+Wapato_Inventory[[#This Row],[blt_gar]])*Lookups!$B$20</f>
        <v>0</v>
      </c>
      <c r="BR302" s="7">
        <f>Wapato_Inventory[[#This Row],[Patio]]*Lookups!$B$21</f>
        <v>0</v>
      </c>
      <c r="BS302" s="7">
        <f>SUM(Wapato_Inventory[[#This Row],[intercept]:[patio_value]])*Wapato_Inventory[[#This Row],[res_pct]]</f>
        <v>132337.18709600001</v>
      </c>
      <c r="BT302" s="7">
        <f>Wapato_Inventory[[#This Row],[land_value]]</f>
        <v>55100</v>
      </c>
      <c r="BU302" s="2">
        <f>_xlfn.IFNA(VLOOKUP(Wapato_Inventory[[#This Row],[quality]],Lookups!$A$28:$C$37,3,FALSE),1)</f>
        <v>0.96265813922927435</v>
      </c>
      <c r="BV302" s="2">
        <f>_xlfn.IFNA(VLOOKUP(Wapato_Inventory[[#This Row],[condition]],Lookups!$A$41:$C$48,3,FALSE),1)</f>
        <v>0.9832333997567807</v>
      </c>
      <c r="BW302" s="2">
        <f>IF(Wapato_Inventory[[#This Row],[decade]]="",1,_xlfn.IFNA(VLOOKUP(Wapato_Inventory[[#This Row],[decade]],Lookups!$F$28:$H$45,3,FALSE),1))</f>
        <v>0.93664589651353292</v>
      </c>
      <c r="BX302" s="2">
        <f>_xlfn.IFNA(VLOOKUP(Wapato_Inventory[[#This Row],[living_area_range]],Lookups!$K$28:$M$37,3,FALSE),1)</f>
        <v>0.99022994770196116</v>
      </c>
      <c r="BY302" s="2">
        <f>AVERAGE(Wapato_Inventory[[#This Row],[qual_adj]:[range_adj]])</f>
        <v>0.9681918458003872</v>
      </c>
      <c r="BZ302" s="7">
        <f>(Wapato_Inventory[[#This Row],[sum_land]]-IF(Wapato_Inventory[[#This Row],[no_utilities]]=1,12000,0))/IF(Wapato_Inventory[[#This Row],[unbuildable]]=1,2,1)</f>
        <v>55100</v>
      </c>
      <c r="CA302" s="7">
        <f>Wapato_Inventory[[#This Row],[pre_res]]*Wapato_Inventory[[#This Row],[overall_adj]]</f>
        <v>128127.78544250743</v>
      </c>
      <c r="CB302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302" s="3">
        <f>IF(ROUND(Wapato_Inventory[[#This Row],[adj_res]]*Lookups!$H$48,-2)&lt;Wapato_Inventory[[#This Row],[min_res]],Wapato_Inventory[[#This Row],[min_res]],ROUND(Wapato_Inventory[[#This Row],[adj_res]]*Lookups!$H$48,-2))</f>
        <v>121700</v>
      </c>
      <c r="CD302" s="3">
        <f>ROUND(Wapato_Inventory[[#This Row],[det_value]]*Lookups!$H$48,-2)</f>
        <v>0</v>
      </c>
      <c r="CE302" s="3">
        <f>Wapato_Inventory[[#This Row],[final_res]]+Wapato_Inventory[[#This Row],[final_det]]</f>
        <v>121700</v>
      </c>
      <c r="CF302" s="3">
        <f>Wapato_Inventory[[#This Row],[crop_value]]+Wapato_Inventory[[#This Row],[final_land]]+Wapato_Inventory[[#This Row],[final_imp]]</f>
        <v>174000</v>
      </c>
      <c r="CH302" t="str">
        <f t="shared" si="4"/>
        <v>update valuation set market_land =52300, market_bldg=121700, market_total =174000, market_mdno =405, market_date ='9/10/2023' where link_id = (select link_id from parcel where parcel_year = '2024' and parcel_id = '19111042437');</v>
      </c>
    </row>
    <row r="303" spans="1:86" x14ac:dyDescent="0.25">
      <c r="A303">
        <v>19111042438</v>
      </c>
      <c r="B303">
        <v>0.31</v>
      </c>
      <c r="C303">
        <v>13542</v>
      </c>
      <c r="D303" t="s">
        <v>144</v>
      </c>
      <c r="E303" t="s">
        <v>54</v>
      </c>
      <c r="F303" t="s">
        <v>54</v>
      </c>
      <c r="G303">
        <v>3</v>
      </c>
      <c r="H303" t="s">
        <v>55</v>
      </c>
      <c r="I303">
        <v>150500</v>
      </c>
      <c r="J303">
        <v>37600</v>
      </c>
      <c r="K303">
        <v>0.31</v>
      </c>
      <c r="L303">
        <f>IF(Wapato_Inventory[[#This Row],[parcel_acres]]-Wapato_Inventory[[#This Row],[non_valued_acres]] =0,0,LN(Wapato_Inventory[[#This Row],[parcel_acres]]-Wapato_Inventory[[#This Row],[non_valued_acres]]))</f>
        <v>-1.1711829815029451</v>
      </c>
      <c r="M303">
        <v>0</v>
      </c>
      <c r="N303">
        <v>0</v>
      </c>
      <c r="O303">
        <v>0</v>
      </c>
      <c r="P303">
        <v>27904.037</v>
      </c>
      <c r="Q303">
        <v>74398</v>
      </c>
      <c r="R303" s="3">
        <f>(Wapato_Inventory[[#This Row],[ln_acres]]*Wapato_Inventory[[#This Row],[coeff]])+Wapato_Inventory[[#This Row],[const]]</f>
        <v>41717.266750371506</v>
      </c>
      <c r="S303" t="s">
        <v>56</v>
      </c>
      <c r="T303">
        <v>2</v>
      </c>
      <c r="U303" t="s">
        <v>86</v>
      </c>
      <c r="V303" t="s">
        <v>84</v>
      </c>
      <c r="W303">
        <v>0</v>
      </c>
      <c r="X303">
        <v>0</v>
      </c>
      <c r="Y303">
        <v>51</v>
      </c>
      <c r="Z303">
        <v>83</v>
      </c>
      <c r="AA303">
        <v>90</v>
      </c>
      <c r="AB303">
        <v>3000</v>
      </c>
      <c r="AC303">
        <v>2729</v>
      </c>
      <c r="AD303">
        <v>2179</v>
      </c>
      <c r="AE303">
        <v>550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602</v>
      </c>
      <c r="AL303">
        <v>264</v>
      </c>
      <c r="AM303">
        <v>664</v>
      </c>
      <c r="AN303">
        <v>0</v>
      </c>
      <c r="AO303">
        <v>132</v>
      </c>
      <c r="AP303">
        <v>12</v>
      </c>
      <c r="AQ303">
        <v>0</v>
      </c>
      <c r="AR303">
        <v>2</v>
      </c>
      <c r="AS303" t="s">
        <v>79</v>
      </c>
      <c r="AT303">
        <v>0</v>
      </c>
      <c r="AU303" t="s">
        <v>80</v>
      </c>
      <c r="AV303" t="s">
        <v>65</v>
      </c>
      <c r="AW303">
        <v>0</v>
      </c>
      <c r="AX303">
        <v>4</v>
      </c>
      <c r="AY303">
        <v>0</v>
      </c>
      <c r="AZ303">
        <v>4400</v>
      </c>
      <c r="BA303">
        <v>100</v>
      </c>
      <c r="BB303">
        <v>100</v>
      </c>
      <c r="BC303">
        <v>100</v>
      </c>
      <c r="BD303">
        <v>100</v>
      </c>
      <c r="BE303">
        <v>1</v>
      </c>
      <c r="BF303">
        <v>15000</v>
      </c>
      <c r="BG303">
        <v>1000</v>
      </c>
      <c r="BH303" s="7">
        <f>ROUND(Wapato_Inventory[[#This Row],[detatched_value]]*Lookups!$B$22*Lookups!$H$48,-2)</f>
        <v>3900</v>
      </c>
      <c r="BI303" s="7">
        <f>ROUND(((Wapato_Inventory[[#This Row],[land_extract]]*Lookups!$B$3) +(Lookups!$B$2*0.5))*Lookups!$H$48,-2)</f>
        <v>55100</v>
      </c>
      <c r="BJ303" s="7">
        <f>IF(Wapato_Inventory[[#This Row],[bldg_style]]="",0,Lookups!$B$2*0.5)</f>
        <v>53765.27</v>
      </c>
      <c r="BK303" s="7">
        <f>_xlfn.IFNA(VLOOKUP(Wapato_Inventory[[#This Row],[quality]],Lookups!$H$2:$J$14,3,FALSE),0)</f>
        <v>0</v>
      </c>
      <c r="BL303" s="7">
        <f>_xlfn.IFNA(VLOOKUP(Wapato_Inventory[[#This Row],[condition]],Lookups!$H$17:$J$24,3,FALSE),0)</f>
        <v>0</v>
      </c>
      <c r="BM303" s="7">
        <f>Wapato_Inventory[[#This Row],[Age]]*Lookups!$B$16</f>
        <v>-30766.0831</v>
      </c>
      <c r="BN303" s="7">
        <f>Wapato_Inventory[[#This Row],[Main Floor]]*Lookups!$B$17</f>
        <v>91083.810280999998</v>
      </c>
      <c r="BO303" s="7">
        <f>Wapato_Inventory[[#This Row],[Upper Floor]]*Lookups!$B$18</f>
        <v>27280.626450000003</v>
      </c>
      <c r="BP303" s="7">
        <f>Wapato_Inventory[[#This Row],[Fin BSMT]]*Lookups!$B$19</f>
        <v>0</v>
      </c>
      <c r="BQ303" s="7">
        <f>(Wapato_Inventory[[#This Row],[att_gar]]+Wapato_Inventory[[#This Row],[blt_gar]])*Lookups!$B$20</f>
        <v>0</v>
      </c>
      <c r="BR303" s="7">
        <f>Wapato_Inventory[[#This Row],[Patio]]*Lookups!$B$21</f>
        <v>28767.122056</v>
      </c>
      <c r="BS303" s="7">
        <f>SUM(Wapato_Inventory[[#This Row],[intercept]:[patio_value]])*Wapato_Inventory[[#This Row],[res_pct]]</f>
        <v>170130.74568699999</v>
      </c>
      <c r="BT303" s="7">
        <f>Wapato_Inventory[[#This Row],[land_value]]</f>
        <v>55100</v>
      </c>
      <c r="BU303" s="2">
        <f>_xlfn.IFNA(VLOOKUP(Wapato_Inventory[[#This Row],[quality]],Lookups!$A$28:$C$37,3,FALSE),1)</f>
        <v>1.0000010866511106</v>
      </c>
      <c r="BV303" s="2">
        <f>_xlfn.IFNA(VLOOKUP(Wapato_Inventory[[#This Row],[condition]],Lookups!$A$41:$C$48,3,FALSE),1)</f>
        <v>1.0000035546274355</v>
      </c>
      <c r="BW303" s="2">
        <f>IF(Wapato_Inventory[[#This Row],[decade]]="",1,_xlfn.IFNA(VLOOKUP(Wapato_Inventory[[#This Row],[decade]],Lookups!$F$28:$H$45,3,FALSE),1))</f>
        <v>0.94742695999815718</v>
      </c>
      <c r="BX303" s="2">
        <f>_xlfn.IFNA(VLOOKUP(Wapato_Inventory[[#This Row],[living_area_range]],Lookups!$K$28:$M$37,3,FALSE),1)</f>
        <v>1.0155869662067822</v>
      </c>
      <c r="BY303" s="2">
        <f>AVERAGE(Wapato_Inventory[[#This Row],[qual_adj]:[range_adj]])</f>
        <v>0.99075464187087148</v>
      </c>
      <c r="BZ303" s="7">
        <f>(Wapato_Inventory[[#This Row],[sum_land]]-IF(Wapato_Inventory[[#This Row],[no_utilities]]=1,12000,0))/IF(Wapato_Inventory[[#This Row],[unbuildable]]=1,2,1)</f>
        <v>55100</v>
      </c>
      <c r="CA303" s="7">
        <f>Wapato_Inventory[[#This Row],[pre_res]]*Wapato_Inventory[[#This Row],[overall_adj]]</f>
        <v>168557.82601434799</v>
      </c>
      <c r="CB303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303" s="3">
        <f>IF(ROUND(Wapato_Inventory[[#This Row],[adj_res]]*Lookups!$H$48,-2)&lt;Wapato_Inventory[[#This Row],[min_res]],Wapato_Inventory[[#This Row],[min_res]],ROUND(Wapato_Inventory[[#This Row],[adj_res]]*Lookups!$H$48,-2))</f>
        <v>160100</v>
      </c>
      <c r="CD303" s="3">
        <f>ROUND(Wapato_Inventory[[#This Row],[det_value]]*Lookups!$H$48,-2)</f>
        <v>3700</v>
      </c>
      <c r="CE303" s="3">
        <f>Wapato_Inventory[[#This Row],[final_res]]+Wapato_Inventory[[#This Row],[final_det]]</f>
        <v>163800</v>
      </c>
      <c r="CF303" s="3">
        <f>Wapato_Inventory[[#This Row],[crop_value]]+Wapato_Inventory[[#This Row],[final_land]]+Wapato_Inventory[[#This Row],[final_imp]]</f>
        <v>216100</v>
      </c>
      <c r="CH303" t="str">
        <f t="shared" si="4"/>
        <v>update valuation set market_land =52300, market_bldg=163800, market_total =216100, market_mdno =405, market_date ='9/10/2023' where link_id = (select link_id from parcel where parcel_year = '2024' and parcel_id = '19111042438');</v>
      </c>
    </row>
    <row r="304" spans="1:86" x14ac:dyDescent="0.25">
      <c r="A304">
        <v>19111042439</v>
      </c>
      <c r="B304">
        <v>0.62</v>
      </c>
      <c r="C304">
        <v>27054</v>
      </c>
      <c r="D304" t="s">
        <v>144</v>
      </c>
      <c r="E304" t="s">
        <v>54</v>
      </c>
      <c r="F304" t="s">
        <v>54</v>
      </c>
      <c r="G304">
        <v>3</v>
      </c>
      <c r="H304" t="s">
        <v>55</v>
      </c>
      <c r="I304">
        <v>68200</v>
      </c>
      <c r="J304">
        <v>42500</v>
      </c>
      <c r="K304">
        <v>0.62</v>
      </c>
      <c r="L304">
        <f>IF(Wapato_Inventory[[#This Row],[parcel_acres]]-Wapato_Inventory[[#This Row],[non_valued_acres]] =0,0,LN(Wapato_Inventory[[#This Row],[parcel_acres]]-Wapato_Inventory[[#This Row],[non_valued_acres]]))</f>
        <v>-0.4780358009429998</v>
      </c>
      <c r="M304">
        <v>0</v>
      </c>
      <c r="N304">
        <v>0</v>
      </c>
      <c r="O304">
        <v>0</v>
      </c>
      <c r="P304">
        <v>27904.037</v>
      </c>
      <c r="Q304">
        <v>74398</v>
      </c>
      <c r="R304" s="3">
        <f>(Wapato_Inventory[[#This Row],[ln_acres]]*Wapato_Inventory[[#This Row],[coeff]])+Wapato_Inventory[[#This Row],[const]]</f>
        <v>61058.871323161897</v>
      </c>
      <c r="S304" t="s">
        <v>66</v>
      </c>
      <c r="T304">
        <v>1</v>
      </c>
      <c r="U304" t="s">
        <v>71</v>
      </c>
      <c r="V304" t="s">
        <v>73</v>
      </c>
      <c r="W304">
        <v>0</v>
      </c>
      <c r="X304">
        <v>0</v>
      </c>
      <c r="Y304">
        <v>57</v>
      </c>
      <c r="Z304">
        <v>103</v>
      </c>
      <c r="AA304">
        <v>110</v>
      </c>
      <c r="AB304">
        <v>1000</v>
      </c>
      <c r="AC304">
        <v>879</v>
      </c>
      <c r="AD304">
        <v>879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294</v>
      </c>
      <c r="AL304">
        <v>0</v>
      </c>
      <c r="AM304">
        <v>264</v>
      </c>
      <c r="AN304">
        <v>0</v>
      </c>
      <c r="AO304">
        <v>392</v>
      </c>
      <c r="AP304">
        <v>5</v>
      </c>
      <c r="AQ304">
        <v>0</v>
      </c>
      <c r="AR304">
        <v>0</v>
      </c>
      <c r="AS304" t="s">
        <v>59</v>
      </c>
      <c r="AT304">
        <v>0</v>
      </c>
      <c r="AU304" t="s">
        <v>80</v>
      </c>
      <c r="AV304" t="s">
        <v>65</v>
      </c>
      <c r="AW304">
        <v>0</v>
      </c>
      <c r="AX304">
        <v>2</v>
      </c>
      <c r="AY304">
        <v>0</v>
      </c>
      <c r="AZ304">
        <v>4700</v>
      </c>
      <c r="BA304">
        <v>100</v>
      </c>
      <c r="BB304">
        <v>100</v>
      </c>
      <c r="BC304">
        <v>100</v>
      </c>
      <c r="BD304">
        <v>100</v>
      </c>
      <c r="BE304">
        <v>1</v>
      </c>
      <c r="BF304">
        <v>15000</v>
      </c>
      <c r="BG304">
        <v>1000</v>
      </c>
      <c r="BH304" s="7">
        <f>ROUND(Wapato_Inventory[[#This Row],[detatched_value]]*Lookups!$B$22*Lookups!$H$48,-2)</f>
        <v>4200</v>
      </c>
      <c r="BI304" s="7">
        <f>ROUND(((Wapato_Inventory[[#This Row],[land_extract]]*Lookups!$B$3) +(Lookups!$B$2*0.5))*Lookups!$H$48,-2)</f>
        <v>57000</v>
      </c>
      <c r="BJ304" s="7">
        <f>IF(Wapato_Inventory[[#This Row],[bldg_style]]="",0,Lookups!$B$2*0.5)</f>
        <v>53765.27</v>
      </c>
      <c r="BK304" s="7">
        <f>_xlfn.IFNA(VLOOKUP(Wapato_Inventory[[#This Row],[quality]],Lookups!$H$2:$J$14,3,FALSE),0)</f>
        <v>28034</v>
      </c>
      <c r="BL304" s="7">
        <f>_xlfn.IFNA(VLOOKUP(Wapato_Inventory[[#This Row],[condition]],Lookups!$H$17:$J$24,3,FALSE),0)</f>
        <v>16276</v>
      </c>
      <c r="BM304" s="7">
        <f>Wapato_Inventory[[#This Row],[Age]]*Lookups!$B$16</f>
        <v>-38179.597099999999</v>
      </c>
      <c r="BN304" s="7">
        <f>Wapato_Inventory[[#This Row],[Main Floor]]*Lookups!$B$17</f>
        <v>36742.849581000002</v>
      </c>
      <c r="BO304" s="7">
        <f>Wapato_Inventory[[#This Row],[Upper Floor]]*Lookups!$B$18</f>
        <v>0</v>
      </c>
      <c r="BP304" s="7">
        <f>Wapato_Inventory[[#This Row],[Fin BSMT]]*Lookups!$B$19</f>
        <v>0</v>
      </c>
      <c r="BQ304" s="7">
        <f>(Wapato_Inventory[[#This Row],[att_gar]]+Wapato_Inventory[[#This Row],[blt_gar]])*Lookups!$B$20</f>
        <v>0</v>
      </c>
      <c r="BR304" s="7">
        <f>Wapato_Inventory[[#This Row],[Patio]]*Lookups!$B$21</f>
        <v>11437.530456</v>
      </c>
      <c r="BS304" s="7">
        <f>SUM(Wapato_Inventory[[#This Row],[intercept]:[patio_value]])*Wapato_Inventory[[#This Row],[res_pct]]</f>
        <v>108076.052937</v>
      </c>
      <c r="BT304" s="7">
        <f>Wapato_Inventory[[#This Row],[land_value]]</f>
        <v>57000</v>
      </c>
      <c r="BU304" s="2">
        <f>_xlfn.IFNA(VLOOKUP(Wapato_Inventory[[#This Row],[quality]],Lookups!$A$28:$C$37,3,FALSE),1)</f>
        <v>0.96265813922927435</v>
      </c>
      <c r="BV304" s="2">
        <f>_xlfn.IFNA(VLOOKUP(Wapato_Inventory[[#This Row],[condition]],Lookups!$A$41:$C$48,3,FALSE),1)</f>
        <v>0.93399385491337139</v>
      </c>
      <c r="BW304" s="2">
        <f>IF(Wapato_Inventory[[#This Row],[decade]]="",1,_xlfn.IFNA(VLOOKUP(Wapato_Inventory[[#This Row],[decade]],Lookups!$F$28:$H$45,3,FALSE),1))</f>
        <v>0.93664589651353292</v>
      </c>
      <c r="BX304" s="2">
        <f>_xlfn.IFNA(VLOOKUP(Wapato_Inventory[[#This Row],[living_area_range]],Lookups!$K$28:$M$37,3,FALSE),1)</f>
        <v>0.99022994770196116</v>
      </c>
      <c r="BY304" s="2">
        <f>AVERAGE(Wapato_Inventory[[#This Row],[qual_adj]:[range_adj]])</f>
        <v>0.95588195958953504</v>
      </c>
      <c r="BZ304" s="7">
        <f>(Wapato_Inventory[[#This Row],[sum_land]]-IF(Wapato_Inventory[[#This Row],[no_utilities]]=1,12000,0))/IF(Wapato_Inventory[[#This Row],[unbuildable]]=1,2,1)</f>
        <v>57000</v>
      </c>
      <c r="CA304" s="7">
        <f>Wapato_Inventory[[#This Row],[pre_res]]*Wapato_Inventory[[#This Row],[overall_adj]]</f>
        <v>103307.94926612188</v>
      </c>
      <c r="CB304" s="3">
        <f>IF(ROUND(Wapato_Inventory[[#This Row],[adj_land]]*Lookups!$H$48,-2)&lt;Wapato_Inventory[[#This Row],[min_land]],Wapato_Inventory[[#This Row],[min_land]],ROUND(Wapato_Inventory[[#This Row],[adj_land]]*Lookups!$H$48,-2))</f>
        <v>54200</v>
      </c>
      <c r="CC304" s="3">
        <f>IF(ROUND(Wapato_Inventory[[#This Row],[adj_res]]*Lookups!$H$48,-2)&lt;Wapato_Inventory[[#This Row],[min_res]],Wapato_Inventory[[#This Row],[min_res]],ROUND(Wapato_Inventory[[#This Row],[adj_res]]*Lookups!$H$48,-2))</f>
        <v>98100</v>
      </c>
      <c r="CD304" s="3">
        <f>ROUND(Wapato_Inventory[[#This Row],[det_value]]*Lookups!$H$48,-2)</f>
        <v>4000</v>
      </c>
      <c r="CE304" s="3">
        <f>Wapato_Inventory[[#This Row],[final_res]]+Wapato_Inventory[[#This Row],[final_det]]</f>
        <v>102100</v>
      </c>
      <c r="CF304" s="3">
        <f>Wapato_Inventory[[#This Row],[crop_value]]+Wapato_Inventory[[#This Row],[final_land]]+Wapato_Inventory[[#This Row],[final_imp]]</f>
        <v>156300</v>
      </c>
      <c r="CH304" t="str">
        <f t="shared" si="4"/>
        <v>update valuation set market_land =54200, market_bldg=102100, market_total =156300, market_mdno =405, market_date ='9/10/2023' where link_id = (select link_id from parcel where parcel_year = '2024' and parcel_id = '19111042439');</v>
      </c>
    </row>
    <row r="305" spans="1:86" x14ac:dyDescent="0.25">
      <c r="A305">
        <v>19111042442</v>
      </c>
      <c r="B305">
        <v>0.28999999999999998</v>
      </c>
      <c r="C305">
        <v>12498</v>
      </c>
      <c r="D305" t="s">
        <v>144</v>
      </c>
      <c r="E305" t="s">
        <v>54</v>
      </c>
      <c r="F305" t="s">
        <v>54</v>
      </c>
      <c r="G305">
        <v>3</v>
      </c>
      <c r="H305" t="s">
        <v>55</v>
      </c>
      <c r="I305">
        <v>175800</v>
      </c>
      <c r="J305">
        <v>37100</v>
      </c>
      <c r="K305">
        <v>0.28999999999999998</v>
      </c>
      <c r="L305">
        <f>IF(Wapato_Inventory[[#This Row],[parcel_acres]]-Wapato_Inventory[[#This Row],[non_valued_acres]] =0,0,LN(Wapato_Inventory[[#This Row],[parcel_acres]]-Wapato_Inventory[[#This Row],[non_valued_acres]]))</f>
        <v>-1.2378743560016174</v>
      </c>
      <c r="M305">
        <v>0</v>
      </c>
      <c r="N305">
        <v>0</v>
      </c>
      <c r="O305">
        <v>0</v>
      </c>
      <c r="P305">
        <v>27904.037</v>
      </c>
      <c r="Q305">
        <v>74398</v>
      </c>
      <c r="R305" s="3">
        <f>(Wapato_Inventory[[#This Row],[ln_acres]]*Wapato_Inventory[[#This Row],[coeff]])+Wapato_Inventory[[#This Row],[const]]</f>
        <v>39856.308168779695</v>
      </c>
      <c r="S305" t="s">
        <v>56</v>
      </c>
      <c r="T305">
        <v>2</v>
      </c>
      <c r="U305" t="s">
        <v>75</v>
      </c>
      <c r="V305" t="s">
        <v>68</v>
      </c>
      <c r="W305">
        <v>0</v>
      </c>
      <c r="X305">
        <v>0</v>
      </c>
      <c r="Y305">
        <v>54</v>
      </c>
      <c r="Z305">
        <v>95</v>
      </c>
      <c r="AA305">
        <v>100</v>
      </c>
      <c r="AB305">
        <v>2000</v>
      </c>
      <c r="AC305">
        <v>1592</v>
      </c>
      <c r="AD305">
        <v>1256</v>
      </c>
      <c r="AE305">
        <v>336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455</v>
      </c>
      <c r="AN305">
        <v>0</v>
      </c>
      <c r="AO305">
        <v>455</v>
      </c>
      <c r="AP305">
        <v>5</v>
      </c>
      <c r="AQ305">
        <v>0</v>
      </c>
      <c r="AR305">
        <v>0</v>
      </c>
      <c r="AS305" t="s">
        <v>59</v>
      </c>
      <c r="AT305">
        <v>1</v>
      </c>
      <c r="AU305" t="s">
        <v>72</v>
      </c>
      <c r="AV305" t="s">
        <v>61</v>
      </c>
      <c r="AW305">
        <v>0</v>
      </c>
      <c r="AX305">
        <v>3</v>
      </c>
      <c r="AY305">
        <v>0</v>
      </c>
      <c r="AZ305">
        <v>12500</v>
      </c>
      <c r="BA305">
        <v>100</v>
      </c>
      <c r="BB305">
        <v>100</v>
      </c>
      <c r="BC305">
        <v>100</v>
      </c>
      <c r="BD305">
        <v>100</v>
      </c>
      <c r="BE305">
        <v>1</v>
      </c>
      <c r="BF305">
        <v>15000</v>
      </c>
      <c r="BG305">
        <v>1000</v>
      </c>
      <c r="BH305" s="7">
        <f>ROUND(Wapato_Inventory[[#This Row],[detatched_value]]*Lookups!$B$22*Lookups!$H$48,-2)</f>
        <v>11200</v>
      </c>
      <c r="BI305" s="7">
        <f>ROUND(((Wapato_Inventory[[#This Row],[land_extract]]*Lookups!$B$3) +(Lookups!$B$2*0.5))*Lookups!$H$48,-2)</f>
        <v>54900</v>
      </c>
      <c r="BJ305" s="7">
        <f>IF(Wapato_Inventory[[#This Row],[bldg_style]]="",0,Lookups!$B$2*0.5)</f>
        <v>53765.27</v>
      </c>
      <c r="BK305" s="7">
        <f>_xlfn.IFNA(VLOOKUP(Wapato_Inventory[[#This Row],[quality]],Lookups!$H$2:$J$14,3,FALSE),0)</f>
        <v>48043</v>
      </c>
      <c r="BL305" s="7">
        <f>_xlfn.IFNA(VLOOKUP(Wapato_Inventory[[#This Row],[condition]],Lookups!$H$17:$J$24,3,FALSE),0)</f>
        <v>52231</v>
      </c>
      <c r="BM305" s="7">
        <f>Wapato_Inventory[[#This Row],[Age]]*Lookups!$B$16</f>
        <v>-35214.191500000001</v>
      </c>
      <c r="BN305" s="7">
        <f>Wapato_Inventory[[#This Row],[Main Floor]]*Lookups!$B$17</f>
        <v>52501.728184</v>
      </c>
      <c r="BO305" s="7">
        <f>Wapato_Inventory[[#This Row],[Upper Floor]]*Lookups!$B$18</f>
        <v>16665.982704000002</v>
      </c>
      <c r="BP305" s="7">
        <f>Wapato_Inventory[[#This Row],[Fin BSMT]]*Lookups!$B$19</f>
        <v>0</v>
      </c>
      <c r="BQ305" s="7">
        <f>(Wapato_Inventory[[#This Row],[att_gar]]+Wapato_Inventory[[#This Row],[blt_gar]])*Lookups!$B$20</f>
        <v>0</v>
      </c>
      <c r="BR305" s="7">
        <f>Wapato_Inventory[[#This Row],[Patio]]*Lookups!$B$21</f>
        <v>19712.410445000001</v>
      </c>
      <c r="BS305" s="7">
        <f>SUM(Wapato_Inventory[[#This Row],[intercept]:[patio_value]])*Wapato_Inventory[[#This Row],[res_pct]]</f>
        <v>207705.19983299996</v>
      </c>
      <c r="BT305" s="7">
        <f>Wapato_Inventory[[#This Row],[land_value]]</f>
        <v>54900</v>
      </c>
      <c r="BU305" s="2">
        <f>_xlfn.IFNA(VLOOKUP(Wapato_Inventory[[#This Row],[quality]],Lookups!$A$28:$C$37,3,FALSE),1)</f>
        <v>0.98196844879778955</v>
      </c>
      <c r="BV305" s="2">
        <f>_xlfn.IFNA(VLOOKUP(Wapato_Inventory[[#This Row],[condition]],Lookups!$A$41:$C$48,3,FALSE),1)</f>
        <v>0.9832333997567807</v>
      </c>
      <c r="BW305" s="2">
        <f>IF(Wapato_Inventory[[#This Row],[decade]]="",1,_xlfn.IFNA(VLOOKUP(Wapato_Inventory[[#This Row],[decade]],Lookups!$F$28:$H$45,3,FALSE),1))</f>
        <v>1.0114203040664467</v>
      </c>
      <c r="BX305" s="2">
        <f>_xlfn.IFNA(VLOOKUP(Wapato_Inventory[[#This Row],[living_area_range]],Lookups!$K$28:$M$37,3,FALSE),1)</f>
        <v>0.99330894324714125</v>
      </c>
      <c r="BY305" s="2">
        <f>AVERAGE(Wapato_Inventory[[#This Row],[qual_adj]:[range_adj]])</f>
        <v>0.99248277396703954</v>
      </c>
      <c r="BZ305" s="7">
        <f>(Wapato_Inventory[[#This Row],[sum_land]]-IF(Wapato_Inventory[[#This Row],[no_utilities]]=1,12000,0))/IF(Wapato_Inventory[[#This Row],[unbuildable]]=1,2,1)</f>
        <v>54900</v>
      </c>
      <c r="CA305" s="7">
        <f>Wapato_Inventory[[#This Row],[pre_res]]*Wapato_Inventory[[#This Row],[overall_adj]]</f>
        <v>206143.83289763407</v>
      </c>
      <c r="CB305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305" s="3">
        <f>IF(ROUND(Wapato_Inventory[[#This Row],[adj_res]]*Lookups!$H$48,-2)&lt;Wapato_Inventory[[#This Row],[min_res]],Wapato_Inventory[[#This Row],[min_res]],ROUND(Wapato_Inventory[[#This Row],[adj_res]]*Lookups!$H$48,-2))</f>
        <v>195800</v>
      </c>
      <c r="CD305" s="3">
        <f>ROUND(Wapato_Inventory[[#This Row],[det_value]]*Lookups!$H$48,-2)</f>
        <v>10600</v>
      </c>
      <c r="CE305" s="3">
        <f>Wapato_Inventory[[#This Row],[final_res]]+Wapato_Inventory[[#This Row],[final_det]]</f>
        <v>206400</v>
      </c>
      <c r="CF305" s="3">
        <f>Wapato_Inventory[[#This Row],[crop_value]]+Wapato_Inventory[[#This Row],[final_land]]+Wapato_Inventory[[#This Row],[final_imp]]</f>
        <v>258600</v>
      </c>
      <c r="CH305" t="str">
        <f t="shared" si="4"/>
        <v>update valuation set market_land =52200, market_bldg=206400, market_total =258600, market_mdno =405, market_date ='9/10/2023' where link_id = (select link_id from parcel where parcel_year = '2024' and parcel_id = '19111042442');</v>
      </c>
    </row>
    <row r="306" spans="1:86" x14ac:dyDescent="0.25">
      <c r="A306">
        <v>19111042443</v>
      </c>
      <c r="B306">
        <v>0.49</v>
      </c>
      <c r="C306" t="s">
        <v>144</v>
      </c>
      <c r="D306" t="s">
        <v>144</v>
      </c>
      <c r="E306" t="s">
        <v>54</v>
      </c>
      <c r="F306" t="s">
        <v>54</v>
      </c>
      <c r="G306">
        <v>3</v>
      </c>
      <c r="H306" t="s">
        <v>55</v>
      </c>
      <c r="I306">
        <v>356700</v>
      </c>
      <c r="J306">
        <v>40800</v>
      </c>
      <c r="K306">
        <v>0.49</v>
      </c>
      <c r="L306">
        <f>IF(Wapato_Inventory[[#This Row],[parcel_acres]]-Wapato_Inventory[[#This Row],[non_valued_acres]] =0,0,LN(Wapato_Inventory[[#This Row],[parcel_acres]]-Wapato_Inventory[[#This Row],[non_valued_acres]]))</f>
        <v>-0.71334988787746478</v>
      </c>
      <c r="M306">
        <v>0</v>
      </c>
      <c r="N306">
        <v>0</v>
      </c>
      <c r="O306">
        <v>0</v>
      </c>
      <c r="P306">
        <v>27904.037</v>
      </c>
      <c r="Q306">
        <v>74398</v>
      </c>
      <c r="R306" s="3">
        <f>(Wapato_Inventory[[#This Row],[ln_acres]]*Wapato_Inventory[[#This Row],[coeff]])+Wapato_Inventory[[#This Row],[const]]</f>
        <v>54492.658334721375</v>
      </c>
      <c r="S306" t="s">
        <v>62</v>
      </c>
      <c r="T306">
        <v>1</v>
      </c>
      <c r="U306" t="s">
        <v>65</v>
      </c>
      <c r="V306" t="s">
        <v>69</v>
      </c>
      <c r="W306">
        <v>0</v>
      </c>
      <c r="X306">
        <v>0</v>
      </c>
      <c r="Y306">
        <v>33</v>
      </c>
      <c r="Z306">
        <v>50</v>
      </c>
      <c r="AA306">
        <v>50</v>
      </c>
      <c r="AB306">
        <v>3000</v>
      </c>
      <c r="AC306">
        <v>2716</v>
      </c>
      <c r="AD306">
        <v>2716</v>
      </c>
      <c r="AE306">
        <v>0</v>
      </c>
      <c r="AF306">
        <v>0</v>
      </c>
      <c r="AG306">
        <v>0</v>
      </c>
      <c r="AH306">
        <v>0</v>
      </c>
      <c r="AI306">
        <v>380</v>
      </c>
      <c r="AJ306">
        <v>0</v>
      </c>
      <c r="AK306">
        <v>0</v>
      </c>
      <c r="AL306">
        <v>384</v>
      </c>
      <c r="AM306">
        <v>100</v>
      </c>
      <c r="AN306">
        <v>0</v>
      </c>
      <c r="AO306">
        <v>0</v>
      </c>
      <c r="AP306">
        <v>13</v>
      </c>
      <c r="AQ306">
        <v>0</v>
      </c>
      <c r="AR306">
        <v>1</v>
      </c>
      <c r="AS306" t="s">
        <v>59</v>
      </c>
      <c r="AT306">
        <v>1</v>
      </c>
      <c r="AU306" t="s">
        <v>64</v>
      </c>
      <c r="AV306" t="s">
        <v>65</v>
      </c>
      <c r="AW306">
        <v>1</v>
      </c>
      <c r="AX306">
        <v>5</v>
      </c>
      <c r="AY306">
        <v>0</v>
      </c>
      <c r="AZ306">
        <v>0</v>
      </c>
      <c r="BA306">
        <v>100</v>
      </c>
      <c r="BB306">
        <v>100</v>
      </c>
      <c r="BC306">
        <v>100</v>
      </c>
      <c r="BD306">
        <v>100</v>
      </c>
      <c r="BE306">
        <v>1</v>
      </c>
      <c r="BF306">
        <v>15000</v>
      </c>
      <c r="BG306">
        <v>1000</v>
      </c>
      <c r="BH306" s="7">
        <f>ROUND(Wapato_Inventory[[#This Row],[detatched_value]]*Lookups!$B$22*Lookups!$H$48,-2)</f>
        <v>0</v>
      </c>
      <c r="BI306" s="7">
        <f>ROUND(((Wapato_Inventory[[#This Row],[land_extract]]*Lookups!$B$3) +(Lookups!$B$2*0.5))*Lookups!$H$48,-2)</f>
        <v>56300</v>
      </c>
      <c r="BJ306" s="7">
        <f>IF(Wapato_Inventory[[#This Row],[bldg_style]]="",0,Lookups!$B$2*0.5)</f>
        <v>53765.27</v>
      </c>
      <c r="BK306" s="7">
        <f>_xlfn.IFNA(VLOOKUP(Wapato_Inventory[[#This Row],[quality]],Lookups!$H$2:$J$14,3,FALSE),0)</f>
        <v>92307</v>
      </c>
      <c r="BL306" s="7">
        <f>_xlfn.IFNA(VLOOKUP(Wapato_Inventory[[#This Row],[condition]],Lookups!$H$17:$J$24,3,FALSE),0)</f>
        <v>74543</v>
      </c>
      <c r="BM306" s="7">
        <f>Wapato_Inventory[[#This Row],[Age]]*Lookups!$B$16</f>
        <v>-18533.785</v>
      </c>
      <c r="BN306" s="7">
        <f>Wapato_Inventory[[#This Row],[Main Floor]]*Lookups!$B$17</f>
        <v>113530.807124</v>
      </c>
      <c r="BO306" s="7">
        <f>Wapato_Inventory[[#This Row],[Upper Floor]]*Lookups!$B$18</f>
        <v>0</v>
      </c>
      <c r="BP306" s="7">
        <f>Wapato_Inventory[[#This Row],[Fin BSMT]]*Lookups!$B$19</f>
        <v>0</v>
      </c>
      <c r="BQ306" s="7">
        <f>(Wapato_Inventory[[#This Row],[att_gar]]+Wapato_Inventory[[#This Row],[blt_gar]])*Lookups!$B$20</f>
        <v>14063.32576</v>
      </c>
      <c r="BR306" s="7">
        <f>Wapato_Inventory[[#This Row],[Patio]]*Lookups!$B$21</f>
        <v>4332.3978999999999</v>
      </c>
      <c r="BS306" s="7">
        <f>SUM(Wapato_Inventory[[#This Row],[intercept]:[patio_value]])*Wapato_Inventory[[#This Row],[res_pct]]</f>
        <v>334008.01578399993</v>
      </c>
      <c r="BT306" s="7">
        <f>Wapato_Inventory[[#This Row],[land_value]]</f>
        <v>56300</v>
      </c>
      <c r="BU306" s="2">
        <f>_xlfn.IFNA(VLOOKUP(Wapato_Inventory[[#This Row],[quality]],Lookups!$A$28:$C$37,3,FALSE),1)</f>
        <v>1.0013727718490204</v>
      </c>
      <c r="BV306" s="2">
        <f>_xlfn.IFNA(VLOOKUP(Wapato_Inventory[[#This Row],[condition]],Lookups!$A$41:$C$48,3,FALSE),1)</f>
        <v>0.98442438223270734</v>
      </c>
      <c r="BW306" s="2">
        <f>IF(Wapato_Inventory[[#This Row],[decade]]="",1,_xlfn.IFNA(VLOOKUP(Wapato_Inventory[[#This Row],[decade]],Lookups!$F$28:$H$45,3,FALSE),1))</f>
        <v>0.96240333884358298</v>
      </c>
      <c r="BX306" s="2">
        <f>_xlfn.IFNA(VLOOKUP(Wapato_Inventory[[#This Row],[living_area_range]],Lookups!$K$28:$M$37,3,FALSE),1)</f>
        <v>1.0155869662067822</v>
      </c>
      <c r="BY306" s="2">
        <f>AVERAGE(Wapato_Inventory[[#This Row],[qual_adj]:[range_adj]])</f>
        <v>0.9909468647830233</v>
      </c>
      <c r="BZ306" s="7">
        <f>(Wapato_Inventory[[#This Row],[sum_land]]-IF(Wapato_Inventory[[#This Row],[no_utilities]]=1,12000,0))/IF(Wapato_Inventory[[#This Row],[unbuildable]]=1,2,1)</f>
        <v>56300</v>
      </c>
      <c r="CA306" s="7">
        <f>Wapato_Inventory[[#This Row],[pre_res]]*Wapato_Inventory[[#This Row],[overall_adj]]</f>
        <v>330984.19605355331</v>
      </c>
      <c r="CB306" s="3">
        <f>IF(ROUND(Wapato_Inventory[[#This Row],[adj_land]]*Lookups!$H$48,-2)&lt;Wapato_Inventory[[#This Row],[min_land]],Wapato_Inventory[[#This Row],[min_land]],ROUND(Wapato_Inventory[[#This Row],[adj_land]]*Lookups!$H$48,-2))</f>
        <v>53500</v>
      </c>
      <c r="CC306" s="3">
        <f>IF(ROUND(Wapato_Inventory[[#This Row],[adj_res]]*Lookups!$H$48,-2)&lt;Wapato_Inventory[[#This Row],[min_res]],Wapato_Inventory[[#This Row],[min_res]],ROUND(Wapato_Inventory[[#This Row],[adj_res]]*Lookups!$H$48,-2))</f>
        <v>314400</v>
      </c>
      <c r="CD306" s="3">
        <f>ROUND(Wapato_Inventory[[#This Row],[det_value]]*Lookups!$H$48,-2)</f>
        <v>0</v>
      </c>
      <c r="CE306" s="3">
        <f>Wapato_Inventory[[#This Row],[final_res]]+Wapato_Inventory[[#This Row],[final_det]]</f>
        <v>314400</v>
      </c>
      <c r="CF306" s="3">
        <f>Wapato_Inventory[[#This Row],[crop_value]]+Wapato_Inventory[[#This Row],[final_land]]+Wapato_Inventory[[#This Row],[final_imp]]</f>
        <v>367900</v>
      </c>
      <c r="CH306" t="str">
        <f t="shared" si="4"/>
        <v>update valuation set market_land =53500, market_bldg=314400, market_total =367900, market_mdno =405, market_date ='9/10/2023' where link_id = (select link_id from parcel where parcel_year = '2024' and parcel_id = '19111042443');</v>
      </c>
    </row>
    <row r="307" spans="1:86" x14ac:dyDescent="0.25">
      <c r="A307">
        <v>19111042447</v>
      </c>
      <c r="B307">
        <v>0.17</v>
      </c>
      <c r="C307">
        <v>7499</v>
      </c>
      <c r="D307" t="s">
        <v>144</v>
      </c>
      <c r="E307" t="s">
        <v>54</v>
      </c>
      <c r="F307" t="s">
        <v>54</v>
      </c>
      <c r="G307">
        <v>3</v>
      </c>
      <c r="H307" t="s">
        <v>55</v>
      </c>
      <c r="I307">
        <v>59300</v>
      </c>
      <c r="J307">
        <v>33200</v>
      </c>
      <c r="K307">
        <v>0.17</v>
      </c>
      <c r="L307">
        <f>IF(Wapato_Inventory[[#This Row],[parcel_acres]]-Wapato_Inventory[[#This Row],[non_valued_acres]] =0,0,LN(Wapato_Inventory[[#This Row],[parcel_acres]]-Wapato_Inventory[[#This Row],[non_valued_acres]]))</f>
        <v>-1.7719568419318752</v>
      </c>
      <c r="M307">
        <v>0</v>
      </c>
      <c r="N307">
        <v>0</v>
      </c>
      <c r="O307">
        <v>0</v>
      </c>
      <c r="P307">
        <v>27904.037</v>
      </c>
      <c r="Q307">
        <v>74398</v>
      </c>
      <c r="R307" s="3">
        <f>(Wapato_Inventory[[#This Row],[ln_acres]]*Wapato_Inventory[[#This Row],[coeff]])+Wapato_Inventory[[#This Row],[const]]</f>
        <v>24953.250720329801</v>
      </c>
      <c r="S307" t="s">
        <v>66</v>
      </c>
      <c r="T307">
        <v>1</v>
      </c>
      <c r="U307" t="s">
        <v>86</v>
      </c>
      <c r="V307" t="s">
        <v>68</v>
      </c>
      <c r="W307">
        <v>0</v>
      </c>
      <c r="X307">
        <v>0</v>
      </c>
      <c r="Y307">
        <v>50</v>
      </c>
      <c r="Z307">
        <v>73</v>
      </c>
      <c r="AA307">
        <v>80</v>
      </c>
      <c r="AB307">
        <v>500</v>
      </c>
      <c r="AC307">
        <v>368</v>
      </c>
      <c r="AD307">
        <v>368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156</v>
      </c>
      <c r="AP307">
        <v>5</v>
      </c>
      <c r="AQ307">
        <v>0</v>
      </c>
      <c r="AR307">
        <v>0</v>
      </c>
      <c r="AS307" t="s">
        <v>59</v>
      </c>
      <c r="AT307">
        <v>1</v>
      </c>
      <c r="AU307" t="s">
        <v>72</v>
      </c>
      <c r="AV307" t="s">
        <v>61</v>
      </c>
      <c r="AW307">
        <v>0</v>
      </c>
      <c r="AX307">
        <v>1</v>
      </c>
      <c r="AY307">
        <v>0</v>
      </c>
      <c r="AZ307">
        <v>0</v>
      </c>
      <c r="BA307">
        <v>100</v>
      </c>
      <c r="BB307">
        <v>100</v>
      </c>
      <c r="BC307">
        <v>100</v>
      </c>
      <c r="BD307">
        <v>100</v>
      </c>
      <c r="BE307">
        <v>1</v>
      </c>
      <c r="BF307">
        <v>15000</v>
      </c>
      <c r="BG307">
        <v>1000</v>
      </c>
      <c r="BH307" s="7">
        <f>ROUND(Wapato_Inventory[[#This Row],[detatched_value]]*Lookups!$B$22*Lookups!$H$48,-2)</f>
        <v>0</v>
      </c>
      <c r="BI307" s="7">
        <f>ROUND(((Wapato_Inventory[[#This Row],[land_extract]]*Lookups!$B$3) +(Lookups!$B$2*0.5))*Lookups!$H$48,-2)</f>
        <v>53500</v>
      </c>
      <c r="BJ307" s="7">
        <f>IF(Wapato_Inventory[[#This Row],[bldg_style]]="",0,Lookups!$B$2*0.5)</f>
        <v>53765.27</v>
      </c>
      <c r="BK307" s="7">
        <f>_xlfn.IFNA(VLOOKUP(Wapato_Inventory[[#This Row],[quality]],Lookups!$H$2:$J$14,3,FALSE),0)</f>
        <v>0</v>
      </c>
      <c r="BL307" s="7">
        <f>_xlfn.IFNA(VLOOKUP(Wapato_Inventory[[#This Row],[condition]],Lookups!$H$17:$J$24,3,FALSE),0)</f>
        <v>52231</v>
      </c>
      <c r="BM307" s="7">
        <f>Wapato_Inventory[[#This Row],[Age]]*Lookups!$B$16</f>
        <v>-27059.326100000002</v>
      </c>
      <c r="BN307" s="7">
        <f>Wapato_Inventory[[#This Row],[Main Floor]]*Lookups!$B$17</f>
        <v>15382.671952000001</v>
      </c>
      <c r="BO307" s="7">
        <f>Wapato_Inventory[[#This Row],[Upper Floor]]*Lookups!$B$18</f>
        <v>0</v>
      </c>
      <c r="BP307" s="7">
        <f>Wapato_Inventory[[#This Row],[Fin BSMT]]*Lookups!$B$19</f>
        <v>0</v>
      </c>
      <c r="BQ307" s="7">
        <f>(Wapato_Inventory[[#This Row],[att_gar]]+Wapato_Inventory[[#This Row],[blt_gar]])*Lookups!$B$20</f>
        <v>0</v>
      </c>
      <c r="BR307" s="7">
        <f>Wapato_Inventory[[#This Row],[Patio]]*Lookups!$B$21</f>
        <v>0</v>
      </c>
      <c r="BS307" s="7">
        <f>SUM(Wapato_Inventory[[#This Row],[intercept]:[patio_value]])*Wapato_Inventory[[#This Row],[res_pct]]</f>
        <v>94319.615851999988</v>
      </c>
      <c r="BT307" s="7">
        <f>Wapato_Inventory[[#This Row],[land_value]]</f>
        <v>53500</v>
      </c>
      <c r="BU307" s="2">
        <f>_xlfn.IFNA(VLOOKUP(Wapato_Inventory[[#This Row],[quality]],Lookups!$A$28:$C$37,3,FALSE),1)</f>
        <v>1.0000010866511106</v>
      </c>
      <c r="BV307" s="2">
        <f>_xlfn.IFNA(VLOOKUP(Wapato_Inventory[[#This Row],[condition]],Lookups!$A$41:$C$48,3,FALSE),1)</f>
        <v>0.9832333997567807</v>
      </c>
      <c r="BW307" s="2">
        <f>IF(Wapato_Inventory[[#This Row],[decade]]="",1,_xlfn.IFNA(VLOOKUP(Wapato_Inventory[[#This Row],[decade]],Lookups!$F$28:$H$45,3,FALSE),1))</f>
        <v>0.8438929209510081</v>
      </c>
      <c r="BX307" s="2">
        <f>_xlfn.IFNA(VLOOKUP(Wapato_Inventory[[#This Row],[living_area_range]],Lookups!$K$28:$M$37,3,FALSE),1)</f>
        <v>0.62984720518148585</v>
      </c>
      <c r="BY307" s="2">
        <f>AVERAGE(Wapato_Inventory[[#This Row],[qual_adj]:[range_adj]])</f>
        <v>0.86424365313509632</v>
      </c>
      <c r="BZ307" s="7">
        <f>(Wapato_Inventory[[#This Row],[sum_land]]-IF(Wapato_Inventory[[#This Row],[no_utilities]]=1,12000,0))/IF(Wapato_Inventory[[#This Row],[unbuildable]]=1,2,1)</f>
        <v>53500</v>
      </c>
      <c r="CA307" s="7">
        <f>Wapato_Inventory[[#This Row],[pre_res]]*Wapato_Inventory[[#This Row],[overall_adj]]</f>
        <v>81515.129366231413</v>
      </c>
      <c r="CB307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307" s="3">
        <f>IF(ROUND(Wapato_Inventory[[#This Row],[adj_res]]*Lookups!$H$48,-2)&lt;Wapato_Inventory[[#This Row],[min_res]],Wapato_Inventory[[#This Row],[min_res]],ROUND(Wapato_Inventory[[#This Row],[adj_res]]*Lookups!$H$48,-2))</f>
        <v>77400</v>
      </c>
      <c r="CD307" s="3">
        <f>ROUND(Wapato_Inventory[[#This Row],[det_value]]*Lookups!$H$48,-2)</f>
        <v>0</v>
      </c>
      <c r="CE307" s="3">
        <f>Wapato_Inventory[[#This Row],[final_res]]+Wapato_Inventory[[#This Row],[final_det]]</f>
        <v>77400</v>
      </c>
      <c r="CF307" s="3">
        <f>Wapato_Inventory[[#This Row],[crop_value]]+Wapato_Inventory[[#This Row],[final_land]]+Wapato_Inventory[[#This Row],[final_imp]]</f>
        <v>128200</v>
      </c>
      <c r="CH307" t="str">
        <f t="shared" si="4"/>
        <v>update valuation set market_land =50800, market_bldg=77400, market_total =128200, market_mdno =405, market_date ='9/10/2023' where link_id = (select link_id from parcel where parcel_year = '2024' and parcel_id = '19111042447');</v>
      </c>
    </row>
    <row r="308" spans="1:86" x14ac:dyDescent="0.25">
      <c r="A308">
        <v>19111042449</v>
      </c>
      <c r="B308">
        <v>0.28000000000000003</v>
      </c>
      <c r="C308">
        <v>11986</v>
      </c>
      <c r="D308" t="s">
        <v>144</v>
      </c>
      <c r="E308" t="s">
        <v>54</v>
      </c>
      <c r="F308" t="s">
        <v>54</v>
      </c>
      <c r="G308">
        <v>3</v>
      </c>
      <c r="H308" t="s">
        <v>55</v>
      </c>
      <c r="I308">
        <v>112900</v>
      </c>
      <c r="J308">
        <v>36800</v>
      </c>
      <c r="K308">
        <v>0.28000000000000003</v>
      </c>
      <c r="L308">
        <f>IF(Wapato_Inventory[[#This Row],[parcel_acres]]-Wapato_Inventory[[#This Row],[non_valued_acres]] =0,0,LN(Wapato_Inventory[[#This Row],[parcel_acres]]-Wapato_Inventory[[#This Row],[non_valued_acres]]))</f>
        <v>-1.2729656758128873</v>
      </c>
      <c r="M308">
        <v>0</v>
      </c>
      <c r="N308">
        <v>0</v>
      </c>
      <c r="O308">
        <v>0</v>
      </c>
      <c r="P308">
        <v>27904.037</v>
      </c>
      <c r="Q308">
        <v>74398</v>
      </c>
      <c r="R308" s="3">
        <f>(Wapato_Inventory[[#This Row],[ln_acres]]*Wapato_Inventory[[#This Row],[coeff]])+Wapato_Inventory[[#This Row],[const]]</f>
        <v>38877.118682387183</v>
      </c>
      <c r="S308" t="s">
        <v>66</v>
      </c>
      <c r="T308">
        <v>1</v>
      </c>
      <c r="U308" t="s">
        <v>71</v>
      </c>
      <c r="V308" t="s">
        <v>69</v>
      </c>
      <c r="W308">
        <v>0</v>
      </c>
      <c r="X308">
        <v>0</v>
      </c>
      <c r="Y308">
        <v>60</v>
      </c>
      <c r="Z308">
        <v>108</v>
      </c>
      <c r="AA308">
        <v>110</v>
      </c>
      <c r="AB308">
        <v>1000</v>
      </c>
      <c r="AC308">
        <v>728</v>
      </c>
      <c r="AD308">
        <v>728</v>
      </c>
      <c r="AE308">
        <v>0</v>
      </c>
      <c r="AF308">
        <v>0</v>
      </c>
      <c r="AG308">
        <v>0</v>
      </c>
      <c r="AH308">
        <v>728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5</v>
      </c>
      <c r="AQ308">
        <v>0</v>
      </c>
      <c r="AR308">
        <v>0</v>
      </c>
      <c r="AS308" t="s">
        <v>59</v>
      </c>
      <c r="AT308">
        <v>1</v>
      </c>
      <c r="AU308" t="s">
        <v>76</v>
      </c>
      <c r="AV308" t="s">
        <v>65</v>
      </c>
      <c r="AW308">
        <v>0</v>
      </c>
      <c r="AX308">
        <v>2</v>
      </c>
      <c r="AY308">
        <v>0</v>
      </c>
      <c r="AZ308">
        <v>5200</v>
      </c>
      <c r="BA308">
        <v>100</v>
      </c>
      <c r="BB308">
        <v>100</v>
      </c>
      <c r="BC308">
        <v>100</v>
      </c>
      <c r="BD308">
        <v>100</v>
      </c>
      <c r="BE308">
        <v>1</v>
      </c>
      <c r="BF308">
        <v>15000</v>
      </c>
      <c r="BG308">
        <v>1000</v>
      </c>
      <c r="BH308" s="7">
        <f>ROUND(Wapato_Inventory[[#This Row],[detatched_value]]*Lookups!$B$22*Lookups!$H$48,-2)</f>
        <v>4600</v>
      </c>
      <c r="BI308" s="7">
        <f>ROUND(((Wapato_Inventory[[#This Row],[land_extract]]*Lookups!$B$3) +(Lookups!$B$2*0.5))*Lookups!$H$48,-2)</f>
        <v>54800</v>
      </c>
      <c r="BJ308" s="7">
        <f>IF(Wapato_Inventory[[#This Row],[bldg_style]]="",0,Lookups!$B$2*0.5)</f>
        <v>53765.27</v>
      </c>
      <c r="BK308" s="7">
        <f>_xlfn.IFNA(VLOOKUP(Wapato_Inventory[[#This Row],[quality]],Lookups!$H$2:$J$14,3,FALSE),0)</f>
        <v>28034</v>
      </c>
      <c r="BL308" s="7">
        <f>_xlfn.IFNA(VLOOKUP(Wapato_Inventory[[#This Row],[condition]],Lookups!$H$17:$J$24,3,FALSE),0)</f>
        <v>74543</v>
      </c>
      <c r="BM308" s="7">
        <f>Wapato_Inventory[[#This Row],[Age]]*Lookups!$B$16</f>
        <v>-40032.975599999998</v>
      </c>
      <c r="BN308" s="7">
        <f>Wapato_Inventory[[#This Row],[Main Floor]]*Lookups!$B$17</f>
        <v>30430.937991999999</v>
      </c>
      <c r="BO308" s="7">
        <f>Wapato_Inventory[[#This Row],[Upper Floor]]*Lookups!$B$18</f>
        <v>0</v>
      </c>
      <c r="BP308" s="7">
        <f>Wapato_Inventory[[#This Row],[Fin BSMT]]*Lookups!$B$19</f>
        <v>0</v>
      </c>
      <c r="BQ308" s="7">
        <f>(Wapato_Inventory[[#This Row],[att_gar]]+Wapato_Inventory[[#This Row],[blt_gar]])*Lookups!$B$20</f>
        <v>0</v>
      </c>
      <c r="BR308" s="7">
        <f>Wapato_Inventory[[#This Row],[Patio]]*Lookups!$B$21</f>
        <v>0</v>
      </c>
      <c r="BS308" s="7">
        <f>SUM(Wapato_Inventory[[#This Row],[intercept]:[patio_value]])*Wapato_Inventory[[#This Row],[res_pct]]</f>
        <v>146740.23239199998</v>
      </c>
      <c r="BT308" s="7">
        <f>Wapato_Inventory[[#This Row],[land_value]]</f>
        <v>54800</v>
      </c>
      <c r="BU308" s="2">
        <f>_xlfn.IFNA(VLOOKUP(Wapato_Inventory[[#This Row],[quality]],Lookups!$A$28:$C$37,3,FALSE),1)</f>
        <v>0.96265813922927435</v>
      </c>
      <c r="BV308" s="2">
        <f>_xlfn.IFNA(VLOOKUP(Wapato_Inventory[[#This Row],[condition]],Lookups!$A$41:$C$48,3,FALSE),1)</f>
        <v>0.98442438223270734</v>
      </c>
      <c r="BW308" s="2">
        <f>IF(Wapato_Inventory[[#This Row],[decade]]="",1,_xlfn.IFNA(VLOOKUP(Wapato_Inventory[[#This Row],[decade]],Lookups!$F$28:$H$45,3,FALSE),1))</f>
        <v>0.93664589651353292</v>
      </c>
      <c r="BX308" s="2">
        <f>_xlfn.IFNA(VLOOKUP(Wapato_Inventory[[#This Row],[living_area_range]],Lookups!$K$28:$M$37,3,FALSE),1)</f>
        <v>0.99022994770196116</v>
      </c>
      <c r="BY308" s="2">
        <f>AVERAGE(Wapato_Inventory[[#This Row],[qual_adj]:[range_adj]])</f>
        <v>0.96848959141936886</v>
      </c>
      <c r="BZ308" s="7">
        <f>(Wapato_Inventory[[#This Row],[sum_land]]-IF(Wapato_Inventory[[#This Row],[no_utilities]]=1,12000,0))/IF(Wapato_Inventory[[#This Row],[unbuildable]]=1,2,1)</f>
        <v>54800</v>
      </c>
      <c r="CA308" s="7">
        <f>Wapato_Inventory[[#This Row],[pre_res]]*Wapato_Inventory[[#This Row],[overall_adj]]</f>
        <v>142116.3877141113</v>
      </c>
      <c r="CB308" s="3">
        <f>IF(ROUND(Wapato_Inventory[[#This Row],[adj_land]]*Lookups!$H$48,-2)&lt;Wapato_Inventory[[#This Row],[min_land]],Wapato_Inventory[[#This Row],[min_land]],ROUND(Wapato_Inventory[[#This Row],[adj_land]]*Lookups!$H$48,-2))</f>
        <v>52100</v>
      </c>
      <c r="CC308" s="3">
        <f>IF(ROUND(Wapato_Inventory[[#This Row],[adj_res]]*Lookups!$H$48,-2)&lt;Wapato_Inventory[[#This Row],[min_res]],Wapato_Inventory[[#This Row],[min_res]],ROUND(Wapato_Inventory[[#This Row],[adj_res]]*Lookups!$H$48,-2))</f>
        <v>135000</v>
      </c>
      <c r="CD308" s="3">
        <f>ROUND(Wapato_Inventory[[#This Row],[det_value]]*Lookups!$H$48,-2)</f>
        <v>4400</v>
      </c>
      <c r="CE308" s="3">
        <f>Wapato_Inventory[[#This Row],[final_res]]+Wapato_Inventory[[#This Row],[final_det]]</f>
        <v>139400</v>
      </c>
      <c r="CF308" s="3">
        <f>Wapato_Inventory[[#This Row],[crop_value]]+Wapato_Inventory[[#This Row],[final_land]]+Wapato_Inventory[[#This Row],[final_imp]]</f>
        <v>191500</v>
      </c>
      <c r="CH308" t="str">
        <f t="shared" si="4"/>
        <v>update valuation set market_land =52100, market_bldg=139400, market_total =191500, market_mdno =405, market_date ='9/10/2023' where link_id = (select link_id from parcel where parcel_year = '2024' and parcel_id = '19111042449');</v>
      </c>
    </row>
    <row r="309" spans="1:86" x14ac:dyDescent="0.25">
      <c r="A309">
        <v>19111042452</v>
      </c>
      <c r="B309">
        <v>0.16</v>
      </c>
      <c r="C309">
        <v>6771</v>
      </c>
      <c r="D309" t="s">
        <v>144</v>
      </c>
      <c r="E309" t="s">
        <v>54</v>
      </c>
      <c r="F309" t="s">
        <v>54</v>
      </c>
      <c r="G309">
        <v>3</v>
      </c>
      <c r="H309" t="s">
        <v>55</v>
      </c>
      <c r="I309">
        <v>109800</v>
      </c>
      <c r="J309">
        <v>32800</v>
      </c>
      <c r="K309">
        <v>0.16</v>
      </c>
      <c r="L309">
        <f>IF(Wapato_Inventory[[#This Row],[parcel_acres]]-Wapato_Inventory[[#This Row],[non_valued_acres]] =0,0,LN(Wapato_Inventory[[#This Row],[parcel_acres]]-Wapato_Inventory[[#This Row],[non_valued_acres]]))</f>
        <v>-1.8325814637483102</v>
      </c>
      <c r="M309">
        <v>0</v>
      </c>
      <c r="N309">
        <v>0</v>
      </c>
      <c r="O309">
        <v>0</v>
      </c>
      <c r="P309">
        <v>27904.037</v>
      </c>
      <c r="Q309">
        <v>74398</v>
      </c>
      <c r="R309" s="3">
        <f>(Wapato_Inventory[[#This Row],[ln_acres]]*Wapato_Inventory[[#This Row],[coeff]])+Wapato_Inventory[[#This Row],[const]]</f>
        <v>23261.579030052992</v>
      </c>
      <c r="S309" t="s">
        <v>66</v>
      </c>
      <c r="T309">
        <v>1</v>
      </c>
      <c r="U309" t="s">
        <v>71</v>
      </c>
      <c r="V309" t="s">
        <v>68</v>
      </c>
      <c r="W309">
        <v>0</v>
      </c>
      <c r="X309">
        <v>0</v>
      </c>
      <c r="Y309">
        <v>57</v>
      </c>
      <c r="Z309">
        <v>102</v>
      </c>
      <c r="AA309">
        <v>110</v>
      </c>
      <c r="AB309">
        <v>1000</v>
      </c>
      <c r="AC309">
        <v>896</v>
      </c>
      <c r="AD309">
        <v>896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5</v>
      </c>
      <c r="AQ309">
        <v>0</v>
      </c>
      <c r="AR309">
        <v>0</v>
      </c>
      <c r="AS309" t="s">
        <v>59</v>
      </c>
      <c r="AT309">
        <v>0</v>
      </c>
      <c r="AU309" t="s">
        <v>80</v>
      </c>
      <c r="AV309" t="s">
        <v>61</v>
      </c>
      <c r="AW309">
        <v>0</v>
      </c>
      <c r="AX309">
        <v>1</v>
      </c>
      <c r="AY309">
        <v>0</v>
      </c>
      <c r="AZ309">
        <v>0</v>
      </c>
      <c r="BA309">
        <v>100</v>
      </c>
      <c r="BB309">
        <v>100</v>
      </c>
      <c r="BC309">
        <v>100</v>
      </c>
      <c r="BD309">
        <v>100</v>
      </c>
      <c r="BE309">
        <v>1</v>
      </c>
      <c r="BF309">
        <v>15000</v>
      </c>
      <c r="BG309">
        <v>1000</v>
      </c>
      <c r="BH309" s="7">
        <f>ROUND(Wapato_Inventory[[#This Row],[detatched_value]]*Lookups!$B$22*Lookups!$H$48,-2)</f>
        <v>0</v>
      </c>
      <c r="BI309" s="7">
        <f>ROUND(((Wapato_Inventory[[#This Row],[land_extract]]*Lookups!$B$3) +(Lookups!$B$2*0.5))*Lookups!$H$48,-2)</f>
        <v>53300</v>
      </c>
      <c r="BJ309" s="7">
        <f>IF(Wapato_Inventory[[#This Row],[bldg_style]]="",0,Lookups!$B$2*0.5)</f>
        <v>53765.27</v>
      </c>
      <c r="BK309" s="7">
        <f>_xlfn.IFNA(VLOOKUP(Wapato_Inventory[[#This Row],[quality]],Lookups!$H$2:$J$14,3,FALSE),0)</f>
        <v>28034</v>
      </c>
      <c r="BL309" s="7">
        <f>_xlfn.IFNA(VLOOKUP(Wapato_Inventory[[#This Row],[condition]],Lookups!$H$17:$J$24,3,FALSE),0)</f>
        <v>52231</v>
      </c>
      <c r="BM309" s="7">
        <f>Wapato_Inventory[[#This Row],[Age]]*Lookups!$B$16</f>
        <v>-37808.921399999999</v>
      </c>
      <c r="BN309" s="7">
        <f>Wapato_Inventory[[#This Row],[Main Floor]]*Lookups!$B$17</f>
        <v>37453.462143999997</v>
      </c>
      <c r="BO309" s="7">
        <f>Wapato_Inventory[[#This Row],[Upper Floor]]*Lookups!$B$18</f>
        <v>0</v>
      </c>
      <c r="BP309" s="7">
        <f>Wapato_Inventory[[#This Row],[Fin BSMT]]*Lookups!$B$19</f>
        <v>0</v>
      </c>
      <c r="BQ309" s="7">
        <f>(Wapato_Inventory[[#This Row],[att_gar]]+Wapato_Inventory[[#This Row],[blt_gar]])*Lookups!$B$20</f>
        <v>0</v>
      </c>
      <c r="BR309" s="7">
        <f>Wapato_Inventory[[#This Row],[Patio]]*Lookups!$B$21</f>
        <v>0</v>
      </c>
      <c r="BS309" s="7">
        <f>SUM(Wapato_Inventory[[#This Row],[intercept]:[patio_value]])*Wapato_Inventory[[#This Row],[res_pct]]</f>
        <v>133674.81074399999</v>
      </c>
      <c r="BT309" s="7">
        <f>Wapato_Inventory[[#This Row],[land_value]]</f>
        <v>53300</v>
      </c>
      <c r="BU309" s="2">
        <f>_xlfn.IFNA(VLOOKUP(Wapato_Inventory[[#This Row],[quality]],Lookups!$A$28:$C$37,3,FALSE),1)</f>
        <v>0.96265813922927435</v>
      </c>
      <c r="BV309" s="2">
        <f>_xlfn.IFNA(VLOOKUP(Wapato_Inventory[[#This Row],[condition]],Lookups!$A$41:$C$48,3,FALSE),1)</f>
        <v>0.9832333997567807</v>
      </c>
      <c r="BW309" s="2">
        <f>IF(Wapato_Inventory[[#This Row],[decade]]="",1,_xlfn.IFNA(VLOOKUP(Wapato_Inventory[[#This Row],[decade]],Lookups!$F$28:$H$45,3,FALSE),1))</f>
        <v>0.93664589651353292</v>
      </c>
      <c r="BX309" s="2">
        <f>_xlfn.IFNA(VLOOKUP(Wapato_Inventory[[#This Row],[living_area_range]],Lookups!$K$28:$M$37,3,FALSE),1)</f>
        <v>0.99022994770196116</v>
      </c>
      <c r="BY309" s="2">
        <f>AVERAGE(Wapato_Inventory[[#This Row],[qual_adj]:[range_adj]])</f>
        <v>0.9681918458003872</v>
      </c>
      <c r="BZ309" s="7">
        <f>(Wapato_Inventory[[#This Row],[sum_land]]-IF(Wapato_Inventory[[#This Row],[no_utilities]]=1,12000,0))/IF(Wapato_Inventory[[#This Row],[unbuildable]]=1,2,1)</f>
        <v>53300</v>
      </c>
      <c r="CA309" s="7">
        <f>Wapato_Inventory[[#This Row],[pre_res]]*Wapato_Inventory[[#This Row],[overall_adj]]</f>
        <v>129422.86175125078</v>
      </c>
      <c r="CB309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309" s="3">
        <f>IF(ROUND(Wapato_Inventory[[#This Row],[adj_res]]*Lookups!$H$48,-2)&lt;Wapato_Inventory[[#This Row],[min_res]],Wapato_Inventory[[#This Row],[min_res]],ROUND(Wapato_Inventory[[#This Row],[adj_res]]*Lookups!$H$48,-2))</f>
        <v>123000</v>
      </c>
      <c r="CD309" s="3">
        <f>ROUND(Wapato_Inventory[[#This Row],[det_value]]*Lookups!$H$48,-2)</f>
        <v>0</v>
      </c>
      <c r="CE309" s="3">
        <f>Wapato_Inventory[[#This Row],[final_res]]+Wapato_Inventory[[#This Row],[final_det]]</f>
        <v>123000</v>
      </c>
      <c r="CF309" s="3">
        <f>Wapato_Inventory[[#This Row],[crop_value]]+Wapato_Inventory[[#This Row],[final_land]]+Wapato_Inventory[[#This Row],[final_imp]]</f>
        <v>173600</v>
      </c>
      <c r="CH309" t="str">
        <f t="shared" si="4"/>
        <v>update valuation set market_land =50600, market_bldg=123000, market_total =173600, market_mdno =405, market_date ='9/10/2023' where link_id = (select link_id from parcel where parcel_year = '2024' and parcel_id = '19111042452');</v>
      </c>
    </row>
    <row r="310" spans="1:86" x14ac:dyDescent="0.25">
      <c r="A310">
        <v>19111042455</v>
      </c>
      <c r="B310">
        <v>0.18</v>
      </c>
      <c r="C310">
        <v>7656</v>
      </c>
      <c r="D310" t="s">
        <v>144</v>
      </c>
      <c r="E310" t="s">
        <v>54</v>
      </c>
      <c r="F310" t="s">
        <v>54</v>
      </c>
      <c r="G310">
        <v>3</v>
      </c>
      <c r="H310" t="s">
        <v>55</v>
      </c>
      <c r="I310">
        <v>92400</v>
      </c>
      <c r="J310">
        <v>33700</v>
      </c>
      <c r="K310">
        <v>0.18</v>
      </c>
      <c r="L310">
        <f>IF(Wapato_Inventory[[#This Row],[parcel_acres]]-Wapato_Inventory[[#This Row],[non_valued_acres]] =0,0,LN(Wapato_Inventory[[#This Row],[parcel_acres]]-Wapato_Inventory[[#This Row],[non_valued_acres]]))</f>
        <v>-1.7147984280919266</v>
      </c>
      <c r="M310">
        <v>0</v>
      </c>
      <c r="N310">
        <v>0</v>
      </c>
      <c r="O310">
        <v>0</v>
      </c>
      <c r="P310">
        <v>27904.037</v>
      </c>
      <c r="Q310">
        <v>74398</v>
      </c>
      <c r="R310" s="3">
        <f>(Wapato_Inventory[[#This Row],[ln_acres]]*Wapato_Inventory[[#This Row],[coeff]])+Wapato_Inventory[[#This Row],[const]]</f>
        <v>26548.20121498104</v>
      </c>
      <c r="S310" t="s">
        <v>66</v>
      </c>
      <c r="T310">
        <v>1</v>
      </c>
      <c r="U310" t="s">
        <v>78</v>
      </c>
      <c r="V310" t="s">
        <v>68</v>
      </c>
      <c r="W310">
        <v>0</v>
      </c>
      <c r="X310">
        <v>0</v>
      </c>
      <c r="Y310">
        <v>57</v>
      </c>
      <c r="Z310">
        <v>103</v>
      </c>
      <c r="AA310">
        <v>110</v>
      </c>
      <c r="AB310">
        <v>500</v>
      </c>
      <c r="AC310">
        <v>500</v>
      </c>
      <c r="AD310">
        <v>500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5</v>
      </c>
      <c r="AQ310">
        <v>0</v>
      </c>
      <c r="AR310">
        <v>0</v>
      </c>
      <c r="AS310" t="s">
        <v>82</v>
      </c>
      <c r="AT310">
        <v>1</v>
      </c>
      <c r="AU310" t="s">
        <v>72</v>
      </c>
      <c r="AV310" t="s">
        <v>61</v>
      </c>
      <c r="AW310">
        <v>0</v>
      </c>
      <c r="AX310">
        <v>1</v>
      </c>
      <c r="AY310">
        <v>0</v>
      </c>
      <c r="AZ310">
        <v>6200</v>
      </c>
      <c r="BA310">
        <v>100</v>
      </c>
      <c r="BB310">
        <v>100</v>
      </c>
      <c r="BC310">
        <v>100</v>
      </c>
      <c r="BD310">
        <v>100</v>
      </c>
      <c r="BE310">
        <v>1</v>
      </c>
      <c r="BF310">
        <v>15000</v>
      </c>
      <c r="BG310">
        <v>1000</v>
      </c>
      <c r="BH310" s="7">
        <f>ROUND(Wapato_Inventory[[#This Row],[detatched_value]]*Lookups!$B$22*Lookups!$H$48,-2)</f>
        <v>5500</v>
      </c>
      <c r="BI310" s="7">
        <f>ROUND(((Wapato_Inventory[[#This Row],[land_extract]]*Lookups!$B$3) +(Lookups!$B$2*0.5))*Lookups!$H$48,-2)</f>
        <v>53600</v>
      </c>
      <c r="BJ310" s="7">
        <f>IF(Wapato_Inventory[[#This Row],[bldg_style]]="",0,Lookups!$B$2*0.5)</f>
        <v>53765.27</v>
      </c>
      <c r="BK310" s="7">
        <f>_xlfn.IFNA(VLOOKUP(Wapato_Inventory[[#This Row],[quality]],Lookups!$H$2:$J$14,3,FALSE),0)</f>
        <v>23424</v>
      </c>
      <c r="BL310" s="7">
        <f>_xlfn.IFNA(VLOOKUP(Wapato_Inventory[[#This Row],[condition]],Lookups!$H$17:$J$24,3,FALSE),0)</f>
        <v>52231</v>
      </c>
      <c r="BM310" s="7">
        <f>Wapato_Inventory[[#This Row],[Age]]*Lookups!$B$16</f>
        <v>-38179.597099999999</v>
      </c>
      <c r="BN310" s="7">
        <f>Wapato_Inventory[[#This Row],[Main Floor]]*Lookups!$B$17</f>
        <v>20900.369500000001</v>
      </c>
      <c r="BO310" s="7">
        <f>Wapato_Inventory[[#This Row],[Upper Floor]]*Lookups!$B$18</f>
        <v>0</v>
      </c>
      <c r="BP310" s="7">
        <f>Wapato_Inventory[[#This Row],[Fin BSMT]]*Lookups!$B$19</f>
        <v>0</v>
      </c>
      <c r="BQ310" s="7">
        <f>(Wapato_Inventory[[#This Row],[att_gar]]+Wapato_Inventory[[#This Row],[blt_gar]])*Lookups!$B$20</f>
        <v>0</v>
      </c>
      <c r="BR310" s="7">
        <f>Wapato_Inventory[[#This Row],[Patio]]*Lookups!$B$21</f>
        <v>0</v>
      </c>
      <c r="BS310" s="7">
        <f>SUM(Wapato_Inventory[[#This Row],[intercept]:[patio_value]])*Wapato_Inventory[[#This Row],[res_pct]]</f>
        <v>112141.04239999999</v>
      </c>
      <c r="BT310" s="7">
        <f>Wapato_Inventory[[#This Row],[land_value]]</f>
        <v>53600</v>
      </c>
      <c r="BU310" s="2">
        <f>_xlfn.IFNA(VLOOKUP(Wapato_Inventory[[#This Row],[quality]],Lookups!$A$28:$C$37,3,FALSE),1)</f>
        <v>1.0091195562373767</v>
      </c>
      <c r="BV310" s="2">
        <f>_xlfn.IFNA(VLOOKUP(Wapato_Inventory[[#This Row],[condition]],Lookups!$A$41:$C$48,3,FALSE),1)</f>
        <v>0.9832333997567807</v>
      </c>
      <c r="BW310" s="2">
        <f>IF(Wapato_Inventory[[#This Row],[decade]]="",1,_xlfn.IFNA(VLOOKUP(Wapato_Inventory[[#This Row],[decade]],Lookups!$F$28:$H$45,3,FALSE),1))</f>
        <v>0.93664589651353292</v>
      </c>
      <c r="BX310" s="2">
        <f>_xlfn.IFNA(VLOOKUP(Wapato_Inventory[[#This Row],[living_area_range]],Lookups!$K$28:$M$37,3,FALSE),1)</f>
        <v>0.62984720518148585</v>
      </c>
      <c r="BY310" s="2">
        <f>AVERAGE(Wapato_Inventory[[#This Row],[qual_adj]:[range_adj]])</f>
        <v>0.88971151442229401</v>
      </c>
      <c r="BZ310" s="7">
        <f>(Wapato_Inventory[[#This Row],[sum_land]]-IF(Wapato_Inventory[[#This Row],[no_utilities]]=1,12000,0))/IF(Wapato_Inventory[[#This Row],[unbuildable]]=1,2,1)</f>
        <v>53600</v>
      </c>
      <c r="CA310" s="7">
        <f>Wapato_Inventory[[#This Row],[pre_res]]*Wapato_Inventory[[#This Row],[overall_adj]]</f>
        <v>99773.176662598678</v>
      </c>
      <c r="CB310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10" s="3">
        <f>IF(ROUND(Wapato_Inventory[[#This Row],[adj_res]]*Lookups!$H$48,-2)&lt;Wapato_Inventory[[#This Row],[min_res]],Wapato_Inventory[[#This Row],[min_res]],ROUND(Wapato_Inventory[[#This Row],[adj_res]]*Lookups!$H$48,-2))</f>
        <v>94800</v>
      </c>
      <c r="CD310" s="3">
        <f>ROUND(Wapato_Inventory[[#This Row],[det_value]]*Lookups!$H$48,-2)</f>
        <v>5200</v>
      </c>
      <c r="CE310" s="3">
        <f>Wapato_Inventory[[#This Row],[final_res]]+Wapato_Inventory[[#This Row],[final_det]]</f>
        <v>100000</v>
      </c>
      <c r="CF310" s="3">
        <f>Wapato_Inventory[[#This Row],[crop_value]]+Wapato_Inventory[[#This Row],[final_land]]+Wapato_Inventory[[#This Row],[final_imp]]</f>
        <v>150900</v>
      </c>
      <c r="CH310" t="str">
        <f t="shared" si="4"/>
        <v>update valuation set market_land =50900, market_bldg=100000, market_total =150900, market_mdno =405, market_date ='9/10/2023' where link_id = (select link_id from parcel where parcel_year = '2024' and parcel_id = '19111042455');</v>
      </c>
    </row>
    <row r="311" spans="1:86" x14ac:dyDescent="0.25">
      <c r="A311">
        <v>19111042458</v>
      </c>
      <c r="B311">
        <v>0.67</v>
      </c>
      <c r="C311">
        <v>29153</v>
      </c>
      <c r="D311" t="s">
        <v>144</v>
      </c>
      <c r="E311" t="s">
        <v>54</v>
      </c>
      <c r="F311" t="s">
        <v>54</v>
      </c>
      <c r="G311">
        <v>3</v>
      </c>
      <c r="H311" t="s">
        <v>55</v>
      </c>
      <c r="I311">
        <v>126800</v>
      </c>
      <c r="J311">
        <v>43000</v>
      </c>
      <c r="K311">
        <v>0.67</v>
      </c>
      <c r="L311">
        <f>IF(Wapato_Inventory[[#This Row],[parcel_acres]]-Wapato_Inventory[[#This Row],[non_valued_acres]] =0,0,LN(Wapato_Inventory[[#This Row],[parcel_acres]]-Wapato_Inventory[[#This Row],[non_valued_acres]]))</f>
        <v>-0.40047756659712525</v>
      </c>
      <c r="M311">
        <v>0</v>
      </c>
      <c r="N311">
        <v>0</v>
      </c>
      <c r="O311">
        <v>0</v>
      </c>
      <c r="P311">
        <v>27904.037</v>
      </c>
      <c r="Q311">
        <v>74398</v>
      </c>
      <c r="R311" s="3">
        <f>(Wapato_Inventory[[#This Row],[ln_acres]]*Wapato_Inventory[[#This Row],[coeff]])+Wapato_Inventory[[#This Row],[const]]</f>
        <v>63223.059164003855</v>
      </c>
      <c r="S311" t="s">
        <v>66</v>
      </c>
      <c r="T311">
        <v>1</v>
      </c>
      <c r="U311" t="s">
        <v>71</v>
      </c>
      <c r="V311" t="s">
        <v>68</v>
      </c>
      <c r="W311">
        <v>0</v>
      </c>
      <c r="X311">
        <v>0</v>
      </c>
      <c r="Y311">
        <v>57</v>
      </c>
      <c r="Z311">
        <v>103</v>
      </c>
      <c r="AA311">
        <v>110</v>
      </c>
      <c r="AB311">
        <v>1000</v>
      </c>
      <c r="AC311">
        <v>896</v>
      </c>
      <c r="AD311">
        <v>896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448</v>
      </c>
      <c r="AL311">
        <v>0</v>
      </c>
      <c r="AM311">
        <v>420</v>
      </c>
      <c r="AN311">
        <v>0</v>
      </c>
      <c r="AO311">
        <v>0</v>
      </c>
      <c r="AP311">
        <v>7</v>
      </c>
      <c r="AQ311">
        <v>0</v>
      </c>
      <c r="AR311">
        <v>0</v>
      </c>
      <c r="AS311" t="s">
        <v>59</v>
      </c>
      <c r="AT311">
        <v>1</v>
      </c>
      <c r="AU311" t="s">
        <v>64</v>
      </c>
      <c r="AV311" t="s">
        <v>65</v>
      </c>
      <c r="AW311">
        <v>0</v>
      </c>
      <c r="AX311">
        <v>1</v>
      </c>
      <c r="AY311">
        <v>0</v>
      </c>
      <c r="AZ311">
        <v>34100</v>
      </c>
      <c r="BA311">
        <v>100</v>
      </c>
      <c r="BB311">
        <v>100</v>
      </c>
      <c r="BC311">
        <v>100</v>
      </c>
      <c r="BD311">
        <v>100</v>
      </c>
      <c r="BE311">
        <v>1</v>
      </c>
      <c r="BF311">
        <v>15000</v>
      </c>
      <c r="BG311">
        <v>1000</v>
      </c>
      <c r="BH311" s="7">
        <f>ROUND(Wapato_Inventory[[#This Row],[detatched_value]]*Lookups!$B$22*Lookups!$H$48,-2)</f>
        <v>30500</v>
      </c>
      <c r="BI311" s="7">
        <f>ROUND(((Wapato_Inventory[[#This Row],[land_extract]]*Lookups!$B$3) +(Lookups!$B$2*0.5))*Lookups!$H$48,-2)</f>
        <v>57200</v>
      </c>
      <c r="BJ311" s="7">
        <f>IF(Wapato_Inventory[[#This Row],[bldg_style]]="",0,Lookups!$B$2*0.5)</f>
        <v>53765.27</v>
      </c>
      <c r="BK311" s="7">
        <f>_xlfn.IFNA(VLOOKUP(Wapato_Inventory[[#This Row],[quality]],Lookups!$H$2:$J$14,3,FALSE),0)</f>
        <v>28034</v>
      </c>
      <c r="BL311" s="7">
        <f>_xlfn.IFNA(VLOOKUP(Wapato_Inventory[[#This Row],[condition]],Lookups!$H$17:$J$24,3,FALSE),0)</f>
        <v>52231</v>
      </c>
      <c r="BM311" s="7">
        <f>Wapato_Inventory[[#This Row],[Age]]*Lookups!$B$16</f>
        <v>-38179.597099999999</v>
      </c>
      <c r="BN311" s="7">
        <f>Wapato_Inventory[[#This Row],[Main Floor]]*Lookups!$B$17</f>
        <v>37453.462143999997</v>
      </c>
      <c r="BO311" s="7">
        <f>Wapato_Inventory[[#This Row],[Upper Floor]]*Lookups!$B$18</f>
        <v>0</v>
      </c>
      <c r="BP311" s="7">
        <f>Wapato_Inventory[[#This Row],[Fin BSMT]]*Lookups!$B$19</f>
        <v>0</v>
      </c>
      <c r="BQ311" s="7">
        <f>(Wapato_Inventory[[#This Row],[att_gar]]+Wapato_Inventory[[#This Row],[blt_gar]])*Lookups!$B$20</f>
        <v>0</v>
      </c>
      <c r="BR311" s="7">
        <f>Wapato_Inventory[[#This Row],[Patio]]*Lookups!$B$21</f>
        <v>18196.071179999999</v>
      </c>
      <c r="BS311" s="7">
        <f>SUM(Wapato_Inventory[[#This Row],[intercept]:[patio_value]])*Wapato_Inventory[[#This Row],[res_pct]]</f>
        <v>151500.20622399999</v>
      </c>
      <c r="BT311" s="7">
        <f>Wapato_Inventory[[#This Row],[land_value]]</f>
        <v>57200</v>
      </c>
      <c r="BU311" s="2">
        <f>_xlfn.IFNA(VLOOKUP(Wapato_Inventory[[#This Row],[quality]],Lookups!$A$28:$C$37,3,FALSE),1)</f>
        <v>0.96265813922927435</v>
      </c>
      <c r="BV311" s="2">
        <f>_xlfn.IFNA(VLOOKUP(Wapato_Inventory[[#This Row],[condition]],Lookups!$A$41:$C$48,3,FALSE),1)</f>
        <v>0.9832333997567807</v>
      </c>
      <c r="BW311" s="2">
        <f>IF(Wapato_Inventory[[#This Row],[decade]]="",1,_xlfn.IFNA(VLOOKUP(Wapato_Inventory[[#This Row],[decade]],Lookups!$F$28:$H$45,3,FALSE),1))</f>
        <v>0.93664589651353292</v>
      </c>
      <c r="BX311" s="2">
        <f>_xlfn.IFNA(VLOOKUP(Wapato_Inventory[[#This Row],[living_area_range]],Lookups!$K$28:$M$37,3,FALSE),1)</f>
        <v>0.99022994770196116</v>
      </c>
      <c r="BY311" s="2">
        <f>AVERAGE(Wapato_Inventory[[#This Row],[qual_adj]:[range_adj]])</f>
        <v>0.9681918458003872</v>
      </c>
      <c r="BZ311" s="7">
        <f>(Wapato_Inventory[[#This Row],[sum_land]]-IF(Wapato_Inventory[[#This Row],[no_utilities]]=1,12000,0))/IF(Wapato_Inventory[[#This Row],[unbuildable]]=1,2,1)</f>
        <v>57200</v>
      </c>
      <c r="CA311" s="7">
        <f>Wapato_Inventory[[#This Row],[pre_res]]*Wapato_Inventory[[#This Row],[overall_adj]]</f>
        <v>146681.26430315388</v>
      </c>
      <c r="CB311" s="3">
        <f>IF(ROUND(Wapato_Inventory[[#This Row],[adj_land]]*Lookups!$H$48,-2)&lt;Wapato_Inventory[[#This Row],[min_land]],Wapato_Inventory[[#This Row],[min_land]],ROUND(Wapato_Inventory[[#This Row],[adj_land]]*Lookups!$H$48,-2))</f>
        <v>54300</v>
      </c>
      <c r="CC311" s="3">
        <f>IF(ROUND(Wapato_Inventory[[#This Row],[adj_res]]*Lookups!$H$48,-2)&lt;Wapato_Inventory[[#This Row],[min_res]],Wapato_Inventory[[#This Row],[min_res]],ROUND(Wapato_Inventory[[#This Row],[adj_res]]*Lookups!$H$48,-2))</f>
        <v>139300</v>
      </c>
      <c r="CD311" s="3">
        <f>ROUND(Wapato_Inventory[[#This Row],[det_value]]*Lookups!$H$48,-2)</f>
        <v>29000</v>
      </c>
      <c r="CE311" s="3">
        <f>Wapato_Inventory[[#This Row],[final_res]]+Wapato_Inventory[[#This Row],[final_det]]</f>
        <v>168300</v>
      </c>
      <c r="CF311" s="3">
        <f>Wapato_Inventory[[#This Row],[crop_value]]+Wapato_Inventory[[#This Row],[final_land]]+Wapato_Inventory[[#This Row],[final_imp]]</f>
        <v>222600</v>
      </c>
      <c r="CH311" t="str">
        <f t="shared" si="4"/>
        <v>update valuation set market_land =54300, market_bldg=168300, market_total =222600, market_mdno =405, market_date ='9/10/2023' where link_id = (select link_id from parcel where parcel_year = '2024' and parcel_id = '19111042458');</v>
      </c>
    </row>
    <row r="312" spans="1:86" x14ac:dyDescent="0.25">
      <c r="A312">
        <v>19111042459</v>
      </c>
      <c r="B312">
        <v>0.26</v>
      </c>
      <c r="C312">
        <v>11328</v>
      </c>
      <c r="D312" t="s">
        <v>144</v>
      </c>
      <c r="E312" t="s">
        <v>54</v>
      </c>
      <c r="F312" t="s">
        <v>54</v>
      </c>
      <c r="G312">
        <v>3</v>
      </c>
      <c r="H312" t="s">
        <v>55</v>
      </c>
      <c r="I312">
        <v>306100</v>
      </c>
      <c r="J312">
        <v>36300</v>
      </c>
      <c r="K312">
        <v>0.26</v>
      </c>
      <c r="L312">
        <f>IF(Wapato_Inventory[[#This Row],[parcel_acres]]-Wapato_Inventory[[#This Row],[non_valued_acres]] =0,0,LN(Wapato_Inventory[[#This Row],[parcel_acres]]-Wapato_Inventory[[#This Row],[non_valued_acres]]))</f>
        <v>-1.3470736479666092</v>
      </c>
      <c r="M312">
        <v>0</v>
      </c>
      <c r="N312">
        <v>0</v>
      </c>
      <c r="O312">
        <v>0</v>
      </c>
      <c r="P312">
        <v>27904.037</v>
      </c>
      <c r="Q312">
        <v>74398</v>
      </c>
      <c r="R312" s="3">
        <f>(Wapato_Inventory[[#This Row],[ln_acres]]*Wapato_Inventory[[#This Row],[coeff]])+Wapato_Inventory[[#This Row],[const]]</f>
        <v>36809.207085414761</v>
      </c>
      <c r="S312" t="s">
        <v>62</v>
      </c>
      <c r="T312">
        <v>1</v>
      </c>
      <c r="U312" t="s">
        <v>67</v>
      </c>
      <c r="V312" t="s">
        <v>58</v>
      </c>
      <c r="W312">
        <v>0</v>
      </c>
      <c r="X312">
        <v>0</v>
      </c>
      <c r="Y312">
        <v>2</v>
      </c>
      <c r="Z312">
        <v>2</v>
      </c>
      <c r="AA312">
        <v>10</v>
      </c>
      <c r="AB312">
        <v>1500</v>
      </c>
      <c r="AC312">
        <v>1344</v>
      </c>
      <c r="AD312">
        <v>1344</v>
      </c>
      <c r="AE312">
        <v>0</v>
      </c>
      <c r="AF312">
        <v>0</v>
      </c>
      <c r="AG312">
        <v>0</v>
      </c>
      <c r="AH312">
        <v>0</v>
      </c>
      <c r="AI312">
        <v>576</v>
      </c>
      <c r="AJ312">
        <v>0</v>
      </c>
      <c r="AK312">
        <v>0</v>
      </c>
      <c r="AL312">
        <v>100</v>
      </c>
      <c r="AM312">
        <v>0</v>
      </c>
      <c r="AN312">
        <v>0</v>
      </c>
      <c r="AO312">
        <v>100</v>
      </c>
      <c r="AP312">
        <v>8</v>
      </c>
      <c r="AQ312">
        <v>0</v>
      </c>
      <c r="AR312">
        <v>0</v>
      </c>
      <c r="AS312" t="s">
        <v>59</v>
      </c>
      <c r="AT312">
        <v>1</v>
      </c>
      <c r="AU312" t="s">
        <v>60</v>
      </c>
      <c r="AV312" t="s">
        <v>61</v>
      </c>
      <c r="AW312">
        <v>1</v>
      </c>
      <c r="AX312">
        <v>3</v>
      </c>
      <c r="AY312">
        <v>0</v>
      </c>
      <c r="AZ312">
        <v>0</v>
      </c>
      <c r="BA312">
        <v>100</v>
      </c>
      <c r="BB312">
        <v>100</v>
      </c>
      <c r="BC312">
        <v>100</v>
      </c>
      <c r="BD312">
        <v>100</v>
      </c>
      <c r="BE312">
        <v>1</v>
      </c>
      <c r="BF312">
        <v>15000</v>
      </c>
      <c r="BG312">
        <v>1000</v>
      </c>
      <c r="BH312" s="7">
        <f>ROUND(Wapato_Inventory[[#This Row],[detatched_value]]*Lookups!$B$22*Lookups!$H$48,-2)</f>
        <v>0</v>
      </c>
      <c r="BI312" s="7">
        <f>ROUND(((Wapato_Inventory[[#This Row],[land_extract]]*Lookups!$B$3) +(Lookups!$B$2*0.5))*Lookups!$H$48,-2)</f>
        <v>54600</v>
      </c>
      <c r="BJ312" s="7">
        <f>IF(Wapato_Inventory[[#This Row],[bldg_style]]="",0,Lookups!$B$2*0.5)</f>
        <v>53765.27</v>
      </c>
      <c r="BK312" s="7">
        <f>_xlfn.IFNA(VLOOKUP(Wapato_Inventory[[#This Row],[quality]],Lookups!$H$2:$J$14,3,FALSE),0)</f>
        <v>50405</v>
      </c>
      <c r="BL312" s="7">
        <f>_xlfn.IFNA(VLOOKUP(Wapato_Inventory[[#This Row],[condition]],Lookups!$H$17:$J$24,3,FALSE),0)</f>
        <v>122095</v>
      </c>
      <c r="BM312" s="7">
        <f>Wapato_Inventory[[#This Row],[Age]]*Lookups!$B$16</f>
        <v>-741.35140000000001</v>
      </c>
      <c r="BN312" s="7">
        <f>Wapato_Inventory[[#This Row],[Main Floor]]*Lookups!$B$17</f>
        <v>56180.193216</v>
      </c>
      <c r="BO312" s="7">
        <f>Wapato_Inventory[[#This Row],[Upper Floor]]*Lookups!$B$18</f>
        <v>0</v>
      </c>
      <c r="BP312" s="7">
        <f>Wapato_Inventory[[#This Row],[Fin BSMT]]*Lookups!$B$19</f>
        <v>0</v>
      </c>
      <c r="BQ312" s="7">
        <f>(Wapato_Inventory[[#This Row],[att_gar]]+Wapato_Inventory[[#This Row],[blt_gar]])*Lookups!$B$20</f>
        <v>21317.041152000002</v>
      </c>
      <c r="BR312" s="7">
        <f>Wapato_Inventory[[#This Row],[Patio]]*Lookups!$B$21</f>
        <v>0</v>
      </c>
      <c r="BS312" s="7">
        <f>SUM(Wapato_Inventory[[#This Row],[intercept]:[patio_value]])*Wapato_Inventory[[#This Row],[res_pct]]</f>
        <v>303021.15296799998</v>
      </c>
      <c r="BT312" s="7">
        <f>Wapato_Inventory[[#This Row],[land_value]]</f>
        <v>54600</v>
      </c>
      <c r="BU312" s="2">
        <f>_xlfn.IFNA(VLOOKUP(Wapato_Inventory[[#This Row],[quality]],Lookups!$A$28:$C$37,3,FALSE),1)</f>
        <v>0.97993206410140754</v>
      </c>
      <c r="BV312" s="2">
        <f>_xlfn.IFNA(VLOOKUP(Wapato_Inventory[[#This Row],[condition]],Lookups!$A$41:$C$48,3,FALSE),1)</f>
        <v>1.00041560026225</v>
      </c>
      <c r="BW312" s="2">
        <f>IF(Wapato_Inventory[[#This Row],[decade]]="",1,_xlfn.IFNA(VLOOKUP(Wapato_Inventory[[#This Row],[decade]],Lookups!$F$28:$H$45,3,FALSE),1))</f>
        <v>1.0321018519633791</v>
      </c>
      <c r="BX312" s="2">
        <f>_xlfn.IFNA(VLOOKUP(Wapato_Inventory[[#This Row],[living_area_range]],Lookups!$K$28:$M$37,3,FALSE),1)</f>
        <v>1.0061411172456287</v>
      </c>
      <c r="BY312" s="2">
        <f>AVERAGE(Wapato_Inventory[[#This Row],[qual_adj]:[range_adj]])</f>
        <v>1.0046476583931663</v>
      </c>
      <c r="BZ312" s="7">
        <f>(Wapato_Inventory[[#This Row],[sum_land]]-IF(Wapato_Inventory[[#This Row],[no_utilities]]=1,12000,0))/IF(Wapato_Inventory[[#This Row],[unbuildable]]=1,2,1)</f>
        <v>54600</v>
      </c>
      <c r="CA312" s="7">
        <f>Wapato_Inventory[[#This Row],[pre_res]]*Wapato_Inventory[[#This Row],[overall_adj]]</f>
        <v>304429.49177289865</v>
      </c>
      <c r="CB312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312" s="3">
        <f>IF(ROUND(Wapato_Inventory[[#This Row],[adj_res]]*Lookups!$H$48,-2)&lt;Wapato_Inventory[[#This Row],[min_res]],Wapato_Inventory[[#This Row],[min_res]],ROUND(Wapato_Inventory[[#This Row],[adj_res]]*Lookups!$H$48,-2))</f>
        <v>289200</v>
      </c>
      <c r="CD312" s="3">
        <f>ROUND(Wapato_Inventory[[#This Row],[det_value]]*Lookups!$H$48,-2)</f>
        <v>0</v>
      </c>
      <c r="CE312" s="3">
        <f>Wapato_Inventory[[#This Row],[final_res]]+Wapato_Inventory[[#This Row],[final_det]]</f>
        <v>289200</v>
      </c>
      <c r="CF312" s="3">
        <f>Wapato_Inventory[[#This Row],[crop_value]]+Wapato_Inventory[[#This Row],[final_land]]+Wapato_Inventory[[#This Row],[final_imp]]</f>
        <v>341100</v>
      </c>
      <c r="CH312" t="str">
        <f t="shared" si="4"/>
        <v>update valuation set market_land =51900, market_bldg=289200, market_total =341100, market_mdno =405, market_date ='9/10/2023' where link_id = (select link_id from parcel where parcel_year = '2024' and parcel_id = '19111042459');</v>
      </c>
    </row>
    <row r="313" spans="1:86" x14ac:dyDescent="0.25">
      <c r="A313">
        <v>19111042460</v>
      </c>
      <c r="B313">
        <v>0.18</v>
      </c>
      <c r="C313">
        <v>7758</v>
      </c>
      <c r="D313" t="s">
        <v>144</v>
      </c>
      <c r="E313" t="s">
        <v>54</v>
      </c>
      <c r="F313" t="s">
        <v>54</v>
      </c>
      <c r="G313">
        <v>3</v>
      </c>
      <c r="H313" t="s">
        <v>55</v>
      </c>
      <c r="I313">
        <v>0</v>
      </c>
      <c r="J313">
        <v>34700</v>
      </c>
      <c r="K313">
        <v>0.18</v>
      </c>
      <c r="L313">
        <f>IF(Wapato_Inventory[[#This Row],[parcel_acres]]-Wapato_Inventory[[#This Row],[non_valued_acres]] =0,0,LN(Wapato_Inventory[[#This Row],[parcel_acres]]-Wapato_Inventory[[#This Row],[non_valued_acres]]))</f>
        <v>-1.7147984280919266</v>
      </c>
      <c r="M313">
        <v>0</v>
      </c>
      <c r="N313">
        <v>0</v>
      </c>
      <c r="O313">
        <v>0</v>
      </c>
      <c r="P313">
        <v>27904.037</v>
      </c>
      <c r="Q313">
        <v>74398</v>
      </c>
      <c r="R313" s="3">
        <f>(Wapato_Inventory[[#This Row],[ln_acres]]*Wapato_Inventory[[#This Row],[coeff]])+Wapato_Inventory[[#This Row],[const]]</f>
        <v>26548.20121498104</v>
      </c>
      <c r="S313" t="s">
        <v>62</v>
      </c>
      <c r="T313">
        <v>1</v>
      </c>
      <c r="U313" t="s">
        <v>67</v>
      </c>
      <c r="V313" t="s">
        <v>58</v>
      </c>
      <c r="W313">
        <v>0</v>
      </c>
      <c r="X313">
        <v>0</v>
      </c>
      <c r="Y313">
        <v>1</v>
      </c>
      <c r="Z313">
        <v>1</v>
      </c>
      <c r="AA313">
        <v>10</v>
      </c>
      <c r="AB313">
        <v>1500</v>
      </c>
      <c r="AC313">
        <v>1404</v>
      </c>
      <c r="AD313">
        <v>1404</v>
      </c>
      <c r="AE313">
        <v>0</v>
      </c>
      <c r="AF313">
        <v>0</v>
      </c>
      <c r="AG313">
        <v>0</v>
      </c>
      <c r="AH313">
        <v>0</v>
      </c>
      <c r="AI313">
        <v>400</v>
      </c>
      <c r="AJ313">
        <v>0</v>
      </c>
      <c r="AK313">
        <v>0</v>
      </c>
      <c r="AL313">
        <v>0</v>
      </c>
      <c r="AM313">
        <v>0</v>
      </c>
      <c r="AN313">
        <v>110</v>
      </c>
      <c r="AO313">
        <v>0</v>
      </c>
      <c r="AP313">
        <v>8</v>
      </c>
      <c r="AQ313">
        <v>0</v>
      </c>
      <c r="AR313">
        <v>0</v>
      </c>
      <c r="AS313" t="s">
        <v>59</v>
      </c>
      <c r="AT313">
        <v>1</v>
      </c>
      <c r="AU313" t="s">
        <v>64</v>
      </c>
      <c r="AV313" t="s">
        <v>65</v>
      </c>
      <c r="AW313">
        <v>1</v>
      </c>
      <c r="AX313">
        <v>3</v>
      </c>
      <c r="AY313">
        <v>0</v>
      </c>
      <c r="AZ313">
        <v>0</v>
      </c>
      <c r="BA313">
        <v>100</v>
      </c>
      <c r="BB313">
        <v>100</v>
      </c>
      <c r="BC313">
        <v>100</v>
      </c>
      <c r="BD313">
        <v>100</v>
      </c>
      <c r="BE313">
        <v>1</v>
      </c>
      <c r="BF313">
        <v>15000</v>
      </c>
      <c r="BG313">
        <v>1000</v>
      </c>
      <c r="BH313" s="7">
        <f>ROUND(Wapato_Inventory[[#This Row],[detatched_value]]*Lookups!$B$22*Lookups!$H$48,-2)</f>
        <v>0</v>
      </c>
      <c r="BI313" s="7">
        <f>ROUND(((Wapato_Inventory[[#This Row],[land_extract]]*Lookups!$B$3) +(Lookups!$B$2*0.5))*Lookups!$H$48,-2)</f>
        <v>53600</v>
      </c>
      <c r="BJ313" s="7">
        <f>IF(Wapato_Inventory[[#This Row],[bldg_style]]="",0,Lookups!$B$2*0.5)</f>
        <v>53765.27</v>
      </c>
      <c r="BK313" s="7">
        <f>_xlfn.IFNA(VLOOKUP(Wapato_Inventory[[#This Row],[quality]],Lookups!$H$2:$J$14,3,FALSE),0)</f>
        <v>50405</v>
      </c>
      <c r="BL313" s="7">
        <f>_xlfn.IFNA(VLOOKUP(Wapato_Inventory[[#This Row],[condition]],Lookups!$H$17:$J$24,3,FALSE),0)</f>
        <v>122095</v>
      </c>
      <c r="BM313" s="7">
        <f>Wapato_Inventory[[#This Row],[Age]]*Lookups!$B$16</f>
        <v>-370.67570000000001</v>
      </c>
      <c r="BN313" s="7">
        <f>Wapato_Inventory[[#This Row],[Main Floor]]*Lookups!$B$17</f>
        <v>58688.237556</v>
      </c>
      <c r="BO313" s="7">
        <f>Wapato_Inventory[[#This Row],[Upper Floor]]*Lookups!$B$18</f>
        <v>0</v>
      </c>
      <c r="BP313" s="7">
        <f>Wapato_Inventory[[#This Row],[Fin BSMT]]*Lookups!$B$19</f>
        <v>0</v>
      </c>
      <c r="BQ313" s="7">
        <f>(Wapato_Inventory[[#This Row],[att_gar]]+Wapato_Inventory[[#This Row],[blt_gar]])*Lookups!$B$20</f>
        <v>14803.5008</v>
      </c>
      <c r="BR313" s="7">
        <f>Wapato_Inventory[[#This Row],[Patio]]*Lookups!$B$21</f>
        <v>0</v>
      </c>
      <c r="BS313" s="7">
        <f>SUM(Wapato_Inventory[[#This Row],[intercept]:[patio_value]])*Wapato_Inventory[[#This Row],[res_pct]]</f>
        <v>299386.33265599998</v>
      </c>
      <c r="BT313" s="7">
        <f>Wapato_Inventory[[#This Row],[land_value]]</f>
        <v>53600</v>
      </c>
      <c r="BU313" s="2">
        <f>_xlfn.IFNA(VLOOKUP(Wapato_Inventory[[#This Row],[quality]],Lookups!$A$28:$C$37,3,FALSE),1)</f>
        <v>0.97993206410140754</v>
      </c>
      <c r="BV313" s="2">
        <f>_xlfn.IFNA(VLOOKUP(Wapato_Inventory[[#This Row],[condition]],Lookups!$A$41:$C$48,3,FALSE),1)</f>
        <v>1.00041560026225</v>
      </c>
      <c r="BW313" s="2">
        <f>IF(Wapato_Inventory[[#This Row],[decade]]="",1,_xlfn.IFNA(VLOOKUP(Wapato_Inventory[[#This Row],[decade]],Lookups!$F$28:$H$45,3,FALSE),1))</f>
        <v>1.0321018519633791</v>
      </c>
      <c r="BX313" s="2">
        <f>_xlfn.IFNA(VLOOKUP(Wapato_Inventory[[#This Row],[living_area_range]],Lookups!$K$28:$M$37,3,FALSE),1)</f>
        <v>1.0061411172456287</v>
      </c>
      <c r="BY313" s="2">
        <f>AVERAGE(Wapato_Inventory[[#This Row],[qual_adj]:[range_adj]])</f>
        <v>1.0046476583931663</v>
      </c>
      <c r="BZ313" s="7">
        <f>(Wapato_Inventory[[#This Row],[sum_land]]-IF(Wapato_Inventory[[#This Row],[no_utilities]]=1,12000,0))/IF(Wapato_Inventory[[#This Row],[unbuildable]]=1,2,1)</f>
        <v>53600</v>
      </c>
      <c r="CA313" s="7">
        <f>Wapato_Inventory[[#This Row],[pre_res]]*Wapato_Inventory[[#This Row],[overall_adj]]</f>
        <v>300777.77805776789</v>
      </c>
      <c r="CB313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13" s="3">
        <f>IF(ROUND(Wapato_Inventory[[#This Row],[adj_res]]*Lookups!$H$48,-2)&lt;Wapato_Inventory[[#This Row],[min_res]],Wapato_Inventory[[#This Row],[min_res]],ROUND(Wapato_Inventory[[#This Row],[adj_res]]*Lookups!$H$48,-2))</f>
        <v>285700</v>
      </c>
      <c r="CD313" s="3">
        <f>ROUND(Wapato_Inventory[[#This Row],[det_value]]*Lookups!$H$48,-2)</f>
        <v>0</v>
      </c>
      <c r="CE313" s="3">
        <f>Wapato_Inventory[[#This Row],[final_res]]+Wapato_Inventory[[#This Row],[final_det]]</f>
        <v>285700</v>
      </c>
      <c r="CF313" s="3">
        <f>Wapato_Inventory[[#This Row],[crop_value]]+Wapato_Inventory[[#This Row],[final_land]]+Wapato_Inventory[[#This Row],[final_imp]]</f>
        <v>336600</v>
      </c>
      <c r="CH313" t="str">
        <f t="shared" si="4"/>
        <v>update valuation set market_land =50900, market_bldg=285700, market_total =336600, market_mdno =405, market_date ='9/10/2023' where link_id = (select link_id from parcel where parcel_year = '2024' and parcel_id = '19111042460');</v>
      </c>
    </row>
    <row r="314" spans="1:86" x14ac:dyDescent="0.25">
      <c r="A314">
        <v>19111042461</v>
      </c>
      <c r="B314">
        <v>0.18</v>
      </c>
      <c r="C314">
        <v>7873</v>
      </c>
      <c r="D314" t="s">
        <v>144</v>
      </c>
      <c r="E314" t="s">
        <v>54</v>
      </c>
      <c r="F314" t="s">
        <v>54</v>
      </c>
      <c r="G314">
        <v>3</v>
      </c>
      <c r="H314" t="s">
        <v>55</v>
      </c>
      <c r="I314">
        <v>312200</v>
      </c>
      <c r="J314">
        <v>33700</v>
      </c>
      <c r="K314">
        <v>0.18</v>
      </c>
      <c r="L314">
        <f>IF(Wapato_Inventory[[#This Row],[parcel_acres]]-Wapato_Inventory[[#This Row],[non_valued_acres]] =0,0,LN(Wapato_Inventory[[#This Row],[parcel_acres]]-Wapato_Inventory[[#This Row],[non_valued_acres]]))</f>
        <v>-1.7147984280919266</v>
      </c>
      <c r="M314">
        <v>0</v>
      </c>
      <c r="N314">
        <v>0</v>
      </c>
      <c r="O314">
        <v>0</v>
      </c>
      <c r="P314">
        <v>27904.037</v>
      </c>
      <c r="Q314">
        <v>74398</v>
      </c>
      <c r="R314" s="3">
        <f>(Wapato_Inventory[[#This Row],[ln_acres]]*Wapato_Inventory[[#This Row],[coeff]])+Wapato_Inventory[[#This Row],[const]]</f>
        <v>26548.20121498104</v>
      </c>
      <c r="S314" t="s">
        <v>62</v>
      </c>
      <c r="T314">
        <v>1</v>
      </c>
      <c r="U314" t="s">
        <v>67</v>
      </c>
      <c r="V314" t="s">
        <v>58</v>
      </c>
      <c r="W314">
        <v>0</v>
      </c>
      <c r="X314">
        <v>0</v>
      </c>
      <c r="Y314">
        <v>2</v>
      </c>
      <c r="Z314">
        <v>2</v>
      </c>
      <c r="AA314">
        <v>10</v>
      </c>
      <c r="AB314">
        <v>1500</v>
      </c>
      <c r="AC314">
        <v>1496</v>
      </c>
      <c r="AD314">
        <v>1496</v>
      </c>
      <c r="AE314">
        <v>0</v>
      </c>
      <c r="AF314">
        <v>0</v>
      </c>
      <c r="AG314">
        <v>0</v>
      </c>
      <c r="AH314">
        <v>0</v>
      </c>
      <c r="AI314">
        <v>480</v>
      </c>
      <c r="AJ314">
        <v>0</v>
      </c>
      <c r="AK314">
        <v>0</v>
      </c>
      <c r="AL314">
        <v>160</v>
      </c>
      <c r="AM314">
        <v>0</v>
      </c>
      <c r="AN314">
        <v>0</v>
      </c>
      <c r="AO314">
        <v>160</v>
      </c>
      <c r="AP314">
        <v>8</v>
      </c>
      <c r="AQ314">
        <v>0</v>
      </c>
      <c r="AR314">
        <v>0</v>
      </c>
      <c r="AS314" t="s">
        <v>59</v>
      </c>
      <c r="AT314">
        <v>1</v>
      </c>
      <c r="AU314" t="s">
        <v>60</v>
      </c>
      <c r="AV314" t="s">
        <v>61</v>
      </c>
      <c r="AW314">
        <v>1</v>
      </c>
      <c r="AX314">
        <v>3</v>
      </c>
      <c r="AY314">
        <v>0</v>
      </c>
      <c r="AZ314">
        <v>0</v>
      </c>
      <c r="BA314">
        <v>100</v>
      </c>
      <c r="BB314">
        <v>100</v>
      </c>
      <c r="BC314">
        <v>100</v>
      </c>
      <c r="BD314">
        <v>100</v>
      </c>
      <c r="BE314">
        <v>1</v>
      </c>
      <c r="BF314">
        <v>15000</v>
      </c>
      <c r="BG314">
        <v>1000</v>
      </c>
      <c r="BH314" s="7">
        <f>ROUND(Wapato_Inventory[[#This Row],[detatched_value]]*Lookups!$B$22*Lookups!$H$48,-2)</f>
        <v>0</v>
      </c>
      <c r="BI314" s="7">
        <f>ROUND(((Wapato_Inventory[[#This Row],[land_extract]]*Lookups!$B$3) +(Lookups!$B$2*0.5))*Lookups!$H$48,-2)</f>
        <v>53600</v>
      </c>
      <c r="BJ314" s="7">
        <f>IF(Wapato_Inventory[[#This Row],[bldg_style]]="",0,Lookups!$B$2*0.5)</f>
        <v>53765.27</v>
      </c>
      <c r="BK314" s="7">
        <f>_xlfn.IFNA(VLOOKUP(Wapato_Inventory[[#This Row],[quality]],Lookups!$H$2:$J$14,3,FALSE),0)</f>
        <v>50405</v>
      </c>
      <c r="BL314" s="7">
        <f>_xlfn.IFNA(VLOOKUP(Wapato_Inventory[[#This Row],[condition]],Lookups!$H$17:$J$24,3,FALSE),0)</f>
        <v>122095</v>
      </c>
      <c r="BM314" s="7">
        <f>Wapato_Inventory[[#This Row],[Age]]*Lookups!$B$16</f>
        <v>-741.35140000000001</v>
      </c>
      <c r="BN314" s="7">
        <f>Wapato_Inventory[[#This Row],[Main Floor]]*Lookups!$B$17</f>
        <v>62533.905544000001</v>
      </c>
      <c r="BO314" s="7">
        <f>Wapato_Inventory[[#This Row],[Upper Floor]]*Lookups!$B$18</f>
        <v>0</v>
      </c>
      <c r="BP314" s="7">
        <f>Wapato_Inventory[[#This Row],[Fin BSMT]]*Lookups!$B$19</f>
        <v>0</v>
      </c>
      <c r="BQ314" s="7">
        <f>(Wapato_Inventory[[#This Row],[att_gar]]+Wapato_Inventory[[#This Row],[blt_gar]])*Lookups!$B$20</f>
        <v>17764.200960000002</v>
      </c>
      <c r="BR314" s="7">
        <f>Wapato_Inventory[[#This Row],[Patio]]*Lookups!$B$21</f>
        <v>0</v>
      </c>
      <c r="BS314" s="7">
        <f>SUM(Wapato_Inventory[[#This Row],[intercept]:[patio_value]])*Wapato_Inventory[[#This Row],[res_pct]]</f>
        <v>305822.02510399994</v>
      </c>
      <c r="BT314" s="7">
        <f>Wapato_Inventory[[#This Row],[land_value]]</f>
        <v>53600</v>
      </c>
      <c r="BU314" s="2">
        <f>_xlfn.IFNA(VLOOKUP(Wapato_Inventory[[#This Row],[quality]],Lookups!$A$28:$C$37,3,FALSE),1)</f>
        <v>0.97993206410140754</v>
      </c>
      <c r="BV314" s="2">
        <f>_xlfn.IFNA(VLOOKUP(Wapato_Inventory[[#This Row],[condition]],Lookups!$A$41:$C$48,3,FALSE),1)</f>
        <v>1.00041560026225</v>
      </c>
      <c r="BW314" s="2">
        <f>IF(Wapato_Inventory[[#This Row],[decade]]="",1,_xlfn.IFNA(VLOOKUP(Wapato_Inventory[[#This Row],[decade]],Lookups!$F$28:$H$45,3,FALSE),1))</f>
        <v>1.0321018519633791</v>
      </c>
      <c r="BX314" s="2">
        <f>_xlfn.IFNA(VLOOKUP(Wapato_Inventory[[#This Row],[living_area_range]],Lookups!$K$28:$M$37,3,FALSE),1)</f>
        <v>1.0061411172456287</v>
      </c>
      <c r="BY314" s="2">
        <f>AVERAGE(Wapato_Inventory[[#This Row],[qual_adj]:[range_adj]])</f>
        <v>1.0046476583931663</v>
      </c>
      <c r="BZ314" s="7">
        <f>(Wapato_Inventory[[#This Row],[sum_land]]-IF(Wapato_Inventory[[#This Row],[no_utilities]]=1,12000,0))/IF(Wapato_Inventory[[#This Row],[unbuildable]]=1,2,1)</f>
        <v>53600</v>
      </c>
      <c r="CA314" s="7">
        <f>Wapato_Inventory[[#This Row],[pre_res]]*Wapato_Inventory[[#This Row],[overall_adj]]</f>
        <v>307243.38140578964</v>
      </c>
      <c r="CB314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14" s="3">
        <f>IF(ROUND(Wapato_Inventory[[#This Row],[adj_res]]*Lookups!$H$48,-2)&lt;Wapato_Inventory[[#This Row],[min_res]],Wapato_Inventory[[#This Row],[min_res]],ROUND(Wapato_Inventory[[#This Row],[adj_res]]*Lookups!$H$48,-2))</f>
        <v>291900</v>
      </c>
      <c r="CD314" s="3">
        <f>ROUND(Wapato_Inventory[[#This Row],[det_value]]*Lookups!$H$48,-2)</f>
        <v>0</v>
      </c>
      <c r="CE314" s="3">
        <f>Wapato_Inventory[[#This Row],[final_res]]+Wapato_Inventory[[#This Row],[final_det]]</f>
        <v>291900</v>
      </c>
      <c r="CF314" s="3">
        <f>Wapato_Inventory[[#This Row],[crop_value]]+Wapato_Inventory[[#This Row],[final_land]]+Wapato_Inventory[[#This Row],[final_imp]]</f>
        <v>342800</v>
      </c>
      <c r="CH314" t="str">
        <f t="shared" si="4"/>
        <v>update valuation set market_land =50900, market_bldg=291900, market_total =342800, market_mdno =405, market_date ='9/10/2023' where link_id = (select link_id from parcel where parcel_year = '2024' and parcel_id = '19111042461');</v>
      </c>
    </row>
    <row r="315" spans="1:86" x14ac:dyDescent="0.25">
      <c r="A315">
        <v>19111042462</v>
      </c>
      <c r="B315">
        <v>0.17</v>
      </c>
      <c r="C315">
        <v>7243</v>
      </c>
      <c r="D315" t="s">
        <v>144</v>
      </c>
      <c r="E315" t="s">
        <v>54</v>
      </c>
      <c r="F315" t="s">
        <v>54</v>
      </c>
      <c r="G315">
        <v>3</v>
      </c>
      <c r="H315" t="s">
        <v>55</v>
      </c>
      <c r="I315">
        <v>156000</v>
      </c>
      <c r="J315">
        <v>33200</v>
      </c>
      <c r="K315">
        <v>0.17</v>
      </c>
      <c r="L315">
        <f>IF(Wapato_Inventory[[#This Row],[parcel_acres]]-Wapato_Inventory[[#This Row],[non_valued_acres]] =0,0,LN(Wapato_Inventory[[#This Row],[parcel_acres]]-Wapato_Inventory[[#This Row],[non_valued_acres]]))</f>
        <v>-1.7719568419318752</v>
      </c>
      <c r="M315">
        <v>0</v>
      </c>
      <c r="N315">
        <v>0</v>
      </c>
      <c r="O315">
        <v>0</v>
      </c>
      <c r="P315">
        <v>27904.037</v>
      </c>
      <c r="Q315">
        <v>74398</v>
      </c>
      <c r="R315" s="3">
        <f>(Wapato_Inventory[[#This Row],[ln_acres]]*Wapato_Inventory[[#This Row],[coeff]])+Wapato_Inventory[[#This Row],[const]]</f>
        <v>24953.250720329801</v>
      </c>
      <c r="S315" t="s">
        <v>66</v>
      </c>
      <c r="T315">
        <v>1</v>
      </c>
      <c r="U315" t="s">
        <v>71</v>
      </c>
      <c r="V315" t="s">
        <v>69</v>
      </c>
      <c r="W315">
        <v>0</v>
      </c>
      <c r="X315">
        <v>0</v>
      </c>
      <c r="Y315">
        <v>57</v>
      </c>
      <c r="Z315">
        <v>103</v>
      </c>
      <c r="AA315">
        <v>110</v>
      </c>
      <c r="AB315">
        <v>1500</v>
      </c>
      <c r="AC315">
        <v>1248</v>
      </c>
      <c r="AD315">
        <v>1248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20</v>
      </c>
      <c r="AO315">
        <v>0</v>
      </c>
      <c r="AP315">
        <v>5</v>
      </c>
      <c r="AQ315">
        <v>0</v>
      </c>
      <c r="AR315">
        <v>0</v>
      </c>
      <c r="AS315" t="s">
        <v>59</v>
      </c>
      <c r="AT315">
        <v>1</v>
      </c>
      <c r="AU315" t="s">
        <v>72</v>
      </c>
      <c r="AV315" t="s">
        <v>61</v>
      </c>
      <c r="AW315">
        <v>0</v>
      </c>
      <c r="AX315">
        <v>3</v>
      </c>
      <c r="AY315">
        <v>0</v>
      </c>
      <c r="AZ315">
        <v>0</v>
      </c>
      <c r="BA315">
        <v>100</v>
      </c>
      <c r="BB315">
        <v>100</v>
      </c>
      <c r="BC315">
        <v>100</v>
      </c>
      <c r="BD315">
        <v>100</v>
      </c>
      <c r="BE315">
        <v>1</v>
      </c>
      <c r="BF315">
        <v>15000</v>
      </c>
      <c r="BG315">
        <v>1000</v>
      </c>
      <c r="BH315" s="7">
        <f>ROUND(Wapato_Inventory[[#This Row],[detatched_value]]*Lookups!$B$22*Lookups!$H$48,-2)</f>
        <v>0</v>
      </c>
      <c r="BI315" s="7">
        <f>ROUND(((Wapato_Inventory[[#This Row],[land_extract]]*Lookups!$B$3) +(Lookups!$B$2*0.5))*Lookups!$H$48,-2)</f>
        <v>53500</v>
      </c>
      <c r="BJ315" s="7">
        <f>IF(Wapato_Inventory[[#This Row],[bldg_style]]="",0,Lookups!$B$2*0.5)</f>
        <v>53765.27</v>
      </c>
      <c r="BK315" s="7">
        <f>_xlfn.IFNA(VLOOKUP(Wapato_Inventory[[#This Row],[quality]],Lookups!$H$2:$J$14,3,FALSE),0)</f>
        <v>28034</v>
      </c>
      <c r="BL315" s="7">
        <f>_xlfn.IFNA(VLOOKUP(Wapato_Inventory[[#This Row],[condition]],Lookups!$H$17:$J$24,3,FALSE),0)</f>
        <v>74543</v>
      </c>
      <c r="BM315" s="7">
        <f>Wapato_Inventory[[#This Row],[Age]]*Lookups!$B$16</f>
        <v>-38179.597099999999</v>
      </c>
      <c r="BN315" s="7">
        <f>Wapato_Inventory[[#This Row],[Main Floor]]*Lookups!$B$17</f>
        <v>52167.322271999998</v>
      </c>
      <c r="BO315" s="7">
        <f>Wapato_Inventory[[#This Row],[Upper Floor]]*Lookups!$B$18</f>
        <v>0</v>
      </c>
      <c r="BP315" s="7">
        <f>Wapato_Inventory[[#This Row],[Fin BSMT]]*Lookups!$B$19</f>
        <v>0</v>
      </c>
      <c r="BQ315" s="7">
        <f>(Wapato_Inventory[[#This Row],[att_gar]]+Wapato_Inventory[[#This Row],[blt_gar]])*Lookups!$B$20</f>
        <v>0</v>
      </c>
      <c r="BR315" s="7">
        <f>Wapato_Inventory[[#This Row],[Patio]]*Lookups!$B$21</f>
        <v>0</v>
      </c>
      <c r="BS315" s="7">
        <f>SUM(Wapato_Inventory[[#This Row],[intercept]:[patio_value]])*Wapato_Inventory[[#This Row],[res_pct]]</f>
        <v>170329.995172</v>
      </c>
      <c r="BT315" s="7">
        <f>Wapato_Inventory[[#This Row],[land_value]]</f>
        <v>53500</v>
      </c>
      <c r="BU315" s="2">
        <f>_xlfn.IFNA(VLOOKUP(Wapato_Inventory[[#This Row],[quality]],Lookups!$A$28:$C$37,3,FALSE),1)</f>
        <v>0.96265813922927435</v>
      </c>
      <c r="BV315" s="2">
        <f>_xlfn.IFNA(VLOOKUP(Wapato_Inventory[[#This Row],[condition]],Lookups!$A$41:$C$48,3,FALSE),1)</f>
        <v>0.98442438223270734</v>
      </c>
      <c r="BW315" s="2">
        <f>IF(Wapato_Inventory[[#This Row],[decade]]="",1,_xlfn.IFNA(VLOOKUP(Wapato_Inventory[[#This Row],[decade]],Lookups!$F$28:$H$45,3,FALSE),1))</f>
        <v>0.93664589651353292</v>
      </c>
      <c r="BX315" s="2">
        <f>_xlfn.IFNA(VLOOKUP(Wapato_Inventory[[#This Row],[living_area_range]],Lookups!$K$28:$M$37,3,FALSE),1)</f>
        <v>1.0061411172456287</v>
      </c>
      <c r="BY315" s="2">
        <f>AVERAGE(Wapato_Inventory[[#This Row],[qual_adj]:[range_adj]])</f>
        <v>0.97246738380528575</v>
      </c>
      <c r="BZ315" s="7">
        <f>(Wapato_Inventory[[#This Row],[sum_land]]-IF(Wapato_Inventory[[#This Row],[no_utilities]]=1,12000,0))/IF(Wapato_Inventory[[#This Row],[unbuildable]]=1,2,1)</f>
        <v>53500</v>
      </c>
      <c r="CA315" s="7">
        <f>Wapato_Inventory[[#This Row],[pre_res]]*Wapato_Inventory[[#This Row],[overall_adj]]</f>
        <v>165640.36478848179</v>
      </c>
      <c r="CB315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315" s="3">
        <f>IF(ROUND(Wapato_Inventory[[#This Row],[adj_res]]*Lookups!$H$48,-2)&lt;Wapato_Inventory[[#This Row],[min_res]],Wapato_Inventory[[#This Row],[min_res]],ROUND(Wapato_Inventory[[#This Row],[adj_res]]*Lookups!$H$48,-2))</f>
        <v>157400</v>
      </c>
      <c r="CD315" s="3">
        <f>ROUND(Wapato_Inventory[[#This Row],[det_value]]*Lookups!$H$48,-2)</f>
        <v>0</v>
      </c>
      <c r="CE315" s="3">
        <f>Wapato_Inventory[[#This Row],[final_res]]+Wapato_Inventory[[#This Row],[final_det]]</f>
        <v>157400</v>
      </c>
      <c r="CF315" s="3">
        <f>Wapato_Inventory[[#This Row],[crop_value]]+Wapato_Inventory[[#This Row],[final_land]]+Wapato_Inventory[[#This Row],[final_imp]]</f>
        <v>208200</v>
      </c>
      <c r="CH315" t="str">
        <f t="shared" si="4"/>
        <v>update valuation set market_land =50800, market_bldg=157400, market_total =208200, market_mdno =405, market_date ='9/10/2023' where link_id = (select link_id from parcel where parcel_year = '2024' and parcel_id = '19111042462');</v>
      </c>
    </row>
    <row r="316" spans="1:86" x14ac:dyDescent="0.25">
      <c r="A316">
        <v>19111044409</v>
      </c>
      <c r="B316">
        <v>0.15</v>
      </c>
      <c r="C316">
        <v>6393</v>
      </c>
      <c r="D316" t="s">
        <v>144</v>
      </c>
      <c r="E316" t="s">
        <v>54</v>
      </c>
      <c r="F316" t="s">
        <v>54</v>
      </c>
      <c r="G316">
        <v>3</v>
      </c>
      <c r="H316" t="s">
        <v>55</v>
      </c>
      <c r="I316">
        <v>73500</v>
      </c>
      <c r="J316">
        <v>32300</v>
      </c>
      <c r="K316">
        <v>0.15</v>
      </c>
      <c r="L316">
        <f>IF(Wapato_Inventory[[#This Row],[parcel_acres]]-Wapato_Inventory[[#This Row],[non_valued_acres]] =0,0,LN(Wapato_Inventory[[#This Row],[parcel_acres]]-Wapato_Inventory[[#This Row],[non_valued_acres]]))</f>
        <v>-1.8971199848858813</v>
      </c>
      <c r="M316">
        <v>0</v>
      </c>
      <c r="N316">
        <v>0</v>
      </c>
      <c r="O316">
        <v>0</v>
      </c>
      <c r="P316">
        <v>27904.037</v>
      </c>
      <c r="Q316">
        <v>74398</v>
      </c>
      <c r="R316" s="3">
        <f>(Wapato_Inventory[[#This Row],[ln_acres]]*Wapato_Inventory[[#This Row],[coeff]])+Wapato_Inventory[[#This Row],[const]]</f>
        <v>21460.693748304926</v>
      </c>
      <c r="S316" t="s">
        <v>66</v>
      </c>
      <c r="T316">
        <v>1</v>
      </c>
      <c r="U316" t="s">
        <v>71</v>
      </c>
      <c r="V316" t="s">
        <v>70</v>
      </c>
      <c r="W316">
        <v>0</v>
      </c>
      <c r="X316">
        <v>0</v>
      </c>
      <c r="Y316">
        <v>29</v>
      </c>
      <c r="Z316">
        <v>103</v>
      </c>
      <c r="AA316">
        <v>110</v>
      </c>
      <c r="AB316">
        <v>1000</v>
      </c>
      <c r="AC316">
        <v>925</v>
      </c>
      <c r="AD316">
        <v>925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5</v>
      </c>
      <c r="AQ316">
        <v>0</v>
      </c>
      <c r="AR316">
        <v>0</v>
      </c>
      <c r="AS316" t="s">
        <v>59</v>
      </c>
      <c r="AT316">
        <v>1</v>
      </c>
      <c r="AU316" t="s">
        <v>72</v>
      </c>
      <c r="AV316" t="s">
        <v>61</v>
      </c>
      <c r="AW316">
        <v>0</v>
      </c>
      <c r="AX316">
        <v>2</v>
      </c>
      <c r="AY316">
        <v>0</v>
      </c>
      <c r="AZ316">
        <v>0</v>
      </c>
      <c r="BA316">
        <v>100</v>
      </c>
      <c r="BB316">
        <v>100</v>
      </c>
      <c r="BC316">
        <v>100</v>
      </c>
      <c r="BD316">
        <v>100</v>
      </c>
      <c r="BE316">
        <v>1</v>
      </c>
      <c r="BF316">
        <v>15000</v>
      </c>
      <c r="BG316">
        <v>1000</v>
      </c>
      <c r="BH316" s="7">
        <f>ROUND(Wapato_Inventory[[#This Row],[detatched_value]]*Lookups!$B$22*Lookups!$H$48,-2)</f>
        <v>0</v>
      </c>
      <c r="BI316" s="7">
        <f>ROUND(((Wapato_Inventory[[#This Row],[land_extract]]*Lookups!$B$3) +(Lookups!$B$2*0.5))*Lookups!$H$48,-2)</f>
        <v>53100</v>
      </c>
      <c r="BJ316" s="7">
        <f>IF(Wapato_Inventory[[#This Row],[bldg_style]]="",0,Lookups!$B$2*0.5)</f>
        <v>53765.27</v>
      </c>
      <c r="BK316" s="7">
        <f>_xlfn.IFNA(VLOOKUP(Wapato_Inventory[[#This Row],[quality]],Lookups!$H$2:$J$14,3,FALSE),0)</f>
        <v>28034</v>
      </c>
      <c r="BL316" s="7">
        <f>_xlfn.IFNA(VLOOKUP(Wapato_Inventory[[#This Row],[condition]],Lookups!$H$17:$J$24,3,FALSE),0)</f>
        <v>84338</v>
      </c>
      <c r="BM316" s="7">
        <f>Wapato_Inventory[[#This Row],[Age]]*Lookups!$B$16</f>
        <v>-38179.597099999999</v>
      </c>
      <c r="BN316" s="7">
        <f>Wapato_Inventory[[#This Row],[Main Floor]]*Lookups!$B$17</f>
        <v>38665.683575000003</v>
      </c>
      <c r="BO316" s="7">
        <f>Wapato_Inventory[[#This Row],[Upper Floor]]*Lookups!$B$18</f>
        <v>0</v>
      </c>
      <c r="BP316" s="7">
        <f>Wapato_Inventory[[#This Row],[Fin BSMT]]*Lookups!$B$19</f>
        <v>0</v>
      </c>
      <c r="BQ316" s="7">
        <f>(Wapato_Inventory[[#This Row],[att_gar]]+Wapato_Inventory[[#This Row],[blt_gar]])*Lookups!$B$20</f>
        <v>0</v>
      </c>
      <c r="BR316" s="7">
        <f>Wapato_Inventory[[#This Row],[Patio]]*Lookups!$B$21</f>
        <v>0</v>
      </c>
      <c r="BS316" s="7">
        <f>SUM(Wapato_Inventory[[#This Row],[intercept]:[patio_value]])*Wapato_Inventory[[#This Row],[res_pct]]</f>
        <v>166623.35647499998</v>
      </c>
      <c r="BT316" s="7">
        <f>Wapato_Inventory[[#This Row],[land_value]]</f>
        <v>53100</v>
      </c>
      <c r="BU316" s="2">
        <f>_xlfn.IFNA(VLOOKUP(Wapato_Inventory[[#This Row],[quality]],Lookups!$A$28:$C$37,3,FALSE),1)</f>
        <v>0.96265813922927435</v>
      </c>
      <c r="BV316" s="2">
        <f>_xlfn.IFNA(VLOOKUP(Wapato_Inventory[[#This Row],[condition]],Lookups!$A$41:$C$48,3,FALSE),1)</f>
        <v>0.99478075210508476</v>
      </c>
      <c r="BW316" s="2">
        <f>IF(Wapato_Inventory[[#This Row],[decade]]="",1,_xlfn.IFNA(VLOOKUP(Wapato_Inventory[[#This Row],[decade]],Lookups!$F$28:$H$45,3,FALSE),1))</f>
        <v>0.93664589651353292</v>
      </c>
      <c r="BX316" s="2">
        <f>_xlfn.IFNA(VLOOKUP(Wapato_Inventory[[#This Row],[living_area_range]],Lookups!$K$28:$M$37,3,FALSE),1)</f>
        <v>0.99022994770196116</v>
      </c>
      <c r="BY316" s="2">
        <f>AVERAGE(Wapato_Inventory[[#This Row],[qual_adj]:[range_adj]])</f>
        <v>0.97107868388746332</v>
      </c>
      <c r="BZ316" s="7">
        <f>(Wapato_Inventory[[#This Row],[sum_land]]-IF(Wapato_Inventory[[#This Row],[no_utilities]]=1,12000,0))/IF(Wapato_Inventory[[#This Row],[unbuildable]]=1,2,1)</f>
        <v>53100</v>
      </c>
      <c r="CA316" s="7">
        <f>Wapato_Inventory[[#This Row],[pre_res]]*Wapato_Inventory[[#This Row],[overall_adj]]</f>
        <v>161804.38971065462</v>
      </c>
      <c r="CB31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16" s="3">
        <f>IF(ROUND(Wapato_Inventory[[#This Row],[adj_res]]*Lookups!$H$48,-2)&lt;Wapato_Inventory[[#This Row],[min_res]],Wapato_Inventory[[#This Row],[min_res]],ROUND(Wapato_Inventory[[#This Row],[adj_res]]*Lookups!$H$48,-2))</f>
        <v>153700</v>
      </c>
      <c r="CD316" s="3">
        <f>ROUND(Wapato_Inventory[[#This Row],[det_value]]*Lookups!$H$48,-2)</f>
        <v>0</v>
      </c>
      <c r="CE316" s="3">
        <f>Wapato_Inventory[[#This Row],[final_res]]+Wapato_Inventory[[#This Row],[final_det]]</f>
        <v>153700</v>
      </c>
      <c r="CF316" s="3">
        <f>Wapato_Inventory[[#This Row],[crop_value]]+Wapato_Inventory[[#This Row],[final_land]]+Wapato_Inventory[[#This Row],[final_imp]]</f>
        <v>204100</v>
      </c>
      <c r="CH316" t="str">
        <f t="shared" si="4"/>
        <v>update valuation set market_land =50400, market_bldg=153700, market_total =204100, market_mdno =405, market_date ='9/10/2023' where link_id = (select link_id from parcel where parcel_year = '2024' and parcel_id = '19111044409');</v>
      </c>
    </row>
    <row r="317" spans="1:86" x14ac:dyDescent="0.25">
      <c r="A317">
        <v>19111044410</v>
      </c>
      <c r="B317">
        <v>0.13</v>
      </c>
      <c r="C317">
        <v>5801</v>
      </c>
      <c r="D317" t="s">
        <v>144</v>
      </c>
      <c r="E317" t="s">
        <v>54</v>
      </c>
      <c r="F317" t="s">
        <v>54</v>
      </c>
      <c r="G317">
        <v>3</v>
      </c>
      <c r="H317" t="s">
        <v>55</v>
      </c>
      <c r="I317">
        <v>186000</v>
      </c>
      <c r="J317">
        <v>31400</v>
      </c>
      <c r="K317">
        <v>0.13</v>
      </c>
      <c r="L317">
        <f>IF(Wapato_Inventory[[#This Row],[parcel_acres]]-Wapato_Inventory[[#This Row],[non_valued_acres]] =0,0,LN(Wapato_Inventory[[#This Row],[parcel_acres]]-Wapato_Inventory[[#This Row],[non_valued_acres]]))</f>
        <v>-2.0402208285265546</v>
      </c>
      <c r="M317">
        <v>0</v>
      </c>
      <c r="N317">
        <v>0</v>
      </c>
      <c r="O317">
        <v>0</v>
      </c>
      <c r="P317">
        <v>27904.037</v>
      </c>
      <c r="Q317">
        <v>74398</v>
      </c>
      <c r="R317" s="3">
        <f>(Wapato_Inventory[[#This Row],[ln_acres]]*Wapato_Inventory[[#This Row],[coeff]])+Wapato_Inventory[[#This Row],[const]]</f>
        <v>17467.602512624362</v>
      </c>
      <c r="S317" t="s">
        <v>56</v>
      </c>
      <c r="T317">
        <v>2</v>
      </c>
      <c r="U317" t="s">
        <v>75</v>
      </c>
      <c r="V317" t="s">
        <v>68</v>
      </c>
      <c r="W317">
        <v>0</v>
      </c>
      <c r="X317">
        <v>0</v>
      </c>
      <c r="Y317">
        <v>50</v>
      </c>
      <c r="Z317">
        <v>73</v>
      </c>
      <c r="AA317">
        <v>80</v>
      </c>
      <c r="AB317">
        <v>1500</v>
      </c>
      <c r="AC317">
        <v>1432</v>
      </c>
      <c r="AD317">
        <v>1016</v>
      </c>
      <c r="AE317">
        <v>416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224</v>
      </c>
      <c r="AN317">
        <v>0</v>
      </c>
      <c r="AO317">
        <v>224</v>
      </c>
      <c r="AP317">
        <v>7</v>
      </c>
      <c r="AQ317">
        <v>0</v>
      </c>
      <c r="AR317">
        <v>0</v>
      </c>
      <c r="AS317" t="s">
        <v>59</v>
      </c>
      <c r="AT317">
        <v>1</v>
      </c>
      <c r="AU317" t="s">
        <v>60</v>
      </c>
      <c r="AV317" t="s">
        <v>65</v>
      </c>
      <c r="AW317">
        <v>1</v>
      </c>
      <c r="AX317">
        <v>4</v>
      </c>
      <c r="AY317">
        <v>0</v>
      </c>
      <c r="AZ317">
        <v>4700</v>
      </c>
      <c r="BA317">
        <v>100</v>
      </c>
      <c r="BB317">
        <v>100</v>
      </c>
      <c r="BC317">
        <v>100</v>
      </c>
      <c r="BD317">
        <v>100</v>
      </c>
      <c r="BE317">
        <v>1</v>
      </c>
      <c r="BF317">
        <v>15000</v>
      </c>
      <c r="BG317">
        <v>1000</v>
      </c>
      <c r="BH317" s="7">
        <f>ROUND(Wapato_Inventory[[#This Row],[detatched_value]]*Lookups!$B$22*Lookups!$H$48,-2)</f>
        <v>4200</v>
      </c>
      <c r="BI317" s="7">
        <f>ROUND(((Wapato_Inventory[[#This Row],[land_extract]]*Lookups!$B$3) +(Lookups!$B$2*0.5))*Lookups!$H$48,-2)</f>
        <v>52800</v>
      </c>
      <c r="BJ317" s="7">
        <f>IF(Wapato_Inventory[[#This Row],[bldg_style]]="",0,Lookups!$B$2*0.5)</f>
        <v>53765.27</v>
      </c>
      <c r="BK317" s="7">
        <f>_xlfn.IFNA(VLOOKUP(Wapato_Inventory[[#This Row],[quality]],Lookups!$H$2:$J$14,3,FALSE),0)</f>
        <v>48043</v>
      </c>
      <c r="BL317" s="7">
        <f>_xlfn.IFNA(VLOOKUP(Wapato_Inventory[[#This Row],[condition]],Lookups!$H$17:$J$24,3,FALSE),0)</f>
        <v>52231</v>
      </c>
      <c r="BM317" s="7">
        <f>Wapato_Inventory[[#This Row],[Age]]*Lookups!$B$16</f>
        <v>-27059.326100000002</v>
      </c>
      <c r="BN317" s="7">
        <f>Wapato_Inventory[[#This Row],[Main Floor]]*Lookups!$B$17</f>
        <v>42469.550823999998</v>
      </c>
      <c r="BO317" s="7">
        <f>Wapato_Inventory[[#This Row],[Upper Floor]]*Lookups!$B$18</f>
        <v>20634.073824000003</v>
      </c>
      <c r="BP317" s="7">
        <f>Wapato_Inventory[[#This Row],[Fin BSMT]]*Lookups!$B$19</f>
        <v>0</v>
      </c>
      <c r="BQ317" s="7">
        <f>(Wapato_Inventory[[#This Row],[att_gar]]+Wapato_Inventory[[#This Row],[blt_gar]])*Lookups!$B$20</f>
        <v>0</v>
      </c>
      <c r="BR317" s="7">
        <f>Wapato_Inventory[[#This Row],[Patio]]*Lookups!$B$21</f>
        <v>9704.5712960000001</v>
      </c>
      <c r="BS317" s="7">
        <f>SUM(Wapato_Inventory[[#This Row],[intercept]:[patio_value]])*Wapato_Inventory[[#This Row],[res_pct]]</f>
        <v>199788.13984399999</v>
      </c>
      <c r="BT317" s="7">
        <f>Wapato_Inventory[[#This Row],[land_value]]</f>
        <v>52800</v>
      </c>
      <c r="BU317" s="2">
        <f>_xlfn.IFNA(VLOOKUP(Wapato_Inventory[[#This Row],[quality]],Lookups!$A$28:$C$37,3,FALSE),1)</f>
        <v>0.98196844879778955</v>
      </c>
      <c r="BV317" s="2">
        <f>_xlfn.IFNA(VLOOKUP(Wapato_Inventory[[#This Row],[condition]],Lookups!$A$41:$C$48,3,FALSE),1)</f>
        <v>0.9832333997567807</v>
      </c>
      <c r="BW317" s="2">
        <f>IF(Wapato_Inventory[[#This Row],[decade]]="",1,_xlfn.IFNA(VLOOKUP(Wapato_Inventory[[#This Row],[decade]],Lookups!$F$28:$H$45,3,FALSE),1))</f>
        <v>0.8438929209510081</v>
      </c>
      <c r="BX317" s="2">
        <f>_xlfn.IFNA(VLOOKUP(Wapato_Inventory[[#This Row],[living_area_range]],Lookups!$K$28:$M$37,3,FALSE),1)</f>
        <v>1.0061411172456287</v>
      </c>
      <c r="BY317" s="2">
        <f>AVERAGE(Wapato_Inventory[[#This Row],[qual_adj]:[range_adj]])</f>
        <v>0.95380897168780177</v>
      </c>
      <c r="BZ317" s="7">
        <f>(Wapato_Inventory[[#This Row],[sum_land]]-IF(Wapato_Inventory[[#This Row],[no_utilities]]=1,12000,0))/IF(Wapato_Inventory[[#This Row],[unbuildable]]=1,2,1)</f>
        <v>52800</v>
      </c>
      <c r="CA317" s="7">
        <f>Wapato_Inventory[[#This Row],[pre_res]]*Wapato_Inventory[[#This Row],[overall_adj]]</f>
        <v>190559.72022002438</v>
      </c>
      <c r="CB31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317" s="3">
        <f>IF(ROUND(Wapato_Inventory[[#This Row],[adj_res]]*Lookups!$H$48,-2)&lt;Wapato_Inventory[[#This Row],[min_res]],Wapato_Inventory[[#This Row],[min_res]],ROUND(Wapato_Inventory[[#This Row],[adj_res]]*Lookups!$H$48,-2))</f>
        <v>181000</v>
      </c>
      <c r="CD317" s="3">
        <f>ROUND(Wapato_Inventory[[#This Row],[det_value]]*Lookups!$H$48,-2)</f>
        <v>4000</v>
      </c>
      <c r="CE317" s="3">
        <f>Wapato_Inventory[[#This Row],[final_res]]+Wapato_Inventory[[#This Row],[final_det]]</f>
        <v>185000</v>
      </c>
      <c r="CF317" s="3">
        <f>Wapato_Inventory[[#This Row],[crop_value]]+Wapato_Inventory[[#This Row],[final_land]]+Wapato_Inventory[[#This Row],[final_imp]]</f>
        <v>235200</v>
      </c>
      <c r="CH317" t="str">
        <f t="shared" si="4"/>
        <v>update valuation set market_land =50200, market_bldg=185000, market_total =235200, market_mdno =405, market_date ='9/10/2023' where link_id = (select link_id from parcel where parcel_year = '2024' and parcel_id = '19111044410');</v>
      </c>
    </row>
    <row r="318" spans="1:86" x14ac:dyDescent="0.25">
      <c r="A318">
        <v>19111044429</v>
      </c>
      <c r="B318">
        <v>0.14000000000000001</v>
      </c>
      <c r="C318">
        <v>6139</v>
      </c>
      <c r="D318" t="s">
        <v>144</v>
      </c>
      <c r="E318" t="s">
        <v>54</v>
      </c>
      <c r="F318" t="s">
        <v>54</v>
      </c>
      <c r="G318">
        <v>3</v>
      </c>
      <c r="H318" t="s">
        <v>55</v>
      </c>
      <c r="I318">
        <v>109200</v>
      </c>
      <c r="J318">
        <v>31900</v>
      </c>
      <c r="K318">
        <v>0.14000000000000001</v>
      </c>
      <c r="L318">
        <f>IF(Wapato_Inventory[[#This Row],[parcel_acres]]-Wapato_Inventory[[#This Row],[non_valued_acres]] =0,0,LN(Wapato_Inventory[[#This Row],[parcel_acres]]-Wapato_Inventory[[#This Row],[non_valued_acres]]))</f>
        <v>-1.9661128563728327</v>
      </c>
      <c r="M318">
        <v>0</v>
      </c>
      <c r="N318">
        <v>0</v>
      </c>
      <c r="O318">
        <v>0</v>
      </c>
      <c r="P318">
        <v>27904.037</v>
      </c>
      <c r="Q318">
        <v>74398</v>
      </c>
      <c r="R318" s="3">
        <f>(Wapato_Inventory[[#This Row],[ln_acres]]*Wapato_Inventory[[#This Row],[coeff]])+Wapato_Inventory[[#This Row],[const]]</f>
        <v>19535.514109596792</v>
      </c>
      <c r="S318" t="s">
        <v>66</v>
      </c>
      <c r="T318">
        <v>1</v>
      </c>
      <c r="U318" t="s">
        <v>71</v>
      </c>
      <c r="V318" t="s">
        <v>68</v>
      </c>
      <c r="W318">
        <v>0</v>
      </c>
      <c r="X318">
        <v>0</v>
      </c>
      <c r="Y318">
        <v>57</v>
      </c>
      <c r="Z318">
        <v>103</v>
      </c>
      <c r="AA318">
        <v>110</v>
      </c>
      <c r="AB318">
        <v>1000</v>
      </c>
      <c r="AC318">
        <v>952</v>
      </c>
      <c r="AD318">
        <v>952</v>
      </c>
      <c r="AE318">
        <v>0</v>
      </c>
      <c r="AF318">
        <v>0</v>
      </c>
      <c r="AG318">
        <v>0</v>
      </c>
      <c r="AH318">
        <v>952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8</v>
      </c>
      <c r="AQ318">
        <v>0</v>
      </c>
      <c r="AR318">
        <v>0</v>
      </c>
      <c r="AS318" t="s">
        <v>59</v>
      </c>
      <c r="AT318">
        <v>1</v>
      </c>
      <c r="AU318" t="s">
        <v>72</v>
      </c>
      <c r="AV318" t="s">
        <v>61</v>
      </c>
      <c r="AW318">
        <v>0</v>
      </c>
      <c r="AX318">
        <v>2</v>
      </c>
      <c r="AY318">
        <v>0</v>
      </c>
      <c r="AZ318">
        <v>3400</v>
      </c>
      <c r="BA318">
        <v>100</v>
      </c>
      <c r="BB318">
        <v>100</v>
      </c>
      <c r="BC318">
        <v>100</v>
      </c>
      <c r="BD318">
        <v>100</v>
      </c>
      <c r="BE318">
        <v>1</v>
      </c>
      <c r="BF318">
        <v>15000</v>
      </c>
      <c r="BG318">
        <v>1000</v>
      </c>
      <c r="BH318" s="7">
        <f>ROUND(Wapato_Inventory[[#This Row],[detatched_value]]*Lookups!$B$22*Lookups!$H$48,-2)</f>
        <v>3000</v>
      </c>
      <c r="BI318" s="7">
        <f>ROUND(((Wapato_Inventory[[#This Row],[land_extract]]*Lookups!$B$3) +(Lookups!$B$2*0.5))*Lookups!$H$48,-2)</f>
        <v>53000</v>
      </c>
      <c r="BJ318" s="7">
        <f>IF(Wapato_Inventory[[#This Row],[bldg_style]]="",0,Lookups!$B$2*0.5)</f>
        <v>53765.27</v>
      </c>
      <c r="BK318" s="7">
        <f>_xlfn.IFNA(VLOOKUP(Wapato_Inventory[[#This Row],[quality]],Lookups!$H$2:$J$14,3,FALSE),0)</f>
        <v>28034</v>
      </c>
      <c r="BL318" s="7">
        <f>_xlfn.IFNA(VLOOKUP(Wapato_Inventory[[#This Row],[condition]],Lookups!$H$17:$J$24,3,FALSE),0)</f>
        <v>52231</v>
      </c>
      <c r="BM318" s="7">
        <f>Wapato_Inventory[[#This Row],[Age]]*Lookups!$B$16</f>
        <v>-38179.597099999999</v>
      </c>
      <c r="BN318" s="7">
        <f>Wapato_Inventory[[#This Row],[Main Floor]]*Lookups!$B$17</f>
        <v>39794.303527999997</v>
      </c>
      <c r="BO318" s="7">
        <f>Wapato_Inventory[[#This Row],[Upper Floor]]*Lookups!$B$18</f>
        <v>0</v>
      </c>
      <c r="BP318" s="7">
        <f>Wapato_Inventory[[#This Row],[Fin BSMT]]*Lookups!$B$19</f>
        <v>0</v>
      </c>
      <c r="BQ318" s="7">
        <f>(Wapato_Inventory[[#This Row],[att_gar]]+Wapato_Inventory[[#This Row],[blt_gar]])*Lookups!$B$20</f>
        <v>0</v>
      </c>
      <c r="BR318" s="7">
        <f>Wapato_Inventory[[#This Row],[Patio]]*Lookups!$B$21</f>
        <v>0</v>
      </c>
      <c r="BS318" s="7">
        <f>SUM(Wapato_Inventory[[#This Row],[intercept]:[patio_value]])*Wapato_Inventory[[#This Row],[res_pct]]</f>
        <v>135644.97642799999</v>
      </c>
      <c r="BT318" s="7">
        <f>Wapato_Inventory[[#This Row],[land_value]]</f>
        <v>53000</v>
      </c>
      <c r="BU318" s="2">
        <f>_xlfn.IFNA(VLOOKUP(Wapato_Inventory[[#This Row],[quality]],Lookups!$A$28:$C$37,3,FALSE),1)</f>
        <v>0.96265813922927435</v>
      </c>
      <c r="BV318" s="2">
        <f>_xlfn.IFNA(VLOOKUP(Wapato_Inventory[[#This Row],[condition]],Lookups!$A$41:$C$48,3,FALSE),1)</f>
        <v>0.9832333997567807</v>
      </c>
      <c r="BW318" s="2">
        <f>IF(Wapato_Inventory[[#This Row],[decade]]="",1,_xlfn.IFNA(VLOOKUP(Wapato_Inventory[[#This Row],[decade]],Lookups!$F$28:$H$45,3,FALSE),1))</f>
        <v>0.93664589651353292</v>
      </c>
      <c r="BX318" s="2">
        <f>_xlfn.IFNA(VLOOKUP(Wapato_Inventory[[#This Row],[living_area_range]],Lookups!$K$28:$M$37,3,FALSE),1)</f>
        <v>0.99022994770196116</v>
      </c>
      <c r="BY318" s="2">
        <f>AVERAGE(Wapato_Inventory[[#This Row],[qual_adj]:[range_adj]])</f>
        <v>0.9681918458003872</v>
      </c>
      <c r="BZ318" s="7">
        <f>(Wapato_Inventory[[#This Row],[sum_land]]-IF(Wapato_Inventory[[#This Row],[no_utilities]]=1,12000,0))/IF(Wapato_Inventory[[#This Row],[unbuildable]]=1,2,1)</f>
        <v>53000</v>
      </c>
      <c r="CA318" s="7">
        <f>Wapato_Inventory[[#This Row],[pre_res]]*Wapato_Inventory[[#This Row],[overall_adj]]</f>
        <v>131330.36010137532</v>
      </c>
      <c r="CB31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18" s="3">
        <f>IF(ROUND(Wapato_Inventory[[#This Row],[adj_res]]*Lookups!$H$48,-2)&lt;Wapato_Inventory[[#This Row],[min_res]],Wapato_Inventory[[#This Row],[min_res]],ROUND(Wapato_Inventory[[#This Row],[adj_res]]*Lookups!$H$48,-2))</f>
        <v>124800</v>
      </c>
      <c r="CD318" s="3">
        <f>ROUND(Wapato_Inventory[[#This Row],[det_value]]*Lookups!$H$48,-2)</f>
        <v>2900</v>
      </c>
      <c r="CE318" s="3">
        <f>Wapato_Inventory[[#This Row],[final_res]]+Wapato_Inventory[[#This Row],[final_det]]</f>
        <v>127700</v>
      </c>
      <c r="CF318" s="3">
        <f>Wapato_Inventory[[#This Row],[crop_value]]+Wapato_Inventory[[#This Row],[final_land]]+Wapato_Inventory[[#This Row],[final_imp]]</f>
        <v>178100</v>
      </c>
      <c r="CH318" t="str">
        <f t="shared" si="4"/>
        <v>update valuation set market_land =50400, market_bldg=127700, market_total =178100, market_mdno =405, market_date ='9/10/2023' where link_id = (select link_id from parcel where parcel_year = '2024' and parcel_id = '19111044429');</v>
      </c>
    </row>
    <row r="319" spans="1:86" x14ac:dyDescent="0.25">
      <c r="A319">
        <v>19111044431</v>
      </c>
      <c r="B319">
        <v>0.14000000000000001</v>
      </c>
      <c r="C319">
        <v>6158</v>
      </c>
      <c r="D319" t="s">
        <v>144</v>
      </c>
      <c r="E319" t="s">
        <v>54</v>
      </c>
      <c r="F319" t="s">
        <v>54</v>
      </c>
      <c r="G319">
        <v>3</v>
      </c>
      <c r="H319" t="s">
        <v>55</v>
      </c>
      <c r="I319">
        <v>20200</v>
      </c>
      <c r="J319">
        <v>31900</v>
      </c>
      <c r="K319">
        <v>0.14000000000000001</v>
      </c>
      <c r="L319">
        <f>IF(Wapato_Inventory[[#This Row],[parcel_acres]]-Wapato_Inventory[[#This Row],[non_valued_acres]] =0,0,LN(Wapato_Inventory[[#This Row],[parcel_acres]]-Wapato_Inventory[[#This Row],[non_valued_acres]]))</f>
        <v>-1.9661128563728327</v>
      </c>
      <c r="M319">
        <v>0</v>
      </c>
      <c r="N319">
        <v>0</v>
      </c>
      <c r="O319">
        <v>0</v>
      </c>
      <c r="P319">
        <v>27904.037</v>
      </c>
      <c r="Q319">
        <v>74398</v>
      </c>
      <c r="R319" s="3">
        <f>(Wapato_Inventory[[#This Row],[ln_acres]]*Wapato_Inventory[[#This Row],[coeff]])+Wapato_Inventory[[#This Row],[const]]</f>
        <v>19535.514109596792</v>
      </c>
      <c r="S319" t="s">
        <v>83</v>
      </c>
      <c r="T319">
        <v>1</v>
      </c>
      <c r="U319" t="s">
        <v>86</v>
      </c>
      <c r="V319" t="s">
        <v>84</v>
      </c>
      <c r="W319">
        <v>0</v>
      </c>
      <c r="X319">
        <v>0</v>
      </c>
      <c r="Y319">
        <v>57</v>
      </c>
      <c r="Z319">
        <v>103</v>
      </c>
      <c r="AA319">
        <v>110</v>
      </c>
      <c r="AB319">
        <v>1000</v>
      </c>
      <c r="AC319">
        <v>510</v>
      </c>
      <c r="AD319">
        <v>510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102</v>
      </c>
      <c r="AN319">
        <v>0</v>
      </c>
      <c r="AO319">
        <v>102</v>
      </c>
      <c r="AP319">
        <v>5</v>
      </c>
      <c r="AQ319">
        <v>0</v>
      </c>
      <c r="AR319">
        <v>0</v>
      </c>
      <c r="AS319" t="s">
        <v>59</v>
      </c>
      <c r="AT319">
        <v>0</v>
      </c>
      <c r="AU319" t="s">
        <v>80</v>
      </c>
      <c r="AV319" t="s">
        <v>147</v>
      </c>
      <c r="AW319">
        <v>0</v>
      </c>
      <c r="AX319">
        <v>1</v>
      </c>
      <c r="AY319">
        <v>0</v>
      </c>
      <c r="AZ319">
        <v>0</v>
      </c>
      <c r="BA319">
        <v>100</v>
      </c>
      <c r="BB319">
        <v>100</v>
      </c>
      <c r="BC319">
        <v>100</v>
      </c>
      <c r="BD319">
        <v>100</v>
      </c>
      <c r="BE319">
        <v>1</v>
      </c>
      <c r="BF319">
        <v>15000</v>
      </c>
      <c r="BG319">
        <v>1000</v>
      </c>
      <c r="BH319" s="7">
        <f>ROUND(Wapato_Inventory[[#This Row],[detatched_value]]*Lookups!$B$22*Lookups!$H$48,-2)</f>
        <v>0</v>
      </c>
      <c r="BI319" s="7">
        <f>ROUND(((Wapato_Inventory[[#This Row],[land_extract]]*Lookups!$B$3) +(Lookups!$B$2*0.5))*Lookups!$H$48,-2)</f>
        <v>53000</v>
      </c>
      <c r="BJ319" s="7">
        <f>IF(Wapato_Inventory[[#This Row],[bldg_style]]="",0,Lookups!$B$2*0.5)</f>
        <v>53765.27</v>
      </c>
      <c r="BK319" s="7">
        <f>_xlfn.IFNA(VLOOKUP(Wapato_Inventory[[#This Row],[quality]],Lookups!$H$2:$J$14,3,FALSE),0)</f>
        <v>0</v>
      </c>
      <c r="BL319" s="7">
        <f>_xlfn.IFNA(VLOOKUP(Wapato_Inventory[[#This Row],[condition]],Lookups!$H$17:$J$24,3,FALSE),0)</f>
        <v>0</v>
      </c>
      <c r="BM319" s="7">
        <f>Wapato_Inventory[[#This Row],[Age]]*Lookups!$B$16</f>
        <v>-38179.597099999999</v>
      </c>
      <c r="BN319" s="7">
        <f>Wapato_Inventory[[#This Row],[Main Floor]]*Lookups!$B$17</f>
        <v>21318.37689</v>
      </c>
      <c r="BO319" s="7">
        <f>Wapato_Inventory[[#This Row],[Upper Floor]]*Lookups!$B$18</f>
        <v>0</v>
      </c>
      <c r="BP319" s="7">
        <f>Wapato_Inventory[[#This Row],[Fin BSMT]]*Lookups!$B$19</f>
        <v>0</v>
      </c>
      <c r="BQ319" s="7">
        <f>(Wapato_Inventory[[#This Row],[att_gar]]+Wapato_Inventory[[#This Row],[blt_gar]])*Lookups!$B$20</f>
        <v>0</v>
      </c>
      <c r="BR319" s="7">
        <f>Wapato_Inventory[[#This Row],[Patio]]*Lookups!$B$21</f>
        <v>4419.0458580000004</v>
      </c>
      <c r="BS319" s="7">
        <f>SUM(Wapato_Inventory[[#This Row],[intercept]:[patio_value]])*Wapato_Inventory[[#This Row],[res_pct]]</f>
        <v>41323.095647999995</v>
      </c>
      <c r="BT319" s="7">
        <f>Wapato_Inventory[[#This Row],[land_value]]</f>
        <v>53000</v>
      </c>
      <c r="BU319" s="2">
        <f>_xlfn.IFNA(VLOOKUP(Wapato_Inventory[[#This Row],[quality]],Lookups!$A$28:$C$37,3,FALSE),1)</f>
        <v>1.0000010866511106</v>
      </c>
      <c r="BV319" s="2">
        <f>_xlfn.IFNA(VLOOKUP(Wapato_Inventory[[#This Row],[condition]],Lookups!$A$41:$C$48,3,FALSE),1)</f>
        <v>1.0000035546274355</v>
      </c>
      <c r="BW319" s="2">
        <f>IF(Wapato_Inventory[[#This Row],[decade]]="",1,_xlfn.IFNA(VLOOKUP(Wapato_Inventory[[#This Row],[decade]],Lookups!$F$28:$H$45,3,FALSE),1))</f>
        <v>0.93664589651353292</v>
      </c>
      <c r="BX319" s="2">
        <f>_xlfn.IFNA(VLOOKUP(Wapato_Inventory[[#This Row],[living_area_range]],Lookups!$K$28:$M$37,3,FALSE),1)</f>
        <v>0.99022994770196116</v>
      </c>
      <c r="BY319" s="2">
        <f>AVERAGE(Wapato_Inventory[[#This Row],[qual_adj]:[range_adj]])</f>
        <v>0.98172012137351017</v>
      </c>
      <c r="BZ319" s="7">
        <f>(Wapato_Inventory[[#This Row],[sum_land]]-IF(Wapato_Inventory[[#This Row],[no_utilities]]=1,12000,0))/IF(Wapato_Inventory[[#This Row],[unbuildable]]=1,2,1)</f>
        <v>53000</v>
      </c>
      <c r="CA319" s="7">
        <f>Wapato_Inventory[[#This Row],[pre_res]]*Wapato_Inventory[[#This Row],[overall_adj]]</f>
        <v>40567.714475083725</v>
      </c>
      <c r="CB31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19" s="3">
        <f>IF(ROUND(Wapato_Inventory[[#This Row],[adj_res]]*Lookups!$H$48,-2)&lt;Wapato_Inventory[[#This Row],[min_res]],Wapato_Inventory[[#This Row],[min_res]],ROUND(Wapato_Inventory[[#This Row],[adj_res]]*Lookups!$H$48,-2))</f>
        <v>38500</v>
      </c>
      <c r="CD319" s="3">
        <f>ROUND(Wapato_Inventory[[#This Row],[det_value]]*Lookups!$H$48,-2)</f>
        <v>0</v>
      </c>
      <c r="CE319" s="3">
        <f>Wapato_Inventory[[#This Row],[final_res]]+Wapato_Inventory[[#This Row],[final_det]]</f>
        <v>38500</v>
      </c>
      <c r="CF319" s="3">
        <f>Wapato_Inventory[[#This Row],[crop_value]]+Wapato_Inventory[[#This Row],[final_land]]+Wapato_Inventory[[#This Row],[final_imp]]</f>
        <v>88900</v>
      </c>
      <c r="CH319" t="str">
        <f t="shared" si="4"/>
        <v>update valuation set market_land =50400, market_bldg=38500, market_total =88900, market_mdno =405, market_date ='9/10/2023' where link_id = (select link_id from parcel where parcel_year = '2024' and parcel_id = '19111044431');</v>
      </c>
    </row>
    <row r="320" spans="1:86" x14ac:dyDescent="0.25">
      <c r="A320">
        <v>19111044432</v>
      </c>
      <c r="B320">
        <v>0.18</v>
      </c>
      <c r="C320">
        <v>7872</v>
      </c>
      <c r="D320" t="s">
        <v>144</v>
      </c>
      <c r="E320" t="s">
        <v>54</v>
      </c>
      <c r="F320" t="s">
        <v>54</v>
      </c>
      <c r="G320">
        <v>3</v>
      </c>
      <c r="H320" t="s">
        <v>55</v>
      </c>
      <c r="I320">
        <v>203500</v>
      </c>
      <c r="J320">
        <v>33700</v>
      </c>
      <c r="K320">
        <v>0.18</v>
      </c>
      <c r="L320">
        <f>IF(Wapato_Inventory[[#This Row],[parcel_acres]]-Wapato_Inventory[[#This Row],[non_valued_acres]] =0,0,LN(Wapato_Inventory[[#This Row],[parcel_acres]]-Wapato_Inventory[[#This Row],[non_valued_acres]]))</f>
        <v>-1.7147984280919266</v>
      </c>
      <c r="M320">
        <v>0</v>
      </c>
      <c r="N320">
        <v>0</v>
      </c>
      <c r="O320">
        <v>0</v>
      </c>
      <c r="P320">
        <v>27904.037</v>
      </c>
      <c r="Q320">
        <v>74398</v>
      </c>
      <c r="R320" s="3">
        <f>(Wapato_Inventory[[#This Row],[ln_acres]]*Wapato_Inventory[[#This Row],[coeff]])+Wapato_Inventory[[#This Row],[const]]</f>
        <v>26548.20121498104</v>
      </c>
      <c r="S320" t="s">
        <v>62</v>
      </c>
      <c r="T320">
        <v>1</v>
      </c>
      <c r="U320" t="s">
        <v>67</v>
      </c>
      <c r="V320" t="s">
        <v>69</v>
      </c>
      <c r="W320">
        <v>0</v>
      </c>
      <c r="X320">
        <v>0</v>
      </c>
      <c r="Y320">
        <v>25</v>
      </c>
      <c r="Z320">
        <v>25</v>
      </c>
      <c r="AA320">
        <v>30</v>
      </c>
      <c r="AB320">
        <v>1500</v>
      </c>
      <c r="AC320">
        <v>1120</v>
      </c>
      <c r="AD320">
        <v>1120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112</v>
      </c>
      <c r="AM320">
        <v>0</v>
      </c>
      <c r="AN320">
        <v>104</v>
      </c>
      <c r="AO320">
        <v>0</v>
      </c>
      <c r="AP320">
        <v>8</v>
      </c>
      <c r="AQ320">
        <v>0</v>
      </c>
      <c r="AR320">
        <v>0</v>
      </c>
      <c r="AS320" t="s">
        <v>59</v>
      </c>
      <c r="AT320">
        <v>1</v>
      </c>
      <c r="AU320" t="s">
        <v>64</v>
      </c>
      <c r="AV320" t="s">
        <v>65</v>
      </c>
      <c r="AW320">
        <v>1</v>
      </c>
      <c r="AX320">
        <v>3</v>
      </c>
      <c r="AY320">
        <v>0</v>
      </c>
      <c r="AZ320">
        <v>500</v>
      </c>
      <c r="BA320">
        <v>100</v>
      </c>
      <c r="BB320">
        <v>100</v>
      </c>
      <c r="BC320">
        <v>100</v>
      </c>
      <c r="BD320">
        <v>100</v>
      </c>
      <c r="BE320">
        <v>1</v>
      </c>
      <c r="BF320">
        <v>15000</v>
      </c>
      <c r="BG320">
        <v>1000</v>
      </c>
      <c r="BH320" s="7">
        <f>ROUND(Wapato_Inventory[[#This Row],[detatched_value]]*Lookups!$B$22*Lookups!$H$48,-2)</f>
        <v>400</v>
      </c>
      <c r="BI320" s="7">
        <f>ROUND(((Wapato_Inventory[[#This Row],[land_extract]]*Lookups!$B$3) +(Lookups!$B$2*0.5))*Lookups!$H$48,-2)</f>
        <v>53600</v>
      </c>
      <c r="BJ320" s="7">
        <f>IF(Wapato_Inventory[[#This Row],[bldg_style]]="",0,Lookups!$B$2*0.5)</f>
        <v>53765.27</v>
      </c>
      <c r="BK320" s="7">
        <f>_xlfn.IFNA(VLOOKUP(Wapato_Inventory[[#This Row],[quality]],Lookups!$H$2:$J$14,3,FALSE),0)</f>
        <v>50405</v>
      </c>
      <c r="BL320" s="7">
        <f>_xlfn.IFNA(VLOOKUP(Wapato_Inventory[[#This Row],[condition]],Lookups!$H$17:$J$24,3,FALSE),0)</f>
        <v>74543</v>
      </c>
      <c r="BM320" s="7">
        <f>Wapato_Inventory[[#This Row],[Age]]*Lookups!$B$16</f>
        <v>-9266.8924999999999</v>
      </c>
      <c r="BN320" s="7">
        <f>Wapato_Inventory[[#This Row],[Main Floor]]*Lookups!$B$17</f>
        <v>46816.827680000002</v>
      </c>
      <c r="BO320" s="7">
        <f>Wapato_Inventory[[#This Row],[Upper Floor]]*Lookups!$B$18</f>
        <v>0</v>
      </c>
      <c r="BP320" s="7">
        <f>Wapato_Inventory[[#This Row],[Fin BSMT]]*Lookups!$B$19</f>
        <v>0</v>
      </c>
      <c r="BQ320" s="7">
        <f>(Wapato_Inventory[[#This Row],[att_gar]]+Wapato_Inventory[[#This Row],[blt_gar]])*Lookups!$B$20</f>
        <v>0</v>
      </c>
      <c r="BR320" s="7">
        <f>Wapato_Inventory[[#This Row],[Patio]]*Lookups!$B$21</f>
        <v>0</v>
      </c>
      <c r="BS320" s="7">
        <f>SUM(Wapato_Inventory[[#This Row],[intercept]:[patio_value]])*Wapato_Inventory[[#This Row],[res_pct]]</f>
        <v>216263.20517999999</v>
      </c>
      <c r="BT320" s="7">
        <f>Wapato_Inventory[[#This Row],[land_value]]</f>
        <v>53600</v>
      </c>
      <c r="BU320" s="2">
        <f>_xlfn.IFNA(VLOOKUP(Wapato_Inventory[[#This Row],[quality]],Lookups!$A$28:$C$37,3,FALSE),1)</f>
        <v>0.97993206410140754</v>
      </c>
      <c r="BV320" s="2">
        <f>_xlfn.IFNA(VLOOKUP(Wapato_Inventory[[#This Row],[condition]],Lookups!$A$41:$C$48,3,FALSE),1)</f>
        <v>0.98442438223270734</v>
      </c>
      <c r="BW320" s="2">
        <f>IF(Wapato_Inventory[[#This Row],[decade]]="",1,_xlfn.IFNA(VLOOKUP(Wapato_Inventory[[#This Row],[decade]],Lookups!$F$28:$H$45,3,FALSE),1))</f>
        <v>1.0490505496896987</v>
      </c>
      <c r="BX320" s="2">
        <f>_xlfn.IFNA(VLOOKUP(Wapato_Inventory[[#This Row],[living_area_range]],Lookups!$K$28:$M$37,3,FALSE),1)</f>
        <v>1.0061411172456287</v>
      </c>
      <c r="BY320" s="2">
        <f>AVERAGE(Wapato_Inventory[[#This Row],[qual_adj]:[range_adj]])</f>
        <v>1.0048870283173605</v>
      </c>
      <c r="BZ320" s="7">
        <f>(Wapato_Inventory[[#This Row],[sum_land]]-IF(Wapato_Inventory[[#This Row],[no_utilities]]=1,12000,0))/IF(Wapato_Inventory[[#This Row],[unbuildable]]=1,2,1)</f>
        <v>53600</v>
      </c>
      <c r="CA320" s="7">
        <f>Wapato_Inventory[[#This Row],[pre_res]]*Wapato_Inventory[[#This Row],[overall_adj]]</f>
        <v>217320.08958771781</v>
      </c>
      <c r="CB320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20" s="3">
        <f>IF(ROUND(Wapato_Inventory[[#This Row],[adj_res]]*Lookups!$H$48,-2)&lt;Wapato_Inventory[[#This Row],[min_res]],Wapato_Inventory[[#This Row],[min_res]],ROUND(Wapato_Inventory[[#This Row],[adj_res]]*Lookups!$H$48,-2))</f>
        <v>206500</v>
      </c>
      <c r="CD320" s="3">
        <f>ROUND(Wapato_Inventory[[#This Row],[det_value]]*Lookups!$H$48,-2)</f>
        <v>400</v>
      </c>
      <c r="CE320" s="3">
        <f>Wapato_Inventory[[#This Row],[final_res]]+Wapato_Inventory[[#This Row],[final_det]]</f>
        <v>206900</v>
      </c>
      <c r="CF320" s="3">
        <f>Wapato_Inventory[[#This Row],[crop_value]]+Wapato_Inventory[[#This Row],[final_land]]+Wapato_Inventory[[#This Row],[final_imp]]</f>
        <v>257800</v>
      </c>
      <c r="CH320" t="str">
        <f t="shared" si="4"/>
        <v>update valuation set market_land =50900, market_bldg=206900, market_total =257800, market_mdno =405, market_date ='9/10/2023' where link_id = (select link_id from parcel where parcel_year = '2024' and parcel_id = '19111044432');</v>
      </c>
    </row>
    <row r="321" spans="1:86" x14ac:dyDescent="0.25">
      <c r="A321">
        <v>19111044435</v>
      </c>
      <c r="B321">
        <v>0.11</v>
      </c>
      <c r="C321">
        <v>5000</v>
      </c>
      <c r="D321" t="s">
        <v>144</v>
      </c>
      <c r="E321" t="s">
        <v>54</v>
      </c>
      <c r="F321" t="s">
        <v>54</v>
      </c>
      <c r="G321">
        <v>3</v>
      </c>
      <c r="H321" t="s">
        <v>55</v>
      </c>
      <c r="I321">
        <v>61000</v>
      </c>
      <c r="J321">
        <v>30200</v>
      </c>
      <c r="K321">
        <v>0.11</v>
      </c>
      <c r="L321">
        <f>IF(Wapato_Inventory[[#This Row],[parcel_acres]]-Wapato_Inventory[[#This Row],[non_valued_acres]] =0,0,LN(Wapato_Inventory[[#This Row],[parcel_acres]]-Wapato_Inventory[[#This Row],[non_valued_acres]]))</f>
        <v>-2.2072749131897207</v>
      </c>
      <c r="M321">
        <v>0</v>
      </c>
      <c r="N321">
        <v>0</v>
      </c>
      <c r="O321">
        <v>0</v>
      </c>
      <c r="P321">
        <v>27904.037</v>
      </c>
      <c r="Q321">
        <v>74398</v>
      </c>
      <c r="R321" s="3">
        <f>(Wapato_Inventory[[#This Row],[ln_acres]]*Wapato_Inventory[[#This Row],[coeff]])+Wapato_Inventory[[#This Row],[const]]</f>
        <v>12806.119153182248</v>
      </c>
      <c r="S321" t="s">
        <v>66</v>
      </c>
      <c r="T321">
        <v>1</v>
      </c>
      <c r="U321" t="s">
        <v>71</v>
      </c>
      <c r="V321" t="s">
        <v>73</v>
      </c>
      <c r="W321">
        <v>0</v>
      </c>
      <c r="X321">
        <v>0</v>
      </c>
      <c r="Y321">
        <v>57</v>
      </c>
      <c r="Z321">
        <v>103</v>
      </c>
      <c r="AA321">
        <v>110</v>
      </c>
      <c r="AB321">
        <v>1000</v>
      </c>
      <c r="AC321">
        <v>792</v>
      </c>
      <c r="AD321">
        <v>792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5</v>
      </c>
      <c r="AQ321">
        <v>0</v>
      </c>
      <c r="AR321">
        <v>0</v>
      </c>
      <c r="AS321" t="s">
        <v>59</v>
      </c>
      <c r="AT321">
        <v>1</v>
      </c>
      <c r="AU321" t="s">
        <v>72</v>
      </c>
      <c r="AV321" t="s">
        <v>61</v>
      </c>
      <c r="AW321">
        <v>0</v>
      </c>
      <c r="AX321">
        <v>2</v>
      </c>
      <c r="AY321">
        <v>0</v>
      </c>
      <c r="AZ321">
        <v>0</v>
      </c>
      <c r="BA321">
        <v>100</v>
      </c>
      <c r="BB321">
        <v>100</v>
      </c>
      <c r="BC321">
        <v>100</v>
      </c>
      <c r="BD321">
        <v>100</v>
      </c>
      <c r="BE321">
        <v>1</v>
      </c>
      <c r="BF321">
        <v>15000</v>
      </c>
      <c r="BG321">
        <v>1000</v>
      </c>
      <c r="BH321" s="7">
        <f>ROUND(Wapato_Inventory[[#This Row],[detatched_value]]*Lookups!$B$22*Lookups!$H$48,-2)</f>
        <v>0</v>
      </c>
      <c r="BI321" s="7">
        <f>ROUND(((Wapato_Inventory[[#This Row],[land_extract]]*Lookups!$B$3) +(Lookups!$B$2*0.5))*Lookups!$H$48,-2)</f>
        <v>52300</v>
      </c>
      <c r="BJ321" s="7">
        <f>IF(Wapato_Inventory[[#This Row],[bldg_style]]="",0,Lookups!$B$2*0.5)</f>
        <v>53765.27</v>
      </c>
      <c r="BK321" s="7">
        <f>_xlfn.IFNA(VLOOKUP(Wapato_Inventory[[#This Row],[quality]],Lookups!$H$2:$J$14,3,FALSE),0)</f>
        <v>28034</v>
      </c>
      <c r="BL321" s="7">
        <f>_xlfn.IFNA(VLOOKUP(Wapato_Inventory[[#This Row],[condition]],Lookups!$H$17:$J$24,3,FALSE),0)</f>
        <v>16276</v>
      </c>
      <c r="BM321" s="7">
        <f>Wapato_Inventory[[#This Row],[Age]]*Lookups!$B$16</f>
        <v>-38179.597099999999</v>
      </c>
      <c r="BN321" s="7">
        <f>Wapato_Inventory[[#This Row],[Main Floor]]*Lookups!$B$17</f>
        <v>33106.185288000001</v>
      </c>
      <c r="BO321" s="7">
        <f>Wapato_Inventory[[#This Row],[Upper Floor]]*Lookups!$B$18</f>
        <v>0</v>
      </c>
      <c r="BP321" s="7">
        <f>Wapato_Inventory[[#This Row],[Fin BSMT]]*Lookups!$B$19</f>
        <v>0</v>
      </c>
      <c r="BQ321" s="7">
        <f>(Wapato_Inventory[[#This Row],[att_gar]]+Wapato_Inventory[[#This Row],[blt_gar]])*Lookups!$B$20</f>
        <v>0</v>
      </c>
      <c r="BR321" s="7">
        <f>Wapato_Inventory[[#This Row],[Patio]]*Lookups!$B$21</f>
        <v>0</v>
      </c>
      <c r="BS321" s="7">
        <f>SUM(Wapato_Inventory[[#This Row],[intercept]:[patio_value]])*Wapato_Inventory[[#This Row],[res_pct]]</f>
        <v>93001.858187999984</v>
      </c>
      <c r="BT321" s="7">
        <f>Wapato_Inventory[[#This Row],[land_value]]</f>
        <v>52300</v>
      </c>
      <c r="BU321" s="2">
        <f>_xlfn.IFNA(VLOOKUP(Wapato_Inventory[[#This Row],[quality]],Lookups!$A$28:$C$37,3,FALSE),1)</f>
        <v>0.96265813922927435</v>
      </c>
      <c r="BV321" s="2">
        <f>_xlfn.IFNA(VLOOKUP(Wapato_Inventory[[#This Row],[condition]],Lookups!$A$41:$C$48,3,FALSE),1)</f>
        <v>0.93399385491337139</v>
      </c>
      <c r="BW321" s="2">
        <f>IF(Wapato_Inventory[[#This Row],[decade]]="",1,_xlfn.IFNA(VLOOKUP(Wapato_Inventory[[#This Row],[decade]],Lookups!$F$28:$H$45,3,FALSE),1))</f>
        <v>0.93664589651353292</v>
      </c>
      <c r="BX321" s="2">
        <f>_xlfn.IFNA(VLOOKUP(Wapato_Inventory[[#This Row],[living_area_range]],Lookups!$K$28:$M$37,3,FALSE),1)</f>
        <v>0.99022994770196116</v>
      </c>
      <c r="BY321" s="2">
        <f>AVERAGE(Wapato_Inventory[[#This Row],[qual_adj]:[range_adj]])</f>
        <v>0.95588195958953504</v>
      </c>
      <c r="BZ321" s="7">
        <f>(Wapato_Inventory[[#This Row],[sum_land]]-IF(Wapato_Inventory[[#This Row],[no_utilities]]=1,12000,0))/IF(Wapato_Inventory[[#This Row],[unbuildable]]=1,2,1)</f>
        <v>52300</v>
      </c>
      <c r="CA321" s="7">
        <f>Wapato_Inventory[[#This Row],[pre_res]]*Wapato_Inventory[[#This Row],[overall_adj]]</f>
        <v>88898.798450213464</v>
      </c>
      <c r="CB321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321" s="3">
        <f>IF(ROUND(Wapato_Inventory[[#This Row],[adj_res]]*Lookups!$H$48,-2)&lt;Wapato_Inventory[[#This Row],[min_res]],Wapato_Inventory[[#This Row],[min_res]],ROUND(Wapato_Inventory[[#This Row],[adj_res]]*Lookups!$H$48,-2))</f>
        <v>84500</v>
      </c>
      <c r="CD321" s="3">
        <f>ROUND(Wapato_Inventory[[#This Row],[det_value]]*Lookups!$H$48,-2)</f>
        <v>0</v>
      </c>
      <c r="CE321" s="3">
        <f>Wapato_Inventory[[#This Row],[final_res]]+Wapato_Inventory[[#This Row],[final_det]]</f>
        <v>84500</v>
      </c>
      <c r="CF321" s="3">
        <f>Wapato_Inventory[[#This Row],[crop_value]]+Wapato_Inventory[[#This Row],[final_land]]+Wapato_Inventory[[#This Row],[final_imp]]</f>
        <v>134200</v>
      </c>
      <c r="CH321" t="str">
        <f t="shared" si="4"/>
        <v>update valuation set market_land =49700, market_bldg=84500, market_total =134200, market_mdno =405, market_date ='9/10/2023' where link_id = (select link_id from parcel where parcel_year = '2024' and parcel_id = '19111044435');</v>
      </c>
    </row>
    <row r="322" spans="1:86" x14ac:dyDescent="0.25">
      <c r="A322">
        <v>19111044436</v>
      </c>
      <c r="B322">
        <v>0.11</v>
      </c>
      <c r="C322">
        <v>5000</v>
      </c>
      <c r="D322" t="s">
        <v>144</v>
      </c>
      <c r="E322" t="s">
        <v>54</v>
      </c>
      <c r="F322" t="s">
        <v>54</v>
      </c>
      <c r="G322">
        <v>3</v>
      </c>
      <c r="H322" t="s">
        <v>55</v>
      </c>
      <c r="I322">
        <v>54300</v>
      </c>
      <c r="J322">
        <v>30200</v>
      </c>
      <c r="K322">
        <v>0.11</v>
      </c>
      <c r="L322">
        <f>IF(Wapato_Inventory[[#This Row],[parcel_acres]]-Wapato_Inventory[[#This Row],[non_valued_acres]] =0,0,LN(Wapato_Inventory[[#This Row],[parcel_acres]]-Wapato_Inventory[[#This Row],[non_valued_acres]]))</f>
        <v>-2.2072749131897207</v>
      </c>
      <c r="M322">
        <v>0</v>
      </c>
      <c r="N322">
        <v>0</v>
      </c>
      <c r="O322">
        <v>0</v>
      </c>
      <c r="P322">
        <v>27904.037</v>
      </c>
      <c r="Q322">
        <v>74398</v>
      </c>
      <c r="R322" s="3">
        <f>(Wapato_Inventory[[#This Row],[ln_acres]]*Wapato_Inventory[[#This Row],[coeff]])+Wapato_Inventory[[#This Row],[const]]</f>
        <v>12806.119153182248</v>
      </c>
      <c r="S322" t="s">
        <v>83</v>
      </c>
      <c r="T322">
        <v>1</v>
      </c>
      <c r="U322" t="s">
        <v>86</v>
      </c>
      <c r="V322" t="s">
        <v>73</v>
      </c>
      <c r="W322">
        <v>0</v>
      </c>
      <c r="X322">
        <v>0</v>
      </c>
      <c r="Y322">
        <v>88</v>
      </c>
      <c r="Z322">
        <v>88</v>
      </c>
      <c r="AA322">
        <v>90</v>
      </c>
      <c r="AB322">
        <v>1000</v>
      </c>
      <c r="AC322">
        <v>912</v>
      </c>
      <c r="AD322">
        <v>912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24</v>
      </c>
      <c r="AO322">
        <v>0</v>
      </c>
      <c r="AP322">
        <v>5</v>
      </c>
      <c r="AQ322">
        <v>0</v>
      </c>
      <c r="AR322">
        <v>0</v>
      </c>
      <c r="AS322" t="s">
        <v>59</v>
      </c>
      <c r="AT322">
        <v>1</v>
      </c>
      <c r="AU322" t="s">
        <v>72</v>
      </c>
      <c r="AV322" t="s">
        <v>61</v>
      </c>
      <c r="AW322">
        <v>0</v>
      </c>
      <c r="AX322">
        <v>3</v>
      </c>
      <c r="AY322">
        <v>0</v>
      </c>
      <c r="AZ322">
        <v>0</v>
      </c>
      <c r="BA322">
        <v>100</v>
      </c>
      <c r="BB322">
        <v>100</v>
      </c>
      <c r="BC322">
        <v>100</v>
      </c>
      <c r="BD322">
        <v>100</v>
      </c>
      <c r="BE322">
        <v>1</v>
      </c>
      <c r="BF322">
        <v>15000</v>
      </c>
      <c r="BG322">
        <v>1000</v>
      </c>
      <c r="BH322" s="7">
        <f>ROUND(Wapato_Inventory[[#This Row],[detatched_value]]*Lookups!$B$22*Lookups!$H$48,-2)</f>
        <v>0</v>
      </c>
      <c r="BI322" s="7">
        <f>ROUND(((Wapato_Inventory[[#This Row],[land_extract]]*Lookups!$B$3) +(Lookups!$B$2*0.5))*Lookups!$H$48,-2)</f>
        <v>52300</v>
      </c>
      <c r="BJ322" s="7">
        <f>IF(Wapato_Inventory[[#This Row],[bldg_style]]="",0,Lookups!$B$2*0.5)</f>
        <v>53765.27</v>
      </c>
      <c r="BK322" s="7">
        <f>_xlfn.IFNA(VLOOKUP(Wapato_Inventory[[#This Row],[quality]],Lookups!$H$2:$J$14,3,FALSE),0)</f>
        <v>0</v>
      </c>
      <c r="BL322" s="7">
        <f>_xlfn.IFNA(VLOOKUP(Wapato_Inventory[[#This Row],[condition]],Lookups!$H$17:$J$24,3,FALSE),0)</f>
        <v>16276</v>
      </c>
      <c r="BM322" s="7">
        <f>Wapato_Inventory[[#This Row],[Age]]*Lookups!$B$16</f>
        <v>-32619.461600000002</v>
      </c>
      <c r="BN322" s="7">
        <f>Wapato_Inventory[[#This Row],[Main Floor]]*Lookups!$B$17</f>
        <v>38122.273968000001</v>
      </c>
      <c r="BO322" s="7">
        <f>Wapato_Inventory[[#This Row],[Upper Floor]]*Lookups!$B$18</f>
        <v>0</v>
      </c>
      <c r="BP322" s="7">
        <f>Wapato_Inventory[[#This Row],[Fin BSMT]]*Lookups!$B$19</f>
        <v>0</v>
      </c>
      <c r="BQ322" s="7">
        <f>(Wapato_Inventory[[#This Row],[att_gar]]+Wapato_Inventory[[#This Row],[blt_gar]])*Lookups!$B$20</f>
        <v>0</v>
      </c>
      <c r="BR322" s="7">
        <f>Wapato_Inventory[[#This Row],[Patio]]*Lookups!$B$21</f>
        <v>0</v>
      </c>
      <c r="BS322" s="7">
        <f>SUM(Wapato_Inventory[[#This Row],[intercept]:[patio_value]])*Wapato_Inventory[[#This Row],[res_pct]]</f>
        <v>75544.082367999988</v>
      </c>
      <c r="BT322" s="7">
        <f>Wapato_Inventory[[#This Row],[land_value]]</f>
        <v>52300</v>
      </c>
      <c r="BU322" s="2">
        <f>_xlfn.IFNA(VLOOKUP(Wapato_Inventory[[#This Row],[quality]],Lookups!$A$28:$C$37,3,FALSE),1)</f>
        <v>1.0000010866511106</v>
      </c>
      <c r="BV322" s="2">
        <f>_xlfn.IFNA(VLOOKUP(Wapato_Inventory[[#This Row],[condition]],Lookups!$A$41:$C$48,3,FALSE),1)</f>
        <v>0.93399385491337139</v>
      </c>
      <c r="BW322" s="2">
        <f>IF(Wapato_Inventory[[#This Row],[decade]]="",1,_xlfn.IFNA(VLOOKUP(Wapato_Inventory[[#This Row],[decade]],Lookups!$F$28:$H$45,3,FALSE),1))</f>
        <v>0.94742695999815718</v>
      </c>
      <c r="BX322" s="2">
        <f>_xlfn.IFNA(VLOOKUP(Wapato_Inventory[[#This Row],[living_area_range]],Lookups!$K$28:$M$37,3,FALSE),1)</f>
        <v>0.99022994770196116</v>
      </c>
      <c r="BY322" s="2">
        <f>AVERAGE(Wapato_Inventory[[#This Row],[qual_adj]:[range_adj]])</f>
        <v>0.96791296231615009</v>
      </c>
      <c r="BZ322" s="7">
        <f>(Wapato_Inventory[[#This Row],[sum_land]]-IF(Wapato_Inventory[[#This Row],[no_utilities]]=1,12000,0))/IF(Wapato_Inventory[[#This Row],[unbuildable]]=1,2,1)</f>
        <v>52300</v>
      </c>
      <c r="CA322" s="7">
        <f>Wapato_Inventory[[#This Row],[pre_res]]*Wapato_Inventory[[#This Row],[overall_adj]]</f>
        <v>73120.096550266113</v>
      </c>
      <c r="CB322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322" s="3">
        <f>IF(ROUND(Wapato_Inventory[[#This Row],[adj_res]]*Lookups!$H$48,-2)&lt;Wapato_Inventory[[#This Row],[min_res]],Wapato_Inventory[[#This Row],[min_res]],ROUND(Wapato_Inventory[[#This Row],[adj_res]]*Lookups!$H$48,-2))</f>
        <v>69500</v>
      </c>
      <c r="CD322" s="3">
        <f>ROUND(Wapato_Inventory[[#This Row],[det_value]]*Lookups!$H$48,-2)</f>
        <v>0</v>
      </c>
      <c r="CE322" s="3">
        <f>Wapato_Inventory[[#This Row],[final_res]]+Wapato_Inventory[[#This Row],[final_det]]</f>
        <v>69500</v>
      </c>
      <c r="CF322" s="3">
        <f>Wapato_Inventory[[#This Row],[crop_value]]+Wapato_Inventory[[#This Row],[final_land]]+Wapato_Inventory[[#This Row],[final_imp]]</f>
        <v>119200</v>
      </c>
      <c r="CH322" t="str">
        <f t="shared" ref="CH322:CH385" si="5">"update valuation set market_land ="&amp;CB322&amp;", market_bldg="&amp;CE322&amp;", market_total ="&amp;CF322&amp;", market_mdno ="&amp;$CH$1&amp;", market_date ='"&amp;TEXT($CI$1,"m/d/yyyy")&amp;"' where link_id = (select link_id from parcel where parcel_year = '2024' and parcel_id = '"&amp;A322&amp;"');"</f>
        <v>update valuation set market_land =49700, market_bldg=69500, market_total =119200, market_mdno =405, market_date ='9/10/2023' where link_id = (select link_id from parcel where parcel_year = '2024' and parcel_id = '19111044436');</v>
      </c>
    </row>
    <row r="323" spans="1:86" x14ac:dyDescent="0.25">
      <c r="A323">
        <v>19111044437</v>
      </c>
      <c r="B323">
        <v>0.14000000000000001</v>
      </c>
      <c r="C323">
        <v>6007</v>
      </c>
      <c r="D323" t="s">
        <v>144</v>
      </c>
      <c r="E323" t="s">
        <v>54</v>
      </c>
      <c r="F323" t="s">
        <v>54</v>
      </c>
      <c r="G323">
        <v>3</v>
      </c>
      <c r="H323" t="s">
        <v>55</v>
      </c>
      <c r="I323">
        <v>272900</v>
      </c>
      <c r="J323">
        <v>31900</v>
      </c>
      <c r="K323">
        <v>0.14000000000000001</v>
      </c>
      <c r="L323">
        <f>IF(Wapato_Inventory[[#This Row],[parcel_acres]]-Wapato_Inventory[[#This Row],[non_valued_acres]] =0,0,LN(Wapato_Inventory[[#This Row],[parcel_acres]]-Wapato_Inventory[[#This Row],[non_valued_acres]]))</f>
        <v>-1.9661128563728327</v>
      </c>
      <c r="M323">
        <v>0</v>
      </c>
      <c r="N323">
        <v>0</v>
      </c>
      <c r="O323">
        <v>0</v>
      </c>
      <c r="P323">
        <v>27904.037</v>
      </c>
      <c r="Q323">
        <v>74398</v>
      </c>
      <c r="R323" s="3">
        <f>(Wapato_Inventory[[#This Row],[ln_acres]]*Wapato_Inventory[[#This Row],[coeff]])+Wapato_Inventory[[#This Row],[const]]</f>
        <v>19535.514109596792</v>
      </c>
      <c r="S323" t="s">
        <v>66</v>
      </c>
      <c r="T323">
        <v>1</v>
      </c>
      <c r="U323" t="s">
        <v>75</v>
      </c>
      <c r="V323" t="s">
        <v>70</v>
      </c>
      <c r="W323">
        <v>0</v>
      </c>
      <c r="X323">
        <v>0</v>
      </c>
      <c r="Y323">
        <v>19</v>
      </c>
      <c r="Z323">
        <v>19</v>
      </c>
      <c r="AA323">
        <v>20</v>
      </c>
      <c r="AB323">
        <v>1500</v>
      </c>
      <c r="AC323">
        <v>1120</v>
      </c>
      <c r="AD323">
        <v>1120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32</v>
      </c>
      <c r="AM323">
        <v>0</v>
      </c>
      <c r="AN323">
        <v>0</v>
      </c>
      <c r="AO323">
        <v>0</v>
      </c>
      <c r="AP323">
        <v>8</v>
      </c>
      <c r="AQ323">
        <v>0</v>
      </c>
      <c r="AR323">
        <v>0</v>
      </c>
      <c r="AS323" t="s">
        <v>59</v>
      </c>
      <c r="AT323">
        <v>1</v>
      </c>
      <c r="AU323" t="s">
        <v>60</v>
      </c>
      <c r="AV323" t="s">
        <v>61</v>
      </c>
      <c r="AW323">
        <v>1</v>
      </c>
      <c r="AX323">
        <v>3</v>
      </c>
      <c r="AY323">
        <v>0</v>
      </c>
      <c r="AZ323">
        <v>0</v>
      </c>
      <c r="BA323">
        <v>100</v>
      </c>
      <c r="BB323">
        <v>100</v>
      </c>
      <c r="BC323">
        <v>100</v>
      </c>
      <c r="BD323">
        <v>100</v>
      </c>
      <c r="BE323">
        <v>1</v>
      </c>
      <c r="BF323">
        <v>15000</v>
      </c>
      <c r="BG323">
        <v>1000</v>
      </c>
      <c r="BH323" s="7">
        <f>ROUND(Wapato_Inventory[[#This Row],[detatched_value]]*Lookups!$B$22*Lookups!$H$48,-2)</f>
        <v>0</v>
      </c>
      <c r="BI323" s="7">
        <f>ROUND(((Wapato_Inventory[[#This Row],[land_extract]]*Lookups!$B$3) +(Lookups!$B$2*0.5))*Lookups!$H$48,-2)</f>
        <v>53000</v>
      </c>
      <c r="BJ323" s="7">
        <f>IF(Wapato_Inventory[[#This Row],[bldg_style]]="",0,Lookups!$B$2*0.5)</f>
        <v>53765.27</v>
      </c>
      <c r="BK323" s="7">
        <f>_xlfn.IFNA(VLOOKUP(Wapato_Inventory[[#This Row],[quality]],Lookups!$H$2:$J$14,3,FALSE),0)</f>
        <v>48043</v>
      </c>
      <c r="BL323" s="7">
        <f>_xlfn.IFNA(VLOOKUP(Wapato_Inventory[[#This Row],[condition]],Lookups!$H$17:$J$24,3,FALSE),0)</f>
        <v>84338</v>
      </c>
      <c r="BM323" s="7">
        <f>Wapato_Inventory[[#This Row],[Age]]*Lookups!$B$16</f>
        <v>-7042.8383000000003</v>
      </c>
      <c r="BN323" s="7">
        <f>Wapato_Inventory[[#This Row],[Main Floor]]*Lookups!$B$17</f>
        <v>46816.827680000002</v>
      </c>
      <c r="BO323" s="7">
        <f>Wapato_Inventory[[#This Row],[Upper Floor]]*Lookups!$B$18</f>
        <v>0</v>
      </c>
      <c r="BP323" s="7">
        <f>Wapato_Inventory[[#This Row],[Fin BSMT]]*Lookups!$B$19</f>
        <v>0</v>
      </c>
      <c r="BQ323" s="7">
        <f>(Wapato_Inventory[[#This Row],[att_gar]]+Wapato_Inventory[[#This Row],[blt_gar]])*Lookups!$B$20</f>
        <v>0</v>
      </c>
      <c r="BR323" s="7">
        <f>Wapato_Inventory[[#This Row],[Patio]]*Lookups!$B$21</f>
        <v>0</v>
      </c>
      <c r="BS323" s="7">
        <f>SUM(Wapato_Inventory[[#This Row],[intercept]:[patio_value]])*Wapato_Inventory[[#This Row],[res_pct]]</f>
        <v>225920.25938</v>
      </c>
      <c r="BT323" s="7">
        <f>Wapato_Inventory[[#This Row],[land_value]]</f>
        <v>53000</v>
      </c>
      <c r="BU323" s="2">
        <f>_xlfn.IFNA(VLOOKUP(Wapato_Inventory[[#This Row],[quality]],Lookups!$A$28:$C$37,3,FALSE),1)</f>
        <v>0.98196844879778955</v>
      </c>
      <c r="BV323" s="2">
        <f>_xlfn.IFNA(VLOOKUP(Wapato_Inventory[[#This Row],[condition]],Lookups!$A$41:$C$48,3,FALSE),1)</f>
        <v>0.99478075210508476</v>
      </c>
      <c r="BW323" s="2">
        <f>IF(Wapato_Inventory[[#This Row],[decade]]="",1,_xlfn.IFNA(VLOOKUP(Wapato_Inventory[[#This Row],[decade]],Lookups!$F$28:$H$45,3,FALSE),1))</f>
        <v>1.0658609603367226</v>
      </c>
      <c r="BX323" s="2">
        <f>_xlfn.IFNA(VLOOKUP(Wapato_Inventory[[#This Row],[living_area_range]],Lookups!$K$28:$M$37,3,FALSE),1)</f>
        <v>1.0061411172456287</v>
      </c>
      <c r="BY323" s="2">
        <f>AVERAGE(Wapato_Inventory[[#This Row],[qual_adj]:[range_adj]])</f>
        <v>1.0121878196213063</v>
      </c>
      <c r="BZ323" s="7">
        <f>(Wapato_Inventory[[#This Row],[sum_land]]-IF(Wapato_Inventory[[#This Row],[no_utilities]]=1,12000,0))/IF(Wapato_Inventory[[#This Row],[unbuildable]]=1,2,1)</f>
        <v>53000</v>
      </c>
      <c r="CA323" s="7">
        <f>Wapato_Inventory[[#This Row],[pre_res]]*Wapato_Inventory[[#This Row],[overall_adj]]</f>
        <v>228673.73475012218</v>
      </c>
      <c r="CB32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23" s="3">
        <f>IF(ROUND(Wapato_Inventory[[#This Row],[adj_res]]*Lookups!$H$48,-2)&lt;Wapato_Inventory[[#This Row],[min_res]],Wapato_Inventory[[#This Row],[min_res]],ROUND(Wapato_Inventory[[#This Row],[adj_res]]*Lookups!$H$48,-2))</f>
        <v>217200</v>
      </c>
      <c r="CD323" s="3">
        <f>ROUND(Wapato_Inventory[[#This Row],[det_value]]*Lookups!$H$48,-2)</f>
        <v>0</v>
      </c>
      <c r="CE323" s="3">
        <f>Wapato_Inventory[[#This Row],[final_res]]+Wapato_Inventory[[#This Row],[final_det]]</f>
        <v>217200</v>
      </c>
      <c r="CF323" s="3">
        <f>Wapato_Inventory[[#This Row],[crop_value]]+Wapato_Inventory[[#This Row],[final_land]]+Wapato_Inventory[[#This Row],[final_imp]]</f>
        <v>267600</v>
      </c>
      <c r="CH323" t="str">
        <f t="shared" si="5"/>
        <v>update valuation set market_land =50400, market_bldg=217200, market_total =267600, market_mdno =405, market_date ='9/10/2023' where link_id = (select link_id from parcel where parcel_year = '2024' and parcel_id = '19111044437');</v>
      </c>
    </row>
    <row r="324" spans="1:86" x14ac:dyDescent="0.25">
      <c r="A324">
        <v>19111044438</v>
      </c>
      <c r="B324">
        <v>0.21</v>
      </c>
      <c r="C324">
        <v>9330</v>
      </c>
      <c r="D324" t="s">
        <v>144</v>
      </c>
      <c r="E324" t="s">
        <v>54</v>
      </c>
      <c r="F324" t="s">
        <v>54</v>
      </c>
      <c r="G324">
        <v>3</v>
      </c>
      <c r="H324" t="s">
        <v>55</v>
      </c>
      <c r="I324">
        <v>258300</v>
      </c>
      <c r="J324">
        <v>34800</v>
      </c>
      <c r="K324">
        <v>0.21</v>
      </c>
      <c r="L324">
        <f>IF(Wapato_Inventory[[#This Row],[parcel_acres]]-Wapato_Inventory[[#This Row],[non_valued_acres]] =0,0,LN(Wapato_Inventory[[#This Row],[parcel_acres]]-Wapato_Inventory[[#This Row],[non_valued_acres]]))</f>
        <v>-1.5606477482646683</v>
      </c>
      <c r="M324">
        <v>0</v>
      </c>
      <c r="N324">
        <v>0</v>
      </c>
      <c r="O324">
        <v>0</v>
      </c>
      <c r="P324">
        <v>27904.037</v>
      </c>
      <c r="Q324">
        <v>74398</v>
      </c>
      <c r="R324" s="3">
        <f>(Wapato_Inventory[[#This Row],[ln_acres]]*Wapato_Inventory[[#This Row],[coeff]])+Wapato_Inventory[[#This Row],[const]]</f>
        <v>30849.627488456012</v>
      </c>
      <c r="S324" t="s">
        <v>62</v>
      </c>
      <c r="T324">
        <v>1</v>
      </c>
      <c r="U324" t="s">
        <v>67</v>
      </c>
      <c r="V324" t="s">
        <v>58</v>
      </c>
      <c r="W324">
        <v>0</v>
      </c>
      <c r="X324">
        <v>0</v>
      </c>
      <c r="Y324">
        <v>12</v>
      </c>
      <c r="Z324">
        <v>12</v>
      </c>
      <c r="AA324">
        <v>20</v>
      </c>
      <c r="AB324">
        <v>1500</v>
      </c>
      <c r="AC324">
        <v>1496</v>
      </c>
      <c r="AD324">
        <v>1496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480</v>
      </c>
      <c r="AL324">
        <v>0</v>
      </c>
      <c r="AM324">
        <v>0</v>
      </c>
      <c r="AN324">
        <v>100</v>
      </c>
      <c r="AO324">
        <v>480</v>
      </c>
      <c r="AP324">
        <v>8</v>
      </c>
      <c r="AQ324">
        <v>0</v>
      </c>
      <c r="AR324">
        <v>0</v>
      </c>
      <c r="AS324" t="s">
        <v>59</v>
      </c>
      <c r="AT324">
        <v>1</v>
      </c>
      <c r="AU324" t="s">
        <v>64</v>
      </c>
      <c r="AV324" t="s">
        <v>61</v>
      </c>
      <c r="AW324">
        <v>0</v>
      </c>
      <c r="AX324">
        <v>3</v>
      </c>
      <c r="AY324">
        <v>0</v>
      </c>
      <c r="AZ324">
        <v>0</v>
      </c>
      <c r="BA324">
        <v>100</v>
      </c>
      <c r="BB324">
        <v>100</v>
      </c>
      <c r="BC324">
        <v>100</v>
      </c>
      <c r="BD324">
        <v>100</v>
      </c>
      <c r="BE324">
        <v>1</v>
      </c>
      <c r="BF324">
        <v>15000</v>
      </c>
      <c r="BG324">
        <v>1000</v>
      </c>
      <c r="BH324" s="7">
        <f>ROUND(Wapato_Inventory[[#This Row],[detatched_value]]*Lookups!$B$22*Lookups!$H$48,-2)</f>
        <v>0</v>
      </c>
      <c r="BI324" s="7">
        <f>ROUND(((Wapato_Inventory[[#This Row],[land_extract]]*Lookups!$B$3) +(Lookups!$B$2*0.5))*Lookups!$H$48,-2)</f>
        <v>54100</v>
      </c>
      <c r="BJ324" s="7">
        <f>IF(Wapato_Inventory[[#This Row],[bldg_style]]="",0,Lookups!$B$2*0.5)</f>
        <v>53765.27</v>
      </c>
      <c r="BK324" s="7">
        <f>_xlfn.IFNA(VLOOKUP(Wapato_Inventory[[#This Row],[quality]],Lookups!$H$2:$J$14,3,FALSE),0)</f>
        <v>50405</v>
      </c>
      <c r="BL324" s="7">
        <f>_xlfn.IFNA(VLOOKUP(Wapato_Inventory[[#This Row],[condition]],Lookups!$H$17:$J$24,3,FALSE),0)</f>
        <v>122095</v>
      </c>
      <c r="BM324" s="7">
        <f>Wapato_Inventory[[#This Row],[Age]]*Lookups!$B$16</f>
        <v>-4448.1084000000001</v>
      </c>
      <c r="BN324" s="7">
        <f>Wapato_Inventory[[#This Row],[Main Floor]]*Lookups!$B$17</f>
        <v>62533.905544000001</v>
      </c>
      <c r="BO324" s="7">
        <f>Wapato_Inventory[[#This Row],[Upper Floor]]*Lookups!$B$18</f>
        <v>0</v>
      </c>
      <c r="BP324" s="7">
        <f>Wapato_Inventory[[#This Row],[Fin BSMT]]*Lookups!$B$19</f>
        <v>0</v>
      </c>
      <c r="BQ324" s="7">
        <f>(Wapato_Inventory[[#This Row],[att_gar]]+Wapato_Inventory[[#This Row],[blt_gar]])*Lookups!$B$20</f>
        <v>0</v>
      </c>
      <c r="BR324" s="7">
        <f>Wapato_Inventory[[#This Row],[Patio]]*Lookups!$B$21</f>
        <v>0</v>
      </c>
      <c r="BS324" s="7">
        <f>SUM(Wapato_Inventory[[#This Row],[intercept]:[patio_value]])*Wapato_Inventory[[#This Row],[res_pct]]</f>
        <v>284351.06714399997</v>
      </c>
      <c r="BT324" s="7">
        <f>Wapato_Inventory[[#This Row],[land_value]]</f>
        <v>54100</v>
      </c>
      <c r="BU324" s="2">
        <f>_xlfn.IFNA(VLOOKUP(Wapato_Inventory[[#This Row],[quality]],Lookups!$A$28:$C$37,3,FALSE),1)</f>
        <v>0.97993206410140754</v>
      </c>
      <c r="BV324" s="2">
        <f>_xlfn.IFNA(VLOOKUP(Wapato_Inventory[[#This Row],[condition]],Lookups!$A$41:$C$48,3,FALSE),1)</f>
        <v>1.00041560026225</v>
      </c>
      <c r="BW324" s="2">
        <f>IF(Wapato_Inventory[[#This Row],[decade]]="",1,_xlfn.IFNA(VLOOKUP(Wapato_Inventory[[#This Row],[decade]],Lookups!$F$28:$H$45,3,FALSE),1))</f>
        <v>1.0658609603367226</v>
      </c>
      <c r="BX324" s="2">
        <f>_xlfn.IFNA(VLOOKUP(Wapato_Inventory[[#This Row],[living_area_range]],Lookups!$K$28:$M$37,3,FALSE),1)</f>
        <v>1.0061411172456287</v>
      </c>
      <c r="BY324" s="2">
        <f>AVERAGE(Wapato_Inventory[[#This Row],[qual_adj]:[range_adj]])</f>
        <v>1.0130874354865023</v>
      </c>
      <c r="BZ324" s="7">
        <f>(Wapato_Inventory[[#This Row],[sum_land]]-IF(Wapato_Inventory[[#This Row],[no_utilities]]=1,12000,0))/IF(Wapato_Inventory[[#This Row],[unbuildable]]=1,2,1)</f>
        <v>54100</v>
      </c>
      <c r="CA324" s="7">
        <f>Wapato_Inventory[[#This Row],[pre_res]]*Wapato_Inventory[[#This Row],[overall_adj]]</f>
        <v>288072.49339076516</v>
      </c>
      <c r="CB324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324" s="3">
        <f>IF(ROUND(Wapato_Inventory[[#This Row],[adj_res]]*Lookups!$H$48,-2)&lt;Wapato_Inventory[[#This Row],[min_res]],Wapato_Inventory[[#This Row],[min_res]],ROUND(Wapato_Inventory[[#This Row],[adj_res]]*Lookups!$H$48,-2))</f>
        <v>273700</v>
      </c>
      <c r="CD324" s="3">
        <f>ROUND(Wapato_Inventory[[#This Row],[det_value]]*Lookups!$H$48,-2)</f>
        <v>0</v>
      </c>
      <c r="CE324" s="3">
        <f>Wapato_Inventory[[#This Row],[final_res]]+Wapato_Inventory[[#This Row],[final_det]]</f>
        <v>273700</v>
      </c>
      <c r="CF324" s="3">
        <f>Wapato_Inventory[[#This Row],[crop_value]]+Wapato_Inventory[[#This Row],[final_land]]+Wapato_Inventory[[#This Row],[final_imp]]</f>
        <v>325100</v>
      </c>
      <c r="CH324" t="str">
        <f t="shared" si="5"/>
        <v>update valuation set market_land =51400, market_bldg=273700, market_total =325100, market_mdno =405, market_date ='9/10/2023' where link_id = (select link_id from parcel where parcel_year = '2024' and parcel_id = '19111044438');</v>
      </c>
    </row>
    <row r="325" spans="1:86" x14ac:dyDescent="0.25">
      <c r="A325">
        <v>19111044440</v>
      </c>
      <c r="B325">
        <v>0.12</v>
      </c>
      <c r="C325">
        <v>5350</v>
      </c>
      <c r="D325" t="s">
        <v>144</v>
      </c>
      <c r="E325" t="s">
        <v>54</v>
      </c>
      <c r="F325" t="s">
        <v>54</v>
      </c>
      <c r="G325">
        <v>3</v>
      </c>
      <c r="H325" t="s">
        <v>55</v>
      </c>
      <c r="I325">
        <v>110700</v>
      </c>
      <c r="J325">
        <v>30800</v>
      </c>
      <c r="K325">
        <v>0.12</v>
      </c>
      <c r="L325">
        <f>IF(Wapato_Inventory[[#This Row],[parcel_acres]]-Wapato_Inventory[[#This Row],[non_valued_acres]] =0,0,LN(Wapato_Inventory[[#This Row],[parcel_acres]]-Wapato_Inventory[[#This Row],[non_valued_acres]]))</f>
        <v>-2.120263536200091</v>
      </c>
      <c r="M325">
        <v>0</v>
      </c>
      <c r="N325">
        <v>0</v>
      </c>
      <c r="O325">
        <v>0</v>
      </c>
      <c r="P325">
        <v>27904.037</v>
      </c>
      <c r="Q325">
        <v>74398</v>
      </c>
      <c r="R325" s="3">
        <f>(Wapato_Inventory[[#This Row],[ln_acres]]*Wapato_Inventory[[#This Row],[coeff]])+Wapato_Inventory[[#This Row],[const]]</f>
        <v>15234.08783612182</v>
      </c>
      <c r="S325" t="s">
        <v>66</v>
      </c>
      <c r="T325">
        <v>1</v>
      </c>
      <c r="U325" t="s">
        <v>71</v>
      </c>
      <c r="V325" t="s">
        <v>68</v>
      </c>
      <c r="W325">
        <v>0</v>
      </c>
      <c r="X325">
        <v>0</v>
      </c>
      <c r="Y325">
        <v>51</v>
      </c>
      <c r="Z325">
        <v>78</v>
      </c>
      <c r="AA325">
        <v>80</v>
      </c>
      <c r="AB325">
        <v>1000</v>
      </c>
      <c r="AC325">
        <v>744</v>
      </c>
      <c r="AD325">
        <v>744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5</v>
      </c>
      <c r="AQ325">
        <v>0</v>
      </c>
      <c r="AR325">
        <v>0</v>
      </c>
      <c r="AS325" t="s">
        <v>59</v>
      </c>
      <c r="AT325">
        <v>0</v>
      </c>
      <c r="AU325" t="s">
        <v>80</v>
      </c>
      <c r="AV325" t="s">
        <v>61</v>
      </c>
      <c r="AW325">
        <v>0</v>
      </c>
      <c r="AX325">
        <v>2</v>
      </c>
      <c r="AY325">
        <v>0</v>
      </c>
      <c r="AZ325">
        <v>0</v>
      </c>
      <c r="BA325">
        <v>100</v>
      </c>
      <c r="BB325">
        <v>100</v>
      </c>
      <c r="BC325">
        <v>100</v>
      </c>
      <c r="BD325">
        <v>100</v>
      </c>
      <c r="BE325">
        <v>1</v>
      </c>
      <c r="BF325">
        <v>15000</v>
      </c>
      <c r="BG325">
        <v>1000</v>
      </c>
      <c r="BH325" s="7">
        <f>ROUND(Wapato_Inventory[[#This Row],[detatched_value]]*Lookups!$B$22*Lookups!$H$48,-2)</f>
        <v>0</v>
      </c>
      <c r="BI325" s="7">
        <f>ROUND(((Wapato_Inventory[[#This Row],[land_extract]]*Lookups!$B$3) +(Lookups!$B$2*0.5))*Lookups!$H$48,-2)</f>
        <v>52500</v>
      </c>
      <c r="BJ325" s="7">
        <f>IF(Wapato_Inventory[[#This Row],[bldg_style]]="",0,Lookups!$B$2*0.5)</f>
        <v>53765.27</v>
      </c>
      <c r="BK325" s="7">
        <f>_xlfn.IFNA(VLOOKUP(Wapato_Inventory[[#This Row],[quality]],Lookups!$H$2:$J$14,3,FALSE),0)</f>
        <v>28034</v>
      </c>
      <c r="BL325" s="7">
        <f>_xlfn.IFNA(VLOOKUP(Wapato_Inventory[[#This Row],[condition]],Lookups!$H$17:$J$24,3,FALSE),0)</f>
        <v>52231</v>
      </c>
      <c r="BM325" s="7">
        <f>Wapato_Inventory[[#This Row],[Age]]*Lookups!$B$16</f>
        <v>-28912.704600000001</v>
      </c>
      <c r="BN325" s="7">
        <f>Wapato_Inventory[[#This Row],[Main Floor]]*Lookups!$B$17</f>
        <v>31099.749816</v>
      </c>
      <c r="BO325" s="7">
        <f>Wapato_Inventory[[#This Row],[Upper Floor]]*Lookups!$B$18</f>
        <v>0</v>
      </c>
      <c r="BP325" s="7">
        <f>Wapato_Inventory[[#This Row],[Fin BSMT]]*Lookups!$B$19</f>
        <v>0</v>
      </c>
      <c r="BQ325" s="7">
        <f>(Wapato_Inventory[[#This Row],[att_gar]]+Wapato_Inventory[[#This Row],[blt_gar]])*Lookups!$B$20</f>
        <v>0</v>
      </c>
      <c r="BR325" s="7">
        <f>Wapato_Inventory[[#This Row],[Patio]]*Lookups!$B$21</f>
        <v>0</v>
      </c>
      <c r="BS325" s="7">
        <f>SUM(Wapato_Inventory[[#This Row],[intercept]:[patio_value]])*Wapato_Inventory[[#This Row],[res_pct]]</f>
        <v>136217.31521599999</v>
      </c>
      <c r="BT325" s="7">
        <f>Wapato_Inventory[[#This Row],[land_value]]</f>
        <v>52500</v>
      </c>
      <c r="BU325" s="2">
        <f>_xlfn.IFNA(VLOOKUP(Wapato_Inventory[[#This Row],[quality]],Lookups!$A$28:$C$37,3,FALSE),1)</f>
        <v>0.96265813922927435</v>
      </c>
      <c r="BV325" s="2">
        <f>_xlfn.IFNA(VLOOKUP(Wapato_Inventory[[#This Row],[condition]],Lookups!$A$41:$C$48,3,FALSE),1)</f>
        <v>0.9832333997567807</v>
      </c>
      <c r="BW325" s="2">
        <f>IF(Wapato_Inventory[[#This Row],[decade]]="",1,_xlfn.IFNA(VLOOKUP(Wapato_Inventory[[#This Row],[decade]],Lookups!$F$28:$H$45,3,FALSE),1))</f>
        <v>0.8438929209510081</v>
      </c>
      <c r="BX325" s="2">
        <f>_xlfn.IFNA(VLOOKUP(Wapato_Inventory[[#This Row],[living_area_range]],Lookups!$K$28:$M$37,3,FALSE),1)</f>
        <v>0.99022994770196116</v>
      </c>
      <c r="BY325" s="2">
        <f>AVERAGE(Wapato_Inventory[[#This Row],[qual_adj]:[range_adj]])</f>
        <v>0.94500360190975607</v>
      </c>
      <c r="BZ325" s="7">
        <f>(Wapato_Inventory[[#This Row],[sum_land]]-IF(Wapato_Inventory[[#This Row],[no_utilities]]=1,12000,0))/IF(Wapato_Inventory[[#This Row],[unbuildable]]=1,2,1)</f>
        <v>52500</v>
      </c>
      <c r="CA325" s="7">
        <f>Wapato_Inventory[[#This Row],[pre_res]]*Wapato_Inventory[[#This Row],[overall_adj]]</f>
        <v>128725.85352159661</v>
      </c>
      <c r="CB325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325" s="3">
        <f>IF(ROUND(Wapato_Inventory[[#This Row],[adj_res]]*Lookups!$H$48,-2)&lt;Wapato_Inventory[[#This Row],[min_res]],Wapato_Inventory[[#This Row],[min_res]],ROUND(Wapato_Inventory[[#This Row],[adj_res]]*Lookups!$H$48,-2))</f>
        <v>122300</v>
      </c>
      <c r="CD325" s="3">
        <f>ROUND(Wapato_Inventory[[#This Row],[det_value]]*Lookups!$H$48,-2)</f>
        <v>0</v>
      </c>
      <c r="CE325" s="3">
        <f>Wapato_Inventory[[#This Row],[final_res]]+Wapato_Inventory[[#This Row],[final_det]]</f>
        <v>122300</v>
      </c>
      <c r="CF325" s="3">
        <f>Wapato_Inventory[[#This Row],[crop_value]]+Wapato_Inventory[[#This Row],[final_land]]+Wapato_Inventory[[#This Row],[final_imp]]</f>
        <v>172200</v>
      </c>
      <c r="CH325" t="str">
        <f t="shared" si="5"/>
        <v>update valuation set market_land =49900, market_bldg=122300, market_total =172200, market_mdno =405, market_date ='9/10/2023' where link_id = (select link_id from parcel where parcel_year = '2024' and parcel_id = '19111044440');</v>
      </c>
    </row>
    <row r="326" spans="1:86" x14ac:dyDescent="0.25">
      <c r="A326">
        <v>19111044441</v>
      </c>
      <c r="B326">
        <v>0.12</v>
      </c>
      <c r="C326">
        <v>5350</v>
      </c>
      <c r="D326" t="s">
        <v>144</v>
      </c>
      <c r="E326" t="s">
        <v>54</v>
      </c>
      <c r="F326" t="s">
        <v>54</v>
      </c>
      <c r="G326">
        <v>3</v>
      </c>
      <c r="H326" t="s">
        <v>55</v>
      </c>
      <c r="I326">
        <v>101000</v>
      </c>
      <c r="J326">
        <v>30800</v>
      </c>
      <c r="K326">
        <v>0.12</v>
      </c>
      <c r="L326">
        <f>IF(Wapato_Inventory[[#This Row],[parcel_acres]]-Wapato_Inventory[[#This Row],[non_valued_acres]] =0,0,LN(Wapato_Inventory[[#This Row],[parcel_acres]]-Wapato_Inventory[[#This Row],[non_valued_acres]]))</f>
        <v>-2.120263536200091</v>
      </c>
      <c r="M326">
        <v>0</v>
      </c>
      <c r="N326">
        <v>0</v>
      </c>
      <c r="O326">
        <v>0</v>
      </c>
      <c r="P326">
        <v>27904.037</v>
      </c>
      <c r="Q326">
        <v>74398</v>
      </c>
      <c r="R326" s="3">
        <f>(Wapato_Inventory[[#This Row],[ln_acres]]*Wapato_Inventory[[#This Row],[coeff]])+Wapato_Inventory[[#This Row],[const]]</f>
        <v>15234.08783612182</v>
      </c>
      <c r="S326" t="s">
        <v>66</v>
      </c>
      <c r="T326">
        <v>1</v>
      </c>
      <c r="U326" t="s">
        <v>71</v>
      </c>
      <c r="V326" t="s">
        <v>68</v>
      </c>
      <c r="W326">
        <v>0</v>
      </c>
      <c r="X326">
        <v>0</v>
      </c>
      <c r="Y326">
        <v>51</v>
      </c>
      <c r="Z326">
        <v>83</v>
      </c>
      <c r="AA326">
        <v>90</v>
      </c>
      <c r="AB326">
        <v>1000</v>
      </c>
      <c r="AC326">
        <v>744</v>
      </c>
      <c r="AD326">
        <v>744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9</v>
      </c>
      <c r="AO326">
        <v>0</v>
      </c>
      <c r="AP326">
        <v>5</v>
      </c>
      <c r="AQ326">
        <v>0</v>
      </c>
      <c r="AR326">
        <v>0</v>
      </c>
      <c r="AS326" t="s">
        <v>59</v>
      </c>
      <c r="AT326">
        <v>0</v>
      </c>
      <c r="AU326" t="s">
        <v>80</v>
      </c>
      <c r="AV326" t="s">
        <v>77</v>
      </c>
      <c r="AW326">
        <v>0</v>
      </c>
      <c r="AX326">
        <v>2</v>
      </c>
      <c r="AY326">
        <v>0</v>
      </c>
      <c r="AZ326">
        <v>5200</v>
      </c>
      <c r="BA326">
        <v>100</v>
      </c>
      <c r="BB326">
        <v>100</v>
      </c>
      <c r="BC326">
        <v>100</v>
      </c>
      <c r="BD326">
        <v>100</v>
      </c>
      <c r="BE326">
        <v>1</v>
      </c>
      <c r="BF326">
        <v>15000</v>
      </c>
      <c r="BG326">
        <v>1000</v>
      </c>
      <c r="BH326" s="7">
        <f>ROUND(Wapato_Inventory[[#This Row],[detatched_value]]*Lookups!$B$22*Lookups!$H$48,-2)</f>
        <v>4600</v>
      </c>
      <c r="BI326" s="7">
        <f>ROUND(((Wapato_Inventory[[#This Row],[land_extract]]*Lookups!$B$3) +(Lookups!$B$2*0.5))*Lookups!$H$48,-2)</f>
        <v>52500</v>
      </c>
      <c r="BJ326" s="7">
        <f>IF(Wapato_Inventory[[#This Row],[bldg_style]]="",0,Lookups!$B$2*0.5)</f>
        <v>53765.27</v>
      </c>
      <c r="BK326" s="7">
        <f>_xlfn.IFNA(VLOOKUP(Wapato_Inventory[[#This Row],[quality]],Lookups!$H$2:$J$14,3,FALSE),0)</f>
        <v>28034</v>
      </c>
      <c r="BL326" s="7">
        <f>_xlfn.IFNA(VLOOKUP(Wapato_Inventory[[#This Row],[condition]],Lookups!$H$17:$J$24,3,FALSE),0)</f>
        <v>52231</v>
      </c>
      <c r="BM326" s="7">
        <f>Wapato_Inventory[[#This Row],[Age]]*Lookups!$B$16</f>
        <v>-30766.0831</v>
      </c>
      <c r="BN326" s="7">
        <f>Wapato_Inventory[[#This Row],[Main Floor]]*Lookups!$B$17</f>
        <v>31099.749816</v>
      </c>
      <c r="BO326" s="7">
        <f>Wapato_Inventory[[#This Row],[Upper Floor]]*Lookups!$B$18</f>
        <v>0</v>
      </c>
      <c r="BP326" s="7">
        <f>Wapato_Inventory[[#This Row],[Fin BSMT]]*Lookups!$B$19</f>
        <v>0</v>
      </c>
      <c r="BQ326" s="7">
        <f>(Wapato_Inventory[[#This Row],[att_gar]]+Wapato_Inventory[[#This Row],[blt_gar]])*Lookups!$B$20</f>
        <v>0</v>
      </c>
      <c r="BR326" s="7">
        <f>Wapato_Inventory[[#This Row],[Patio]]*Lookups!$B$21</f>
        <v>0</v>
      </c>
      <c r="BS326" s="7">
        <f>SUM(Wapato_Inventory[[#This Row],[intercept]:[patio_value]])*Wapato_Inventory[[#This Row],[res_pct]]</f>
        <v>134363.936716</v>
      </c>
      <c r="BT326" s="7">
        <f>Wapato_Inventory[[#This Row],[land_value]]</f>
        <v>52500</v>
      </c>
      <c r="BU326" s="2">
        <f>_xlfn.IFNA(VLOOKUP(Wapato_Inventory[[#This Row],[quality]],Lookups!$A$28:$C$37,3,FALSE),1)</f>
        <v>0.96265813922927435</v>
      </c>
      <c r="BV326" s="2">
        <f>_xlfn.IFNA(VLOOKUP(Wapato_Inventory[[#This Row],[condition]],Lookups!$A$41:$C$48,3,FALSE),1)</f>
        <v>0.9832333997567807</v>
      </c>
      <c r="BW326" s="2">
        <f>IF(Wapato_Inventory[[#This Row],[decade]]="",1,_xlfn.IFNA(VLOOKUP(Wapato_Inventory[[#This Row],[decade]],Lookups!$F$28:$H$45,3,FALSE),1))</f>
        <v>0.94742695999815718</v>
      </c>
      <c r="BX326" s="2">
        <f>_xlfn.IFNA(VLOOKUP(Wapato_Inventory[[#This Row],[living_area_range]],Lookups!$K$28:$M$37,3,FALSE),1)</f>
        <v>0.99022994770196116</v>
      </c>
      <c r="BY326" s="2">
        <f>AVERAGE(Wapato_Inventory[[#This Row],[qual_adj]:[range_adj]])</f>
        <v>0.97088711167154329</v>
      </c>
      <c r="BZ326" s="7">
        <f>(Wapato_Inventory[[#This Row],[sum_land]]-IF(Wapato_Inventory[[#This Row],[no_utilities]]=1,12000,0))/IF(Wapato_Inventory[[#This Row],[unbuildable]]=1,2,1)</f>
        <v>52500</v>
      </c>
      <c r="CA326" s="7">
        <f>Wapato_Inventory[[#This Row],[pre_res]]*Wapato_Inventory[[#This Row],[overall_adj]]</f>
        <v>130452.21443101527</v>
      </c>
      <c r="CB326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326" s="3">
        <f>IF(ROUND(Wapato_Inventory[[#This Row],[adj_res]]*Lookups!$H$48,-2)&lt;Wapato_Inventory[[#This Row],[min_res]],Wapato_Inventory[[#This Row],[min_res]],ROUND(Wapato_Inventory[[#This Row],[adj_res]]*Lookups!$H$48,-2))</f>
        <v>123900</v>
      </c>
      <c r="CD326" s="3">
        <f>ROUND(Wapato_Inventory[[#This Row],[det_value]]*Lookups!$H$48,-2)</f>
        <v>4400</v>
      </c>
      <c r="CE326" s="3">
        <f>Wapato_Inventory[[#This Row],[final_res]]+Wapato_Inventory[[#This Row],[final_det]]</f>
        <v>128300</v>
      </c>
      <c r="CF326" s="3">
        <f>Wapato_Inventory[[#This Row],[crop_value]]+Wapato_Inventory[[#This Row],[final_land]]+Wapato_Inventory[[#This Row],[final_imp]]</f>
        <v>178200</v>
      </c>
      <c r="CH326" t="str">
        <f t="shared" si="5"/>
        <v>update valuation set market_land =49900, market_bldg=128300, market_total =178200, market_mdno =405, market_date ='9/10/2023' where link_id = (select link_id from parcel where parcel_year = '2024' and parcel_id = '19111044441');</v>
      </c>
    </row>
    <row r="327" spans="1:86" x14ac:dyDescent="0.25">
      <c r="A327">
        <v>19111044446</v>
      </c>
      <c r="B327">
        <v>0.12</v>
      </c>
      <c r="C327">
        <v>5250</v>
      </c>
      <c r="D327" t="s">
        <v>144</v>
      </c>
      <c r="E327" t="s">
        <v>54</v>
      </c>
      <c r="F327" t="s">
        <v>54</v>
      </c>
      <c r="G327">
        <v>3</v>
      </c>
      <c r="H327" t="s">
        <v>55</v>
      </c>
      <c r="I327">
        <v>177200</v>
      </c>
      <c r="J327">
        <v>30800</v>
      </c>
      <c r="K327">
        <v>0.12</v>
      </c>
      <c r="L327">
        <f>IF(Wapato_Inventory[[#This Row],[parcel_acres]]-Wapato_Inventory[[#This Row],[non_valued_acres]] =0,0,LN(Wapato_Inventory[[#This Row],[parcel_acres]]-Wapato_Inventory[[#This Row],[non_valued_acres]]))</f>
        <v>-2.120263536200091</v>
      </c>
      <c r="M327">
        <v>0</v>
      </c>
      <c r="N327">
        <v>0</v>
      </c>
      <c r="O327">
        <v>0</v>
      </c>
      <c r="P327">
        <v>27904.037</v>
      </c>
      <c r="Q327">
        <v>74398</v>
      </c>
      <c r="R327" s="3">
        <f>(Wapato_Inventory[[#This Row],[ln_acres]]*Wapato_Inventory[[#This Row],[coeff]])+Wapato_Inventory[[#This Row],[const]]</f>
        <v>15234.08783612182</v>
      </c>
      <c r="S327" t="s">
        <v>62</v>
      </c>
      <c r="T327">
        <v>1</v>
      </c>
      <c r="U327" t="s">
        <v>71</v>
      </c>
      <c r="V327" t="s">
        <v>69</v>
      </c>
      <c r="W327">
        <v>0</v>
      </c>
      <c r="X327">
        <v>0</v>
      </c>
      <c r="Y327">
        <v>28</v>
      </c>
      <c r="Z327">
        <v>28</v>
      </c>
      <c r="AA327">
        <v>30</v>
      </c>
      <c r="AB327">
        <v>1500</v>
      </c>
      <c r="AC327">
        <v>1080</v>
      </c>
      <c r="AD327">
        <v>1080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36</v>
      </c>
      <c r="AO327">
        <v>0</v>
      </c>
      <c r="AP327">
        <v>5</v>
      </c>
      <c r="AQ327">
        <v>0</v>
      </c>
      <c r="AR327">
        <v>0</v>
      </c>
      <c r="AS327" t="s">
        <v>59</v>
      </c>
      <c r="AT327">
        <v>1</v>
      </c>
      <c r="AU327" t="s">
        <v>72</v>
      </c>
      <c r="AV327" t="s">
        <v>61</v>
      </c>
      <c r="AW327">
        <v>0</v>
      </c>
      <c r="AX327">
        <v>3</v>
      </c>
      <c r="AY327">
        <v>0</v>
      </c>
      <c r="AZ327">
        <v>0</v>
      </c>
      <c r="BA327">
        <v>100</v>
      </c>
      <c r="BB327">
        <v>100</v>
      </c>
      <c r="BC327">
        <v>100</v>
      </c>
      <c r="BD327">
        <v>100</v>
      </c>
      <c r="BE327">
        <v>1</v>
      </c>
      <c r="BF327">
        <v>15000</v>
      </c>
      <c r="BG327">
        <v>1000</v>
      </c>
      <c r="BH327" s="7">
        <f>ROUND(Wapato_Inventory[[#This Row],[detatched_value]]*Lookups!$B$22*Lookups!$H$48,-2)</f>
        <v>0</v>
      </c>
      <c r="BI327" s="7">
        <f>ROUND(((Wapato_Inventory[[#This Row],[land_extract]]*Lookups!$B$3) +(Lookups!$B$2*0.5))*Lookups!$H$48,-2)</f>
        <v>52500</v>
      </c>
      <c r="BJ327" s="7">
        <f>IF(Wapato_Inventory[[#This Row],[bldg_style]]="",0,Lookups!$B$2*0.5)</f>
        <v>53765.27</v>
      </c>
      <c r="BK327" s="7">
        <f>_xlfn.IFNA(VLOOKUP(Wapato_Inventory[[#This Row],[quality]],Lookups!$H$2:$J$14,3,FALSE),0)</f>
        <v>28034</v>
      </c>
      <c r="BL327" s="7">
        <f>_xlfn.IFNA(VLOOKUP(Wapato_Inventory[[#This Row],[condition]],Lookups!$H$17:$J$24,3,FALSE),0)</f>
        <v>74543</v>
      </c>
      <c r="BM327" s="7">
        <f>Wapato_Inventory[[#This Row],[Age]]*Lookups!$B$16</f>
        <v>-10378.919600000001</v>
      </c>
      <c r="BN327" s="7">
        <f>Wapato_Inventory[[#This Row],[Main Floor]]*Lookups!$B$17</f>
        <v>45144.798119999999</v>
      </c>
      <c r="BO327" s="7">
        <f>Wapato_Inventory[[#This Row],[Upper Floor]]*Lookups!$B$18</f>
        <v>0</v>
      </c>
      <c r="BP327" s="7">
        <f>Wapato_Inventory[[#This Row],[Fin BSMT]]*Lookups!$B$19</f>
        <v>0</v>
      </c>
      <c r="BQ327" s="7">
        <f>(Wapato_Inventory[[#This Row],[att_gar]]+Wapato_Inventory[[#This Row],[blt_gar]])*Lookups!$B$20</f>
        <v>0</v>
      </c>
      <c r="BR327" s="7">
        <f>Wapato_Inventory[[#This Row],[Patio]]*Lookups!$B$21</f>
        <v>0</v>
      </c>
      <c r="BS327" s="7">
        <f>SUM(Wapato_Inventory[[#This Row],[intercept]:[patio_value]])*Wapato_Inventory[[#This Row],[res_pct]]</f>
        <v>191108.14851999999</v>
      </c>
      <c r="BT327" s="7">
        <f>Wapato_Inventory[[#This Row],[land_value]]</f>
        <v>52500</v>
      </c>
      <c r="BU327" s="2">
        <f>_xlfn.IFNA(VLOOKUP(Wapato_Inventory[[#This Row],[quality]],Lookups!$A$28:$C$37,3,FALSE),1)</f>
        <v>0.96265813922927435</v>
      </c>
      <c r="BV327" s="2">
        <f>_xlfn.IFNA(VLOOKUP(Wapato_Inventory[[#This Row],[condition]],Lookups!$A$41:$C$48,3,FALSE),1)</f>
        <v>0.98442438223270734</v>
      </c>
      <c r="BW327" s="2">
        <f>IF(Wapato_Inventory[[#This Row],[decade]]="",1,_xlfn.IFNA(VLOOKUP(Wapato_Inventory[[#This Row],[decade]],Lookups!$F$28:$H$45,3,FALSE),1))</f>
        <v>1.0490505496896987</v>
      </c>
      <c r="BX327" s="2">
        <f>_xlfn.IFNA(VLOOKUP(Wapato_Inventory[[#This Row],[living_area_range]],Lookups!$K$28:$M$37,3,FALSE),1)</f>
        <v>1.0061411172456287</v>
      </c>
      <c r="BY327" s="2">
        <f>AVERAGE(Wapato_Inventory[[#This Row],[qual_adj]:[range_adj]])</f>
        <v>1.0005685470993273</v>
      </c>
      <c r="BZ327" s="7">
        <f>(Wapato_Inventory[[#This Row],[sum_land]]-IF(Wapato_Inventory[[#This Row],[no_utilities]]=1,12000,0))/IF(Wapato_Inventory[[#This Row],[unbuildable]]=1,2,1)</f>
        <v>52500</v>
      </c>
      <c r="CA327" s="7">
        <f>Wapato_Inventory[[#This Row],[pre_res]]*Wapato_Inventory[[#This Row],[overall_adj]]</f>
        <v>191216.80250349885</v>
      </c>
      <c r="CB327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327" s="3">
        <f>IF(ROUND(Wapato_Inventory[[#This Row],[adj_res]]*Lookups!$H$48,-2)&lt;Wapato_Inventory[[#This Row],[min_res]],Wapato_Inventory[[#This Row],[min_res]],ROUND(Wapato_Inventory[[#This Row],[adj_res]]*Lookups!$H$48,-2))</f>
        <v>181700</v>
      </c>
      <c r="CD327" s="3">
        <f>ROUND(Wapato_Inventory[[#This Row],[det_value]]*Lookups!$H$48,-2)</f>
        <v>0</v>
      </c>
      <c r="CE327" s="3">
        <f>Wapato_Inventory[[#This Row],[final_res]]+Wapato_Inventory[[#This Row],[final_det]]</f>
        <v>181700</v>
      </c>
      <c r="CF327" s="3">
        <f>Wapato_Inventory[[#This Row],[crop_value]]+Wapato_Inventory[[#This Row],[final_land]]+Wapato_Inventory[[#This Row],[final_imp]]</f>
        <v>231600</v>
      </c>
      <c r="CH327" t="str">
        <f t="shared" si="5"/>
        <v>update valuation set market_land =49900, market_bldg=181700, market_total =231600, market_mdno =405, market_date ='9/10/2023' where link_id = (select link_id from parcel where parcel_year = '2024' and parcel_id = '19111044446');</v>
      </c>
    </row>
    <row r="328" spans="1:86" x14ac:dyDescent="0.25">
      <c r="A328">
        <v>19111044448</v>
      </c>
      <c r="B328">
        <v>0.12</v>
      </c>
      <c r="C328">
        <v>5250</v>
      </c>
      <c r="D328" t="s">
        <v>144</v>
      </c>
      <c r="E328" t="s">
        <v>54</v>
      </c>
      <c r="F328" t="s">
        <v>54</v>
      </c>
      <c r="G328">
        <v>3</v>
      </c>
      <c r="H328" t="s">
        <v>55</v>
      </c>
      <c r="I328">
        <v>118500</v>
      </c>
      <c r="J328">
        <v>30800</v>
      </c>
      <c r="K328">
        <v>0.12</v>
      </c>
      <c r="L328">
        <f>IF(Wapato_Inventory[[#This Row],[parcel_acres]]-Wapato_Inventory[[#This Row],[non_valued_acres]] =0,0,LN(Wapato_Inventory[[#This Row],[parcel_acres]]-Wapato_Inventory[[#This Row],[non_valued_acres]]))</f>
        <v>-2.120263536200091</v>
      </c>
      <c r="M328">
        <v>0</v>
      </c>
      <c r="N328">
        <v>0</v>
      </c>
      <c r="O328">
        <v>0</v>
      </c>
      <c r="P328">
        <v>27904.037</v>
      </c>
      <c r="Q328">
        <v>74398</v>
      </c>
      <c r="R328" s="3">
        <f>(Wapato_Inventory[[#This Row],[ln_acres]]*Wapato_Inventory[[#This Row],[coeff]])+Wapato_Inventory[[#This Row],[const]]</f>
        <v>15234.08783612182</v>
      </c>
      <c r="S328" t="s">
        <v>66</v>
      </c>
      <c r="T328">
        <v>1</v>
      </c>
      <c r="U328" t="s">
        <v>71</v>
      </c>
      <c r="V328" t="s">
        <v>68</v>
      </c>
      <c r="W328">
        <v>0</v>
      </c>
      <c r="X328">
        <v>0</v>
      </c>
      <c r="Y328">
        <v>51</v>
      </c>
      <c r="Z328">
        <v>83</v>
      </c>
      <c r="AA328">
        <v>90</v>
      </c>
      <c r="AB328">
        <v>1500</v>
      </c>
      <c r="AC328">
        <v>1122</v>
      </c>
      <c r="AD328">
        <v>1122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5</v>
      </c>
      <c r="AQ328">
        <v>0</v>
      </c>
      <c r="AR328">
        <v>0</v>
      </c>
      <c r="AS328" t="s">
        <v>59</v>
      </c>
      <c r="AT328">
        <v>0</v>
      </c>
      <c r="AU328" t="s">
        <v>80</v>
      </c>
      <c r="AV328" t="s">
        <v>77</v>
      </c>
      <c r="AW328">
        <v>0</v>
      </c>
      <c r="AX328">
        <v>3</v>
      </c>
      <c r="AY328">
        <v>0</v>
      </c>
      <c r="AZ328">
        <v>0</v>
      </c>
      <c r="BA328">
        <v>100</v>
      </c>
      <c r="BB328">
        <v>100</v>
      </c>
      <c r="BC328">
        <v>100</v>
      </c>
      <c r="BD328">
        <v>100</v>
      </c>
      <c r="BE328">
        <v>1</v>
      </c>
      <c r="BF328">
        <v>15000</v>
      </c>
      <c r="BG328">
        <v>1000</v>
      </c>
      <c r="BH328" s="7">
        <f>ROUND(Wapato_Inventory[[#This Row],[detatched_value]]*Lookups!$B$22*Lookups!$H$48,-2)</f>
        <v>0</v>
      </c>
      <c r="BI328" s="7">
        <f>ROUND(((Wapato_Inventory[[#This Row],[land_extract]]*Lookups!$B$3) +(Lookups!$B$2*0.5))*Lookups!$H$48,-2)</f>
        <v>52500</v>
      </c>
      <c r="BJ328" s="7">
        <f>IF(Wapato_Inventory[[#This Row],[bldg_style]]="",0,Lookups!$B$2*0.5)</f>
        <v>53765.27</v>
      </c>
      <c r="BK328" s="7">
        <f>_xlfn.IFNA(VLOOKUP(Wapato_Inventory[[#This Row],[quality]],Lookups!$H$2:$J$14,3,FALSE),0)</f>
        <v>28034</v>
      </c>
      <c r="BL328" s="7">
        <f>_xlfn.IFNA(VLOOKUP(Wapato_Inventory[[#This Row],[condition]],Lookups!$H$17:$J$24,3,FALSE),0)</f>
        <v>52231</v>
      </c>
      <c r="BM328" s="7">
        <f>Wapato_Inventory[[#This Row],[Age]]*Lookups!$B$16</f>
        <v>-30766.0831</v>
      </c>
      <c r="BN328" s="7">
        <f>Wapato_Inventory[[#This Row],[Main Floor]]*Lookups!$B$17</f>
        <v>46900.429157999999</v>
      </c>
      <c r="BO328" s="7">
        <f>Wapato_Inventory[[#This Row],[Upper Floor]]*Lookups!$B$18</f>
        <v>0</v>
      </c>
      <c r="BP328" s="7">
        <f>Wapato_Inventory[[#This Row],[Fin BSMT]]*Lookups!$B$19</f>
        <v>0</v>
      </c>
      <c r="BQ328" s="7">
        <f>(Wapato_Inventory[[#This Row],[att_gar]]+Wapato_Inventory[[#This Row],[blt_gar]])*Lookups!$B$20</f>
        <v>0</v>
      </c>
      <c r="BR328" s="7">
        <f>Wapato_Inventory[[#This Row],[Patio]]*Lookups!$B$21</f>
        <v>0</v>
      </c>
      <c r="BS328" s="7">
        <f>SUM(Wapato_Inventory[[#This Row],[intercept]:[patio_value]])*Wapato_Inventory[[#This Row],[res_pct]]</f>
        <v>150164.61605799999</v>
      </c>
      <c r="BT328" s="7">
        <f>Wapato_Inventory[[#This Row],[land_value]]</f>
        <v>52500</v>
      </c>
      <c r="BU328" s="2">
        <f>_xlfn.IFNA(VLOOKUP(Wapato_Inventory[[#This Row],[quality]],Lookups!$A$28:$C$37,3,FALSE),1)</f>
        <v>0.96265813922927435</v>
      </c>
      <c r="BV328" s="2">
        <f>_xlfn.IFNA(VLOOKUP(Wapato_Inventory[[#This Row],[condition]],Lookups!$A$41:$C$48,3,FALSE),1)</f>
        <v>0.9832333997567807</v>
      </c>
      <c r="BW328" s="2">
        <f>IF(Wapato_Inventory[[#This Row],[decade]]="",1,_xlfn.IFNA(VLOOKUP(Wapato_Inventory[[#This Row],[decade]],Lookups!$F$28:$H$45,3,FALSE),1))</f>
        <v>0.94742695999815718</v>
      </c>
      <c r="BX328" s="2">
        <f>_xlfn.IFNA(VLOOKUP(Wapato_Inventory[[#This Row],[living_area_range]],Lookups!$K$28:$M$37,3,FALSE),1)</f>
        <v>1.0061411172456287</v>
      </c>
      <c r="BY328" s="2">
        <f>AVERAGE(Wapato_Inventory[[#This Row],[qual_adj]:[range_adj]])</f>
        <v>0.97486490405746018</v>
      </c>
      <c r="BZ328" s="7">
        <f>(Wapato_Inventory[[#This Row],[sum_land]]-IF(Wapato_Inventory[[#This Row],[no_utilities]]=1,12000,0))/IF(Wapato_Inventory[[#This Row],[unbuildable]]=1,2,1)</f>
        <v>52500</v>
      </c>
      <c r="CA328" s="7">
        <f>Wapato_Inventory[[#This Row],[pre_res]]*Wapato_Inventory[[#This Row],[overall_adj]]</f>
        <v>146390.21402620751</v>
      </c>
      <c r="CB328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328" s="3">
        <f>IF(ROUND(Wapato_Inventory[[#This Row],[adj_res]]*Lookups!$H$48,-2)&lt;Wapato_Inventory[[#This Row],[min_res]],Wapato_Inventory[[#This Row],[min_res]],ROUND(Wapato_Inventory[[#This Row],[adj_res]]*Lookups!$H$48,-2))</f>
        <v>139100</v>
      </c>
      <c r="CD328" s="3">
        <f>ROUND(Wapato_Inventory[[#This Row],[det_value]]*Lookups!$H$48,-2)</f>
        <v>0</v>
      </c>
      <c r="CE328" s="3">
        <f>Wapato_Inventory[[#This Row],[final_res]]+Wapato_Inventory[[#This Row],[final_det]]</f>
        <v>139100</v>
      </c>
      <c r="CF328" s="3">
        <f>Wapato_Inventory[[#This Row],[crop_value]]+Wapato_Inventory[[#This Row],[final_land]]+Wapato_Inventory[[#This Row],[final_imp]]</f>
        <v>189000</v>
      </c>
      <c r="CH328" t="str">
        <f t="shared" si="5"/>
        <v>update valuation set market_land =49900, market_bldg=139100, market_total =189000, market_mdno =405, market_date ='9/10/2023' where link_id = (select link_id from parcel where parcel_year = '2024' and parcel_id = '19111044448');</v>
      </c>
    </row>
    <row r="329" spans="1:86" x14ac:dyDescent="0.25">
      <c r="A329">
        <v>19111044450</v>
      </c>
      <c r="B329">
        <v>0.17</v>
      </c>
      <c r="C329">
        <v>7539</v>
      </c>
      <c r="D329" t="s">
        <v>144</v>
      </c>
      <c r="E329" t="s">
        <v>54</v>
      </c>
      <c r="F329" t="s">
        <v>54</v>
      </c>
      <c r="G329">
        <v>3</v>
      </c>
      <c r="H329" t="s">
        <v>55</v>
      </c>
      <c r="I329">
        <v>91300</v>
      </c>
      <c r="J329">
        <v>33200</v>
      </c>
      <c r="K329">
        <v>0.17</v>
      </c>
      <c r="L329">
        <f>IF(Wapato_Inventory[[#This Row],[parcel_acres]]-Wapato_Inventory[[#This Row],[non_valued_acres]] =0,0,LN(Wapato_Inventory[[#This Row],[parcel_acres]]-Wapato_Inventory[[#This Row],[non_valued_acres]]))</f>
        <v>-1.7719568419318752</v>
      </c>
      <c r="M329">
        <v>0</v>
      </c>
      <c r="N329">
        <v>0</v>
      </c>
      <c r="O329">
        <v>0</v>
      </c>
      <c r="P329">
        <v>27904.037</v>
      </c>
      <c r="Q329">
        <v>74398</v>
      </c>
      <c r="R329" s="3">
        <f>(Wapato_Inventory[[#This Row],[ln_acres]]*Wapato_Inventory[[#This Row],[coeff]])+Wapato_Inventory[[#This Row],[const]]</f>
        <v>24953.250720329801</v>
      </c>
      <c r="S329" t="s">
        <v>66</v>
      </c>
      <c r="T329">
        <v>1</v>
      </c>
      <c r="U329" t="s">
        <v>71</v>
      </c>
      <c r="V329" t="s">
        <v>68</v>
      </c>
      <c r="W329">
        <v>0</v>
      </c>
      <c r="X329">
        <v>0</v>
      </c>
      <c r="Y329">
        <v>57</v>
      </c>
      <c r="Z329">
        <v>103</v>
      </c>
      <c r="AA329">
        <v>110</v>
      </c>
      <c r="AB329">
        <v>1000</v>
      </c>
      <c r="AC329">
        <v>784</v>
      </c>
      <c r="AD329">
        <v>784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5</v>
      </c>
      <c r="AQ329">
        <v>0</v>
      </c>
      <c r="AR329">
        <v>0</v>
      </c>
      <c r="AS329" t="s">
        <v>59</v>
      </c>
      <c r="AT329">
        <v>0</v>
      </c>
      <c r="AU329" t="s">
        <v>80</v>
      </c>
      <c r="AV329" t="s">
        <v>65</v>
      </c>
      <c r="AW329">
        <v>0</v>
      </c>
      <c r="AX329">
        <v>2</v>
      </c>
      <c r="AY329">
        <v>0</v>
      </c>
      <c r="AZ329">
        <v>0</v>
      </c>
      <c r="BA329">
        <v>100</v>
      </c>
      <c r="BB329">
        <v>100</v>
      </c>
      <c r="BC329">
        <v>100</v>
      </c>
      <c r="BD329">
        <v>100</v>
      </c>
      <c r="BE329">
        <v>1</v>
      </c>
      <c r="BF329">
        <v>15000</v>
      </c>
      <c r="BG329">
        <v>1000</v>
      </c>
      <c r="BH329" s="7">
        <f>ROUND(Wapato_Inventory[[#This Row],[detatched_value]]*Lookups!$B$22*Lookups!$H$48,-2)</f>
        <v>0</v>
      </c>
      <c r="BI329" s="7">
        <f>ROUND(((Wapato_Inventory[[#This Row],[land_extract]]*Lookups!$B$3) +(Lookups!$B$2*0.5))*Lookups!$H$48,-2)</f>
        <v>53500</v>
      </c>
      <c r="BJ329" s="7">
        <f>IF(Wapato_Inventory[[#This Row],[bldg_style]]="",0,Lookups!$B$2*0.5)</f>
        <v>53765.27</v>
      </c>
      <c r="BK329" s="7">
        <f>_xlfn.IFNA(VLOOKUP(Wapato_Inventory[[#This Row],[quality]],Lookups!$H$2:$J$14,3,FALSE),0)</f>
        <v>28034</v>
      </c>
      <c r="BL329" s="7">
        <f>_xlfn.IFNA(VLOOKUP(Wapato_Inventory[[#This Row],[condition]],Lookups!$H$17:$J$24,3,FALSE),0)</f>
        <v>52231</v>
      </c>
      <c r="BM329" s="7">
        <f>Wapato_Inventory[[#This Row],[Age]]*Lookups!$B$16</f>
        <v>-38179.597099999999</v>
      </c>
      <c r="BN329" s="7">
        <f>Wapato_Inventory[[#This Row],[Main Floor]]*Lookups!$B$17</f>
        <v>32771.779375999999</v>
      </c>
      <c r="BO329" s="7">
        <f>Wapato_Inventory[[#This Row],[Upper Floor]]*Lookups!$B$18</f>
        <v>0</v>
      </c>
      <c r="BP329" s="7">
        <f>Wapato_Inventory[[#This Row],[Fin BSMT]]*Lookups!$B$19</f>
        <v>0</v>
      </c>
      <c r="BQ329" s="7">
        <f>(Wapato_Inventory[[#This Row],[att_gar]]+Wapato_Inventory[[#This Row],[blt_gar]])*Lookups!$B$20</f>
        <v>0</v>
      </c>
      <c r="BR329" s="7">
        <f>Wapato_Inventory[[#This Row],[Patio]]*Lookups!$B$21</f>
        <v>0</v>
      </c>
      <c r="BS329" s="7">
        <f>SUM(Wapato_Inventory[[#This Row],[intercept]:[patio_value]])*Wapato_Inventory[[#This Row],[res_pct]]</f>
        <v>128622.452276</v>
      </c>
      <c r="BT329" s="7">
        <f>Wapato_Inventory[[#This Row],[land_value]]</f>
        <v>53500</v>
      </c>
      <c r="BU329" s="2">
        <f>_xlfn.IFNA(VLOOKUP(Wapato_Inventory[[#This Row],[quality]],Lookups!$A$28:$C$37,3,FALSE),1)</f>
        <v>0.96265813922927435</v>
      </c>
      <c r="BV329" s="2">
        <f>_xlfn.IFNA(VLOOKUP(Wapato_Inventory[[#This Row],[condition]],Lookups!$A$41:$C$48,3,FALSE),1)</f>
        <v>0.9832333997567807</v>
      </c>
      <c r="BW329" s="2">
        <f>IF(Wapato_Inventory[[#This Row],[decade]]="",1,_xlfn.IFNA(VLOOKUP(Wapato_Inventory[[#This Row],[decade]],Lookups!$F$28:$H$45,3,FALSE),1))</f>
        <v>0.93664589651353292</v>
      </c>
      <c r="BX329" s="2">
        <f>_xlfn.IFNA(VLOOKUP(Wapato_Inventory[[#This Row],[living_area_range]],Lookups!$K$28:$M$37,3,FALSE),1)</f>
        <v>0.99022994770196116</v>
      </c>
      <c r="BY329" s="2">
        <f>AVERAGE(Wapato_Inventory[[#This Row],[qual_adj]:[range_adj]])</f>
        <v>0.9681918458003872</v>
      </c>
      <c r="BZ329" s="7">
        <f>(Wapato_Inventory[[#This Row],[sum_land]]-IF(Wapato_Inventory[[#This Row],[no_utilities]]=1,12000,0))/IF(Wapato_Inventory[[#This Row],[unbuildable]]=1,2,1)</f>
        <v>53500</v>
      </c>
      <c r="CA329" s="7">
        <f>Wapato_Inventory[[#This Row],[pre_res]]*Wapato_Inventory[[#This Row],[overall_adj]]</f>
        <v>124531.20948047265</v>
      </c>
      <c r="CB329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329" s="3">
        <f>IF(ROUND(Wapato_Inventory[[#This Row],[adj_res]]*Lookups!$H$48,-2)&lt;Wapato_Inventory[[#This Row],[min_res]],Wapato_Inventory[[#This Row],[min_res]],ROUND(Wapato_Inventory[[#This Row],[adj_res]]*Lookups!$H$48,-2))</f>
        <v>118300</v>
      </c>
      <c r="CD329" s="3">
        <f>ROUND(Wapato_Inventory[[#This Row],[det_value]]*Lookups!$H$48,-2)</f>
        <v>0</v>
      </c>
      <c r="CE329" s="3">
        <f>Wapato_Inventory[[#This Row],[final_res]]+Wapato_Inventory[[#This Row],[final_det]]</f>
        <v>118300</v>
      </c>
      <c r="CF329" s="3">
        <f>Wapato_Inventory[[#This Row],[crop_value]]+Wapato_Inventory[[#This Row],[final_land]]+Wapato_Inventory[[#This Row],[final_imp]]</f>
        <v>169100</v>
      </c>
      <c r="CH329" t="str">
        <f t="shared" si="5"/>
        <v>update valuation set market_land =50800, market_bldg=118300, market_total =169100, market_mdno =405, market_date ='9/10/2023' where link_id = (select link_id from parcel where parcel_year = '2024' and parcel_id = '19111044450');</v>
      </c>
    </row>
    <row r="330" spans="1:86" x14ac:dyDescent="0.25">
      <c r="A330">
        <v>19111044451</v>
      </c>
      <c r="B330">
        <v>0.12</v>
      </c>
      <c r="C330">
        <v>5350</v>
      </c>
      <c r="D330" t="s">
        <v>144</v>
      </c>
      <c r="E330" t="s">
        <v>54</v>
      </c>
      <c r="F330" t="s">
        <v>54</v>
      </c>
      <c r="G330">
        <v>3</v>
      </c>
      <c r="H330" t="s">
        <v>55</v>
      </c>
      <c r="I330">
        <v>217300</v>
      </c>
      <c r="J330">
        <v>30800</v>
      </c>
      <c r="K330">
        <v>0.12</v>
      </c>
      <c r="L330">
        <f>IF(Wapato_Inventory[[#This Row],[parcel_acres]]-Wapato_Inventory[[#This Row],[non_valued_acres]] =0,0,LN(Wapato_Inventory[[#This Row],[parcel_acres]]-Wapato_Inventory[[#This Row],[non_valued_acres]]))</f>
        <v>-2.120263536200091</v>
      </c>
      <c r="M330">
        <v>0</v>
      </c>
      <c r="N330">
        <v>0</v>
      </c>
      <c r="O330">
        <v>0</v>
      </c>
      <c r="P330">
        <v>27904.037</v>
      </c>
      <c r="Q330">
        <v>74398</v>
      </c>
      <c r="R330" s="3">
        <f>(Wapato_Inventory[[#This Row],[ln_acres]]*Wapato_Inventory[[#This Row],[coeff]])+Wapato_Inventory[[#This Row],[const]]</f>
        <v>15234.08783612182</v>
      </c>
      <c r="S330" t="s">
        <v>62</v>
      </c>
      <c r="T330">
        <v>1</v>
      </c>
      <c r="U330" t="s">
        <v>75</v>
      </c>
      <c r="V330" t="s">
        <v>69</v>
      </c>
      <c r="W330">
        <v>0</v>
      </c>
      <c r="X330">
        <v>0</v>
      </c>
      <c r="Y330">
        <v>30</v>
      </c>
      <c r="Z330">
        <v>30</v>
      </c>
      <c r="AA330">
        <v>30</v>
      </c>
      <c r="AB330">
        <v>1500</v>
      </c>
      <c r="AC330">
        <v>1114</v>
      </c>
      <c r="AD330">
        <v>1114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20</v>
      </c>
      <c r="AO330">
        <v>0</v>
      </c>
      <c r="AP330">
        <v>5</v>
      </c>
      <c r="AQ330">
        <v>0</v>
      </c>
      <c r="AR330">
        <v>0</v>
      </c>
      <c r="AS330" t="s">
        <v>59</v>
      </c>
      <c r="AT330">
        <v>1</v>
      </c>
      <c r="AU330" t="s">
        <v>64</v>
      </c>
      <c r="AV330" t="s">
        <v>61</v>
      </c>
      <c r="AW330">
        <v>0</v>
      </c>
      <c r="AX330">
        <v>4</v>
      </c>
      <c r="AY330">
        <v>0</v>
      </c>
      <c r="AZ330">
        <v>0</v>
      </c>
      <c r="BA330">
        <v>100</v>
      </c>
      <c r="BB330">
        <v>100</v>
      </c>
      <c r="BC330">
        <v>100</v>
      </c>
      <c r="BD330">
        <v>100</v>
      </c>
      <c r="BE330">
        <v>1</v>
      </c>
      <c r="BF330">
        <v>15000</v>
      </c>
      <c r="BG330">
        <v>1000</v>
      </c>
      <c r="BH330" s="7">
        <f>ROUND(Wapato_Inventory[[#This Row],[detatched_value]]*Lookups!$B$22*Lookups!$H$48,-2)</f>
        <v>0</v>
      </c>
      <c r="BI330" s="7">
        <f>ROUND(((Wapato_Inventory[[#This Row],[land_extract]]*Lookups!$B$3) +(Lookups!$B$2*0.5))*Lookups!$H$48,-2)</f>
        <v>52500</v>
      </c>
      <c r="BJ330" s="7">
        <f>IF(Wapato_Inventory[[#This Row],[bldg_style]]="",0,Lookups!$B$2*0.5)</f>
        <v>53765.27</v>
      </c>
      <c r="BK330" s="7">
        <f>_xlfn.IFNA(VLOOKUP(Wapato_Inventory[[#This Row],[quality]],Lookups!$H$2:$J$14,3,FALSE),0)</f>
        <v>48043</v>
      </c>
      <c r="BL330" s="7">
        <f>_xlfn.IFNA(VLOOKUP(Wapato_Inventory[[#This Row],[condition]],Lookups!$H$17:$J$24,3,FALSE),0)</f>
        <v>74543</v>
      </c>
      <c r="BM330" s="7">
        <f>Wapato_Inventory[[#This Row],[Age]]*Lookups!$B$16</f>
        <v>-11120.271000000001</v>
      </c>
      <c r="BN330" s="7">
        <f>Wapato_Inventory[[#This Row],[Main Floor]]*Lookups!$B$17</f>
        <v>46566.023245999997</v>
      </c>
      <c r="BO330" s="7">
        <f>Wapato_Inventory[[#This Row],[Upper Floor]]*Lookups!$B$18</f>
        <v>0</v>
      </c>
      <c r="BP330" s="7">
        <f>Wapato_Inventory[[#This Row],[Fin BSMT]]*Lookups!$B$19</f>
        <v>0</v>
      </c>
      <c r="BQ330" s="7">
        <f>(Wapato_Inventory[[#This Row],[att_gar]]+Wapato_Inventory[[#This Row],[blt_gar]])*Lookups!$B$20</f>
        <v>0</v>
      </c>
      <c r="BR330" s="7">
        <f>Wapato_Inventory[[#This Row],[Patio]]*Lookups!$B$21</f>
        <v>0</v>
      </c>
      <c r="BS330" s="7">
        <f>SUM(Wapato_Inventory[[#This Row],[intercept]:[patio_value]])*Wapato_Inventory[[#This Row],[res_pct]]</f>
        <v>211797.02224599998</v>
      </c>
      <c r="BT330" s="7">
        <f>Wapato_Inventory[[#This Row],[land_value]]</f>
        <v>52500</v>
      </c>
      <c r="BU330" s="2">
        <f>_xlfn.IFNA(VLOOKUP(Wapato_Inventory[[#This Row],[quality]],Lookups!$A$28:$C$37,3,FALSE),1)</f>
        <v>0.98196844879778955</v>
      </c>
      <c r="BV330" s="2">
        <f>_xlfn.IFNA(VLOOKUP(Wapato_Inventory[[#This Row],[condition]],Lookups!$A$41:$C$48,3,FALSE),1)</f>
        <v>0.98442438223270734</v>
      </c>
      <c r="BW330" s="2">
        <f>IF(Wapato_Inventory[[#This Row],[decade]]="",1,_xlfn.IFNA(VLOOKUP(Wapato_Inventory[[#This Row],[decade]],Lookups!$F$28:$H$45,3,FALSE),1))</f>
        <v>1.0490505496896987</v>
      </c>
      <c r="BX330" s="2">
        <f>_xlfn.IFNA(VLOOKUP(Wapato_Inventory[[#This Row],[living_area_range]],Lookups!$K$28:$M$37,3,FALSE),1)</f>
        <v>1.0061411172456287</v>
      </c>
      <c r="BY330" s="2">
        <f>AVERAGE(Wapato_Inventory[[#This Row],[qual_adj]:[range_adj]])</f>
        <v>1.005396124491456</v>
      </c>
      <c r="BZ330" s="7">
        <f>(Wapato_Inventory[[#This Row],[sum_land]]-IF(Wapato_Inventory[[#This Row],[no_utilities]]=1,12000,0))/IF(Wapato_Inventory[[#This Row],[unbuildable]]=1,2,1)</f>
        <v>52500</v>
      </c>
      <c r="CA330" s="7">
        <f>Wapato_Inventory[[#This Row],[pre_res]]*Wapato_Inventory[[#This Row],[overall_adj]]</f>
        <v>212939.90534495906</v>
      </c>
      <c r="CB330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330" s="3">
        <f>IF(ROUND(Wapato_Inventory[[#This Row],[adj_res]]*Lookups!$H$48,-2)&lt;Wapato_Inventory[[#This Row],[min_res]],Wapato_Inventory[[#This Row],[min_res]],ROUND(Wapato_Inventory[[#This Row],[adj_res]]*Lookups!$H$48,-2))</f>
        <v>202300</v>
      </c>
      <c r="CD330" s="3">
        <f>ROUND(Wapato_Inventory[[#This Row],[det_value]]*Lookups!$H$48,-2)</f>
        <v>0</v>
      </c>
      <c r="CE330" s="3">
        <f>Wapato_Inventory[[#This Row],[final_res]]+Wapato_Inventory[[#This Row],[final_det]]</f>
        <v>202300</v>
      </c>
      <c r="CF330" s="3">
        <f>Wapato_Inventory[[#This Row],[crop_value]]+Wapato_Inventory[[#This Row],[final_land]]+Wapato_Inventory[[#This Row],[final_imp]]</f>
        <v>252200</v>
      </c>
      <c r="CH330" t="str">
        <f t="shared" si="5"/>
        <v>update valuation set market_land =49900, market_bldg=202300, market_total =252200, market_mdno =405, market_date ='9/10/2023' where link_id = (select link_id from parcel where parcel_year = '2024' and parcel_id = '19111044451');</v>
      </c>
    </row>
    <row r="331" spans="1:86" x14ac:dyDescent="0.25">
      <c r="A331">
        <v>19111044452</v>
      </c>
      <c r="B331">
        <v>0.12</v>
      </c>
      <c r="C331">
        <v>5350</v>
      </c>
      <c r="D331" t="s">
        <v>144</v>
      </c>
      <c r="E331" t="s">
        <v>54</v>
      </c>
      <c r="F331" t="s">
        <v>54</v>
      </c>
      <c r="G331">
        <v>3</v>
      </c>
      <c r="H331" t="s">
        <v>55</v>
      </c>
      <c r="I331">
        <v>177000</v>
      </c>
      <c r="J331">
        <v>30800</v>
      </c>
      <c r="K331">
        <v>0.12</v>
      </c>
      <c r="L331">
        <f>IF(Wapato_Inventory[[#This Row],[parcel_acres]]-Wapato_Inventory[[#This Row],[non_valued_acres]] =0,0,LN(Wapato_Inventory[[#This Row],[parcel_acres]]-Wapato_Inventory[[#This Row],[non_valued_acres]]))</f>
        <v>-2.120263536200091</v>
      </c>
      <c r="M331">
        <v>0</v>
      </c>
      <c r="N331">
        <v>0</v>
      </c>
      <c r="O331">
        <v>0</v>
      </c>
      <c r="P331">
        <v>27904.037</v>
      </c>
      <c r="Q331">
        <v>74398</v>
      </c>
      <c r="R331" s="3">
        <f>(Wapato_Inventory[[#This Row],[ln_acres]]*Wapato_Inventory[[#This Row],[coeff]])+Wapato_Inventory[[#This Row],[const]]</f>
        <v>15234.08783612182</v>
      </c>
      <c r="S331" t="s">
        <v>62</v>
      </c>
      <c r="T331">
        <v>1</v>
      </c>
      <c r="U331" t="s">
        <v>75</v>
      </c>
      <c r="V331" t="s">
        <v>68</v>
      </c>
      <c r="W331">
        <v>0</v>
      </c>
      <c r="X331">
        <v>0</v>
      </c>
      <c r="Y331">
        <v>30</v>
      </c>
      <c r="Z331">
        <v>30</v>
      </c>
      <c r="AA331">
        <v>30</v>
      </c>
      <c r="AB331">
        <v>1500</v>
      </c>
      <c r="AC331">
        <v>1032</v>
      </c>
      <c r="AD331">
        <v>1032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160</v>
      </c>
      <c r="AM331">
        <v>0</v>
      </c>
      <c r="AN331">
        <v>36</v>
      </c>
      <c r="AO331">
        <v>160</v>
      </c>
      <c r="AP331">
        <v>5</v>
      </c>
      <c r="AQ331">
        <v>0</v>
      </c>
      <c r="AR331">
        <v>0</v>
      </c>
      <c r="AS331" t="s">
        <v>59</v>
      </c>
      <c r="AT331">
        <v>1</v>
      </c>
      <c r="AU331" t="s">
        <v>64</v>
      </c>
      <c r="AV331" t="s">
        <v>61</v>
      </c>
      <c r="AW331">
        <v>0</v>
      </c>
      <c r="AX331">
        <v>3</v>
      </c>
      <c r="AY331">
        <v>0</v>
      </c>
      <c r="AZ331">
        <v>0</v>
      </c>
      <c r="BA331">
        <v>100</v>
      </c>
      <c r="BB331">
        <v>100</v>
      </c>
      <c r="BC331">
        <v>100</v>
      </c>
      <c r="BD331">
        <v>100</v>
      </c>
      <c r="BE331">
        <v>1</v>
      </c>
      <c r="BF331">
        <v>15000</v>
      </c>
      <c r="BG331">
        <v>1000</v>
      </c>
      <c r="BH331" s="7">
        <f>ROUND(Wapato_Inventory[[#This Row],[detatched_value]]*Lookups!$B$22*Lookups!$H$48,-2)</f>
        <v>0</v>
      </c>
      <c r="BI331" s="7">
        <f>ROUND(((Wapato_Inventory[[#This Row],[land_extract]]*Lookups!$B$3) +(Lookups!$B$2*0.5))*Lookups!$H$48,-2)</f>
        <v>52500</v>
      </c>
      <c r="BJ331" s="7">
        <f>IF(Wapato_Inventory[[#This Row],[bldg_style]]="",0,Lookups!$B$2*0.5)</f>
        <v>53765.27</v>
      </c>
      <c r="BK331" s="7">
        <f>_xlfn.IFNA(VLOOKUP(Wapato_Inventory[[#This Row],[quality]],Lookups!$H$2:$J$14,3,FALSE),0)</f>
        <v>48043</v>
      </c>
      <c r="BL331" s="7">
        <f>_xlfn.IFNA(VLOOKUP(Wapato_Inventory[[#This Row],[condition]],Lookups!$H$17:$J$24,3,FALSE),0)</f>
        <v>52231</v>
      </c>
      <c r="BM331" s="7">
        <f>Wapato_Inventory[[#This Row],[Age]]*Lookups!$B$16</f>
        <v>-11120.271000000001</v>
      </c>
      <c r="BN331" s="7">
        <f>Wapato_Inventory[[#This Row],[Main Floor]]*Lookups!$B$17</f>
        <v>43138.362648000002</v>
      </c>
      <c r="BO331" s="7">
        <f>Wapato_Inventory[[#This Row],[Upper Floor]]*Lookups!$B$18</f>
        <v>0</v>
      </c>
      <c r="BP331" s="7">
        <f>Wapato_Inventory[[#This Row],[Fin BSMT]]*Lookups!$B$19</f>
        <v>0</v>
      </c>
      <c r="BQ331" s="7">
        <f>(Wapato_Inventory[[#This Row],[att_gar]]+Wapato_Inventory[[#This Row],[blt_gar]])*Lookups!$B$20</f>
        <v>0</v>
      </c>
      <c r="BR331" s="7">
        <f>Wapato_Inventory[[#This Row],[Patio]]*Lookups!$B$21</f>
        <v>0</v>
      </c>
      <c r="BS331" s="7">
        <f>SUM(Wapato_Inventory[[#This Row],[intercept]:[patio_value]])*Wapato_Inventory[[#This Row],[res_pct]]</f>
        <v>186057.36164799999</v>
      </c>
      <c r="BT331" s="7">
        <f>Wapato_Inventory[[#This Row],[land_value]]</f>
        <v>52500</v>
      </c>
      <c r="BU331" s="2">
        <f>_xlfn.IFNA(VLOOKUP(Wapato_Inventory[[#This Row],[quality]],Lookups!$A$28:$C$37,3,FALSE),1)</f>
        <v>0.98196844879778955</v>
      </c>
      <c r="BV331" s="2">
        <f>_xlfn.IFNA(VLOOKUP(Wapato_Inventory[[#This Row],[condition]],Lookups!$A$41:$C$48,3,FALSE),1)</f>
        <v>0.9832333997567807</v>
      </c>
      <c r="BW331" s="2">
        <f>IF(Wapato_Inventory[[#This Row],[decade]]="",1,_xlfn.IFNA(VLOOKUP(Wapato_Inventory[[#This Row],[decade]],Lookups!$F$28:$H$45,3,FALSE),1))</f>
        <v>1.0490505496896987</v>
      </c>
      <c r="BX331" s="2">
        <f>_xlfn.IFNA(VLOOKUP(Wapato_Inventory[[#This Row],[living_area_range]],Lookups!$K$28:$M$37,3,FALSE),1)</f>
        <v>1.0061411172456287</v>
      </c>
      <c r="BY331" s="2">
        <f>AVERAGE(Wapato_Inventory[[#This Row],[qual_adj]:[range_adj]])</f>
        <v>1.0050983788724743</v>
      </c>
      <c r="BZ331" s="7">
        <f>(Wapato_Inventory[[#This Row],[sum_land]]-IF(Wapato_Inventory[[#This Row],[no_utilities]]=1,12000,0))/IF(Wapato_Inventory[[#This Row],[unbuildable]]=1,2,1)</f>
        <v>52500</v>
      </c>
      <c r="CA331" s="7">
        <f>Wapato_Inventory[[#This Row],[pre_res]]*Wapato_Inventory[[#This Row],[overall_adj]]</f>
        <v>187005.95256969446</v>
      </c>
      <c r="CB331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331" s="3">
        <f>IF(ROUND(Wapato_Inventory[[#This Row],[adj_res]]*Lookups!$H$48,-2)&lt;Wapato_Inventory[[#This Row],[min_res]],Wapato_Inventory[[#This Row],[min_res]],ROUND(Wapato_Inventory[[#This Row],[adj_res]]*Lookups!$H$48,-2))</f>
        <v>177700</v>
      </c>
      <c r="CD331" s="3">
        <f>ROUND(Wapato_Inventory[[#This Row],[det_value]]*Lookups!$H$48,-2)</f>
        <v>0</v>
      </c>
      <c r="CE331" s="3">
        <f>Wapato_Inventory[[#This Row],[final_res]]+Wapato_Inventory[[#This Row],[final_det]]</f>
        <v>177700</v>
      </c>
      <c r="CF331" s="3">
        <f>Wapato_Inventory[[#This Row],[crop_value]]+Wapato_Inventory[[#This Row],[final_land]]+Wapato_Inventory[[#This Row],[final_imp]]</f>
        <v>227600</v>
      </c>
      <c r="CH331" t="str">
        <f t="shared" si="5"/>
        <v>update valuation set market_land =49900, market_bldg=177700, market_total =227600, market_mdno =405, market_date ='9/10/2023' where link_id = (select link_id from parcel where parcel_year = '2024' and parcel_id = '19111044452');</v>
      </c>
    </row>
    <row r="332" spans="1:86" x14ac:dyDescent="0.25">
      <c r="A332">
        <v>19111044457</v>
      </c>
      <c r="B332">
        <v>0.11</v>
      </c>
      <c r="C332">
        <v>4698</v>
      </c>
      <c r="D332" t="s">
        <v>144</v>
      </c>
      <c r="E332" t="s">
        <v>54</v>
      </c>
      <c r="F332" t="s">
        <v>54</v>
      </c>
      <c r="G332">
        <v>3</v>
      </c>
      <c r="H332" t="s">
        <v>55</v>
      </c>
      <c r="I332">
        <v>232400</v>
      </c>
      <c r="J332">
        <v>30200</v>
      </c>
      <c r="K332">
        <v>0.11</v>
      </c>
      <c r="L332">
        <f>IF(Wapato_Inventory[[#This Row],[parcel_acres]]-Wapato_Inventory[[#This Row],[non_valued_acres]] =0,0,LN(Wapato_Inventory[[#This Row],[parcel_acres]]-Wapato_Inventory[[#This Row],[non_valued_acres]]))</f>
        <v>-2.2072749131897207</v>
      </c>
      <c r="M332">
        <v>0</v>
      </c>
      <c r="N332">
        <v>0</v>
      </c>
      <c r="O332">
        <v>0</v>
      </c>
      <c r="P332">
        <v>27904.037</v>
      </c>
      <c r="Q332">
        <v>74398</v>
      </c>
      <c r="R332" s="3">
        <f>(Wapato_Inventory[[#This Row],[ln_acres]]*Wapato_Inventory[[#This Row],[coeff]])+Wapato_Inventory[[#This Row],[const]]</f>
        <v>12806.119153182248</v>
      </c>
      <c r="S332" t="s">
        <v>66</v>
      </c>
      <c r="T332">
        <v>1</v>
      </c>
      <c r="U332" t="s">
        <v>67</v>
      </c>
      <c r="V332" t="s">
        <v>69</v>
      </c>
      <c r="W332">
        <v>0</v>
      </c>
      <c r="X332">
        <v>0</v>
      </c>
      <c r="Y332">
        <v>25</v>
      </c>
      <c r="Z332">
        <v>25</v>
      </c>
      <c r="AA332">
        <v>30</v>
      </c>
      <c r="AB332">
        <v>2000</v>
      </c>
      <c r="AC332">
        <v>1600</v>
      </c>
      <c r="AD332">
        <v>1600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260</v>
      </c>
      <c r="AO332">
        <v>0</v>
      </c>
      <c r="AP332">
        <v>8</v>
      </c>
      <c r="AQ332">
        <v>0</v>
      </c>
      <c r="AR332">
        <v>0</v>
      </c>
      <c r="AS332" t="s">
        <v>59</v>
      </c>
      <c r="AT332">
        <v>1</v>
      </c>
      <c r="AU332" t="s">
        <v>72</v>
      </c>
      <c r="AV332" t="s">
        <v>61</v>
      </c>
      <c r="AW332">
        <v>0</v>
      </c>
      <c r="AX332">
        <v>4</v>
      </c>
      <c r="AY332">
        <v>0</v>
      </c>
      <c r="AZ332">
        <v>0</v>
      </c>
      <c r="BA332">
        <v>100</v>
      </c>
      <c r="BB332">
        <v>100</v>
      </c>
      <c r="BC332">
        <v>100</v>
      </c>
      <c r="BD332">
        <v>100</v>
      </c>
      <c r="BE332">
        <v>1</v>
      </c>
      <c r="BF332">
        <v>15000</v>
      </c>
      <c r="BG332">
        <v>1000</v>
      </c>
      <c r="BH332" s="7">
        <f>ROUND(Wapato_Inventory[[#This Row],[detatched_value]]*Lookups!$B$22*Lookups!$H$48,-2)</f>
        <v>0</v>
      </c>
      <c r="BI332" s="7">
        <f>ROUND(((Wapato_Inventory[[#This Row],[land_extract]]*Lookups!$B$3) +(Lookups!$B$2*0.5))*Lookups!$H$48,-2)</f>
        <v>52300</v>
      </c>
      <c r="BJ332" s="7">
        <f>IF(Wapato_Inventory[[#This Row],[bldg_style]]="",0,Lookups!$B$2*0.5)</f>
        <v>53765.27</v>
      </c>
      <c r="BK332" s="7">
        <f>_xlfn.IFNA(VLOOKUP(Wapato_Inventory[[#This Row],[quality]],Lookups!$H$2:$J$14,3,FALSE),0)</f>
        <v>50405</v>
      </c>
      <c r="BL332" s="7">
        <f>_xlfn.IFNA(VLOOKUP(Wapato_Inventory[[#This Row],[condition]],Lookups!$H$17:$J$24,3,FALSE),0)</f>
        <v>74543</v>
      </c>
      <c r="BM332" s="7">
        <f>Wapato_Inventory[[#This Row],[Age]]*Lookups!$B$16</f>
        <v>-9266.8924999999999</v>
      </c>
      <c r="BN332" s="7">
        <f>Wapato_Inventory[[#This Row],[Main Floor]]*Lookups!$B$17</f>
        <v>66881.182400000005</v>
      </c>
      <c r="BO332" s="7">
        <f>Wapato_Inventory[[#This Row],[Upper Floor]]*Lookups!$B$18</f>
        <v>0</v>
      </c>
      <c r="BP332" s="7">
        <f>Wapato_Inventory[[#This Row],[Fin BSMT]]*Lookups!$B$19</f>
        <v>0</v>
      </c>
      <c r="BQ332" s="7">
        <f>(Wapato_Inventory[[#This Row],[att_gar]]+Wapato_Inventory[[#This Row],[blt_gar]])*Lookups!$B$20</f>
        <v>0</v>
      </c>
      <c r="BR332" s="7">
        <f>Wapato_Inventory[[#This Row],[Patio]]*Lookups!$B$21</f>
        <v>0</v>
      </c>
      <c r="BS332" s="7">
        <f>SUM(Wapato_Inventory[[#This Row],[intercept]:[patio_value]])*Wapato_Inventory[[#This Row],[res_pct]]</f>
        <v>236327.55989999999</v>
      </c>
      <c r="BT332" s="7">
        <f>Wapato_Inventory[[#This Row],[land_value]]</f>
        <v>52300</v>
      </c>
      <c r="BU332" s="2">
        <f>_xlfn.IFNA(VLOOKUP(Wapato_Inventory[[#This Row],[quality]],Lookups!$A$28:$C$37,3,FALSE),1)</f>
        <v>0.97993206410140754</v>
      </c>
      <c r="BV332" s="2">
        <f>_xlfn.IFNA(VLOOKUP(Wapato_Inventory[[#This Row],[condition]],Lookups!$A$41:$C$48,3,FALSE),1)</f>
        <v>0.98442438223270734</v>
      </c>
      <c r="BW332" s="2">
        <f>IF(Wapato_Inventory[[#This Row],[decade]]="",1,_xlfn.IFNA(VLOOKUP(Wapato_Inventory[[#This Row],[decade]],Lookups!$F$28:$H$45,3,FALSE),1))</f>
        <v>1.0490505496896987</v>
      </c>
      <c r="BX332" s="2">
        <f>_xlfn.IFNA(VLOOKUP(Wapato_Inventory[[#This Row],[living_area_range]],Lookups!$K$28:$M$37,3,FALSE),1)</f>
        <v>0.99330894324714125</v>
      </c>
      <c r="BY332" s="2">
        <f>AVERAGE(Wapato_Inventory[[#This Row],[qual_adj]:[range_adj]])</f>
        <v>1.0016789848177388</v>
      </c>
      <c r="BZ332" s="7">
        <f>(Wapato_Inventory[[#This Row],[sum_land]]-IF(Wapato_Inventory[[#This Row],[no_utilities]]=1,12000,0))/IF(Wapato_Inventory[[#This Row],[unbuildable]]=1,2,1)</f>
        <v>52300</v>
      </c>
      <c r="CA332" s="7">
        <f>Wapato_Inventory[[#This Row],[pre_res]]*Wapato_Inventory[[#This Row],[overall_adj]]</f>
        <v>236724.35028508535</v>
      </c>
      <c r="CB332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332" s="3">
        <f>IF(ROUND(Wapato_Inventory[[#This Row],[adj_res]]*Lookups!$H$48,-2)&lt;Wapato_Inventory[[#This Row],[min_res]],Wapato_Inventory[[#This Row],[min_res]],ROUND(Wapato_Inventory[[#This Row],[adj_res]]*Lookups!$H$48,-2))</f>
        <v>224900</v>
      </c>
      <c r="CD332" s="3">
        <f>ROUND(Wapato_Inventory[[#This Row],[det_value]]*Lookups!$H$48,-2)</f>
        <v>0</v>
      </c>
      <c r="CE332" s="3">
        <f>Wapato_Inventory[[#This Row],[final_res]]+Wapato_Inventory[[#This Row],[final_det]]</f>
        <v>224900</v>
      </c>
      <c r="CF332" s="3">
        <f>Wapato_Inventory[[#This Row],[crop_value]]+Wapato_Inventory[[#This Row],[final_land]]+Wapato_Inventory[[#This Row],[final_imp]]</f>
        <v>274600</v>
      </c>
      <c r="CH332" t="str">
        <f t="shared" si="5"/>
        <v>update valuation set market_land =49700, market_bldg=224900, market_total =274600, market_mdno =405, market_date ='9/10/2023' where link_id = (select link_id from parcel where parcel_year = '2024' and parcel_id = '19111044457');</v>
      </c>
    </row>
    <row r="333" spans="1:86" x14ac:dyDescent="0.25">
      <c r="A333">
        <v>19111044465</v>
      </c>
      <c r="B333">
        <v>0.17</v>
      </c>
      <c r="C333">
        <v>7478</v>
      </c>
      <c r="D333" t="s">
        <v>144</v>
      </c>
      <c r="E333" t="s">
        <v>54</v>
      </c>
      <c r="F333" t="s">
        <v>54</v>
      </c>
      <c r="G333">
        <v>3</v>
      </c>
      <c r="H333" t="s">
        <v>55</v>
      </c>
      <c r="I333">
        <v>119800</v>
      </c>
      <c r="J333">
        <v>33200</v>
      </c>
      <c r="K333">
        <v>0.17</v>
      </c>
      <c r="L333">
        <f>IF(Wapato_Inventory[[#This Row],[parcel_acres]]-Wapato_Inventory[[#This Row],[non_valued_acres]] =0,0,LN(Wapato_Inventory[[#This Row],[parcel_acres]]-Wapato_Inventory[[#This Row],[non_valued_acres]]))</f>
        <v>-1.7719568419318752</v>
      </c>
      <c r="M333">
        <v>0</v>
      </c>
      <c r="N333">
        <v>0</v>
      </c>
      <c r="O333">
        <v>0</v>
      </c>
      <c r="P333">
        <v>27904.037</v>
      </c>
      <c r="Q333">
        <v>74398</v>
      </c>
      <c r="R333" s="3">
        <f>(Wapato_Inventory[[#This Row],[ln_acres]]*Wapato_Inventory[[#This Row],[coeff]])+Wapato_Inventory[[#This Row],[const]]</f>
        <v>24953.250720329801</v>
      </c>
      <c r="S333" t="s">
        <v>66</v>
      </c>
      <c r="T333">
        <v>1</v>
      </c>
      <c r="U333" t="s">
        <v>71</v>
      </c>
      <c r="V333" t="s">
        <v>68</v>
      </c>
      <c r="W333">
        <v>0</v>
      </c>
      <c r="X333">
        <v>0</v>
      </c>
      <c r="Y333">
        <v>55</v>
      </c>
      <c r="Z333">
        <v>98</v>
      </c>
      <c r="AA333">
        <v>100</v>
      </c>
      <c r="AB333">
        <v>1500</v>
      </c>
      <c r="AC333">
        <v>1146</v>
      </c>
      <c r="AD333">
        <v>1146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120</v>
      </c>
      <c r="AO333">
        <v>0</v>
      </c>
      <c r="AP333">
        <v>5</v>
      </c>
      <c r="AQ333">
        <v>0</v>
      </c>
      <c r="AR333">
        <v>0</v>
      </c>
      <c r="AS333" t="s">
        <v>59</v>
      </c>
      <c r="AT333">
        <v>0</v>
      </c>
      <c r="AU333" t="s">
        <v>80</v>
      </c>
      <c r="AV333" t="s">
        <v>65</v>
      </c>
      <c r="AW333">
        <v>0</v>
      </c>
      <c r="AX333">
        <v>5</v>
      </c>
      <c r="AY333">
        <v>0</v>
      </c>
      <c r="AZ333">
        <v>6500</v>
      </c>
      <c r="BA333">
        <v>100</v>
      </c>
      <c r="BB333">
        <v>100</v>
      </c>
      <c r="BC333">
        <v>100</v>
      </c>
      <c r="BD333">
        <v>100</v>
      </c>
      <c r="BE333">
        <v>1</v>
      </c>
      <c r="BF333">
        <v>15000</v>
      </c>
      <c r="BG333">
        <v>1000</v>
      </c>
      <c r="BH333" s="7">
        <f>ROUND(Wapato_Inventory[[#This Row],[detatched_value]]*Lookups!$B$22*Lookups!$H$48,-2)</f>
        <v>5800</v>
      </c>
      <c r="BI333" s="7">
        <f>ROUND(((Wapato_Inventory[[#This Row],[land_extract]]*Lookups!$B$3) +(Lookups!$B$2*0.5))*Lookups!$H$48,-2)</f>
        <v>53500</v>
      </c>
      <c r="BJ333" s="7">
        <f>IF(Wapato_Inventory[[#This Row],[bldg_style]]="",0,Lookups!$B$2*0.5)</f>
        <v>53765.27</v>
      </c>
      <c r="BK333" s="7">
        <f>_xlfn.IFNA(VLOOKUP(Wapato_Inventory[[#This Row],[quality]],Lookups!$H$2:$J$14,3,FALSE),0)</f>
        <v>28034</v>
      </c>
      <c r="BL333" s="7">
        <f>_xlfn.IFNA(VLOOKUP(Wapato_Inventory[[#This Row],[condition]],Lookups!$H$17:$J$24,3,FALSE),0)</f>
        <v>52231</v>
      </c>
      <c r="BM333" s="7">
        <f>Wapato_Inventory[[#This Row],[Age]]*Lookups!$B$16</f>
        <v>-36326.2186</v>
      </c>
      <c r="BN333" s="7">
        <f>Wapato_Inventory[[#This Row],[Main Floor]]*Lookups!$B$17</f>
        <v>47903.646893999998</v>
      </c>
      <c r="BO333" s="7">
        <f>Wapato_Inventory[[#This Row],[Upper Floor]]*Lookups!$B$18</f>
        <v>0</v>
      </c>
      <c r="BP333" s="7">
        <f>Wapato_Inventory[[#This Row],[Fin BSMT]]*Lookups!$B$19</f>
        <v>0</v>
      </c>
      <c r="BQ333" s="7">
        <f>(Wapato_Inventory[[#This Row],[att_gar]]+Wapato_Inventory[[#This Row],[blt_gar]])*Lookups!$B$20</f>
        <v>0</v>
      </c>
      <c r="BR333" s="7">
        <f>Wapato_Inventory[[#This Row],[Patio]]*Lookups!$B$21</f>
        <v>0</v>
      </c>
      <c r="BS333" s="7">
        <f>SUM(Wapato_Inventory[[#This Row],[intercept]:[patio_value]])*Wapato_Inventory[[#This Row],[res_pct]]</f>
        <v>145607.698294</v>
      </c>
      <c r="BT333" s="7">
        <f>Wapato_Inventory[[#This Row],[land_value]]</f>
        <v>53500</v>
      </c>
      <c r="BU333" s="2">
        <f>_xlfn.IFNA(VLOOKUP(Wapato_Inventory[[#This Row],[quality]],Lookups!$A$28:$C$37,3,FALSE),1)</f>
        <v>0.96265813922927435</v>
      </c>
      <c r="BV333" s="2">
        <f>_xlfn.IFNA(VLOOKUP(Wapato_Inventory[[#This Row],[condition]],Lookups!$A$41:$C$48,3,FALSE),1)</f>
        <v>0.9832333997567807</v>
      </c>
      <c r="BW333" s="2">
        <f>IF(Wapato_Inventory[[#This Row],[decade]]="",1,_xlfn.IFNA(VLOOKUP(Wapato_Inventory[[#This Row],[decade]],Lookups!$F$28:$H$45,3,FALSE),1))</f>
        <v>1.0114203040664467</v>
      </c>
      <c r="BX333" s="2">
        <f>_xlfn.IFNA(VLOOKUP(Wapato_Inventory[[#This Row],[living_area_range]],Lookups!$K$28:$M$37,3,FALSE),1)</f>
        <v>1.0061411172456287</v>
      </c>
      <c r="BY333" s="2">
        <f>AVERAGE(Wapato_Inventory[[#This Row],[qual_adj]:[range_adj]])</f>
        <v>0.99086324007453253</v>
      </c>
      <c r="BZ333" s="7">
        <f>(Wapato_Inventory[[#This Row],[sum_land]]-IF(Wapato_Inventory[[#This Row],[no_utilities]]=1,12000,0))/IF(Wapato_Inventory[[#This Row],[unbuildable]]=1,2,1)</f>
        <v>53500</v>
      </c>
      <c r="CA333" s="7">
        <f>Wapato_Inventory[[#This Row],[pre_res]]*Wapato_Inventory[[#This Row],[overall_adj]]</f>
        <v>144277.31571138781</v>
      </c>
      <c r="CB333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333" s="3">
        <f>IF(ROUND(Wapato_Inventory[[#This Row],[adj_res]]*Lookups!$H$48,-2)&lt;Wapato_Inventory[[#This Row],[min_res]],Wapato_Inventory[[#This Row],[min_res]],ROUND(Wapato_Inventory[[#This Row],[adj_res]]*Lookups!$H$48,-2))</f>
        <v>137100</v>
      </c>
      <c r="CD333" s="3">
        <f>ROUND(Wapato_Inventory[[#This Row],[det_value]]*Lookups!$H$48,-2)</f>
        <v>5500</v>
      </c>
      <c r="CE333" s="3">
        <f>Wapato_Inventory[[#This Row],[final_res]]+Wapato_Inventory[[#This Row],[final_det]]</f>
        <v>142600</v>
      </c>
      <c r="CF333" s="3">
        <f>Wapato_Inventory[[#This Row],[crop_value]]+Wapato_Inventory[[#This Row],[final_land]]+Wapato_Inventory[[#This Row],[final_imp]]</f>
        <v>193400</v>
      </c>
      <c r="CH333" t="str">
        <f t="shared" si="5"/>
        <v>update valuation set market_land =50800, market_bldg=142600, market_total =193400, market_mdno =405, market_date ='9/10/2023' where link_id = (select link_id from parcel where parcel_year = '2024' and parcel_id = '19111044465');</v>
      </c>
    </row>
    <row r="334" spans="1:86" x14ac:dyDescent="0.25">
      <c r="A334">
        <v>19111044466</v>
      </c>
      <c r="B334">
        <v>0.09</v>
      </c>
      <c r="C334">
        <v>4006</v>
      </c>
      <c r="D334" t="s">
        <v>144</v>
      </c>
      <c r="E334" t="s">
        <v>54</v>
      </c>
      <c r="F334" t="s">
        <v>54</v>
      </c>
      <c r="G334">
        <v>3</v>
      </c>
      <c r="H334" t="s">
        <v>55</v>
      </c>
      <c r="I334">
        <v>157900</v>
      </c>
      <c r="J334">
        <v>28700</v>
      </c>
      <c r="K334">
        <v>0.09</v>
      </c>
      <c r="L334">
        <f>IF(Wapato_Inventory[[#This Row],[parcel_acres]]-Wapato_Inventory[[#This Row],[non_valued_acres]] =0,0,LN(Wapato_Inventory[[#This Row],[parcel_acres]]-Wapato_Inventory[[#This Row],[non_valued_acres]]))</f>
        <v>-2.4079456086518722</v>
      </c>
      <c r="M334">
        <v>0</v>
      </c>
      <c r="N334">
        <v>0</v>
      </c>
      <c r="O334">
        <v>0</v>
      </c>
      <c r="P334">
        <v>27904.037</v>
      </c>
      <c r="Q334">
        <v>74398</v>
      </c>
      <c r="R334" s="3">
        <f>(Wapato_Inventory[[#This Row],[ln_acres]]*Wapato_Inventory[[#This Row],[coeff]])+Wapato_Inventory[[#This Row],[const]]</f>
        <v>7206.5966421906342</v>
      </c>
      <c r="S334" t="s">
        <v>66</v>
      </c>
      <c r="T334">
        <v>1</v>
      </c>
      <c r="U334" t="s">
        <v>75</v>
      </c>
      <c r="V334" t="s">
        <v>68</v>
      </c>
      <c r="W334">
        <v>0</v>
      </c>
      <c r="X334">
        <v>0</v>
      </c>
      <c r="Y334">
        <v>55</v>
      </c>
      <c r="Z334">
        <v>98</v>
      </c>
      <c r="AA334">
        <v>100</v>
      </c>
      <c r="AB334">
        <v>1500</v>
      </c>
      <c r="AC334">
        <v>1412</v>
      </c>
      <c r="AD334">
        <v>1412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544</v>
      </c>
      <c r="AL334">
        <v>0</v>
      </c>
      <c r="AM334">
        <v>0</v>
      </c>
      <c r="AN334">
        <v>90</v>
      </c>
      <c r="AO334">
        <v>0</v>
      </c>
      <c r="AP334">
        <v>8</v>
      </c>
      <c r="AQ334">
        <v>0</v>
      </c>
      <c r="AR334">
        <v>0</v>
      </c>
      <c r="AS334" t="s">
        <v>59</v>
      </c>
      <c r="AT334">
        <v>1</v>
      </c>
      <c r="AU334" t="s">
        <v>72</v>
      </c>
      <c r="AV334" t="s">
        <v>61</v>
      </c>
      <c r="AW334">
        <v>0</v>
      </c>
      <c r="AX334">
        <v>4</v>
      </c>
      <c r="AY334">
        <v>0</v>
      </c>
      <c r="AZ334">
        <v>0</v>
      </c>
      <c r="BA334">
        <v>100</v>
      </c>
      <c r="BB334">
        <v>100</v>
      </c>
      <c r="BC334">
        <v>100</v>
      </c>
      <c r="BD334">
        <v>100</v>
      </c>
      <c r="BE334">
        <v>1</v>
      </c>
      <c r="BF334">
        <v>15000</v>
      </c>
      <c r="BG334">
        <v>1000</v>
      </c>
      <c r="BH334" s="7">
        <f>ROUND(Wapato_Inventory[[#This Row],[detatched_value]]*Lookups!$B$22*Lookups!$H$48,-2)</f>
        <v>0</v>
      </c>
      <c r="BI334" s="7">
        <f>ROUND(((Wapato_Inventory[[#This Row],[land_extract]]*Lookups!$B$3) +(Lookups!$B$2*0.5))*Lookups!$H$48,-2)</f>
        <v>51800</v>
      </c>
      <c r="BJ334" s="7">
        <f>IF(Wapato_Inventory[[#This Row],[bldg_style]]="",0,Lookups!$B$2*0.5)</f>
        <v>53765.27</v>
      </c>
      <c r="BK334" s="7">
        <f>_xlfn.IFNA(VLOOKUP(Wapato_Inventory[[#This Row],[quality]],Lookups!$H$2:$J$14,3,FALSE),0)</f>
        <v>48043</v>
      </c>
      <c r="BL334" s="7">
        <f>_xlfn.IFNA(VLOOKUP(Wapato_Inventory[[#This Row],[condition]],Lookups!$H$17:$J$24,3,FALSE),0)</f>
        <v>52231</v>
      </c>
      <c r="BM334" s="7">
        <f>Wapato_Inventory[[#This Row],[Age]]*Lookups!$B$16</f>
        <v>-36326.2186</v>
      </c>
      <c r="BN334" s="7">
        <f>Wapato_Inventory[[#This Row],[Main Floor]]*Lookups!$B$17</f>
        <v>59022.643468000002</v>
      </c>
      <c r="BO334" s="7">
        <f>Wapato_Inventory[[#This Row],[Upper Floor]]*Lookups!$B$18</f>
        <v>0</v>
      </c>
      <c r="BP334" s="7">
        <f>Wapato_Inventory[[#This Row],[Fin BSMT]]*Lookups!$B$19</f>
        <v>0</v>
      </c>
      <c r="BQ334" s="7">
        <f>(Wapato_Inventory[[#This Row],[att_gar]]+Wapato_Inventory[[#This Row],[blt_gar]])*Lookups!$B$20</f>
        <v>0</v>
      </c>
      <c r="BR334" s="7">
        <f>Wapato_Inventory[[#This Row],[Patio]]*Lookups!$B$21</f>
        <v>0</v>
      </c>
      <c r="BS334" s="7">
        <f>SUM(Wapato_Inventory[[#This Row],[intercept]:[patio_value]])*Wapato_Inventory[[#This Row],[res_pct]]</f>
        <v>176735.69486799999</v>
      </c>
      <c r="BT334" s="7">
        <f>Wapato_Inventory[[#This Row],[land_value]]</f>
        <v>51800</v>
      </c>
      <c r="BU334" s="2">
        <f>_xlfn.IFNA(VLOOKUP(Wapato_Inventory[[#This Row],[quality]],Lookups!$A$28:$C$37,3,FALSE),1)</f>
        <v>0.98196844879778955</v>
      </c>
      <c r="BV334" s="2">
        <f>_xlfn.IFNA(VLOOKUP(Wapato_Inventory[[#This Row],[condition]],Lookups!$A$41:$C$48,3,FALSE),1)</f>
        <v>0.9832333997567807</v>
      </c>
      <c r="BW334" s="2">
        <f>IF(Wapato_Inventory[[#This Row],[decade]]="",1,_xlfn.IFNA(VLOOKUP(Wapato_Inventory[[#This Row],[decade]],Lookups!$F$28:$H$45,3,FALSE),1))</f>
        <v>1.0114203040664467</v>
      </c>
      <c r="BX334" s="2">
        <f>_xlfn.IFNA(VLOOKUP(Wapato_Inventory[[#This Row],[living_area_range]],Lookups!$K$28:$M$37,3,FALSE),1)</f>
        <v>1.0061411172456287</v>
      </c>
      <c r="BY334" s="2">
        <f>AVERAGE(Wapato_Inventory[[#This Row],[qual_adj]:[range_adj]])</f>
        <v>0.99569081746666144</v>
      </c>
      <c r="BZ334" s="7">
        <f>(Wapato_Inventory[[#This Row],[sum_land]]-IF(Wapato_Inventory[[#This Row],[no_utilities]]=1,12000,0))/IF(Wapato_Inventory[[#This Row],[unbuildable]]=1,2,1)</f>
        <v>51800</v>
      </c>
      <c r="CA334" s="7">
        <f>Wapato_Inventory[[#This Row],[pre_res]]*Wapato_Inventory[[#This Row],[overall_adj]]</f>
        <v>175974.10849865736</v>
      </c>
      <c r="CB334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334" s="3">
        <f>IF(ROUND(Wapato_Inventory[[#This Row],[adj_res]]*Lookups!$H$48,-2)&lt;Wapato_Inventory[[#This Row],[min_res]],Wapato_Inventory[[#This Row],[min_res]],ROUND(Wapato_Inventory[[#This Row],[adj_res]]*Lookups!$H$48,-2))</f>
        <v>167200</v>
      </c>
      <c r="CD334" s="3">
        <f>ROUND(Wapato_Inventory[[#This Row],[det_value]]*Lookups!$H$48,-2)</f>
        <v>0</v>
      </c>
      <c r="CE334" s="3">
        <f>Wapato_Inventory[[#This Row],[final_res]]+Wapato_Inventory[[#This Row],[final_det]]</f>
        <v>167200</v>
      </c>
      <c r="CF334" s="3">
        <f>Wapato_Inventory[[#This Row],[crop_value]]+Wapato_Inventory[[#This Row],[final_land]]+Wapato_Inventory[[#This Row],[final_imp]]</f>
        <v>216400</v>
      </c>
      <c r="CH334" t="str">
        <f t="shared" si="5"/>
        <v>update valuation set market_land =49200, market_bldg=167200, market_total =216400, market_mdno =405, market_date ='9/10/2023' where link_id = (select link_id from parcel where parcel_year = '2024' and parcel_id = '19111044466');</v>
      </c>
    </row>
    <row r="335" spans="1:86" x14ac:dyDescent="0.25">
      <c r="A335">
        <v>19111044467</v>
      </c>
      <c r="B335">
        <v>0.09</v>
      </c>
      <c r="C335">
        <v>4005</v>
      </c>
      <c r="D335" t="s">
        <v>144</v>
      </c>
      <c r="E335" t="s">
        <v>54</v>
      </c>
      <c r="F335" t="s">
        <v>54</v>
      </c>
      <c r="G335">
        <v>3</v>
      </c>
      <c r="H335" t="s">
        <v>55</v>
      </c>
      <c r="I335">
        <v>59000</v>
      </c>
      <c r="J335">
        <v>28700</v>
      </c>
      <c r="K335">
        <v>0.09</v>
      </c>
      <c r="L335">
        <f>IF(Wapato_Inventory[[#This Row],[parcel_acres]]-Wapato_Inventory[[#This Row],[non_valued_acres]] =0,0,LN(Wapato_Inventory[[#This Row],[parcel_acres]]-Wapato_Inventory[[#This Row],[non_valued_acres]]))</f>
        <v>-2.4079456086518722</v>
      </c>
      <c r="M335">
        <v>0</v>
      </c>
      <c r="N335">
        <v>0</v>
      </c>
      <c r="O335">
        <v>0</v>
      </c>
      <c r="P335">
        <v>27904.037</v>
      </c>
      <c r="Q335">
        <v>74398</v>
      </c>
      <c r="R335" s="3">
        <f>(Wapato_Inventory[[#This Row],[ln_acres]]*Wapato_Inventory[[#This Row],[coeff]])+Wapato_Inventory[[#This Row],[const]]</f>
        <v>7206.5966421906342</v>
      </c>
      <c r="S335" t="s">
        <v>66</v>
      </c>
      <c r="T335">
        <v>1</v>
      </c>
      <c r="U335" t="s">
        <v>71</v>
      </c>
      <c r="V335" t="s">
        <v>73</v>
      </c>
      <c r="W335">
        <v>0</v>
      </c>
      <c r="X335">
        <v>0</v>
      </c>
      <c r="Y335">
        <v>53</v>
      </c>
      <c r="Z335">
        <v>93</v>
      </c>
      <c r="AA335">
        <v>100</v>
      </c>
      <c r="AB335">
        <v>1000</v>
      </c>
      <c r="AC335">
        <v>728</v>
      </c>
      <c r="AD335">
        <v>728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5</v>
      </c>
      <c r="AQ335">
        <v>0</v>
      </c>
      <c r="AR335">
        <v>0</v>
      </c>
      <c r="AS335" t="s">
        <v>59</v>
      </c>
      <c r="AT335">
        <v>0</v>
      </c>
      <c r="AU335" t="s">
        <v>80</v>
      </c>
      <c r="AV335" t="s">
        <v>77</v>
      </c>
      <c r="AW335">
        <v>0</v>
      </c>
      <c r="AX335">
        <v>2</v>
      </c>
      <c r="AY335">
        <v>0</v>
      </c>
      <c r="AZ335">
        <v>0</v>
      </c>
      <c r="BA335">
        <v>100</v>
      </c>
      <c r="BB335">
        <v>100</v>
      </c>
      <c r="BC335">
        <v>100</v>
      </c>
      <c r="BD335">
        <v>100</v>
      </c>
      <c r="BE335">
        <v>1</v>
      </c>
      <c r="BF335">
        <v>15000</v>
      </c>
      <c r="BG335">
        <v>1000</v>
      </c>
      <c r="BH335" s="7">
        <f>ROUND(Wapato_Inventory[[#This Row],[detatched_value]]*Lookups!$B$22*Lookups!$H$48,-2)</f>
        <v>0</v>
      </c>
      <c r="BI335" s="7">
        <f>ROUND(((Wapato_Inventory[[#This Row],[land_extract]]*Lookups!$B$3) +(Lookups!$B$2*0.5))*Lookups!$H$48,-2)</f>
        <v>51800</v>
      </c>
      <c r="BJ335" s="7">
        <f>IF(Wapato_Inventory[[#This Row],[bldg_style]]="",0,Lookups!$B$2*0.5)</f>
        <v>53765.27</v>
      </c>
      <c r="BK335" s="7">
        <f>_xlfn.IFNA(VLOOKUP(Wapato_Inventory[[#This Row],[quality]],Lookups!$H$2:$J$14,3,FALSE),0)</f>
        <v>28034</v>
      </c>
      <c r="BL335" s="7">
        <f>_xlfn.IFNA(VLOOKUP(Wapato_Inventory[[#This Row],[condition]],Lookups!$H$17:$J$24,3,FALSE),0)</f>
        <v>16276</v>
      </c>
      <c r="BM335" s="7">
        <f>Wapato_Inventory[[#This Row],[Age]]*Lookups!$B$16</f>
        <v>-34472.840100000001</v>
      </c>
      <c r="BN335" s="7">
        <f>Wapato_Inventory[[#This Row],[Main Floor]]*Lookups!$B$17</f>
        <v>30430.937991999999</v>
      </c>
      <c r="BO335" s="7">
        <f>Wapato_Inventory[[#This Row],[Upper Floor]]*Lookups!$B$18</f>
        <v>0</v>
      </c>
      <c r="BP335" s="7">
        <f>Wapato_Inventory[[#This Row],[Fin BSMT]]*Lookups!$B$19</f>
        <v>0</v>
      </c>
      <c r="BQ335" s="7">
        <f>(Wapato_Inventory[[#This Row],[att_gar]]+Wapato_Inventory[[#This Row],[blt_gar]])*Lookups!$B$20</f>
        <v>0</v>
      </c>
      <c r="BR335" s="7">
        <f>Wapato_Inventory[[#This Row],[Patio]]*Lookups!$B$21</f>
        <v>0</v>
      </c>
      <c r="BS335" s="7">
        <f>SUM(Wapato_Inventory[[#This Row],[intercept]:[patio_value]])*Wapato_Inventory[[#This Row],[res_pct]]</f>
        <v>94033.36789199998</v>
      </c>
      <c r="BT335" s="7">
        <f>Wapato_Inventory[[#This Row],[land_value]]</f>
        <v>51800</v>
      </c>
      <c r="BU335" s="2">
        <f>_xlfn.IFNA(VLOOKUP(Wapato_Inventory[[#This Row],[quality]],Lookups!$A$28:$C$37,3,FALSE),1)</f>
        <v>0.96265813922927435</v>
      </c>
      <c r="BV335" s="2">
        <f>_xlfn.IFNA(VLOOKUP(Wapato_Inventory[[#This Row],[condition]],Lookups!$A$41:$C$48,3,FALSE),1)</f>
        <v>0.93399385491337139</v>
      </c>
      <c r="BW335" s="2">
        <f>IF(Wapato_Inventory[[#This Row],[decade]]="",1,_xlfn.IFNA(VLOOKUP(Wapato_Inventory[[#This Row],[decade]],Lookups!$F$28:$H$45,3,FALSE),1))</f>
        <v>1.0114203040664467</v>
      </c>
      <c r="BX335" s="2">
        <f>_xlfn.IFNA(VLOOKUP(Wapato_Inventory[[#This Row],[living_area_range]],Lookups!$K$28:$M$37,3,FALSE),1)</f>
        <v>0.99022994770196116</v>
      </c>
      <c r="BY335" s="2">
        <f>AVERAGE(Wapato_Inventory[[#This Row],[qual_adj]:[range_adj]])</f>
        <v>0.97457556147776347</v>
      </c>
      <c r="BZ335" s="7">
        <f>(Wapato_Inventory[[#This Row],[sum_land]]-IF(Wapato_Inventory[[#This Row],[no_utilities]]=1,12000,0))/IF(Wapato_Inventory[[#This Row],[unbuildable]]=1,2,1)</f>
        <v>51800</v>
      </c>
      <c r="CA335" s="7">
        <f>Wapato_Inventory[[#This Row],[pre_res]]*Wapato_Inventory[[#This Row],[overall_adj]]</f>
        <v>91642.622310990977</v>
      </c>
      <c r="CB335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335" s="3">
        <f>IF(ROUND(Wapato_Inventory[[#This Row],[adj_res]]*Lookups!$H$48,-2)&lt;Wapato_Inventory[[#This Row],[min_res]],Wapato_Inventory[[#This Row],[min_res]],ROUND(Wapato_Inventory[[#This Row],[adj_res]]*Lookups!$H$48,-2))</f>
        <v>87100</v>
      </c>
      <c r="CD335" s="3">
        <f>ROUND(Wapato_Inventory[[#This Row],[det_value]]*Lookups!$H$48,-2)</f>
        <v>0</v>
      </c>
      <c r="CE335" s="3">
        <f>Wapato_Inventory[[#This Row],[final_res]]+Wapato_Inventory[[#This Row],[final_det]]</f>
        <v>87100</v>
      </c>
      <c r="CF335" s="3">
        <f>Wapato_Inventory[[#This Row],[crop_value]]+Wapato_Inventory[[#This Row],[final_land]]+Wapato_Inventory[[#This Row],[final_imp]]</f>
        <v>136300</v>
      </c>
      <c r="CH335" t="str">
        <f t="shared" si="5"/>
        <v>update valuation set market_land =49200, market_bldg=87100, market_total =136300, market_mdno =405, market_date ='9/10/2023' where link_id = (select link_id from parcel where parcel_year = '2024' and parcel_id = '19111044467');</v>
      </c>
    </row>
    <row r="336" spans="1:86" x14ac:dyDescent="0.25">
      <c r="A336">
        <v>19111044468</v>
      </c>
      <c r="B336">
        <v>0.09</v>
      </c>
      <c r="C336">
        <v>4005</v>
      </c>
      <c r="D336" t="s">
        <v>144</v>
      </c>
      <c r="E336" t="s">
        <v>54</v>
      </c>
      <c r="F336" t="s">
        <v>54</v>
      </c>
      <c r="G336">
        <v>3</v>
      </c>
      <c r="H336" t="s">
        <v>55</v>
      </c>
      <c r="I336">
        <v>247600</v>
      </c>
      <c r="J336">
        <v>28700</v>
      </c>
      <c r="K336">
        <v>0.09</v>
      </c>
      <c r="L336">
        <f>IF(Wapato_Inventory[[#This Row],[parcel_acres]]-Wapato_Inventory[[#This Row],[non_valued_acres]] =0,0,LN(Wapato_Inventory[[#This Row],[parcel_acres]]-Wapato_Inventory[[#This Row],[non_valued_acres]]))</f>
        <v>-2.4079456086518722</v>
      </c>
      <c r="M336">
        <v>0</v>
      </c>
      <c r="N336">
        <v>0</v>
      </c>
      <c r="O336">
        <v>0</v>
      </c>
      <c r="P336">
        <v>27904.037</v>
      </c>
      <c r="Q336">
        <v>74398</v>
      </c>
      <c r="R336" s="3">
        <f>(Wapato_Inventory[[#This Row],[ln_acres]]*Wapato_Inventory[[#This Row],[coeff]])+Wapato_Inventory[[#This Row],[const]]</f>
        <v>7206.5966421906342</v>
      </c>
      <c r="S336" t="s">
        <v>66</v>
      </c>
      <c r="T336">
        <v>2</v>
      </c>
      <c r="U336" t="s">
        <v>75</v>
      </c>
      <c r="V336" t="s">
        <v>70</v>
      </c>
      <c r="W336">
        <v>0</v>
      </c>
      <c r="X336">
        <v>0</v>
      </c>
      <c r="Y336">
        <v>45</v>
      </c>
      <c r="Z336">
        <v>98</v>
      </c>
      <c r="AA336">
        <v>100</v>
      </c>
      <c r="AB336">
        <v>2000</v>
      </c>
      <c r="AC336">
        <v>1992</v>
      </c>
      <c r="AD336">
        <v>1517</v>
      </c>
      <c r="AE336">
        <v>475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96</v>
      </c>
      <c r="AO336">
        <v>0</v>
      </c>
      <c r="AP336">
        <v>11</v>
      </c>
      <c r="AQ336">
        <v>0</v>
      </c>
      <c r="AR336">
        <v>0</v>
      </c>
      <c r="AS336" t="s">
        <v>59</v>
      </c>
      <c r="AT336">
        <v>1</v>
      </c>
      <c r="AU336" t="s">
        <v>76</v>
      </c>
      <c r="AV336" t="s">
        <v>61</v>
      </c>
      <c r="AW336">
        <v>0</v>
      </c>
      <c r="AX336">
        <v>4</v>
      </c>
      <c r="AY336">
        <v>0</v>
      </c>
      <c r="AZ336">
        <v>0</v>
      </c>
      <c r="BA336">
        <v>100</v>
      </c>
      <c r="BB336">
        <v>100</v>
      </c>
      <c r="BC336">
        <v>100</v>
      </c>
      <c r="BD336">
        <v>100</v>
      </c>
      <c r="BE336">
        <v>1</v>
      </c>
      <c r="BF336">
        <v>15000</v>
      </c>
      <c r="BG336">
        <v>1000</v>
      </c>
      <c r="BH336" s="7">
        <f>ROUND(Wapato_Inventory[[#This Row],[detatched_value]]*Lookups!$B$22*Lookups!$H$48,-2)</f>
        <v>0</v>
      </c>
      <c r="BI336" s="7">
        <f>ROUND(((Wapato_Inventory[[#This Row],[land_extract]]*Lookups!$B$3) +(Lookups!$B$2*0.5))*Lookups!$H$48,-2)</f>
        <v>51800</v>
      </c>
      <c r="BJ336" s="7">
        <f>IF(Wapato_Inventory[[#This Row],[bldg_style]]="",0,Lookups!$B$2*0.5)</f>
        <v>53765.27</v>
      </c>
      <c r="BK336" s="7">
        <f>_xlfn.IFNA(VLOOKUP(Wapato_Inventory[[#This Row],[quality]],Lookups!$H$2:$J$14,3,FALSE),0)</f>
        <v>48043</v>
      </c>
      <c r="BL336" s="7">
        <f>_xlfn.IFNA(VLOOKUP(Wapato_Inventory[[#This Row],[condition]],Lookups!$H$17:$J$24,3,FALSE),0)</f>
        <v>84338</v>
      </c>
      <c r="BM336" s="7">
        <f>Wapato_Inventory[[#This Row],[Age]]*Lookups!$B$16</f>
        <v>-36326.2186</v>
      </c>
      <c r="BN336" s="7">
        <f>Wapato_Inventory[[#This Row],[Main Floor]]*Lookups!$B$17</f>
        <v>63411.721062999997</v>
      </c>
      <c r="BO336" s="7">
        <f>Wapato_Inventory[[#This Row],[Upper Floor]]*Lookups!$B$18</f>
        <v>23560.541025000002</v>
      </c>
      <c r="BP336" s="7">
        <f>Wapato_Inventory[[#This Row],[Fin BSMT]]*Lookups!$B$19</f>
        <v>0</v>
      </c>
      <c r="BQ336" s="7">
        <f>(Wapato_Inventory[[#This Row],[att_gar]]+Wapato_Inventory[[#This Row],[blt_gar]])*Lookups!$B$20</f>
        <v>0</v>
      </c>
      <c r="BR336" s="7">
        <f>Wapato_Inventory[[#This Row],[Patio]]*Lookups!$B$21</f>
        <v>0</v>
      </c>
      <c r="BS336" s="7">
        <f>SUM(Wapato_Inventory[[#This Row],[intercept]:[patio_value]])*Wapato_Inventory[[#This Row],[res_pct]]</f>
        <v>236792.31348800001</v>
      </c>
      <c r="BT336" s="7">
        <f>Wapato_Inventory[[#This Row],[land_value]]</f>
        <v>51800</v>
      </c>
      <c r="BU336" s="2">
        <f>_xlfn.IFNA(VLOOKUP(Wapato_Inventory[[#This Row],[quality]],Lookups!$A$28:$C$37,3,FALSE),1)</f>
        <v>0.98196844879778955</v>
      </c>
      <c r="BV336" s="2">
        <f>_xlfn.IFNA(VLOOKUP(Wapato_Inventory[[#This Row],[condition]],Lookups!$A$41:$C$48,3,FALSE),1)</f>
        <v>0.99478075210508476</v>
      </c>
      <c r="BW336" s="2">
        <f>IF(Wapato_Inventory[[#This Row],[decade]]="",1,_xlfn.IFNA(VLOOKUP(Wapato_Inventory[[#This Row],[decade]],Lookups!$F$28:$H$45,3,FALSE),1))</f>
        <v>1.0114203040664467</v>
      </c>
      <c r="BX336" s="2">
        <f>_xlfn.IFNA(VLOOKUP(Wapato_Inventory[[#This Row],[living_area_range]],Lookups!$K$28:$M$37,3,FALSE),1)</f>
        <v>0.99330894324714125</v>
      </c>
      <c r="BY336" s="2">
        <f>AVERAGE(Wapato_Inventory[[#This Row],[qual_adj]:[range_adj]])</f>
        <v>0.99536961205411545</v>
      </c>
      <c r="BZ336" s="7">
        <f>(Wapato_Inventory[[#This Row],[sum_land]]-IF(Wapato_Inventory[[#This Row],[no_utilities]]=1,12000,0))/IF(Wapato_Inventory[[#This Row],[unbuildable]]=1,2,1)</f>
        <v>51800</v>
      </c>
      <c r="CA336" s="7">
        <f>Wapato_Inventory[[#This Row],[pre_res]]*Wapato_Inventory[[#This Row],[overall_adj]]</f>
        <v>235695.87321394705</v>
      </c>
      <c r="CB336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336" s="3">
        <f>IF(ROUND(Wapato_Inventory[[#This Row],[adj_res]]*Lookups!$H$48,-2)&lt;Wapato_Inventory[[#This Row],[min_res]],Wapato_Inventory[[#This Row],[min_res]],ROUND(Wapato_Inventory[[#This Row],[adj_res]]*Lookups!$H$48,-2))</f>
        <v>223900</v>
      </c>
      <c r="CD336" s="3">
        <f>ROUND(Wapato_Inventory[[#This Row],[det_value]]*Lookups!$H$48,-2)</f>
        <v>0</v>
      </c>
      <c r="CE336" s="3">
        <f>Wapato_Inventory[[#This Row],[final_res]]+Wapato_Inventory[[#This Row],[final_det]]</f>
        <v>223900</v>
      </c>
      <c r="CF336" s="3">
        <f>Wapato_Inventory[[#This Row],[crop_value]]+Wapato_Inventory[[#This Row],[final_land]]+Wapato_Inventory[[#This Row],[final_imp]]</f>
        <v>273100</v>
      </c>
      <c r="CH336" t="str">
        <f t="shared" si="5"/>
        <v>update valuation set market_land =49200, market_bldg=223900, market_total =273100, market_mdno =405, market_date ='9/10/2023' where link_id = (select link_id from parcel where parcel_year = '2024' and parcel_id = '19111044468');</v>
      </c>
    </row>
    <row r="337" spans="1:86" x14ac:dyDescent="0.25">
      <c r="A337">
        <v>19111044469</v>
      </c>
      <c r="B337">
        <v>0.09</v>
      </c>
      <c r="C337">
        <v>4004</v>
      </c>
      <c r="D337" t="s">
        <v>144</v>
      </c>
      <c r="E337" t="s">
        <v>54</v>
      </c>
      <c r="F337" t="s">
        <v>54</v>
      </c>
      <c r="G337">
        <v>3</v>
      </c>
      <c r="H337" t="s">
        <v>55</v>
      </c>
      <c r="I337">
        <v>250700</v>
      </c>
      <c r="J337">
        <v>28700</v>
      </c>
      <c r="K337">
        <v>0.09</v>
      </c>
      <c r="L337">
        <f>IF(Wapato_Inventory[[#This Row],[parcel_acres]]-Wapato_Inventory[[#This Row],[non_valued_acres]] =0,0,LN(Wapato_Inventory[[#This Row],[parcel_acres]]-Wapato_Inventory[[#This Row],[non_valued_acres]]))</f>
        <v>-2.4079456086518722</v>
      </c>
      <c r="M337">
        <v>0</v>
      </c>
      <c r="N337">
        <v>0</v>
      </c>
      <c r="O337">
        <v>0</v>
      </c>
      <c r="P337">
        <v>27904.037</v>
      </c>
      <c r="Q337">
        <v>74398</v>
      </c>
      <c r="R337" s="3">
        <f>(Wapato_Inventory[[#This Row],[ln_acres]]*Wapato_Inventory[[#This Row],[coeff]])+Wapato_Inventory[[#This Row],[const]]</f>
        <v>7206.5966421906342</v>
      </c>
      <c r="S337" t="s">
        <v>56</v>
      </c>
      <c r="T337">
        <v>1</v>
      </c>
      <c r="U337" t="s">
        <v>75</v>
      </c>
      <c r="V337" t="s">
        <v>70</v>
      </c>
      <c r="W337">
        <v>0</v>
      </c>
      <c r="X337">
        <v>0</v>
      </c>
      <c r="Y337">
        <v>14</v>
      </c>
      <c r="Z337">
        <v>14</v>
      </c>
      <c r="AA337">
        <v>20</v>
      </c>
      <c r="AB337">
        <v>1500</v>
      </c>
      <c r="AC337">
        <v>1100</v>
      </c>
      <c r="AD337">
        <v>1100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132</v>
      </c>
      <c r="AO337">
        <v>0</v>
      </c>
      <c r="AP337">
        <v>5</v>
      </c>
      <c r="AQ337">
        <v>0</v>
      </c>
      <c r="AR337">
        <v>0</v>
      </c>
      <c r="AS337" t="s">
        <v>59</v>
      </c>
      <c r="AT337">
        <v>1</v>
      </c>
      <c r="AU337" t="s">
        <v>64</v>
      </c>
      <c r="AV337" t="s">
        <v>61</v>
      </c>
      <c r="AW337">
        <v>0</v>
      </c>
      <c r="AX337" t="s">
        <v>144</v>
      </c>
      <c r="AY337">
        <v>0</v>
      </c>
      <c r="AZ337">
        <v>0</v>
      </c>
      <c r="BA337">
        <v>100</v>
      </c>
      <c r="BB337">
        <v>100</v>
      </c>
      <c r="BC337">
        <v>100</v>
      </c>
      <c r="BD337">
        <v>100</v>
      </c>
      <c r="BE337">
        <v>1</v>
      </c>
      <c r="BF337">
        <v>15000</v>
      </c>
      <c r="BG337">
        <v>1000</v>
      </c>
      <c r="BH337" s="7">
        <f>ROUND(Wapato_Inventory[[#This Row],[detatched_value]]*Lookups!$B$22*Lookups!$H$48,-2)</f>
        <v>0</v>
      </c>
      <c r="BI337" s="7">
        <f>ROUND(((Wapato_Inventory[[#This Row],[land_extract]]*Lookups!$B$3) +(Lookups!$B$2*0.5))*Lookups!$H$48,-2)</f>
        <v>51800</v>
      </c>
      <c r="BJ337" s="7">
        <f>IF(Wapato_Inventory[[#This Row],[bldg_style]]="",0,Lookups!$B$2*0.5)</f>
        <v>53765.27</v>
      </c>
      <c r="BK337" s="7">
        <f>_xlfn.IFNA(VLOOKUP(Wapato_Inventory[[#This Row],[quality]],Lookups!$H$2:$J$14,3,FALSE),0)</f>
        <v>48043</v>
      </c>
      <c r="BL337" s="7">
        <f>_xlfn.IFNA(VLOOKUP(Wapato_Inventory[[#This Row],[condition]],Lookups!$H$17:$J$24,3,FALSE),0)</f>
        <v>84338</v>
      </c>
      <c r="BM337" s="7">
        <f>Wapato_Inventory[[#This Row],[Age]]*Lookups!$B$16</f>
        <v>-5189.4598000000005</v>
      </c>
      <c r="BN337" s="7">
        <f>Wapato_Inventory[[#This Row],[Main Floor]]*Lookups!$B$17</f>
        <v>45980.812899999997</v>
      </c>
      <c r="BO337" s="7">
        <f>Wapato_Inventory[[#This Row],[Upper Floor]]*Lookups!$B$18</f>
        <v>0</v>
      </c>
      <c r="BP337" s="7">
        <f>Wapato_Inventory[[#This Row],[Fin BSMT]]*Lookups!$B$19</f>
        <v>0</v>
      </c>
      <c r="BQ337" s="7">
        <f>(Wapato_Inventory[[#This Row],[att_gar]]+Wapato_Inventory[[#This Row],[blt_gar]])*Lookups!$B$20</f>
        <v>0</v>
      </c>
      <c r="BR337" s="7">
        <f>Wapato_Inventory[[#This Row],[Patio]]*Lookups!$B$21</f>
        <v>0</v>
      </c>
      <c r="BS337" s="7">
        <f>SUM(Wapato_Inventory[[#This Row],[intercept]:[patio_value]])*Wapato_Inventory[[#This Row],[res_pct]]</f>
        <v>226937.62309999997</v>
      </c>
      <c r="BT337" s="7">
        <f>Wapato_Inventory[[#This Row],[land_value]]</f>
        <v>51800</v>
      </c>
      <c r="BU337" s="2">
        <f>_xlfn.IFNA(VLOOKUP(Wapato_Inventory[[#This Row],[quality]],Lookups!$A$28:$C$37,3,FALSE),1)</f>
        <v>0.98196844879778955</v>
      </c>
      <c r="BV337" s="2">
        <f>_xlfn.IFNA(VLOOKUP(Wapato_Inventory[[#This Row],[condition]],Lookups!$A$41:$C$48,3,FALSE),1)</f>
        <v>0.99478075210508476</v>
      </c>
      <c r="BW337" s="2">
        <f>IF(Wapato_Inventory[[#This Row],[decade]]="",1,_xlfn.IFNA(VLOOKUP(Wapato_Inventory[[#This Row],[decade]],Lookups!$F$28:$H$45,3,FALSE),1))</f>
        <v>1.0658609603367226</v>
      </c>
      <c r="BX337" s="2">
        <f>_xlfn.IFNA(VLOOKUP(Wapato_Inventory[[#This Row],[living_area_range]],Lookups!$K$28:$M$37,3,FALSE),1)</f>
        <v>1.0061411172456287</v>
      </c>
      <c r="BY337" s="2">
        <f>AVERAGE(Wapato_Inventory[[#This Row],[qual_adj]:[range_adj]])</f>
        <v>1.0121878196213063</v>
      </c>
      <c r="BZ337" s="7">
        <f>(Wapato_Inventory[[#This Row],[sum_land]]-IF(Wapato_Inventory[[#This Row],[no_utilities]]=1,12000,0))/IF(Wapato_Inventory[[#This Row],[unbuildable]]=1,2,1)</f>
        <v>51800</v>
      </c>
      <c r="CA337" s="7">
        <f>Wapato_Inventory[[#This Row],[pre_res]]*Wapato_Inventory[[#This Row],[overall_adj]]</f>
        <v>229703.49791563078</v>
      </c>
      <c r="CB337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337" s="3">
        <f>IF(ROUND(Wapato_Inventory[[#This Row],[adj_res]]*Lookups!$H$48,-2)&lt;Wapato_Inventory[[#This Row],[min_res]],Wapato_Inventory[[#This Row],[min_res]],ROUND(Wapato_Inventory[[#This Row],[adj_res]]*Lookups!$H$48,-2))</f>
        <v>218200</v>
      </c>
      <c r="CD337" s="3">
        <f>ROUND(Wapato_Inventory[[#This Row],[det_value]]*Lookups!$H$48,-2)</f>
        <v>0</v>
      </c>
      <c r="CE337" s="3">
        <f>Wapato_Inventory[[#This Row],[final_res]]+Wapato_Inventory[[#This Row],[final_det]]</f>
        <v>218200</v>
      </c>
      <c r="CF337" s="3">
        <f>Wapato_Inventory[[#This Row],[crop_value]]+Wapato_Inventory[[#This Row],[final_land]]+Wapato_Inventory[[#This Row],[final_imp]]</f>
        <v>267400</v>
      </c>
      <c r="CH337" t="str">
        <f t="shared" si="5"/>
        <v>update valuation set market_land =49200, market_bldg=218200, market_total =267400, market_mdno =405, market_date ='9/10/2023' where link_id = (select link_id from parcel where parcel_year = '2024' and parcel_id = '19111044469');</v>
      </c>
    </row>
    <row r="338" spans="1:86" x14ac:dyDescent="0.25">
      <c r="A338">
        <v>19111044472</v>
      </c>
      <c r="B338">
        <v>0.09</v>
      </c>
      <c r="C338">
        <v>4005</v>
      </c>
      <c r="D338" t="s">
        <v>144</v>
      </c>
      <c r="E338" t="s">
        <v>54</v>
      </c>
      <c r="F338" t="s">
        <v>54</v>
      </c>
      <c r="G338">
        <v>3</v>
      </c>
      <c r="H338" t="s">
        <v>55</v>
      </c>
      <c r="I338">
        <v>114600</v>
      </c>
      <c r="J338">
        <v>28700</v>
      </c>
      <c r="K338">
        <v>0.09</v>
      </c>
      <c r="L338">
        <f>IF(Wapato_Inventory[[#This Row],[parcel_acres]]-Wapato_Inventory[[#This Row],[non_valued_acres]] =0,0,LN(Wapato_Inventory[[#This Row],[parcel_acres]]-Wapato_Inventory[[#This Row],[non_valued_acres]]))</f>
        <v>-2.4079456086518722</v>
      </c>
      <c r="M338">
        <v>0</v>
      </c>
      <c r="N338">
        <v>0</v>
      </c>
      <c r="O338">
        <v>0</v>
      </c>
      <c r="P338">
        <v>27904.037</v>
      </c>
      <c r="Q338">
        <v>74398</v>
      </c>
      <c r="R338" s="3">
        <f>(Wapato_Inventory[[#This Row],[ln_acres]]*Wapato_Inventory[[#This Row],[coeff]])+Wapato_Inventory[[#This Row],[const]]</f>
        <v>7206.5966421906342</v>
      </c>
      <c r="S338" t="s">
        <v>66</v>
      </c>
      <c r="T338">
        <v>1</v>
      </c>
      <c r="U338" t="s">
        <v>71</v>
      </c>
      <c r="V338" t="s">
        <v>68</v>
      </c>
      <c r="W338">
        <v>0</v>
      </c>
      <c r="X338">
        <v>0</v>
      </c>
      <c r="Y338">
        <v>57</v>
      </c>
      <c r="Z338">
        <v>103</v>
      </c>
      <c r="AA338">
        <v>110</v>
      </c>
      <c r="AB338">
        <v>1500</v>
      </c>
      <c r="AC338">
        <v>1152</v>
      </c>
      <c r="AD338">
        <v>1152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96</v>
      </c>
      <c r="AO338">
        <v>0</v>
      </c>
      <c r="AP338">
        <v>5</v>
      </c>
      <c r="AQ338">
        <v>0</v>
      </c>
      <c r="AR338">
        <v>0</v>
      </c>
      <c r="AS338" t="s">
        <v>59</v>
      </c>
      <c r="AT338">
        <v>1</v>
      </c>
      <c r="AU338" t="s">
        <v>72</v>
      </c>
      <c r="AV338" t="s">
        <v>61</v>
      </c>
      <c r="AW338">
        <v>0</v>
      </c>
      <c r="AX338">
        <v>2</v>
      </c>
      <c r="AY338">
        <v>0</v>
      </c>
      <c r="AZ338">
        <v>0</v>
      </c>
      <c r="BA338">
        <v>100</v>
      </c>
      <c r="BB338">
        <v>100</v>
      </c>
      <c r="BC338">
        <v>100</v>
      </c>
      <c r="BD338">
        <v>100</v>
      </c>
      <c r="BE338">
        <v>1</v>
      </c>
      <c r="BF338">
        <v>15000</v>
      </c>
      <c r="BG338">
        <v>1000</v>
      </c>
      <c r="BH338" s="7">
        <f>ROUND(Wapato_Inventory[[#This Row],[detatched_value]]*Lookups!$B$22*Lookups!$H$48,-2)</f>
        <v>0</v>
      </c>
      <c r="BI338" s="7">
        <f>ROUND(((Wapato_Inventory[[#This Row],[land_extract]]*Lookups!$B$3) +(Lookups!$B$2*0.5))*Lookups!$H$48,-2)</f>
        <v>51800</v>
      </c>
      <c r="BJ338" s="7">
        <f>IF(Wapato_Inventory[[#This Row],[bldg_style]]="",0,Lookups!$B$2*0.5)</f>
        <v>53765.27</v>
      </c>
      <c r="BK338" s="7">
        <f>_xlfn.IFNA(VLOOKUP(Wapato_Inventory[[#This Row],[quality]],Lookups!$H$2:$J$14,3,FALSE),0)</f>
        <v>28034</v>
      </c>
      <c r="BL338" s="7">
        <f>_xlfn.IFNA(VLOOKUP(Wapato_Inventory[[#This Row],[condition]],Lookups!$H$17:$J$24,3,FALSE),0)</f>
        <v>52231</v>
      </c>
      <c r="BM338" s="7">
        <f>Wapato_Inventory[[#This Row],[Age]]*Lookups!$B$16</f>
        <v>-38179.597099999999</v>
      </c>
      <c r="BN338" s="7">
        <f>Wapato_Inventory[[#This Row],[Main Floor]]*Lookups!$B$17</f>
        <v>48154.451328000003</v>
      </c>
      <c r="BO338" s="7">
        <f>Wapato_Inventory[[#This Row],[Upper Floor]]*Lookups!$B$18</f>
        <v>0</v>
      </c>
      <c r="BP338" s="7">
        <f>Wapato_Inventory[[#This Row],[Fin BSMT]]*Lookups!$B$19</f>
        <v>0</v>
      </c>
      <c r="BQ338" s="7">
        <f>(Wapato_Inventory[[#This Row],[att_gar]]+Wapato_Inventory[[#This Row],[blt_gar]])*Lookups!$B$20</f>
        <v>0</v>
      </c>
      <c r="BR338" s="7">
        <f>Wapato_Inventory[[#This Row],[Patio]]*Lookups!$B$21</f>
        <v>0</v>
      </c>
      <c r="BS338" s="7">
        <f>SUM(Wapato_Inventory[[#This Row],[intercept]:[patio_value]])*Wapato_Inventory[[#This Row],[res_pct]]</f>
        <v>144005.124228</v>
      </c>
      <c r="BT338" s="7">
        <f>Wapato_Inventory[[#This Row],[land_value]]</f>
        <v>51800</v>
      </c>
      <c r="BU338" s="2">
        <f>_xlfn.IFNA(VLOOKUP(Wapato_Inventory[[#This Row],[quality]],Lookups!$A$28:$C$37,3,FALSE),1)</f>
        <v>0.96265813922927435</v>
      </c>
      <c r="BV338" s="2">
        <f>_xlfn.IFNA(VLOOKUP(Wapato_Inventory[[#This Row],[condition]],Lookups!$A$41:$C$48,3,FALSE),1)</f>
        <v>0.9832333997567807</v>
      </c>
      <c r="BW338" s="2">
        <f>IF(Wapato_Inventory[[#This Row],[decade]]="",1,_xlfn.IFNA(VLOOKUP(Wapato_Inventory[[#This Row],[decade]],Lookups!$F$28:$H$45,3,FALSE),1))</f>
        <v>0.93664589651353292</v>
      </c>
      <c r="BX338" s="2">
        <f>_xlfn.IFNA(VLOOKUP(Wapato_Inventory[[#This Row],[living_area_range]],Lookups!$K$28:$M$37,3,FALSE),1)</f>
        <v>1.0061411172456287</v>
      </c>
      <c r="BY338" s="2">
        <f>AVERAGE(Wapato_Inventory[[#This Row],[qual_adj]:[range_adj]])</f>
        <v>0.97216963818630409</v>
      </c>
      <c r="BZ338" s="7">
        <f>(Wapato_Inventory[[#This Row],[sum_land]]-IF(Wapato_Inventory[[#This Row],[no_utilities]]=1,12000,0))/IF(Wapato_Inventory[[#This Row],[unbuildable]]=1,2,1)</f>
        <v>51800</v>
      </c>
      <c r="CA338" s="7">
        <f>Wapato_Inventory[[#This Row],[pre_res]]*Wapato_Inventory[[#This Row],[overall_adj]]</f>
        <v>139997.40951770853</v>
      </c>
      <c r="CB338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338" s="3">
        <f>IF(ROUND(Wapato_Inventory[[#This Row],[adj_res]]*Lookups!$H$48,-2)&lt;Wapato_Inventory[[#This Row],[min_res]],Wapato_Inventory[[#This Row],[min_res]],ROUND(Wapato_Inventory[[#This Row],[adj_res]]*Lookups!$H$48,-2))</f>
        <v>133000</v>
      </c>
      <c r="CD338" s="3">
        <f>ROUND(Wapato_Inventory[[#This Row],[det_value]]*Lookups!$H$48,-2)</f>
        <v>0</v>
      </c>
      <c r="CE338" s="3">
        <f>Wapato_Inventory[[#This Row],[final_res]]+Wapato_Inventory[[#This Row],[final_det]]</f>
        <v>133000</v>
      </c>
      <c r="CF338" s="3">
        <f>Wapato_Inventory[[#This Row],[crop_value]]+Wapato_Inventory[[#This Row],[final_land]]+Wapato_Inventory[[#This Row],[final_imp]]</f>
        <v>182200</v>
      </c>
      <c r="CH338" t="str">
        <f t="shared" si="5"/>
        <v>update valuation set market_land =49200, market_bldg=133000, market_total =182200, market_mdno =405, market_date ='9/10/2023' where link_id = (select link_id from parcel where parcel_year = '2024' and parcel_id = '19111044472');</v>
      </c>
    </row>
    <row r="339" spans="1:86" x14ac:dyDescent="0.25">
      <c r="A339">
        <v>19111044483</v>
      </c>
      <c r="B339">
        <v>0.12</v>
      </c>
      <c r="C339">
        <v>5346</v>
      </c>
      <c r="D339" t="s">
        <v>144</v>
      </c>
      <c r="E339" t="s">
        <v>54</v>
      </c>
      <c r="F339" t="s">
        <v>54</v>
      </c>
      <c r="G339">
        <v>3</v>
      </c>
      <c r="H339" t="s">
        <v>55</v>
      </c>
      <c r="I339">
        <v>126400</v>
      </c>
      <c r="J339">
        <v>30800</v>
      </c>
      <c r="K339">
        <v>0.12</v>
      </c>
      <c r="L339">
        <f>IF(Wapato_Inventory[[#This Row],[parcel_acres]]-Wapato_Inventory[[#This Row],[non_valued_acres]] =0,0,LN(Wapato_Inventory[[#This Row],[parcel_acres]]-Wapato_Inventory[[#This Row],[non_valued_acres]]))</f>
        <v>-2.120263536200091</v>
      </c>
      <c r="M339">
        <v>0</v>
      </c>
      <c r="N339">
        <v>0</v>
      </c>
      <c r="O339">
        <v>0</v>
      </c>
      <c r="P339">
        <v>27904.037</v>
      </c>
      <c r="Q339">
        <v>74398</v>
      </c>
      <c r="R339" s="3">
        <f>(Wapato_Inventory[[#This Row],[ln_acres]]*Wapato_Inventory[[#This Row],[coeff]])+Wapato_Inventory[[#This Row],[const]]</f>
        <v>15234.08783612182</v>
      </c>
      <c r="S339" t="s">
        <v>66</v>
      </c>
      <c r="T339">
        <v>1</v>
      </c>
      <c r="U339" t="s">
        <v>75</v>
      </c>
      <c r="V339" t="s">
        <v>68</v>
      </c>
      <c r="W339">
        <v>0</v>
      </c>
      <c r="X339">
        <v>0</v>
      </c>
      <c r="Y339">
        <v>43</v>
      </c>
      <c r="Z339">
        <v>108</v>
      </c>
      <c r="AA339">
        <v>110</v>
      </c>
      <c r="AB339">
        <v>1000</v>
      </c>
      <c r="AC339">
        <v>918</v>
      </c>
      <c r="AD339">
        <v>918</v>
      </c>
      <c r="AE339">
        <v>0</v>
      </c>
      <c r="AF339">
        <v>0</v>
      </c>
      <c r="AG339">
        <v>0</v>
      </c>
      <c r="AH339">
        <v>666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8</v>
      </c>
      <c r="AQ339">
        <v>0</v>
      </c>
      <c r="AR339">
        <v>0</v>
      </c>
      <c r="AS339" t="s">
        <v>59</v>
      </c>
      <c r="AT339">
        <v>1</v>
      </c>
      <c r="AU339" t="s">
        <v>72</v>
      </c>
      <c r="AV339" t="s">
        <v>61</v>
      </c>
      <c r="AW339">
        <v>0</v>
      </c>
      <c r="AX339">
        <v>4</v>
      </c>
      <c r="AY339">
        <v>0</v>
      </c>
      <c r="AZ339">
        <v>0</v>
      </c>
      <c r="BA339">
        <v>100</v>
      </c>
      <c r="BB339">
        <v>100</v>
      </c>
      <c r="BC339">
        <v>100</v>
      </c>
      <c r="BD339">
        <v>100</v>
      </c>
      <c r="BE339">
        <v>1</v>
      </c>
      <c r="BF339">
        <v>15000</v>
      </c>
      <c r="BG339">
        <v>1000</v>
      </c>
      <c r="BH339" s="7">
        <f>ROUND(Wapato_Inventory[[#This Row],[detatched_value]]*Lookups!$B$22*Lookups!$H$48,-2)</f>
        <v>0</v>
      </c>
      <c r="BI339" s="7">
        <f>ROUND(((Wapato_Inventory[[#This Row],[land_extract]]*Lookups!$B$3) +(Lookups!$B$2*0.5))*Lookups!$H$48,-2)</f>
        <v>52500</v>
      </c>
      <c r="BJ339" s="7">
        <f>IF(Wapato_Inventory[[#This Row],[bldg_style]]="",0,Lookups!$B$2*0.5)</f>
        <v>53765.27</v>
      </c>
      <c r="BK339" s="7">
        <f>_xlfn.IFNA(VLOOKUP(Wapato_Inventory[[#This Row],[quality]],Lookups!$H$2:$J$14,3,FALSE),0)</f>
        <v>48043</v>
      </c>
      <c r="BL339" s="7">
        <f>_xlfn.IFNA(VLOOKUP(Wapato_Inventory[[#This Row],[condition]],Lookups!$H$17:$J$24,3,FALSE),0)</f>
        <v>52231</v>
      </c>
      <c r="BM339" s="7">
        <f>Wapato_Inventory[[#This Row],[Age]]*Lookups!$B$16</f>
        <v>-40032.975599999998</v>
      </c>
      <c r="BN339" s="7">
        <f>Wapato_Inventory[[#This Row],[Main Floor]]*Lookups!$B$17</f>
        <v>38373.078401999999</v>
      </c>
      <c r="BO339" s="7">
        <f>Wapato_Inventory[[#This Row],[Upper Floor]]*Lookups!$B$18</f>
        <v>0</v>
      </c>
      <c r="BP339" s="7">
        <f>Wapato_Inventory[[#This Row],[Fin BSMT]]*Lookups!$B$19</f>
        <v>0</v>
      </c>
      <c r="BQ339" s="7">
        <f>(Wapato_Inventory[[#This Row],[att_gar]]+Wapato_Inventory[[#This Row],[blt_gar]])*Lookups!$B$20</f>
        <v>0</v>
      </c>
      <c r="BR339" s="7">
        <f>Wapato_Inventory[[#This Row],[Patio]]*Lookups!$B$21</f>
        <v>0</v>
      </c>
      <c r="BS339" s="7">
        <f>SUM(Wapato_Inventory[[#This Row],[intercept]:[patio_value]])*Wapato_Inventory[[#This Row],[res_pct]]</f>
        <v>152379.37280199997</v>
      </c>
      <c r="BT339" s="7">
        <f>Wapato_Inventory[[#This Row],[land_value]]</f>
        <v>52500</v>
      </c>
      <c r="BU339" s="2">
        <f>_xlfn.IFNA(VLOOKUP(Wapato_Inventory[[#This Row],[quality]],Lookups!$A$28:$C$37,3,FALSE),1)</f>
        <v>0.98196844879778955</v>
      </c>
      <c r="BV339" s="2">
        <f>_xlfn.IFNA(VLOOKUP(Wapato_Inventory[[#This Row],[condition]],Lookups!$A$41:$C$48,3,FALSE),1)</f>
        <v>0.9832333997567807</v>
      </c>
      <c r="BW339" s="2">
        <f>IF(Wapato_Inventory[[#This Row],[decade]]="",1,_xlfn.IFNA(VLOOKUP(Wapato_Inventory[[#This Row],[decade]],Lookups!$F$28:$H$45,3,FALSE),1))</f>
        <v>0.93664589651353292</v>
      </c>
      <c r="BX339" s="2">
        <f>_xlfn.IFNA(VLOOKUP(Wapato_Inventory[[#This Row],[living_area_range]],Lookups!$K$28:$M$37,3,FALSE),1)</f>
        <v>0.99022994770196116</v>
      </c>
      <c r="BY339" s="2">
        <f>AVERAGE(Wapato_Inventory[[#This Row],[qual_adj]:[range_adj]])</f>
        <v>0.97301942319251611</v>
      </c>
      <c r="BZ339" s="7">
        <f>(Wapato_Inventory[[#This Row],[sum_land]]-IF(Wapato_Inventory[[#This Row],[no_utilities]]=1,12000,0))/IF(Wapato_Inventory[[#This Row],[unbuildable]]=1,2,1)</f>
        <v>52500</v>
      </c>
      <c r="CA339" s="7">
        <f>Wapato_Inventory[[#This Row],[pre_res]]*Wapato_Inventory[[#This Row],[overall_adj]]</f>
        <v>148268.0894302394</v>
      </c>
      <c r="CB339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339" s="3">
        <f>IF(ROUND(Wapato_Inventory[[#This Row],[adj_res]]*Lookups!$H$48,-2)&lt;Wapato_Inventory[[#This Row],[min_res]],Wapato_Inventory[[#This Row],[min_res]],ROUND(Wapato_Inventory[[#This Row],[adj_res]]*Lookups!$H$48,-2))</f>
        <v>140900</v>
      </c>
      <c r="CD339" s="3">
        <f>ROUND(Wapato_Inventory[[#This Row],[det_value]]*Lookups!$H$48,-2)</f>
        <v>0</v>
      </c>
      <c r="CE339" s="3">
        <f>Wapato_Inventory[[#This Row],[final_res]]+Wapato_Inventory[[#This Row],[final_det]]</f>
        <v>140900</v>
      </c>
      <c r="CF339" s="3">
        <f>Wapato_Inventory[[#This Row],[crop_value]]+Wapato_Inventory[[#This Row],[final_land]]+Wapato_Inventory[[#This Row],[final_imp]]</f>
        <v>190800</v>
      </c>
      <c r="CH339" t="str">
        <f t="shared" si="5"/>
        <v>update valuation set market_land =49900, market_bldg=140900, market_total =190800, market_mdno =405, market_date ='9/10/2023' where link_id = (select link_id from parcel where parcel_year = '2024' and parcel_id = '19111044483');</v>
      </c>
    </row>
    <row r="340" spans="1:86" x14ac:dyDescent="0.25">
      <c r="A340">
        <v>19111044490</v>
      </c>
      <c r="B340">
        <v>0.15</v>
      </c>
      <c r="C340">
        <v>6453</v>
      </c>
      <c r="D340" t="s">
        <v>144</v>
      </c>
      <c r="E340" t="s">
        <v>54</v>
      </c>
      <c r="F340" t="s">
        <v>54</v>
      </c>
      <c r="G340">
        <v>3</v>
      </c>
      <c r="H340" t="s">
        <v>55</v>
      </c>
      <c r="I340">
        <v>100700</v>
      </c>
      <c r="J340">
        <v>32300</v>
      </c>
      <c r="K340">
        <v>0.15</v>
      </c>
      <c r="L340">
        <f>IF(Wapato_Inventory[[#This Row],[parcel_acres]]-Wapato_Inventory[[#This Row],[non_valued_acres]] =0,0,LN(Wapato_Inventory[[#This Row],[parcel_acres]]-Wapato_Inventory[[#This Row],[non_valued_acres]]))</f>
        <v>-1.8971199848858813</v>
      </c>
      <c r="M340">
        <v>0</v>
      </c>
      <c r="N340">
        <v>0</v>
      </c>
      <c r="O340">
        <v>0</v>
      </c>
      <c r="P340">
        <v>27904.037</v>
      </c>
      <c r="Q340">
        <v>74398</v>
      </c>
      <c r="R340" s="3">
        <f>(Wapato_Inventory[[#This Row],[ln_acres]]*Wapato_Inventory[[#This Row],[coeff]])+Wapato_Inventory[[#This Row],[const]]</f>
        <v>21460.693748304926</v>
      </c>
      <c r="S340" t="s">
        <v>66</v>
      </c>
      <c r="T340">
        <v>1</v>
      </c>
      <c r="U340" t="s">
        <v>78</v>
      </c>
      <c r="V340" t="s">
        <v>68</v>
      </c>
      <c r="W340">
        <v>0</v>
      </c>
      <c r="X340">
        <v>0</v>
      </c>
      <c r="Y340">
        <v>53</v>
      </c>
      <c r="Z340">
        <v>93</v>
      </c>
      <c r="AA340">
        <v>100</v>
      </c>
      <c r="AB340">
        <v>1000</v>
      </c>
      <c r="AC340">
        <v>699</v>
      </c>
      <c r="AD340">
        <v>699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16</v>
      </c>
      <c r="AN340">
        <v>0</v>
      </c>
      <c r="AO340">
        <v>0</v>
      </c>
      <c r="AP340">
        <v>5</v>
      </c>
      <c r="AQ340">
        <v>0</v>
      </c>
      <c r="AR340">
        <v>0</v>
      </c>
      <c r="AS340" t="s">
        <v>59</v>
      </c>
      <c r="AT340">
        <v>1</v>
      </c>
      <c r="AU340" t="s">
        <v>72</v>
      </c>
      <c r="AV340" t="s">
        <v>61</v>
      </c>
      <c r="AW340">
        <v>0</v>
      </c>
      <c r="AX340">
        <v>2</v>
      </c>
      <c r="AY340">
        <v>0</v>
      </c>
      <c r="AZ340">
        <v>0</v>
      </c>
      <c r="BA340">
        <v>100</v>
      </c>
      <c r="BB340">
        <v>100</v>
      </c>
      <c r="BC340">
        <v>100</v>
      </c>
      <c r="BD340">
        <v>100</v>
      </c>
      <c r="BE340">
        <v>1</v>
      </c>
      <c r="BF340">
        <v>15000</v>
      </c>
      <c r="BG340">
        <v>1000</v>
      </c>
      <c r="BH340" s="7">
        <f>ROUND(Wapato_Inventory[[#This Row],[detatched_value]]*Lookups!$B$22*Lookups!$H$48,-2)</f>
        <v>0</v>
      </c>
      <c r="BI340" s="7">
        <f>ROUND(((Wapato_Inventory[[#This Row],[land_extract]]*Lookups!$B$3) +(Lookups!$B$2*0.5))*Lookups!$H$48,-2)</f>
        <v>53100</v>
      </c>
      <c r="BJ340" s="7">
        <f>IF(Wapato_Inventory[[#This Row],[bldg_style]]="",0,Lookups!$B$2*0.5)</f>
        <v>53765.27</v>
      </c>
      <c r="BK340" s="7">
        <f>_xlfn.IFNA(VLOOKUP(Wapato_Inventory[[#This Row],[quality]],Lookups!$H$2:$J$14,3,FALSE),0)</f>
        <v>23424</v>
      </c>
      <c r="BL340" s="7">
        <f>_xlfn.IFNA(VLOOKUP(Wapato_Inventory[[#This Row],[condition]],Lookups!$H$17:$J$24,3,FALSE),0)</f>
        <v>52231</v>
      </c>
      <c r="BM340" s="7">
        <f>Wapato_Inventory[[#This Row],[Age]]*Lookups!$B$16</f>
        <v>-34472.840100000001</v>
      </c>
      <c r="BN340" s="7">
        <f>Wapato_Inventory[[#This Row],[Main Floor]]*Lookups!$B$17</f>
        <v>29218.716561000001</v>
      </c>
      <c r="BO340" s="7">
        <f>Wapato_Inventory[[#This Row],[Upper Floor]]*Lookups!$B$18</f>
        <v>0</v>
      </c>
      <c r="BP340" s="7">
        <f>Wapato_Inventory[[#This Row],[Fin BSMT]]*Lookups!$B$19</f>
        <v>0</v>
      </c>
      <c r="BQ340" s="7">
        <f>(Wapato_Inventory[[#This Row],[att_gar]]+Wapato_Inventory[[#This Row],[blt_gar]])*Lookups!$B$20</f>
        <v>0</v>
      </c>
      <c r="BR340" s="7">
        <f>Wapato_Inventory[[#This Row],[Patio]]*Lookups!$B$21</f>
        <v>693.18366400000002</v>
      </c>
      <c r="BS340" s="7">
        <f>SUM(Wapato_Inventory[[#This Row],[intercept]:[patio_value]])*Wapato_Inventory[[#This Row],[res_pct]]</f>
        <v>124859.33012499999</v>
      </c>
      <c r="BT340" s="7">
        <f>Wapato_Inventory[[#This Row],[land_value]]</f>
        <v>53100</v>
      </c>
      <c r="BU340" s="2">
        <f>_xlfn.IFNA(VLOOKUP(Wapato_Inventory[[#This Row],[quality]],Lookups!$A$28:$C$37,3,FALSE),1)</f>
        <v>1.0091195562373767</v>
      </c>
      <c r="BV340" s="2">
        <f>_xlfn.IFNA(VLOOKUP(Wapato_Inventory[[#This Row],[condition]],Lookups!$A$41:$C$48,3,FALSE),1)</f>
        <v>0.9832333997567807</v>
      </c>
      <c r="BW340" s="2">
        <f>IF(Wapato_Inventory[[#This Row],[decade]]="",1,_xlfn.IFNA(VLOOKUP(Wapato_Inventory[[#This Row],[decade]],Lookups!$F$28:$H$45,3,FALSE),1))</f>
        <v>1.0114203040664467</v>
      </c>
      <c r="BX340" s="2">
        <f>_xlfn.IFNA(VLOOKUP(Wapato_Inventory[[#This Row],[living_area_range]],Lookups!$K$28:$M$37,3,FALSE),1)</f>
        <v>0.99022994770196116</v>
      </c>
      <c r="BY340" s="2">
        <f>AVERAGE(Wapato_Inventory[[#This Row],[qual_adj]:[range_adj]])</f>
        <v>0.99850080194064128</v>
      </c>
      <c r="BZ340" s="7">
        <f>(Wapato_Inventory[[#This Row],[sum_land]]-IF(Wapato_Inventory[[#This Row],[no_utilities]]=1,12000,0))/IF(Wapato_Inventory[[#This Row],[unbuildable]]=1,2,1)</f>
        <v>53100</v>
      </c>
      <c r="CA340" s="7">
        <f>Wapato_Inventory[[#This Row],[pre_res]]*Wapato_Inventory[[#This Row],[overall_adj]]</f>
        <v>124672.14125958376</v>
      </c>
      <c r="CB34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40" s="3">
        <f>IF(ROUND(Wapato_Inventory[[#This Row],[adj_res]]*Lookups!$H$48,-2)&lt;Wapato_Inventory[[#This Row],[min_res]],Wapato_Inventory[[#This Row],[min_res]],ROUND(Wapato_Inventory[[#This Row],[adj_res]]*Lookups!$H$48,-2))</f>
        <v>118400</v>
      </c>
      <c r="CD340" s="3">
        <f>ROUND(Wapato_Inventory[[#This Row],[det_value]]*Lookups!$H$48,-2)</f>
        <v>0</v>
      </c>
      <c r="CE340" s="3">
        <f>Wapato_Inventory[[#This Row],[final_res]]+Wapato_Inventory[[#This Row],[final_det]]</f>
        <v>118400</v>
      </c>
      <c r="CF340" s="3">
        <f>Wapato_Inventory[[#This Row],[crop_value]]+Wapato_Inventory[[#This Row],[final_land]]+Wapato_Inventory[[#This Row],[final_imp]]</f>
        <v>168800</v>
      </c>
      <c r="CH340" t="str">
        <f t="shared" si="5"/>
        <v>update valuation set market_land =50400, market_bldg=118400, market_total =168800, market_mdno =405, market_date ='9/10/2023' where link_id = (select link_id from parcel where parcel_year = '2024' and parcel_id = '19111044490');</v>
      </c>
    </row>
    <row r="341" spans="1:86" x14ac:dyDescent="0.25">
      <c r="A341">
        <v>19111044491</v>
      </c>
      <c r="B341">
        <v>0.15</v>
      </c>
      <c r="C341">
        <v>6340</v>
      </c>
      <c r="D341" t="s">
        <v>144</v>
      </c>
      <c r="E341" t="s">
        <v>54</v>
      </c>
      <c r="F341" t="s">
        <v>54</v>
      </c>
      <c r="G341">
        <v>3</v>
      </c>
      <c r="H341" t="s">
        <v>55</v>
      </c>
      <c r="I341">
        <v>188600</v>
      </c>
      <c r="J341">
        <v>32300</v>
      </c>
      <c r="K341">
        <v>0.15</v>
      </c>
      <c r="L341">
        <f>IF(Wapato_Inventory[[#This Row],[parcel_acres]]-Wapato_Inventory[[#This Row],[non_valued_acres]] =0,0,LN(Wapato_Inventory[[#This Row],[parcel_acres]]-Wapato_Inventory[[#This Row],[non_valued_acres]]))</f>
        <v>-1.8971199848858813</v>
      </c>
      <c r="M341">
        <v>0</v>
      </c>
      <c r="N341">
        <v>0</v>
      </c>
      <c r="O341">
        <v>0</v>
      </c>
      <c r="P341">
        <v>27904.037</v>
      </c>
      <c r="Q341">
        <v>74398</v>
      </c>
      <c r="R341" s="3">
        <f>(Wapato_Inventory[[#This Row],[ln_acres]]*Wapato_Inventory[[#This Row],[coeff]])+Wapato_Inventory[[#This Row],[const]]</f>
        <v>21460.693748304926</v>
      </c>
      <c r="S341" t="s">
        <v>62</v>
      </c>
      <c r="T341">
        <v>1</v>
      </c>
      <c r="U341" t="s">
        <v>75</v>
      </c>
      <c r="V341" t="s">
        <v>68</v>
      </c>
      <c r="W341">
        <v>0</v>
      </c>
      <c r="X341">
        <v>0</v>
      </c>
      <c r="Y341">
        <v>48</v>
      </c>
      <c r="Z341">
        <v>61</v>
      </c>
      <c r="AA341">
        <v>70</v>
      </c>
      <c r="AB341">
        <v>1000</v>
      </c>
      <c r="AC341">
        <v>840</v>
      </c>
      <c r="AD341">
        <v>840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248</v>
      </c>
      <c r="AL341">
        <v>0</v>
      </c>
      <c r="AM341">
        <v>140</v>
      </c>
      <c r="AN341">
        <v>0</v>
      </c>
      <c r="AO341">
        <v>140</v>
      </c>
      <c r="AP341">
        <v>5</v>
      </c>
      <c r="AQ341">
        <v>0</v>
      </c>
      <c r="AR341">
        <v>1</v>
      </c>
      <c r="AS341" t="s">
        <v>59</v>
      </c>
      <c r="AT341">
        <v>1</v>
      </c>
      <c r="AU341" t="s">
        <v>64</v>
      </c>
      <c r="AV341" t="s">
        <v>61</v>
      </c>
      <c r="AW341">
        <v>0</v>
      </c>
      <c r="AX341">
        <v>2</v>
      </c>
      <c r="AY341">
        <v>0</v>
      </c>
      <c r="AZ341">
        <v>8500</v>
      </c>
      <c r="BA341">
        <v>100</v>
      </c>
      <c r="BB341">
        <v>100</v>
      </c>
      <c r="BC341">
        <v>100</v>
      </c>
      <c r="BD341">
        <v>100</v>
      </c>
      <c r="BE341">
        <v>1</v>
      </c>
      <c r="BF341">
        <v>15000</v>
      </c>
      <c r="BG341">
        <v>1000</v>
      </c>
      <c r="BH341" s="7">
        <f>ROUND(Wapato_Inventory[[#This Row],[detatched_value]]*Lookups!$B$22*Lookups!$H$48,-2)</f>
        <v>7600</v>
      </c>
      <c r="BI341" s="7">
        <f>ROUND(((Wapato_Inventory[[#This Row],[land_extract]]*Lookups!$B$3) +(Lookups!$B$2*0.5))*Lookups!$H$48,-2)</f>
        <v>53100</v>
      </c>
      <c r="BJ341" s="7">
        <f>IF(Wapato_Inventory[[#This Row],[bldg_style]]="",0,Lookups!$B$2*0.5)</f>
        <v>53765.27</v>
      </c>
      <c r="BK341" s="7">
        <f>_xlfn.IFNA(VLOOKUP(Wapato_Inventory[[#This Row],[quality]],Lookups!$H$2:$J$14,3,FALSE),0)</f>
        <v>48043</v>
      </c>
      <c r="BL341" s="7">
        <f>_xlfn.IFNA(VLOOKUP(Wapato_Inventory[[#This Row],[condition]],Lookups!$H$17:$J$24,3,FALSE),0)</f>
        <v>52231</v>
      </c>
      <c r="BM341" s="7">
        <f>Wapato_Inventory[[#This Row],[Age]]*Lookups!$B$16</f>
        <v>-22611.217700000001</v>
      </c>
      <c r="BN341" s="7">
        <f>Wapato_Inventory[[#This Row],[Main Floor]]*Lookups!$B$17</f>
        <v>35112.620759999998</v>
      </c>
      <c r="BO341" s="7">
        <f>Wapato_Inventory[[#This Row],[Upper Floor]]*Lookups!$B$18</f>
        <v>0</v>
      </c>
      <c r="BP341" s="7">
        <f>Wapato_Inventory[[#This Row],[Fin BSMT]]*Lookups!$B$19</f>
        <v>0</v>
      </c>
      <c r="BQ341" s="7">
        <f>(Wapato_Inventory[[#This Row],[att_gar]]+Wapato_Inventory[[#This Row],[blt_gar]])*Lookups!$B$20</f>
        <v>0</v>
      </c>
      <c r="BR341" s="7">
        <f>Wapato_Inventory[[#This Row],[Patio]]*Lookups!$B$21</f>
        <v>6065.3570600000003</v>
      </c>
      <c r="BS341" s="7">
        <f>SUM(Wapato_Inventory[[#This Row],[intercept]:[patio_value]])*Wapato_Inventory[[#This Row],[res_pct]]</f>
        <v>172606.03011999998</v>
      </c>
      <c r="BT341" s="7">
        <f>Wapato_Inventory[[#This Row],[land_value]]</f>
        <v>53100</v>
      </c>
      <c r="BU341" s="2">
        <f>_xlfn.IFNA(VLOOKUP(Wapato_Inventory[[#This Row],[quality]],Lookups!$A$28:$C$37,3,FALSE),1)</f>
        <v>0.98196844879778955</v>
      </c>
      <c r="BV341" s="2">
        <f>_xlfn.IFNA(VLOOKUP(Wapato_Inventory[[#This Row],[condition]],Lookups!$A$41:$C$48,3,FALSE),1)</f>
        <v>0.9832333997567807</v>
      </c>
      <c r="BW341" s="2">
        <f>IF(Wapato_Inventory[[#This Row],[decade]]="",1,_xlfn.IFNA(VLOOKUP(Wapato_Inventory[[#This Row],[decade]],Lookups!$F$28:$H$45,3,FALSE),1))</f>
        <v>1.0012715221492001</v>
      </c>
      <c r="BX341" s="2">
        <f>_xlfn.IFNA(VLOOKUP(Wapato_Inventory[[#This Row],[living_area_range]],Lookups!$K$28:$M$37,3,FALSE),1)</f>
        <v>0.99022994770196116</v>
      </c>
      <c r="BY341" s="2">
        <f>AVERAGE(Wapato_Inventory[[#This Row],[qual_adj]:[range_adj]])</f>
        <v>0.98917582960143291</v>
      </c>
      <c r="BZ341" s="7">
        <f>(Wapato_Inventory[[#This Row],[sum_land]]-IF(Wapato_Inventory[[#This Row],[no_utilities]]=1,12000,0))/IF(Wapato_Inventory[[#This Row],[unbuildable]]=1,2,1)</f>
        <v>53100</v>
      </c>
      <c r="CA341" s="7">
        <f>Wapato_Inventory[[#This Row],[pre_res]]*Wapato_Inventory[[#This Row],[overall_adj]]</f>
        <v>170737.7130381609</v>
      </c>
      <c r="CB34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41" s="3">
        <f>IF(ROUND(Wapato_Inventory[[#This Row],[adj_res]]*Lookups!$H$48,-2)&lt;Wapato_Inventory[[#This Row],[min_res]],Wapato_Inventory[[#This Row],[min_res]],ROUND(Wapato_Inventory[[#This Row],[adj_res]]*Lookups!$H$48,-2))</f>
        <v>162200</v>
      </c>
      <c r="CD341" s="3">
        <f>ROUND(Wapato_Inventory[[#This Row],[det_value]]*Lookups!$H$48,-2)</f>
        <v>7200</v>
      </c>
      <c r="CE341" s="3">
        <f>Wapato_Inventory[[#This Row],[final_res]]+Wapato_Inventory[[#This Row],[final_det]]</f>
        <v>169400</v>
      </c>
      <c r="CF341" s="3">
        <f>Wapato_Inventory[[#This Row],[crop_value]]+Wapato_Inventory[[#This Row],[final_land]]+Wapato_Inventory[[#This Row],[final_imp]]</f>
        <v>219800</v>
      </c>
      <c r="CH341" t="str">
        <f t="shared" si="5"/>
        <v>update valuation set market_land =50400, market_bldg=169400, market_total =219800, market_mdno =405, market_date ='9/10/2023' where link_id = (select link_id from parcel where parcel_year = '2024' and parcel_id = '19111044491');</v>
      </c>
    </row>
    <row r="342" spans="1:86" x14ac:dyDescent="0.25">
      <c r="A342">
        <v>19111044494</v>
      </c>
      <c r="B342">
        <v>0.18</v>
      </c>
      <c r="C342">
        <v>4011</v>
      </c>
      <c r="D342" t="s">
        <v>144</v>
      </c>
      <c r="E342" t="s">
        <v>54</v>
      </c>
      <c r="F342" t="s">
        <v>54</v>
      </c>
      <c r="G342">
        <v>3</v>
      </c>
      <c r="H342" t="s">
        <v>55</v>
      </c>
      <c r="I342">
        <v>79500</v>
      </c>
      <c r="J342">
        <v>28700</v>
      </c>
      <c r="K342">
        <v>0.18</v>
      </c>
      <c r="L342">
        <f>IF(Wapato_Inventory[[#This Row],[parcel_acres]]-Wapato_Inventory[[#This Row],[non_valued_acres]] =0,0,LN(Wapato_Inventory[[#This Row],[parcel_acres]]-Wapato_Inventory[[#This Row],[non_valued_acres]]))</f>
        <v>-1.7147984280919266</v>
      </c>
      <c r="M342">
        <v>0</v>
      </c>
      <c r="N342">
        <v>0</v>
      </c>
      <c r="O342">
        <v>0</v>
      </c>
      <c r="P342">
        <v>27904.037</v>
      </c>
      <c r="Q342">
        <v>74398</v>
      </c>
      <c r="R342" s="3">
        <f>(Wapato_Inventory[[#This Row],[ln_acres]]*Wapato_Inventory[[#This Row],[coeff]])+Wapato_Inventory[[#This Row],[const]]</f>
        <v>26548.20121498104</v>
      </c>
      <c r="S342" t="s">
        <v>66</v>
      </c>
      <c r="T342">
        <v>1</v>
      </c>
      <c r="U342" t="s">
        <v>78</v>
      </c>
      <c r="V342" t="s">
        <v>73</v>
      </c>
      <c r="W342">
        <v>0</v>
      </c>
      <c r="X342">
        <v>0</v>
      </c>
      <c r="Y342">
        <v>53</v>
      </c>
      <c r="Z342">
        <v>93</v>
      </c>
      <c r="AA342">
        <v>100</v>
      </c>
      <c r="AB342">
        <v>1000</v>
      </c>
      <c r="AC342">
        <v>720</v>
      </c>
      <c r="AD342">
        <v>720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5</v>
      </c>
      <c r="AQ342">
        <v>0</v>
      </c>
      <c r="AR342">
        <v>0</v>
      </c>
      <c r="AS342" t="s">
        <v>59</v>
      </c>
      <c r="AT342">
        <v>1</v>
      </c>
      <c r="AU342" t="s">
        <v>72</v>
      </c>
      <c r="AV342" t="s">
        <v>61</v>
      </c>
      <c r="AW342">
        <v>0</v>
      </c>
      <c r="AX342">
        <v>2</v>
      </c>
      <c r="AY342">
        <v>0</v>
      </c>
      <c r="AZ342">
        <v>13900</v>
      </c>
      <c r="BA342">
        <v>100</v>
      </c>
      <c r="BB342">
        <v>100</v>
      </c>
      <c r="BC342">
        <v>100</v>
      </c>
      <c r="BD342">
        <v>100</v>
      </c>
      <c r="BE342">
        <v>1</v>
      </c>
      <c r="BF342">
        <v>15000</v>
      </c>
      <c r="BG342">
        <v>1000</v>
      </c>
      <c r="BH342" s="7">
        <f>ROUND(Wapato_Inventory[[#This Row],[detatched_value]]*Lookups!$B$22*Lookups!$H$48,-2)</f>
        <v>12400</v>
      </c>
      <c r="BI342" s="7">
        <f>ROUND(((Wapato_Inventory[[#This Row],[land_extract]]*Lookups!$B$3) +(Lookups!$B$2*0.5))*Lookups!$H$48,-2)</f>
        <v>53600</v>
      </c>
      <c r="BJ342" s="7">
        <f>IF(Wapato_Inventory[[#This Row],[bldg_style]]="",0,Lookups!$B$2*0.5)</f>
        <v>53765.27</v>
      </c>
      <c r="BK342" s="7">
        <f>_xlfn.IFNA(VLOOKUP(Wapato_Inventory[[#This Row],[quality]],Lookups!$H$2:$J$14,3,FALSE),0)</f>
        <v>23424</v>
      </c>
      <c r="BL342" s="7">
        <f>_xlfn.IFNA(VLOOKUP(Wapato_Inventory[[#This Row],[condition]],Lookups!$H$17:$J$24,3,FALSE),0)</f>
        <v>16276</v>
      </c>
      <c r="BM342" s="7">
        <f>Wapato_Inventory[[#This Row],[Age]]*Lookups!$B$16</f>
        <v>-34472.840100000001</v>
      </c>
      <c r="BN342" s="7">
        <f>Wapato_Inventory[[#This Row],[Main Floor]]*Lookups!$B$17</f>
        <v>30096.532080000001</v>
      </c>
      <c r="BO342" s="7">
        <f>Wapato_Inventory[[#This Row],[Upper Floor]]*Lookups!$B$18</f>
        <v>0</v>
      </c>
      <c r="BP342" s="7">
        <f>Wapato_Inventory[[#This Row],[Fin BSMT]]*Lookups!$B$19</f>
        <v>0</v>
      </c>
      <c r="BQ342" s="7">
        <f>(Wapato_Inventory[[#This Row],[att_gar]]+Wapato_Inventory[[#This Row],[blt_gar]])*Lookups!$B$20</f>
        <v>0</v>
      </c>
      <c r="BR342" s="7">
        <f>Wapato_Inventory[[#This Row],[Patio]]*Lookups!$B$21</f>
        <v>0</v>
      </c>
      <c r="BS342" s="7">
        <f>SUM(Wapato_Inventory[[#This Row],[intercept]:[patio_value]])*Wapato_Inventory[[#This Row],[res_pct]]</f>
        <v>89088.961979999993</v>
      </c>
      <c r="BT342" s="7">
        <f>Wapato_Inventory[[#This Row],[land_value]]</f>
        <v>53600</v>
      </c>
      <c r="BU342" s="2">
        <f>_xlfn.IFNA(VLOOKUP(Wapato_Inventory[[#This Row],[quality]],Lookups!$A$28:$C$37,3,FALSE),1)</f>
        <v>1.0091195562373767</v>
      </c>
      <c r="BV342" s="2">
        <f>_xlfn.IFNA(VLOOKUP(Wapato_Inventory[[#This Row],[condition]],Lookups!$A$41:$C$48,3,FALSE),1)</f>
        <v>0.93399385491337139</v>
      </c>
      <c r="BW342" s="2">
        <f>IF(Wapato_Inventory[[#This Row],[decade]]="",1,_xlfn.IFNA(VLOOKUP(Wapato_Inventory[[#This Row],[decade]],Lookups!$F$28:$H$45,3,FALSE),1))</f>
        <v>1.0114203040664467</v>
      </c>
      <c r="BX342" s="2">
        <f>_xlfn.IFNA(VLOOKUP(Wapato_Inventory[[#This Row],[living_area_range]],Lookups!$K$28:$M$37,3,FALSE),1)</f>
        <v>0.99022994770196116</v>
      </c>
      <c r="BY342" s="2">
        <f>AVERAGE(Wapato_Inventory[[#This Row],[qual_adj]:[range_adj]])</f>
        <v>0.9861909157297889</v>
      </c>
      <c r="BZ342" s="7">
        <f>(Wapato_Inventory[[#This Row],[sum_land]]-IF(Wapato_Inventory[[#This Row],[no_utilities]]=1,12000,0))/IF(Wapato_Inventory[[#This Row],[unbuildable]]=1,2,1)</f>
        <v>53600</v>
      </c>
      <c r="CA342" s="7">
        <f>Wapato_Inventory[[#This Row],[pre_res]]*Wapato_Inventory[[#This Row],[overall_adj]]</f>
        <v>87858.724996472534</v>
      </c>
      <c r="CB342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42" s="3">
        <f>IF(ROUND(Wapato_Inventory[[#This Row],[adj_res]]*Lookups!$H$48,-2)&lt;Wapato_Inventory[[#This Row],[min_res]],Wapato_Inventory[[#This Row],[min_res]],ROUND(Wapato_Inventory[[#This Row],[adj_res]]*Lookups!$H$48,-2))</f>
        <v>83500</v>
      </c>
      <c r="CD342" s="3">
        <f>ROUND(Wapato_Inventory[[#This Row],[det_value]]*Lookups!$H$48,-2)</f>
        <v>11800</v>
      </c>
      <c r="CE342" s="3">
        <f>Wapato_Inventory[[#This Row],[final_res]]+Wapato_Inventory[[#This Row],[final_det]]</f>
        <v>95300</v>
      </c>
      <c r="CF342" s="3">
        <f>Wapato_Inventory[[#This Row],[crop_value]]+Wapato_Inventory[[#This Row],[final_land]]+Wapato_Inventory[[#This Row],[final_imp]]</f>
        <v>146200</v>
      </c>
      <c r="CH342" t="str">
        <f t="shared" si="5"/>
        <v>update valuation set market_land =50900, market_bldg=95300, market_total =146200, market_mdno =405, market_date ='9/10/2023' where link_id = (select link_id from parcel where parcel_year = '2024' and parcel_id = '19111044494');</v>
      </c>
    </row>
    <row r="343" spans="1:86" x14ac:dyDescent="0.25">
      <c r="A343">
        <v>19111133005</v>
      </c>
      <c r="B343">
        <v>0.14000000000000001</v>
      </c>
      <c r="C343">
        <v>5977</v>
      </c>
      <c r="D343" t="s">
        <v>144</v>
      </c>
      <c r="E343" t="s">
        <v>54</v>
      </c>
      <c r="F343" t="s">
        <v>54</v>
      </c>
      <c r="G343">
        <v>3</v>
      </c>
      <c r="H343" t="s">
        <v>55</v>
      </c>
      <c r="I343">
        <v>0</v>
      </c>
      <c r="J343">
        <v>31900</v>
      </c>
      <c r="K343">
        <v>0.14000000000000001</v>
      </c>
      <c r="L343">
        <f>IF(Wapato_Inventory[[#This Row],[parcel_acres]]-Wapato_Inventory[[#This Row],[non_valued_acres]] =0,0,LN(Wapato_Inventory[[#This Row],[parcel_acres]]-Wapato_Inventory[[#This Row],[non_valued_acres]]))</f>
        <v>-1.9661128563728327</v>
      </c>
      <c r="M343">
        <v>0</v>
      </c>
      <c r="N343">
        <v>0</v>
      </c>
      <c r="O343">
        <v>0</v>
      </c>
      <c r="P343">
        <v>27904.037</v>
      </c>
      <c r="Q343">
        <v>74398</v>
      </c>
      <c r="R343" s="3">
        <f>(Wapato_Inventory[[#This Row],[ln_acres]]*Wapato_Inventory[[#This Row],[coeff]])+Wapato_Inventory[[#This Row],[const]]</f>
        <v>19535.514109596792</v>
      </c>
      <c r="S343" t="s">
        <v>62</v>
      </c>
      <c r="T343">
        <v>1</v>
      </c>
      <c r="U343" t="s">
        <v>71</v>
      </c>
      <c r="V343" t="s">
        <v>110</v>
      </c>
      <c r="W343">
        <v>0</v>
      </c>
      <c r="X343">
        <v>0</v>
      </c>
      <c r="Y343">
        <v>48</v>
      </c>
      <c r="Z343">
        <v>63</v>
      </c>
      <c r="AA343">
        <v>70</v>
      </c>
      <c r="AB343">
        <v>1500</v>
      </c>
      <c r="AC343">
        <v>1040</v>
      </c>
      <c r="AD343">
        <v>1040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441</v>
      </c>
      <c r="AN343">
        <v>0</v>
      </c>
      <c r="AO343">
        <v>0</v>
      </c>
      <c r="AP343">
        <v>7</v>
      </c>
      <c r="AQ343">
        <v>0</v>
      </c>
      <c r="AR343">
        <v>0</v>
      </c>
      <c r="AS343" t="s">
        <v>59</v>
      </c>
      <c r="AT343">
        <v>1</v>
      </c>
      <c r="AU343" t="s">
        <v>72</v>
      </c>
      <c r="AV343" t="s">
        <v>61</v>
      </c>
      <c r="AW343">
        <v>0</v>
      </c>
      <c r="AX343">
        <v>3</v>
      </c>
      <c r="AY343">
        <v>0</v>
      </c>
      <c r="AZ343">
        <v>0</v>
      </c>
      <c r="BA343">
        <v>100</v>
      </c>
      <c r="BB343">
        <v>100</v>
      </c>
      <c r="BC343">
        <v>100</v>
      </c>
      <c r="BD343">
        <v>100</v>
      </c>
      <c r="BE343">
        <v>0</v>
      </c>
      <c r="BF343">
        <v>15000</v>
      </c>
      <c r="BG343">
        <v>0</v>
      </c>
      <c r="BH343" s="7">
        <f>ROUND(Wapato_Inventory[[#This Row],[detatched_value]]*Lookups!$B$22*Lookups!$H$48,-2)</f>
        <v>0</v>
      </c>
      <c r="BI343" s="7">
        <f>ROUND(((Wapato_Inventory[[#This Row],[land_extract]]*Lookups!$B$3) +(Lookups!$B$2*0.5))*Lookups!$H$48,-2)</f>
        <v>53000</v>
      </c>
      <c r="BJ343" s="7">
        <f>IF(Wapato_Inventory[[#This Row],[bldg_style]]="",0,Lookups!$B$2*0.5)</f>
        <v>53765.27</v>
      </c>
      <c r="BK343" s="7">
        <f>_xlfn.IFNA(VLOOKUP(Wapato_Inventory[[#This Row],[quality]],Lookups!$H$2:$J$14,3,FALSE),0)</f>
        <v>28034</v>
      </c>
      <c r="BL343" s="7">
        <f>_xlfn.IFNA(VLOOKUP(Wapato_Inventory[[#This Row],[condition]],Lookups!$H$17:$J$24,3,FALSE),0)</f>
        <v>-49363</v>
      </c>
      <c r="BM343" s="7">
        <f>Wapato_Inventory[[#This Row],[Age]]*Lookups!$B$16</f>
        <v>-23352.569100000001</v>
      </c>
      <c r="BN343" s="7">
        <f>Wapato_Inventory[[#This Row],[Main Floor]]*Lookups!$B$17</f>
        <v>43472.768559999997</v>
      </c>
      <c r="BO343" s="7">
        <f>Wapato_Inventory[[#This Row],[Upper Floor]]*Lookups!$B$18</f>
        <v>0</v>
      </c>
      <c r="BP343" s="7">
        <f>Wapato_Inventory[[#This Row],[Fin BSMT]]*Lookups!$B$19</f>
        <v>0</v>
      </c>
      <c r="BQ343" s="7">
        <f>(Wapato_Inventory[[#This Row],[att_gar]]+Wapato_Inventory[[#This Row],[blt_gar]])*Lookups!$B$20</f>
        <v>0</v>
      </c>
      <c r="BR343" s="7">
        <f>Wapato_Inventory[[#This Row],[Patio]]*Lookups!$B$21</f>
        <v>19105.874738999999</v>
      </c>
      <c r="BS343" s="7">
        <f>SUM(Wapato_Inventory[[#This Row],[intercept]:[patio_value]])*Wapato_Inventory[[#This Row],[res_pct]]</f>
        <v>0</v>
      </c>
      <c r="BT343" s="7">
        <f>Wapato_Inventory[[#This Row],[land_value]]</f>
        <v>53000</v>
      </c>
      <c r="BU343" s="2">
        <f>_xlfn.IFNA(VLOOKUP(Wapato_Inventory[[#This Row],[quality]],Lookups!$A$28:$C$37,3,FALSE),1)</f>
        <v>0.96265813922927435</v>
      </c>
      <c r="BV343" s="2">
        <f>_xlfn.IFNA(VLOOKUP(Wapato_Inventory[[#This Row],[condition]],Lookups!$A$41:$C$48,3,FALSE),1)</f>
        <v>0</v>
      </c>
      <c r="BW343" s="2">
        <f>IF(Wapato_Inventory[[#This Row],[decade]]="",1,_xlfn.IFNA(VLOOKUP(Wapato_Inventory[[#This Row],[decade]],Lookups!$F$28:$H$45,3,FALSE),1))</f>
        <v>1.0012715221492001</v>
      </c>
      <c r="BX343" s="2">
        <f>_xlfn.IFNA(VLOOKUP(Wapato_Inventory[[#This Row],[living_area_range]],Lookups!$K$28:$M$37,3,FALSE),1)</f>
        <v>1.0061411172456287</v>
      </c>
      <c r="BY343" s="2">
        <f>AVERAGE(Wapato_Inventory[[#This Row],[qual_adj]:[range_adj]])</f>
        <v>0.7425176946560258</v>
      </c>
      <c r="BZ343" s="7">
        <f>(Wapato_Inventory[[#This Row],[sum_land]]-IF(Wapato_Inventory[[#This Row],[no_utilities]]=1,12000,0))/IF(Wapato_Inventory[[#This Row],[unbuildable]]=1,2,1)</f>
        <v>53000</v>
      </c>
      <c r="CA343" s="7">
        <f>Wapato_Inventory[[#This Row],[pre_res]]*Wapato_Inventory[[#This Row],[overall_adj]]</f>
        <v>0</v>
      </c>
      <c r="CB34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4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343" s="3">
        <f>ROUND(Wapato_Inventory[[#This Row],[det_value]]*Lookups!$H$48,-2)</f>
        <v>0</v>
      </c>
      <c r="CE343" s="3">
        <f>Wapato_Inventory[[#This Row],[final_res]]+Wapato_Inventory[[#This Row],[final_det]]</f>
        <v>0</v>
      </c>
      <c r="CF343" s="3">
        <f>Wapato_Inventory[[#This Row],[crop_value]]+Wapato_Inventory[[#This Row],[final_land]]+Wapato_Inventory[[#This Row],[final_imp]]</f>
        <v>50400</v>
      </c>
      <c r="CH343" t="str">
        <f t="shared" si="5"/>
        <v>update valuation set market_land =50400, market_bldg=0, market_total =50400, market_mdno =405, market_date ='9/10/2023' where link_id = (select link_id from parcel where parcel_year = '2024' and parcel_id = '19111133005');</v>
      </c>
    </row>
    <row r="344" spans="1:86" x14ac:dyDescent="0.25">
      <c r="A344">
        <v>19111133400</v>
      </c>
      <c r="B344">
        <v>0.13</v>
      </c>
      <c r="C344">
        <v>5510</v>
      </c>
      <c r="D344" t="s">
        <v>144</v>
      </c>
      <c r="E344" t="s">
        <v>54</v>
      </c>
      <c r="F344" t="s">
        <v>54</v>
      </c>
      <c r="G344">
        <v>3</v>
      </c>
      <c r="H344" t="s">
        <v>55</v>
      </c>
      <c r="I344">
        <v>180400</v>
      </c>
      <c r="J344">
        <v>31400</v>
      </c>
      <c r="K344">
        <v>0.13</v>
      </c>
      <c r="L344">
        <f>IF(Wapato_Inventory[[#This Row],[parcel_acres]]-Wapato_Inventory[[#This Row],[non_valued_acres]] =0,0,LN(Wapato_Inventory[[#This Row],[parcel_acres]]-Wapato_Inventory[[#This Row],[non_valued_acres]]))</f>
        <v>-2.0402208285265546</v>
      </c>
      <c r="M344">
        <v>0</v>
      </c>
      <c r="N344">
        <v>0</v>
      </c>
      <c r="O344">
        <v>0</v>
      </c>
      <c r="P344">
        <v>27904.037</v>
      </c>
      <c r="Q344">
        <v>74398</v>
      </c>
      <c r="R344" s="3">
        <f>(Wapato_Inventory[[#This Row],[ln_acres]]*Wapato_Inventory[[#This Row],[coeff]])+Wapato_Inventory[[#This Row],[const]]</f>
        <v>17467.602512624362</v>
      </c>
      <c r="S344" t="s">
        <v>62</v>
      </c>
      <c r="T344">
        <v>1</v>
      </c>
      <c r="U344" t="s">
        <v>75</v>
      </c>
      <c r="V344" t="s">
        <v>68</v>
      </c>
      <c r="W344">
        <v>0</v>
      </c>
      <c r="X344">
        <v>0</v>
      </c>
      <c r="Y344">
        <v>45</v>
      </c>
      <c r="Z344">
        <v>52</v>
      </c>
      <c r="AA344">
        <v>60</v>
      </c>
      <c r="AB344">
        <v>1500</v>
      </c>
      <c r="AC344">
        <v>1300</v>
      </c>
      <c r="AD344">
        <v>1300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288</v>
      </c>
      <c r="AL344">
        <v>0</v>
      </c>
      <c r="AM344">
        <v>0</v>
      </c>
      <c r="AN344">
        <v>0</v>
      </c>
      <c r="AO344">
        <v>0</v>
      </c>
      <c r="AP344">
        <v>5</v>
      </c>
      <c r="AQ344">
        <v>0</v>
      </c>
      <c r="AR344">
        <v>0</v>
      </c>
      <c r="AS344" t="s">
        <v>59</v>
      </c>
      <c r="AT344">
        <v>1</v>
      </c>
      <c r="AU344" t="s">
        <v>148</v>
      </c>
      <c r="AV344" t="s">
        <v>61</v>
      </c>
      <c r="AW344">
        <v>1</v>
      </c>
      <c r="AX344">
        <v>3</v>
      </c>
      <c r="AY344">
        <v>0</v>
      </c>
      <c r="AZ344">
        <v>0</v>
      </c>
      <c r="BA344">
        <v>100</v>
      </c>
      <c r="BB344">
        <v>100</v>
      </c>
      <c r="BC344">
        <v>100</v>
      </c>
      <c r="BD344">
        <v>100</v>
      </c>
      <c r="BE344">
        <v>1</v>
      </c>
      <c r="BF344">
        <v>15000</v>
      </c>
      <c r="BG344">
        <v>1000</v>
      </c>
      <c r="BH344" s="7">
        <f>ROUND(Wapato_Inventory[[#This Row],[detatched_value]]*Lookups!$B$22*Lookups!$H$48,-2)</f>
        <v>0</v>
      </c>
      <c r="BI344" s="7">
        <f>ROUND(((Wapato_Inventory[[#This Row],[land_extract]]*Lookups!$B$3) +(Lookups!$B$2*0.5))*Lookups!$H$48,-2)</f>
        <v>52800</v>
      </c>
      <c r="BJ344" s="7">
        <f>IF(Wapato_Inventory[[#This Row],[bldg_style]]="",0,Lookups!$B$2*0.5)</f>
        <v>53765.27</v>
      </c>
      <c r="BK344" s="7">
        <f>_xlfn.IFNA(VLOOKUP(Wapato_Inventory[[#This Row],[quality]],Lookups!$H$2:$J$14,3,FALSE),0)</f>
        <v>48043</v>
      </c>
      <c r="BL344" s="7">
        <f>_xlfn.IFNA(VLOOKUP(Wapato_Inventory[[#This Row],[condition]],Lookups!$H$17:$J$24,3,FALSE),0)</f>
        <v>52231</v>
      </c>
      <c r="BM344" s="7">
        <f>Wapato_Inventory[[#This Row],[Age]]*Lookups!$B$16</f>
        <v>-19275.136399999999</v>
      </c>
      <c r="BN344" s="7">
        <f>Wapato_Inventory[[#This Row],[Main Floor]]*Lookups!$B$17</f>
        <v>54340.960700000003</v>
      </c>
      <c r="BO344" s="7">
        <f>Wapato_Inventory[[#This Row],[Upper Floor]]*Lookups!$B$18</f>
        <v>0</v>
      </c>
      <c r="BP344" s="7">
        <f>Wapato_Inventory[[#This Row],[Fin BSMT]]*Lookups!$B$19</f>
        <v>0</v>
      </c>
      <c r="BQ344" s="7">
        <f>(Wapato_Inventory[[#This Row],[att_gar]]+Wapato_Inventory[[#This Row],[blt_gar]])*Lookups!$B$20</f>
        <v>0</v>
      </c>
      <c r="BR344" s="7">
        <f>Wapato_Inventory[[#This Row],[Patio]]*Lookups!$B$21</f>
        <v>0</v>
      </c>
      <c r="BS344" s="7">
        <f>SUM(Wapato_Inventory[[#This Row],[intercept]:[patio_value]])*Wapato_Inventory[[#This Row],[res_pct]]</f>
        <v>189105.0943</v>
      </c>
      <c r="BT344" s="7">
        <f>Wapato_Inventory[[#This Row],[land_value]]</f>
        <v>52800</v>
      </c>
      <c r="BU344" s="2">
        <f>_xlfn.IFNA(VLOOKUP(Wapato_Inventory[[#This Row],[quality]],Lookups!$A$28:$C$37,3,FALSE),1)</f>
        <v>0.98196844879778955</v>
      </c>
      <c r="BV344" s="2">
        <f>_xlfn.IFNA(VLOOKUP(Wapato_Inventory[[#This Row],[condition]],Lookups!$A$41:$C$48,3,FALSE),1)</f>
        <v>0.9832333997567807</v>
      </c>
      <c r="BW344" s="2">
        <f>IF(Wapato_Inventory[[#This Row],[decade]]="",1,_xlfn.IFNA(VLOOKUP(Wapato_Inventory[[#This Row],[decade]],Lookups!$F$28:$H$45,3,FALSE),1))</f>
        <v>1.035341704162583</v>
      </c>
      <c r="BX344" s="2">
        <f>_xlfn.IFNA(VLOOKUP(Wapato_Inventory[[#This Row],[living_area_range]],Lookups!$K$28:$M$37,3,FALSE),1)</f>
        <v>1.0061411172456287</v>
      </c>
      <c r="BY344" s="2">
        <f>AVERAGE(Wapato_Inventory[[#This Row],[qual_adj]:[range_adj]])</f>
        <v>1.0016711674906955</v>
      </c>
      <c r="BZ344" s="7">
        <f>(Wapato_Inventory[[#This Row],[sum_land]]-IF(Wapato_Inventory[[#This Row],[no_utilities]]=1,12000,0))/IF(Wapato_Inventory[[#This Row],[unbuildable]]=1,2,1)</f>
        <v>52800</v>
      </c>
      <c r="CA344" s="7">
        <f>Wapato_Inventory[[#This Row],[pre_res]]*Wapato_Inventory[[#This Row],[overall_adj]]</f>
        <v>189421.12058591907</v>
      </c>
      <c r="CB344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344" s="3">
        <f>IF(ROUND(Wapato_Inventory[[#This Row],[adj_res]]*Lookups!$H$48,-2)&lt;Wapato_Inventory[[#This Row],[min_res]],Wapato_Inventory[[#This Row],[min_res]],ROUND(Wapato_Inventory[[#This Row],[adj_res]]*Lookups!$H$48,-2))</f>
        <v>180000</v>
      </c>
      <c r="CD344" s="3">
        <f>ROUND(Wapato_Inventory[[#This Row],[det_value]]*Lookups!$H$48,-2)</f>
        <v>0</v>
      </c>
      <c r="CE344" s="3">
        <f>Wapato_Inventory[[#This Row],[final_res]]+Wapato_Inventory[[#This Row],[final_det]]</f>
        <v>180000</v>
      </c>
      <c r="CF344" s="3">
        <f>Wapato_Inventory[[#This Row],[crop_value]]+Wapato_Inventory[[#This Row],[final_land]]+Wapato_Inventory[[#This Row],[final_imp]]</f>
        <v>230200</v>
      </c>
      <c r="CH344" t="str">
        <f t="shared" si="5"/>
        <v>update valuation set market_land =50200, market_bldg=180000, market_total =230200, market_mdno =405, market_date ='9/10/2023' where link_id = (select link_id from parcel where parcel_year = '2024' and parcel_id = '19111133400');</v>
      </c>
    </row>
    <row r="345" spans="1:86" x14ac:dyDescent="0.25">
      <c r="A345">
        <v>19111133401</v>
      </c>
      <c r="B345">
        <v>0.13</v>
      </c>
      <c r="C345">
        <v>5563</v>
      </c>
      <c r="D345" t="s">
        <v>144</v>
      </c>
      <c r="E345" t="s">
        <v>54</v>
      </c>
      <c r="F345" t="s">
        <v>54</v>
      </c>
      <c r="G345">
        <v>3</v>
      </c>
      <c r="H345" t="s">
        <v>55</v>
      </c>
      <c r="I345">
        <v>175900</v>
      </c>
      <c r="J345">
        <v>31400</v>
      </c>
      <c r="K345">
        <v>0.13</v>
      </c>
      <c r="L345">
        <f>IF(Wapato_Inventory[[#This Row],[parcel_acres]]-Wapato_Inventory[[#This Row],[non_valued_acres]] =0,0,LN(Wapato_Inventory[[#This Row],[parcel_acres]]-Wapato_Inventory[[#This Row],[non_valued_acres]]))</f>
        <v>-2.0402208285265546</v>
      </c>
      <c r="M345">
        <v>0</v>
      </c>
      <c r="N345">
        <v>0</v>
      </c>
      <c r="O345">
        <v>0</v>
      </c>
      <c r="P345">
        <v>27904.037</v>
      </c>
      <c r="Q345">
        <v>74398</v>
      </c>
      <c r="R345" s="3">
        <f>(Wapato_Inventory[[#This Row],[ln_acres]]*Wapato_Inventory[[#This Row],[coeff]])+Wapato_Inventory[[#This Row],[const]]</f>
        <v>17467.602512624362</v>
      </c>
      <c r="S345" t="s">
        <v>66</v>
      </c>
      <c r="T345">
        <v>1</v>
      </c>
      <c r="U345" t="s">
        <v>75</v>
      </c>
      <c r="V345" t="s">
        <v>69</v>
      </c>
      <c r="W345">
        <v>0</v>
      </c>
      <c r="X345">
        <v>0</v>
      </c>
      <c r="Y345">
        <v>57</v>
      </c>
      <c r="Z345">
        <v>103</v>
      </c>
      <c r="AA345">
        <v>110</v>
      </c>
      <c r="AB345">
        <v>1000</v>
      </c>
      <c r="AC345">
        <v>958</v>
      </c>
      <c r="AD345">
        <v>958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352</v>
      </c>
      <c r="AL345">
        <v>0</v>
      </c>
      <c r="AM345">
        <v>0</v>
      </c>
      <c r="AN345">
        <v>40</v>
      </c>
      <c r="AO345">
        <v>0</v>
      </c>
      <c r="AP345">
        <v>8</v>
      </c>
      <c r="AQ345">
        <v>0</v>
      </c>
      <c r="AR345">
        <v>0</v>
      </c>
      <c r="AS345" t="s">
        <v>59</v>
      </c>
      <c r="AT345">
        <v>1</v>
      </c>
      <c r="AU345" t="s">
        <v>64</v>
      </c>
      <c r="AV345" t="s">
        <v>61</v>
      </c>
      <c r="AW345">
        <v>0</v>
      </c>
      <c r="AX345">
        <v>3</v>
      </c>
      <c r="AY345">
        <v>0</v>
      </c>
      <c r="AZ345">
        <v>0</v>
      </c>
      <c r="BA345">
        <v>100</v>
      </c>
      <c r="BB345">
        <v>100</v>
      </c>
      <c r="BC345">
        <v>100</v>
      </c>
      <c r="BD345">
        <v>100</v>
      </c>
      <c r="BE345">
        <v>1</v>
      </c>
      <c r="BF345">
        <v>15000</v>
      </c>
      <c r="BG345">
        <v>1000</v>
      </c>
      <c r="BH345" s="7">
        <f>ROUND(Wapato_Inventory[[#This Row],[detatched_value]]*Lookups!$B$22*Lookups!$H$48,-2)</f>
        <v>0</v>
      </c>
      <c r="BI345" s="7">
        <f>ROUND(((Wapato_Inventory[[#This Row],[land_extract]]*Lookups!$B$3) +(Lookups!$B$2*0.5))*Lookups!$H$48,-2)</f>
        <v>52800</v>
      </c>
      <c r="BJ345" s="7">
        <f>IF(Wapato_Inventory[[#This Row],[bldg_style]]="",0,Lookups!$B$2*0.5)</f>
        <v>53765.27</v>
      </c>
      <c r="BK345" s="7">
        <f>_xlfn.IFNA(VLOOKUP(Wapato_Inventory[[#This Row],[quality]],Lookups!$H$2:$J$14,3,FALSE),0)</f>
        <v>48043</v>
      </c>
      <c r="BL345" s="7">
        <f>_xlfn.IFNA(VLOOKUP(Wapato_Inventory[[#This Row],[condition]],Lookups!$H$17:$J$24,3,FALSE),0)</f>
        <v>74543</v>
      </c>
      <c r="BM345" s="7">
        <f>Wapato_Inventory[[#This Row],[Age]]*Lookups!$B$16</f>
        <v>-38179.597099999999</v>
      </c>
      <c r="BN345" s="7">
        <f>Wapato_Inventory[[#This Row],[Main Floor]]*Lookups!$B$17</f>
        <v>40045.107962000002</v>
      </c>
      <c r="BO345" s="7">
        <f>Wapato_Inventory[[#This Row],[Upper Floor]]*Lookups!$B$18</f>
        <v>0</v>
      </c>
      <c r="BP345" s="7">
        <f>Wapato_Inventory[[#This Row],[Fin BSMT]]*Lookups!$B$19</f>
        <v>0</v>
      </c>
      <c r="BQ345" s="7">
        <f>(Wapato_Inventory[[#This Row],[att_gar]]+Wapato_Inventory[[#This Row],[blt_gar]])*Lookups!$B$20</f>
        <v>0</v>
      </c>
      <c r="BR345" s="7">
        <f>Wapato_Inventory[[#This Row],[Patio]]*Lookups!$B$21</f>
        <v>0</v>
      </c>
      <c r="BS345" s="7">
        <f>SUM(Wapato_Inventory[[#This Row],[intercept]:[patio_value]])*Wapato_Inventory[[#This Row],[res_pct]]</f>
        <v>178216.78086200001</v>
      </c>
      <c r="BT345" s="7">
        <f>Wapato_Inventory[[#This Row],[land_value]]</f>
        <v>52800</v>
      </c>
      <c r="BU345" s="2">
        <f>_xlfn.IFNA(VLOOKUP(Wapato_Inventory[[#This Row],[quality]],Lookups!$A$28:$C$37,3,FALSE),1)</f>
        <v>0.98196844879778955</v>
      </c>
      <c r="BV345" s="2">
        <f>_xlfn.IFNA(VLOOKUP(Wapato_Inventory[[#This Row],[condition]],Lookups!$A$41:$C$48,3,FALSE),1)</f>
        <v>0.98442438223270734</v>
      </c>
      <c r="BW345" s="2">
        <f>IF(Wapato_Inventory[[#This Row],[decade]]="",1,_xlfn.IFNA(VLOOKUP(Wapato_Inventory[[#This Row],[decade]],Lookups!$F$28:$H$45,3,FALSE),1))</f>
        <v>0.93664589651353292</v>
      </c>
      <c r="BX345" s="2">
        <f>_xlfn.IFNA(VLOOKUP(Wapato_Inventory[[#This Row],[living_area_range]],Lookups!$K$28:$M$37,3,FALSE),1)</f>
        <v>0.99022994770196116</v>
      </c>
      <c r="BY345" s="2">
        <f>AVERAGE(Wapato_Inventory[[#This Row],[qual_adj]:[range_adj]])</f>
        <v>0.97331716881149777</v>
      </c>
      <c r="BZ345" s="7">
        <f>(Wapato_Inventory[[#This Row],[sum_land]]-IF(Wapato_Inventory[[#This Row],[no_utilities]]=1,12000,0))/IF(Wapato_Inventory[[#This Row],[unbuildable]]=1,2,1)</f>
        <v>52800</v>
      </c>
      <c r="CA345" s="7">
        <f>Wapato_Inventory[[#This Row],[pre_res]]*Wapato_Inventory[[#This Row],[overall_adj]]</f>
        <v>173461.45258330097</v>
      </c>
      <c r="CB345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345" s="3">
        <f>IF(ROUND(Wapato_Inventory[[#This Row],[adj_res]]*Lookups!$H$48,-2)&lt;Wapato_Inventory[[#This Row],[min_res]],Wapato_Inventory[[#This Row],[min_res]],ROUND(Wapato_Inventory[[#This Row],[adj_res]]*Lookups!$H$48,-2))</f>
        <v>164800</v>
      </c>
      <c r="CD345" s="3">
        <f>ROUND(Wapato_Inventory[[#This Row],[det_value]]*Lookups!$H$48,-2)</f>
        <v>0</v>
      </c>
      <c r="CE345" s="3">
        <f>Wapato_Inventory[[#This Row],[final_res]]+Wapato_Inventory[[#This Row],[final_det]]</f>
        <v>164800</v>
      </c>
      <c r="CF345" s="3">
        <f>Wapato_Inventory[[#This Row],[crop_value]]+Wapato_Inventory[[#This Row],[final_land]]+Wapato_Inventory[[#This Row],[final_imp]]</f>
        <v>215000</v>
      </c>
      <c r="CH345" t="str">
        <f t="shared" si="5"/>
        <v>update valuation set market_land =50200, market_bldg=164800, market_total =215000, market_mdno =405, market_date ='9/10/2023' where link_id = (select link_id from parcel where parcel_year = '2024' and parcel_id = '19111133401');</v>
      </c>
    </row>
    <row r="346" spans="1:86" x14ac:dyDescent="0.25">
      <c r="A346">
        <v>19111133402</v>
      </c>
      <c r="B346">
        <v>0.12</v>
      </c>
      <c r="C346">
        <v>5416</v>
      </c>
      <c r="D346" t="s">
        <v>144</v>
      </c>
      <c r="E346" t="s">
        <v>54</v>
      </c>
      <c r="F346" t="s">
        <v>54</v>
      </c>
      <c r="G346">
        <v>3</v>
      </c>
      <c r="H346" t="s">
        <v>55</v>
      </c>
      <c r="I346">
        <v>60900</v>
      </c>
      <c r="J346">
        <v>30800</v>
      </c>
      <c r="K346">
        <v>0.12</v>
      </c>
      <c r="L346">
        <f>IF(Wapato_Inventory[[#This Row],[parcel_acres]]-Wapato_Inventory[[#This Row],[non_valued_acres]] =0,0,LN(Wapato_Inventory[[#This Row],[parcel_acres]]-Wapato_Inventory[[#This Row],[non_valued_acres]]))</f>
        <v>-2.120263536200091</v>
      </c>
      <c r="M346">
        <v>0</v>
      </c>
      <c r="N346">
        <v>0</v>
      </c>
      <c r="O346">
        <v>0</v>
      </c>
      <c r="P346">
        <v>27904.037</v>
      </c>
      <c r="Q346">
        <v>74398</v>
      </c>
      <c r="R346" s="3">
        <f>(Wapato_Inventory[[#This Row],[ln_acres]]*Wapato_Inventory[[#This Row],[coeff]])+Wapato_Inventory[[#This Row],[const]]</f>
        <v>15234.08783612182</v>
      </c>
      <c r="S346" t="s">
        <v>56</v>
      </c>
      <c r="T346">
        <v>2</v>
      </c>
      <c r="U346" t="s">
        <v>78</v>
      </c>
      <c r="V346" t="s">
        <v>73</v>
      </c>
      <c r="W346">
        <v>0</v>
      </c>
      <c r="X346">
        <v>0</v>
      </c>
      <c r="Y346">
        <v>57</v>
      </c>
      <c r="Z346">
        <v>103</v>
      </c>
      <c r="AA346">
        <v>110</v>
      </c>
      <c r="AB346">
        <v>1000</v>
      </c>
      <c r="AC346">
        <v>768</v>
      </c>
      <c r="AD346">
        <v>576</v>
      </c>
      <c r="AE346">
        <v>192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5</v>
      </c>
      <c r="AQ346">
        <v>0</v>
      </c>
      <c r="AR346">
        <v>0</v>
      </c>
      <c r="AS346" t="s">
        <v>59</v>
      </c>
      <c r="AT346">
        <v>0</v>
      </c>
      <c r="AU346" t="s">
        <v>80</v>
      </c>
      <c r="AV346" t="s">
        <v>77</v>
      </c>
      <c r="AW346">
        <v>0</v>
      </c>
      <c r="AX346">
        <v>2</v>
      </c>
      <c r="AY346">
        <v>0</v>
      </c>
      <c r="AZ346">
        <v>0</v>
      </c>
      <c r="BA346">
        <v>100</v>
      </c>
      <c r="BB346">
        <v>100</v>
      </c>
      <c r="BC346">
        <v>100</v>
      </c>
      <c r="BD346">
        <v>100</v>
      </c>
      <c r="BE346">
        <v>1</v>
      </c>
      <c r="BF346">
        <v>15000</v>
      </c>
      <c r="BG346">
        <v>1000</v>
      </c>
      <c r="BH346" s="7">
        <f>ROUND(Wapato_Inventory[[#This Row],[detatched_value]]*Lookups!$B$22*Lookups!$H$48,-2)</f>
        <v>0</v>
      </c>
      <c r="BI346" s="7">
        <f>ROUND(((Wapato_Inventory[[#This Row],[land_extract]]*Lookups!$B$3) +(Lookups!$B$2*0.5))*Lookups!$H$48,-2)</f>
        <v>52500</v>
      </c>
      <c r="BJ346" s="7">
        <f>IF(Wapato_Inventory[[#This Row],[bldg_style]]="",0,Lookups!$B$2*0.5)</f>
        <v>53765.27</v>
      </c>
      <c r="BK346" s="7">
        <f>_xlfn.IFNA(VLOOKUP(Wapato_Inventory[[#This Row],[quality]],Lookups!$H$2:$J$14,3,FALSE),0)</f>
        <v>23424</v>
      </c>
      <c r="BL346" s="7">
        <f>_xlfn.IFNA(VLOOKUP(Wapato_Inventory[[#This Row],[condition]],Lookups!$H$17:$J$24,3,FALSE),0)</f>
        <v>16276</v>
      </c>
      <c r="BM346" s="7">
        <f>Wapato_Inventory[[#This Row],[Age]]*Lookups!$B$16</f>
        <v>-38179.597099999999</v>
      </c>
      <c r="BN346" s="7">
        <f>Wapato_Inventory[[#This Row],[Main Floor]]*Lookups!$B$17</f>
        <v>24077.225664000001</v>
      </c>
      <c r="BO346" s="7">
        <f>Wapato_Inventory[[#This Row],[Upper Floor]]*Lookups!$B$18</f>
        <v>9523.4186880000016</v>
      </c>
      <c r="BP346" s="7">
        <f>Wapato_Inventory[[#This Row],[Fin BSMT]]*Lookups!$B$19</f>
        <v>0</v>
      </c>
      <c r="BQ346" s="7">
        <f>(Wapato_Inventory[[#This Row],[att_gar]]+Wapato_Inventory[[#This Row],[blt_gar]])*Lookups!$B$20</f>
        <v>0</v>
      </c>
      <c r="BR346" s="7">
        <f>Wapato_Inventory[[#This Row],[Patio]]*Lookups!$B$21</f>
        <v>0</v>
      </c>
      <c r="BS346" s="7">
        <f>SUM(Wapato_Inventory[[#This Row],[intercept]:[patio_value]])*Wapato_Inventory[[#This Row],[res_pct]]</f>
        <v>88886.317251999993</v>
      </c>
      <c r="BT346" s="7">
        <f>Wapato_Inventory[[#This Row],[land_value]]</f>
        <v>52500</v>
      </c>
      <c r="BU346" s="2">
        <f>_xlfn.IFNA(VLOOKUP(Wapato_Inventory[[#This Row],[quality]],Lookups!$A$28:$C$37,3,FALSE),1)</f>
        <v>1.0091195562373767</v>
      </c>
      <c r="BV346" s="2">
        <f>_xlfn.IFNA(VLOOKUP(Wapato_Inventory[[#This Row],[condition]],Lookups!$A$41:$C$48,3,FALSE),1)</f>
        <v>0.93399385491337139</v>
      </c>
      <c r="BW346" s="2">
        <f>IF(Wapato_Inventory[[#This Row],[decade]]="",1,_xlfn.IFNA(VLOOKUP(Wapato_Inventory[[#This Row],[decade]],Lookups!$F$28:$H$45,3,FALSE),1))</f>
        <v>0.93664589651353292</v>
      </c>
      <c r="BX346" s="2">
        <f>_xlfn.IFNA(VLOOKUP(Wapato_Inventory[[#This Row],[living_area_range]],Lookups!$K$28:$M$37,3,FALSE),1)</f>
        <v>0.99022994770196116</v>
      </c>
      <c r="BY346" s="2">
        <f>AVERAGE(Wapato_Inventory[[#This Row],[qual_adj]:[range_adj]])</f>
        <v>0.96749731384156046</v>
      </c>
      <c r="BZ346" s="7">
        <f>(Wapato_Inventory[[#This Row],[sum_land]]-IF(Wapato_Inventory[[#This Row],[no_utilities]]=1,12000,0))/IF(Wapato_Inventory[[#This Row],[unbuildable]]=1,2,1)</f>
        <v>52500</v>
      </c>
      <c r="CA346" s="7">
        <f>Wapato_Inventory[[#This Row],[pre_res]]*Wapato_Inventory[[#This Row],[overall_adj]]</f>
        <v>85997.273178578747</v>
      </c>
      <c r="CB346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346" s="3">
        <f>IF(ROUND(Wapato_Inventory[[#This Row],[adj_res]]*Lookups!$H$48,-2)&lt;Wapato_Inventory[[#This Row],[min_res]],Wapato_Inventory[[#This Row],[min_res]],ROUND(Wapato_Inventory[[#This Row],[adj_res]]*Lookups!$H$48,-2))</f>
        <v>81700</v>
      </c>
      <c r="CD346" s="3">
        <f>ROUND(Wapato_Inventory[[#This Row],[det_value]]*Lookups!$H$48,-2)</f>
        <v>0</v>
      </c>
      <c r="CE346" s="3">
        <f>Wapato_Inventory[[#This Row],[final_res]]+Wapato_Inventory[[#This Row],[final_det]]</f>
        <v>81700</v>
      </c>
      <c r="CF346" s="3">
        <f>Wapato_Inventory[[#This Row],[crop_value]]+Wapato_Inventory[[#This Row],[final_land]]+Wapato_Inventory[[#This Row],[final_imp]]</f>
        <v>131600</v>
      </c>
      <c r="CH346" t="str">
        <f t="shared" si="5"/>
        <v>update valuation set market_land =49900, market_bldg=81700, market_total =131600, market_mdno =405, market_date ='9/10/2023' where link_id = (select link_id from parcel where parcel_year = '2024' and parcel_id = '19111133402');</v>
      </c>
    </row>
    <row r="347" spans="1:86" x14ac:dyDescent="0.25">
      <c r="A347">
        <v>19111133404</v>
      </c>
      <c r="B347">
        <v>0.17</v>
      </c>
      <c r="C347">
        <v>7435</v>
      </c>
      <c r="D347" t="s">
        <v>144</v>
      </c>
      <c r="E347" t="s">
        <v>54</v>
      </c>
      <c r="F347" t="s">
        <v>54</v>
      </c>
      <c r="G347">
        <v>3</v>
      </c>
      <c r="H347" t="s">
        <v>55</v>
      </c>
      <c r="I347">
        <v>122100</v>
      </c>
      <c r="J347">
        <v>33200</v>
      </c>
      <c r="K347">
        <v>0.17</v>
      </c>
      <c r="L347">
        <f>IF(Wapato_Inventory[[#This Row],[parcel_acres]]-Wapato_Inventory[[#This Row],[non_valued_acres]] =0,0,LN(Wapato_Inventory[[#This Row],[parcel_acres]]-Wapato_Inventory[[#This Row],[non_valued_acres]]))</f>
        <v>-1.7719568419318752</v>
      </c>
      <c r="M347">
        <v>0</v>
      </c>
      <c r="N347">
        <v>0</v>
      </c>
      <c r="O347">
        <v>0</v>
      </c>
      <c r="P347">
        <v>27904.037</v>
      </c>
      <c r="Q347">
        <v>74398</v>
      </c>
      <c r="R347" s="3">
        <f>(Wapato_Inventory[[#This Row],[ln_acres]]*Wapato_Inventory[[#This Row],[coeff]])+Wapato_Inventory[[#This Row],[const]]</f>
        <v>24953.250720329801</v>
      </c>
      <c r="S347" t="s">
        <v>66</v>
      </c>
      <c r="T347">
        <v>1</v>
      </c>
      <c r="U347" t="s">
        <v>71</v>
      </c>
      <c r="V347" t="s">
        <v>68</v>
      </c>
      <c r="W347">
        <v>0</v>
      </c>
      <c r="X347">
        <v>0</v>
      </c>
      <c r="Y347">
        <v>55</v>
      </c>
      <c r="Z347">
        <v>98</v>
      </c>
      <c r="AA347">
        <v>100</v>
      </c>
      <c r="AB347">
        <v>1500</v>
      </c>
      <c r="AC347">
        <v>1080</v>
      </c>
      <c r="AD347">
        <v>1080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720</v>
      </c>
      <c r="AL347">
        <v>0</v>
      </c>
      <c r="AM347">
        <v>0</v>
      </c>
      <c r="AN347">
        <v>0</v>
      </c>
      <c r="AO347">
        <v>0</v>
      </c>
      <c r="AP347">
        <v>5</v>
      </c>
      <c r="AQ347">
        <v>0</v>
      </c>
      <c r="AR347">
        <v>0</v>
      </c>
      <c r="AS347" t="s">
        <v>59</v>
      </c>
      <c r="AT347">
        <v>0</v>
      </c>
      <c r="AU347" t="s">
        <v>80</v>
      </c>
      <c r="AV347" t="s">
        <v>61</v>
      </c>
      <c r="AW347">
        <v>0</v>
      </c>
      <c r="AX347">
        <v>3</v>
      </c>
      <c r="AY347">
        <v>0</v>
      </c>
      <c r="AZ347">
        <v>0</v>
      </c>
      <c r="BA347">
        <v>100</v>
      </c>
      <c r="BB347">
        <v>100</v>
      </c>
      <c r="BC347">
        <v>100</v>
      </c>
      <c r="BD347">
        <v>100</v>
      </c>
      <c r="BE347">
        <v>1</v>
      </c>
      <c r="BF347">
        <v>15000</v>
      </c>
      <c r="BG347">
        <v>1000</v>
      </c>
      <c r="BH347" s="7">
        <f>ROUND(Wapato_Inventory[[#This Row],[detatched_value]]*Lookups!$B$22*Lookups!$H$48,-2)</f>
        <v>0</v>
      </c>
      <c r="BI347" s="7">
        <f>ROUND(((Wapato_Inventory[[#This Row],[land_extract]]*Lookups!$B$3) +(Lookups!$B$2*0.5))*Lookups!$H$48,-2)</f>
        <v>53500</v>
      </c>
      <c r="BJ347" s="7">
        <f>IF(Wapato_Inventory[[#This Row],[bldg_style]]="",0,Lookups!$B$2*0.5)</f>
        <v>53765.27</v>
      </c>
      <c r="BK347" s="7">
        <f>_xlfn.IFNA(VLOOKUP(Wapato_Inventory[[#This Row],[quality]],Lookups!$H$2:$J$14,3,FALSE),0)</f>
        <v>28034</v>
      </c>
      <c r="BL347" s="7">
        <f>_xlfn.IFNA(VLOOKUP(Wapato_Inventory[[#This Row],[condition]],Lookups!$H$17:$J$24,3,FALSE),0)</f>
        <v>52231</v>
      </c>
      <c r="BM347" s="7">
        <f>Wapato_Inventory[[#This Row],[Age]]*Lookups!$B$16</f>
        <v>-36326.2186</v>
      </c>
      <c r="BN347" s="7">
        <f>Wapato_Inventory[[#This Row],[Main Floor]]*Lookups!$B$17</f>
        <v>45144.798119999999</v>
      </c>
      <c r="BO347" s="7">
        <f>Wapato_Inventory[[#This Row],[Upper Floor]]*Lookups!$B$18</f>
        <v>0</v>
      </c>
      <c r="BP347" s="7">
        <f>Wapato_Inventory[[#This Row],[Fin BSMT]]*Lookups!$B$19</f>
        <v>0</v>
      </c>
      <c r="BQ347" s="7">
        <f>(Wapato_Inventory[[#This Row],[att_gar]]+Wapato_Inventory[[#This Row],[blt_gar]])*Lookups!$B$20</f>
        <v>0</v>
      </c>
      <c r="BR347" s="7">
        <f>Wapato_Inventory[[#This Row],[Patio]]*Lookups!$B$21</f>
        <v>0</v>
      </c>
      <c r="BS347" s="7">
        <f>SUM(Wapato_Inventory[[#This Row],[intercept]:[patio_value]])*Wapato_Inventory[[#This Row],[res_pct]]</f>
        <v>142848.84951999999</v>
      </c>
      <c r="BT347" s="7">
        <f>Wapato_Inventory[[#This Row],[land_value]]</f>
        <v>53500</v>
      </c>
      <c r="BU347" s="2">
        <f>_xlfn.IFNA(VLOOKUP(Wapato_Inventory[[#This Row],[quality]],Lookups!$A$28:$C$37,3,FALSE),1)</f>
        <v>0.96265813922927435</v>
      </c>
      <c r="BV347" s="2">
        <f>_xlfn.IFNA(VLOOKUP(Wapato_Inventory[[#This Row],[condition]],Lookups!$A$41:$C$48,3,FALSE),1)</f>
        <v>0.9832333997567807</v>
      </c>
      <c r="BW347" s="2">
        <f>IF(Wapato_Inventory[[#This Row],[decade]]="",1,_xlfn.IFNA(VLOOKUP(Wapato_Inventory[[#This Row],[decade]],Lookups!$F$28:$H$45,3,FALSE),1))</f>
        <v>1.0114203040664467</v>
      </c>
      <c r="BX347" s="2">
        <f>_xlfn.IFNA(VLOOKUP(Wapato_Inventory[[#This Row],[living_area_range]],Lookups!$K$28:$M$37,3,FALSE),1)</f>
        <v>1.0061411172456287</v>
      </c>
      <c r="BY347" s="2">
        <f>AVERAGE(Wapato_Inventory[[#This Row],[qual_adj]:[range_adj]])</f>
        <v>0.99086324007453253</v>
      </c>
      <c r="BZ347" s="7">
        <f>(Wapato_Inventory[[#This Row],[sum_land]]-IF(Wapato_Inventory[[#This Row],[no_utilities]]=1,12000,0))/IF(Wapato_Inventory[[#This Row],[unbuildable]]=1,2,1)</f>
        <v>53500</v>
      </c>
      <c r="CA347" s="7">
        <f>Wapato_Inventory[[#This Row],[pre_res]]*Wapato_Inventory[[#This Row],[overall_adj]]</f>
        <v>141543.67387630651</v>
      </c>
      <c r="CB347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347" s="3">
        <f>IF(ROUND(Wapato_Inventory[[#This Row],[adj_res]]*Lookups!$H$48,-2)&lt;Wapato_Inventory[[#This Row],[min_res]],Wapato_Inventory[[#This Row],[min_res]],ROUND(Wapato_Inventory[[#This Row],[adj_res]]*Lookups!$H$48,-2))</f>
        <v>134500</v>
      </c>
      <c r="CD347" s="3">
        <f>ROUND(Wapato_Inventory[[#This Row],[det_value]]*Lookups!$H$48,-2)</f>
        <v>0</v>
      </c>
      <c r="CE347" s="3">
        <f>Wapato_Inventory[[#This Row],[final_res]]+Wapato_Inventory[[#This Row],[final_det]]</f>
        <v>134500</v>
      </c>
      <c r="CF347" s="3">
        <f>Wapato_Inventory[[#This Row],[crop_value]]+Wapato_Inventory[[#This Row],[final_land]]+Wapato_Inventory[[#This Row],[final_imp]]</f>
        <v>185300</v>
      </c>
      <c r="CH347" t="str">
        <f t="shared" si="5"/>
        <v>update valuation set market_land =50800, market_bldg=134500, market_total =185300, market_mdno =405, market_date ='9/10/2023' where link_id = (select link_id from parcel where parcel_year = '2024' and parcel_id = '19111133404');</v>
      </c>
    </row>
    <row r="348" spans="1:86" x14ac:dyDescent="0.25">
      <c r="A348">
        <v>19111133414</v>
      </c>
      <c r="B348">
        <v>0.13</v>
      </c>
      <c r="C348">
        <v>5635</v>
      </c>
      <c r="D348" t="s">
        <v>144</v>
      </c>
      <c r="E348" t="s">
        <v>54</v>
      </c>
      <c r="F348" t="s">
        <v>54</v>
      </c>
      <c r="G348">
        <v>3</v>
      </c>
      <c r="H348" t="s">
        <v>55</v>
      </c>
      <c r="I348">
        <v>106200</v>
      </c>
      <c r="J348">
        <v>31400</v>
      </c>
      <c r="K348">
        <v>0.13</v>
      </c>
      <c r="L348">
        <f>IF(Wapato_Inventory[[#This Row],[parcel_acres]]-Wapato_Inventory[[#This Row],[non_valued_acres]] =0,0,LN(Wapato_Inventory[[#This Row],[parcel_acres]]-Wapato_Inventory[[#This Row],[non_valued_acres]]))</f>
        <v>-2.0402208285265546</v>
      </c>
      <c r="M348">
        <v>0</v>
      </c>
      <c r="N348">
        <v>0</v>
      </c>
      <c r="O348">
        <v>0</v>
      </c>
      <c r="P348">
        <v>27904.037</v>
      </c>
      <c r="Q348">
        <v>74398</v>
      </c>
      <c r="R348" s="3">
        <f>(Wapato_Inventory[[#This Row],[ln_acres]]*Wapato_Inventory[[#This Row],[coeff]])+Wapato_Inventory[[#This Row],[const]]</f>
        <v>17467.602512624362</v>
      </c>
      <c r="S348" t="s">
        <v>66</v>
      </c>
      <c r="T348">
        <v>1</v>
      </c>
      <c r="U348" t="s">
        <v>71</v>
      </c>
      <c r="V348" t="s">
        <v>68</v>
      </c>
      <c r="W348">
        <v>0</v>
      </c>
      <c r="X348">
        <v>0</v>
      </c>
      <c r="Y348">
        <v>57</v>
      </c>
      <c r="Z348">
        <v>103</v>
      </c>
      <c r="AA348">
        <v>110</v>
      </c>
      <c r="AB348">
        <v>1500</v>
      </c>
      <c r="AC348">
        <v>1208</v>
      </c>
      <c r="AD348">
        <v>1208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200</v>
      </c>
      <c r="AL348">
        <v>0</v>
      </c>
      <c r="AM348">
        <v>20</v>
      </c>
      <c r="AN348">
        <v>160</v>
      </c>
      <c r="AO348">
        <v>0</v>
      </c>
      <c r="AP348">
        <v>5</v>
      </c>
      <c r="AQ348">
        <v>0</v>
      </c>
      <c r="AR348">
        <v>0</v>
      </c>
      <c r="AS348" t="s">
        <v>59</v>
      </c>
      <c r="AT348">
        <v>1</v>
      </c>
      <c r="AU348" t="s">
        <v>72</v>
      </c>
      <c r="AV348" t="s">
        <v>65</v>
      </c>
      <c r="AW348">
        <v>0</v>
      </c>
      <c r="AX348">
        <v>3</v>
      </c>
      <c r="AY348">
        <v>0</v>
      </c>
      <c r="AZ348">
        <v>0</v>
      </c>
      <c r="BA348">
        <v>100</v>
      </c>
      <c r="BB348">
        <v>100</v>
      </c>
      <c r="BC348">
        <v>100</v>
      </c>
      <c r="BD348">
        <v>100</v>
      </c>
      <c r="BE348">
        <v>1</v>
      </c>
      <c r="BF348">
        <v>15000</v>
      </c>
      <c r="BG348">
        <v>1000</v>
      </c>
      <c r="BH348" s="7">
        <f>ROUND(Wapato_Inventory[[#This Row],[detatched_value]]*Lookups!$B$22*Lookups!$H$48,-2)</f>
        <v>0</v>
      </c>
      <c r="BI348" s="7">
        <f>ROUND(((Wapato_Inventory[[#This Row],[land_extract]]*Lookups!$B$3) +(Lookups!$B$2*0.5))*Lookups!$H$48,-2)</f>
        <v>52800</v>
      </c>
      <c r="BJ348" s="7">
        <f>IF(Wapato_Inventory[[#This Row],[bldg_style]]="",0,Lookups!$B$2*0.5)</f>
        <v>53765.27</v>
      </c>
      <c r="BK348" s="7">
        <f>_xlfn.IFNA(VLOOKUP(Wapato_Inventory[[#This Row],[quality]],Lookups!$H$2:$J$14,3,FALSE),0)</f>
        <v>28034</v>
      </c>
      <c r="BL348" s="7">
        <f>_xlfn.IFNA(VLOOKUP(Wapato_Inventory[[#This Row],[condition]],Lookups!$H$17:$J$24,3,FALSE),0)</f>
        <v>52231</v>
      </c>
      <c r="BM348" s="7">
        <f>Wapato_Inventory[[#This Row],[Age]]*Lookups!$B$16</f>
        <v>-38179.597099999999</v>
      </c>
      <c r="BN348" s="7">
        <f>Wapato_Inventory[[#This Row],[Main Floor]]*Lookups!$B$17</f>
        <v>50495.292712000002</v>
      </c>
      <c r="BO348" s="7">
        <f>Wapato_Inventory[[#This Row],[Upper Floor]]*Lookups!$B$18</f>
        <v>0</v>
      </c>
      <c r="BP348" s="7">
        <f>Wapato_Inventory[[#This Row],[Fin BSMT]]*Lookups!$B$19</f>
        <v>0</v>
      </c>
      <c r="BQ348" s="7">
        <f>(Wapato_Inventory[[#This Row],[att_gar]]+Wapato_Inventory[[#This Row],[blt_gar]])*Lookups!$B$20</f>
        <v>0</v>
      </c>
      <c r="BR348" s="7">
        <f>Wapato_Inventory[[#This Row],[Patio]]*Lookups!$B$21</f>
        <v>866.47958000000006</v>
      </c>
      <c r="BS348" s="7">
        <f>SUM(Wapato_Inventory[[#This Row],[intercept]:[patio_value]])*Wapato_Inventory[[#This Row],[res_pct]]</f>
        <v>147212.44519200001</v>
      </c>
      <c r="BT348" s="7">
        <f>Wapato_Inventory[[#This Row],[land_value]]</f>
        <v>52800</v>
      </c>
      <c r="BU348" s="2">
        <f>_xlfn.IFNA(VLOOKUP(Wapato_Inventory[[#This Row],[quality]],Lookups!$A$28:$C$37,3,FALSE),1)</f>
        <v>0.96265813922927435</v>
      </c>
      <c r="BV348" s="2">
        <f>_xlfn.IFNA(VLOOKUP(Wapato_Inventory[[#This Row],[condition]],Lookups!$A$41:$C$48,3,FALSE),1)</f>
        <v>0.9832333997567807</v>
      </c>
      <c r="BW348" s="2">
        <f>IF(Wapato_Inventory[[#This Row],[decade]]="",1,_xlfn.IFNA(VLOOKUP(Wapato_Inventory[[#This Row],[decade]],Lookups!$F$28:$H$45,3,FALSE),1))</f>
        <v>0.93664589651353292</v>
      </c>
      <c r="BX348" s="2">
        <f>_xlfn.IFNA(VLOOKUP(Wapato_Inventory[[#This Row],[living_area_range]],Lookups!$K$28:$M$37,3,FALSE),1)</f>
        <v>1.0061411172456287</v>
      </c>
      <c r="BY348" s="2">
        <f>AVERAGE(Wapato_Inventory[[#This Row],[qual_adj]:[range_adj]])</f>
        <v>0.97216963818630409</v>
      </c>
      <c r="BZ348" s="7">
        <f>(Wapato_Inventory[[#This Row],[sum_land]]-IF(Wapato_Inventory[[#This Row],[no_utilities]]=1,12000,0))/IF(Wapato_Inventory[[#This Row],[unbuildable]]=1,2,1)</f>
        <v>52800</v>
      </c>
      <c r="CA348" s="7">
        <f>Wapato_Inventory[[#This Row],[pre_res]]*Wapato_Inventory[[#This Row],[overall_adj]]</f>
        <v>143115.46957882776</v>
      </c>
      <c r="CB348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348" s="3">
        <f>IF(ROUND(Wapato_Inventory[[#This Row],[adj_res]]*Lookups!$H$48,-2)&lt;Wapato_Inventory[[#This Row],[min_res]],Wapato_Inventory[[#This Row],[min_res]],ROUND(Wapato_Inventory[[#This Row],[adj_res]]*Lookups!$H$48,-2))</f>
        <v>136000</v>
      </c>
      <c r="CD348" s="3">
        <f>ROUND(Wapato_Inventory[[#This Row],[det_value]]*Lookups!$H$48,-2)</f>
        <v>0</v>
      </c>
      <c r="CE348" s="3">
        <f>Wapato_Inventory[[#This Row],[final_res]]+Wapato_Inventory[[#This Row],[final_det]]</f>
        <v>136000</v>
      </c>
      <c r="CF348" s="3">
        <f>Wapato_Inventory[[#This Row],[crop_value]]+Wapato_Inventory[[#This Row],[final_land]]+Wapato_Inventory[[#This Row],[final_imp]]</f>
        <v>186200</v>
      </c>
      <c r="CH348" t="str">
        <f t="shared" si="5"/>
        <v>update valuation set market_land =50200, market_bldg=136000, market_total =186200, market_mdno =405, market_date ='9/10/2023' where link_id = (select link_id from parcel where parcel_year = '2024' and parcel_id = '19111133414');</v>
      </c>
    </row>
    <row r="349" spans="1:86" x14ac:dyDescent="0.25">
      <c r="A349">
        <v>19111133416</v>
      </c>
      <c r="B349">
        <v>0.23</v>
      </c>
      <c r="C349">
        <v>10486</v>
      </c>
      <c r="D349" t="s">
        <v>144</v>
      </c>
      <c r="E349" t="s">
        <v>54</v>
      </c>
      <c r="F349" t="s">
        <v>54</v>
      </c>
      <c r="G349">
        <v>3</v>
      </c>
      <c r="H349" t="s">
        <v>55</v>
      </c>
      <c r="I349">
        <v>119600</v>
      </c>
      <c r="J349">
        <v>35700</v>
      </c>
      <c r="K349">
        <v>0.23</v>
      </c>
      <c r="L349">
        <f>IF(Wapato_Inventory[[#This Row],[parcel_acres]]-Wapato_Inventory[[#This Row],[non_valued_acres]] =0,0,LN(Wapato_Inventory[[#This Row],[parcel_acres]]-Wapato_Inventory[[#This Row],[non_valued_acres]]))</f>
        <v>-1.4696759700589417</v>
      </c>
      <c r="M349">
        <v>0</v>
      </c>
      <c r="N349">
        <v>0</v>
      </c>
      <c r="O349">
        <v>0</v>
      </c>
      <c r="P349">
        <v>27904.037</v>
      </c>
      <c r="Q349">
        <v>74398</v>
      </c>
      <c r="R349" s="3">
        <f>(Wapato_Inventory[[#This Row],[ln_acres]]*Wapato_Inventory[[#This Row],[coeff]])+Wapato_Inventory[[#This Row],[const]]</f>
        <v>33388.107353464402</v>
      </c>
      <c r="S349" t="s">
        <v>66</v>
      </c>
      <c r="T349">
        <v>1</v>
      </c>
      <c r="U349" t="s">
        <v>75</v>
      </c>
      <c r="V349" t="s">
        <v>68</v>
      </c>
      <c r="W349">
        <v>0</v>
      </c>
      <c r="X349">
        <v>0</v>
      </c>
      <c r="Y349">
        <v>53</v>
      </c>
      <c r="Z349">
        <v>93</v>
      </c>
      <c r="AA349">
        <v>100</v>
      </c>
      <c r="AB349">
        <v>1000</v>
      </c>
      <c r="AC349">
        <v>788</v>
      </c>
      <c r="AD349">
        <v>788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162</v>
      </c>
      <c r="AN349">
        <v>0</v>
      </c>
      <c r="AO349">
        <v>162</v>
      </c>
      <c r="AP349">
        <v>5</v>
      </c>
      <c r="AQ349">
        <v>0</v>
      </c>
      <c r="AR349">
        <v>0</v>
      </c>
      <c r="AS349" t="s">
        <v>59</v>
      </c>
      <c r="AT349">
        <v>1</v>
      </c>
      <c r="AU349" t="s">
        <v>64</v>
      </c>
      <c r="AV349" t="s">
        <v>77</v>
      </c>
      <c r="AW349">
        <v>1</v>
      </c>
      <c r="AX349">
        <v>2</v>
      </c>
      <c r="AY349">
        <v>0</v>
      </c>
      <c r="AZ349">
        <v>0</v>
      </c>
      <c r="BA349">
        <v>100</v>
      </c>
      <c r="BB349">
        <v>100</v>
      </c>
      <c r="BC349">
        <v>100</v>
      </c>
      <c r="BD349">
        <v>100</v>
      </c>
      <c r="BE349">
        <v>1</v>
      </c>
      <c r="BF349">
        <v>15000</v>
      </c>
      <c r="BG349">
        <v>1000</v>
      </c>
      <c r="BH349" s="7">
        <f>ROUND(Wapato_Inventory[[#This Row],[detatched_value]]*Lookups!$B$22*Lookups!$H$48,-2)</f>
        <v>0</v>
      </c>
      <c r="BI349" s="7">
        <f>ROUND(((Wapato_Inventory[[#This Row],[land_extract]]*Lookups!$B$3) +(Lookups!$B$2*0.5))*Lookups!$H$48,-2)</f>
        <v>54300</v>
      </c>
      <c r="BJ349" s="7">
        <f>IF(Wapato_Inventory[[#This Row],[bldg_style]]="",0,Lookups!$B$2*0.5)</f>
        <v>53765.27</v>
      </c>
      <c r="BK349" s="7">
        <f>_xlfn.IFNA(VLOOKUP(Wapato_Inventory[[#This Row],[quality]],Lookups!$H$2:$J$14,3,FALSE),0)</f>
        <v>48043</v>
      </c>
      <c r="BL349" s="7">
        <f>_xlfn.IFNA(VLOOKUP(Wapato_Inventory[[#This Row],[condition]],Lookups!$H$17:$J$24,3,FALSE),0)</f>
        <v>52231</v>
      </c>
      <c r="BM349" s="7">
        <f>Wapato_Inventory[[#This Row],[Age]]*Lookups!$B$16</f>
        <v>-34472.840100000001</v>
      </c>
      <c r="BN349" s="7">
        <f>Wapato_Inventory[[#This Row],[Main Floor]]*Lookups!$B$17</f>
        <v>32938.982332</v>
      </c>
      <c r="BO349" s="7">
        <f>Wapato_Inventory[[#This Row],[Upper Floor]]*Lookups!$B$18</f>
        <v>0</v>
      </c>
      <c r="BP349" s="7">
        <f>Wapato_Inventory[[#This Row],[Fin BSMT]]*Lookups!$B$19</f>
        <v>0</v>
      </c>
      <c r="BQ349" s="7">
        <f>(Wapato_Inventory[[#This Row],[att_gar]]+Wapato_Inventory[[#This Row],[blt_gar]])*Lookups!$B$20</f>
        <v>0</v>
      </c>
      <c r="BR349" s="7">
        <f>Wapato_Inventory[[#This Row],[Patio]]*Lookups!$B$21</f>
        <v>7018.484598</v>
      </c>
      <c r="BS349" s="7">
        <f>SUM(Wapato_Inventory[[#This Row],[intercept]:[patio_value]])*Wapato_Inventory[[#This Row],[res_pct]]</f>
        <v>159523.89682999998</v>
      </c>
      <c r="BT349" s="7">
        <f>Wapato_Inventory[[#This Row],[land_value]]</f>
        <v>54300</v>
      </c>
      <c r="BU349" s="2">
        <f>_xlfn.IFNA(VLOOKUP(Wapato_Inventory[[#This Row],[quality]],Lookups!$A$28:$C$37,3,FALSE),1)</f>
        <v>0.98196844879778955</v>
      </c>
      <c r="BV349" s="2">
        <f>_xlfn.IFNA(VLOOKUP(Wapato_Inventory[[#This Row],[condition]],Lookups!$A$41:$C$48,3,FALSE),1)</f>
        <v>0.9832333997567807</v>
      </c>
      <c r="BW349" s="2">
        <f>IF(Wapato_Inventory[[#This Row],[decade]]="",1,_xlfn.IFNA(VLOOKUP(Wapato_Inventory[[#This Row],[decade]],Lookups!$F$28:$H$45,3,FALSE),1))</f>
        <v>1.0114203040664467</v>
      </c>
      <c r="BX349" s="2">
        <f>_xlfn.IFNA(VLOOKUP(Wapato_Inventory[[#This Row],[living_area_range]],Lookups!$K$28:$M$37,3,FALSE),1)</f>
        <v>0.99022994770196116</v>
      </c>
      <c r="BY349" s="2">
        <f>AVERAGE(Wapato_Inventory[[#This Row],[qual_adj]:[range_adj]])</f>
        <v>0.99171302508074455</v>
      </c>
      <c r="BZ349" s="7">
        <f>(Wapato_Inventory[[#This Row],[sum_land]]-IF(Wapato_Inventory[[#This Row],[no_utilities]]=1,12000,0))/IF(Wapato_Inventory[[#This Row],[unbuildable]]=1,2,1)</f>
        <v>54300</v>
      </c>
      <c r="CA349" s="7">
        <f>Wapato_Inventory[[#This Row],[pre_res]]*Wapato_Inventory[[#This Row],[overall_adj]]</f>
        <v>158201.92629794788</v>
      </c>
      <c r="CB349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349" s="3">
        <f>IF(ROUND(Wapato_Inventory[[#This Row],[adj_res]]*Lookups!$H$48,-2)&lt;Wapato_Inventory[[#This Row],[min_res]],Wapato_Inventory[[#This Row],[min_res]],ROUND(Wapato_Inventory[[#This Row],[adj_res]]*Lookups!$H$48,-2))</f>
        <v>150300</v>
      </c>
      <c r="CD349" s="3">
        <f>ROUND(Wapato_Inventory[[#This Row],[det_value]]*Lookups!$H$48,-2)</f>
        <v>0</v>
      </c>
      <c r="CE349" s="3">
        <f>Wapato_Inventory[[#This Row],[final_res]]+Wapato_Inventory[[#This Row],[final_det]]</f>
        <v>150300</v>
      </c>
      <c r="CF349" s="3">
        <f>Wapato_Inventory[[#This Row],[crop_value]]+Wapato_Inventory[[#This Row],[final_land]]+Wapato_Inventory[[#This Row],[final_imp]]</f>
        <v>201900</v>
      </c>
      <c r="CH349" t="str">
        <f t="shared" si="5"/>
        <v>update valuation set market_land =51600, market_bldg=150300, market_total =201900, market_mdno =405, market_date ='9/10/2023' where link_id = (select link_id from parcel where parcel_year = '2024' and parcel_id = '19111133416');</v>
      </c>
    </row>
    <row r="350" spans="1:86" x14ac:dyDescent="0.25">
      <c r="A350">
        <v>19111133417</v>
      </c>
      <c r="B350">
        <v>0.21</v>
      </c>
      <c r="C350">
        <v>8944</v>
      </c>
      <c r="D350" t="s">
        <v>144</v>
      </c>
      <c r="E350" t="s">
        <v>54</v>
      </c>
      <c r="F350" t="s">
        <v>54</v>
      </c>
      <c r="G350">
        <v>3</v>
      </c>
      <c r="H350" t="s">
        <v>55</v>
      </c>
      <c r="I350">
        <v>117700</v>
      </c>
      <c r="J350">
        <v>34800</v>
      </c>
      <c r="K350">
        <v>0.21</v>
      </c>
      <c r="L350">
        <f>IF(Wapato_Inventory[[#This Row],[parcel_acres]]-Wapato_Inventory[[#This Row],[non_valued_acres]] =0,0,LN(Wapato_Inventory[[#This Row],[parcel_acres]]-Wapato_Inventory[[#This Row],[non_valued_acres]]))</f>
        <v>-1.5606477482646683</v>
      </c>
      <c r="M350">
        <v>0</v>
      </c>
      <c r="N350">
        <v>0</v>
      </c>
      <c r="O350">
        <v>0</v>
      </c>
      <c r="P350">
        <v>27904.037</v>
      </c>
      <c r="Q350">
        <v>74398</v>
      </c>
      <c r="R350" s="3">
        <f>(Wapato_Inventory[[#This Row],[ln_acres]]*Wapato_Inventory[[#This Row],[coeff]])+Wapato_Inventory[[#This Row],[const]]</f>
        <v>30849.627488456012</v>
      </c>
      <c r="S350" t="s">
        <v>66</v>
      </c>
      <c r="T350">
        <v>1</v>
      </c>
      <c r="U350" t="s">
        <v>71</v>
      </c>
      <c r="V350" t="s">
        <v>68</v>
      </c>
      <c r="W350">
        <v>0</v>
      </c>
      <c r="X350">
        <v>0</v>
      </c>
      <c r="Y350">
        <v>53</v>
      </c>
      <c r="Z350">
        <v>93</v>
      </c>
      <c r="AA350">
        <v>100</v>
      </c>
      <c r="AB350">
        <v>1500</v>
      </c>
      <c r="AC350">
        <v>1138</v>
      </c>
      <c r="AD350">
        <v>1138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96</v>
      </c>
      <c r="AM350">
        <v>20</v>
      </c>
      <c r="AN350">
        <v>0</v>
      </c>
      <c r="AO350">
        <v>96</v>
      </c>
      <c r="AP350">
        <v>5</v>
      </c>
      <c r="AQ350">
        <v>0</v>
      </c>
      <c r="AR350">
        <v>0</v>
      </c>
      <c r="AS350" t="s">
        <v>59</v>
      </c>
      <c r="AT350">
        <v>0</v>
      </c>
      <c r="AU350" t="s">
        <v>80</v>
      </c>
      <c r="AV350" t="s">
        <v>77</v>
      </c>
      <c r="AW350">
        <v>0</v>
      </c>
      <c r="AX350">
        <v>4</v>
      </c>
      <c r="AY350">
        <v>0</v>
      </c>
      <c r="AZ350">
        <v>0</v>
      </c>
      <c r="BA350">
        <v>100</v>
      </c>
      <c r="BB350">
        <v>100</v>
      </c>
      <c r="BC350">
        <v>100</v>
      </c>
      <c r="BD350">
        <v>100</v>
      </c>
      <c r="BE350">
        <v>1</v>
      </c>
      <c r="BF350">
        <v>15000</v>
      </c>
      <c r="BG350">
        <v>1000</v>
      </c>
      <c r="BH350" s="7">
        <f>ROUND(Wapato_Inventory[[#This Row],[detatched_value]]*Lookups!$B$22*Lookups!$H$48,-2)</f>
        <v>0</v>
      </c>
      <c r="BI350" s="7">
        <f>ROUND(((Wapato_Inventory[[#This Row],[land_extract]]*Lookups!$B$3) +(Lookups!$B$2*0.5))*Lookups!$H$48,-2)</f>
        <v>54100</v>
      </c>
      <c r="BJ350" s="7">
        <f>IF(Wapato_Inventory[[#This Row],[bldg_style]]="",0,Lookups!$B$2*0.5)</f>
        <v>53765.27</v>
      </c>
      <c r="BK350" s="7">
        <f>_xlfn.IFNA(VLOOKUP(Wapato_Inventory[[#This Row],[quality]],Lookups!$H$2:$J$14,3,FALSE),0)</f>
        <v>28034</v>
      </c>
      <c r="BL350" s="7">
        <f>_xlfn.IFNA(VLOOKUP(Wapato_Inventory[[#This Row],[condition]],Lookups!$H$17:$J$24,3,FALSE),0)</f>
        <v>52231</v>
      </c>
      <c r="BM350" s="7">
        <f>Wapato_Inventory[[#This Row],[Age]]*Lookups!$B$16</f>
        <v>-34472.840100000001</v>
      </c>
      <c r="BN350" s="7">
        <f>Wapato_Inventory[[#This Row],[Main Floor]]*Lookups!$B$17</f>
        <v>47569.240982000003</v>
      </c>
      <c r="BO350" s="7">
        <f>Wapato_Inventory[[#This Row],[Upper Floor]]*Lookups!$B$18</f>
        <v>0</v>
      </c>
      <c r="BP350" s="7">
        <f>Wapato_Inventory[[#This Row],[Fin BSMT]]*Lookups!$B$19</f>
        <v>0</v>
      </c>
      <c r="BQ350" s="7">
        <f>(Wapato_Inventory[[#This Row],[att_gar]]+Wapato_Inventory[[#This Row],[blt_gar]])*Lookups!$B$20</f>
        <v>0</v>
      </c>
      <c r="BR350" s="7">
        <f>Wapato_Inventory[[#This Row],[Patio]]*Lookups!$B$21</f>
        <v>866.47958000000006</v>
      </c>
      <c r="BS350" s="7">
        <f>SUM(Wapato_Inventory[[#This Row],[intercept]:[patio_value]])*Wapato_Inventory[[#This Row],[res_pct]]</f>
        <v>147993.15046200002</v>
      </c>
      <c r="BT350" s="7">
        <f>Wapato_Inventory[[#This Row],[land_value]]</f>
        <v>54100</v>
      </c>
      <c r="BU350" s="2">
        <f>_xlfn.IFNA(VLOOKUP(Wapato_Inventory[[#This Row],[quality]],Lookups!$A$28:$C$37,3,FALSE),1)</f>
        <v>0.96265813922927435</v>
      </c>
      <c r="BV350" s="2">
        <f>_xlfn.IFNA(VLOOKUP(Wapato_Inventory[[#This Row],[condition]],Lookups!$A$41:$C$48,3,FALSE),1)</f>
        <v>0.9832333997567807</v>
      </c>
      <c r="BW350" s="2">
        <f>IF(Wapato_Inventory[[#This Row],[decade]]="",1,_xlfn.IFNA(VLOOKUP(Wapato_Inventory[[#This Row],[decade]],Lookups!$F$28:$H$45,3,FALSE),1))</f>
        <v>1.0114203040664467</v>
      </c>
      <c r="BX350" s="2">
        <f>_xlfn.IFNA(VLOOKUP(Wapato_Inventory[[#This Row],[living_area_range]],Lookups!$K$28:$M$37,3,FALSE),1)</f>
        <v>1.0061411172456287</v>
      </c>
      <c r="BY350" s="2">
        <f>AVERAGE(Wapato_Inventory[[#This Row],[qual_adj]:[range_adj]])</f>
        <v>0.99086324007453253</v>
      </c>
      <c r="BZ350" s="7">
        <f>(Wapato_Inventory[[#This Row],[sum_land]]-IF(Wapato_Inventory[[#This Row],[no_utilities]]=1,12000,0))/IF(Wapato_Inventory[[#This Row],[unbuildable]]=1,2,1)</f>
        <v>54100</v>
      </c>
      <c r="CA350" s="7">
        <f>Wapato_Inventory[[#This Row],[pre_res]]*Wapato_Inventory[[#This Row],[overall_adj]]</f>
        <v>146640.97257561513</v>
      </c>
      <c r="CB350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350" s="3">
        <f>IF(ROUND(Wapato_Inventory[[#This Row],[adj_res]]*Lookups!$H$48,-2)&lt;Wapato_Inventory[[#This Row],[min_res]],Wapato_Inventory[[#This Row],[min_res]],ROUND(Wapato_Inventory[[#This Row],[adj_res]]*Lookups!$H$48,-2))</f>
        <v>139300</v>
      </c>
      <c r="CD350" s="3">
        <f>ROUND(Wapato_Inventory[[#This Row],[det_value]]*Lookups!$H$48,-2)</f>
        <v>0</v>
      </c>
      <c r="CE350" s="3">
        <f>Wapato_Inventory[[#This Row],[final_res]]+Wapato_Inventory[[#This Row],[final_det]]</f>
        <v>139300</v>
      </c>
      <c r="CF350" s="3">
        <f>Wapato_Inventory[[#This Row],[crop_value]]+Wapato_Inventory[[#This Row],[final_land]]+Wapato_Inventory[[#This Row],[final_imp]]</f>
        <v>190700</v>
      </c>
      <c r="CH350" t="str">
        <f t="shared" si="5"/>
        <v>update valuation set market_land =51400, market_bldg=139300, market_total =190700, market_mdno =405, market_date ='9/10/2023' where link_id = (select link_id from parcel where parcel_year = '2024' and parcel_id = '19111133417');</v>
      </c>
    </row>
    <row r="351" spans="1:86" x14ac:dyDescent="0.25">
      <c r="A351">
        <v>19111133421</v>
      </c>
      <c r="B351">
        <v>0.21</v>
      </c>
      <c r="C351">
        <v>9116</v>
      </c>
      <c r="D351">
        <v>0.21</v>
      </c>
      <c r="E351" t="s">
        <v>54</v>
      </c>
      <c r="F351" t="s">
        <v>54</v>
      </c>
      <c r="G351">
        <v>3</v>
      </c>
      <c r="H351" t="s">
        <v>55</v>
      </c>
      <c r="I351">
        <v>0</v>
      </c>
      <c r="J351">
        <v>35800</v>
      </c>
      <c r="K351">
        <v>0.21</v>
      </c>
      <c r="L351">
        <f>IF(Wapato_Inventory[[#This Row],[parcel_acres]]-Wapato_Inventory[[#This Row],[non_valued_acres]] =0,0,LN(Wapato_Inventory[[#This Row],[parcel_acres]]-Wapato_Inventory[[#This Row],[non_valued_acres]]))</f>
        <v>-1.5606477482646683</v>
      </c>
      <c r="M351">
        <v>0</v>
      </c>
      <c r="N351">
        <v>0</v>
      </c>
      <c r="O351">
        <v>0</v>
      </c>
      <c r="P351">
        <v>27904.037</v>
      </c>
      <c r="Q351">
        <v>74398</v>
      </c>
      <c r="R351" s="3">
        <f>(Wapato_Inventory[[#This Row],[ln_acres]]*Wapato_Inventory[[#This Row],[coeff]])+Wapato_Inventory[[#This Row],[const]]</f>
        <v>30849.627488456012</v>
      </c>
      <c r="S351" t="s">
        <v>62</v>
      </c>
      <c r="T351">
        <v>1</v>
      </c>
      <c r="U351" t="s">
        <v>63</v>
      </c>
      <c r="V351" t="s">
        <v>58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1500</v>
      </c>
      <c r="AC351">
        <v>1248</v>
      </c>
      <c r="AD351">
        <v>1248</v>
      </c>
      <c r="AE351">
        <v>0</v>
      </c>
      <c r="AF351">
        <v>0</v>
      </c>
      <c r="AG351">
        <v>0</v>
      </c>
      <c r="AH351">
        <v>0</v>
      </c>
      <c r="AI351">
        <v>460</v>
      </c>
      <c r="AJ351">
        <v>0</v>
      </c>
      <c r="AK351">
        <v>0</v>
      </c>
      <c r="AL351">
        <v>0</v>
      </c>
      <c r="AM351">
        <v>0</v>
      </c>
      <c r="AN351">
        <v>228</v>
      </c>
      <c r="AO351">
        <v>0</v>
      </c>
      <c r="AP351">
        <v>8</v>
      </c>
      <c r="AQ351">
        <v>0</v>
      </c>
      <c r="AR351">
        <v>0</v>
      </c>
      <c r="AS351" t="s">
        <v>59</v>
      </c>
      <c r="AT351">
        <v>1</v>
      </c>
      <c r="AU351" t="s">
        <v>64</v>
      </c>
      <c r="AV351" t="s">
        <v>61</v>
      </c>
      <c r="AW351">
        <v>1</v>
      </c>
      <c r="AX351">
        <v>3</v>
      </c>
      <c r="AY351">
        <v>0</v>
      </c>
      <c r="AZ351">
        <v>0</v>
      </c>
      <c r="BA351">
        <v>100</v>
      </c>
      <c r="BB351">
        <v>100</v>
      </c>
      <c r="BC351">
        <v>100</v>
      </c>
      <c r="BD351">
        <v>85</v>
      </c>
      <c r="BE351">
        <v>0.85</v>
      </c>
      <c r="BF351">
        <v>15000</v>
      </c>
      <c r="BG351">
        <v>1000</v>
      </c>
      <c r="BH351" s="7">
        <f>ROUND(Wapato_Inventory[[#This Row],[detatched_value]]*Lookups!$B$22*Lookups!$H$48,-2)</f>
        <v>0</v>
      </c>
      <c r="BI351" s="7">
        <f>ROUND(((Wapato_Inventory[[#This Row],[land_extract]]*Lookups!$B$3) +(Lookups!$B$2*0.5))*Lookups!$H$48,-2)</f>
        <v>54100</v>
      </c>
      <c r="BJ351" s="7">
        <f>IF(Wapato_Inventory[[#This Row],[bldg_style]]="",0,Lookups!$B$2*0.5)</f>
        <v>53765.27</v>
      </c>
      <c r="BK351" s="7">
        <f>_xlfn.IFNA(VLOOKUP(Wapato_Inventory[[#This Row],[quality]],Lookups!$H$2:$J$14,3,FALSE),0)</f>
        <v>50594</v>
      </c>
      <c r="BL351" s="7">
        <f>_xlfn.IFNA(VLOOKUP(Wapato_Inventory[[#This Row],[condition]],Lookups!$H$17:$J$24,3,FALSE),0)</f>
        <v>122095</v>
      </c>
      <c r="BM351" s="7">
        <f>Wapato_Inventory[[#This Row],[Age]]*Lookups!$B$16</f>
        <v>0</v>
      </c>
      <c r="BN351" s="7">
        <f>Wapato_Inventory[[#This Row],[Main Floor]]*Lookups!$B$17</f>
        <v>52167.322271999998</v>
      </c>
      <c r="BO351" s="7">
        <f>Wapato_Inventory[[#This Row],[Upper Floor]]*Lookups!$B$18</f>
        <v>0</v>
      </c>
      <c r="BP351" s="7">
        <f>Wapato_Inventory[[#This Row],[Fin BSMT]]*Lookups!$B$19</f>
        <v>0</v>
      </c>
      <c r="BQ351" s="7">
        <f>(Wapato_Inventory[[#This Row],[att_gar]]+Wapato_Inventory[[#This Row],[blt_gar]])*Lookups!$B$20</f>
        <v>17024.02592</v>
      </c>
      <c r="BR351" s="7">
        <f>Wapato_Inventory[[#This Row],[Patio]]*Lookups!$B$21</f>
        <v>0</v>
      </c>
      <c r="BS351" s="7">
        <f>SUM(Wapato_Inventory[[#This Row],[intercept]:[patio_value]])*Wapato_Inventory[[#This Row],[res_pct]]</f>
        <v>251298.77546319997</v>
      </c>
      <c r="BT351" s="7">
        <f>Wapato_Inventory[[#This Row],[land_value]]</f>
        <v>54100</v>
      </c>
      <c r="BU351" s="2">
        <f>_xlfn.IFNA(VLOOKUP(Wapato_Inventory[[#This Row],[quality]],Lookups!$A$28:$C$37,3,FALSE),1)</f>
        <v>0.99197423394367223</v>
      </c>
      <c r="BV351" s="2">
        <f>_xlfn.IFNA(VLOOKUP(Wapato_Inventory[[#This Row],[condition]],Lookups!$A$41:$C$48,3,FALSE),1)</f>
        <v>1.00041560026225</v>
      </c>
      <c r="BW351" s="2">
        <f>IF(Wapato_Inventory[[#This Row],[decade]]="",1,_xlfn.IFNA(VLOOKUP(Wapato_Inventory[[#This Row],[decade]],Lookups!$F$28:$H$45,3,FALSE),1))</f>
        <v>1.00041560026225</v>
      </c>
      <c r="BX351" s="2">
        <f>_xlfn.IFNA(VLOOKUP(Wapato_Inventory[[#This Row],[living_area_range]],Lookups!$K$28:$M$37,3,FALSE),1)</f>
        <v>1.0061411172456287</v>
      </c>
      <c r="BY351" s="2">
        <f>AVERAGE(Wapato_Inventory[[#This Row],[qual_adj]:[range_adj]])</f>
        <v>0.99973663792845024</v>
      </c>
      <c r="BZ351" s="7">
        <f>(Wapato_Inventory[[#This Row],[sum_land]]-IF(Wapato_Inventory[[#This Row],[no_utilities]]=1,12000,0))/IF(Wapato_Inventory[[#This Row],[unbuildable]]=1,2,1)</f>
        <v>54100</v>
      </c>
      <c r="CA351" s="7">
        <f>Wapato_Inventory[[#This Row],[pre_res]]*Wapato_Inventory[[#This Row],[overall_adj]]</f>
        <v>251232.59289711606</v>
      </c>
      <c r="CB351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351" s="3">
        <f>IF(ROUND(Wapato_Inventory[[#This Row],[adj_res]]*Lookups!$H$48,-2)&lt;Wapato_Inventory[[#This Row],[min_res]],Wapato_Inventory[[#This Row],[min_res]],ROUND(Wapato_Inventory[[#This Row],[adj_res]]*Lookups!$H$48,-2))</f>
        <v>238700</v>
      </c>
      <c r="CD351" s="3">
        <f>ROUND(Wapato_Inventory[[#This Row],[det_value]]*Lookups!$H$48,-2)</f>
        <v>0</v>
      </c>
      <c r="CE351" s="3">
        <f>Wapato_Inventory[[#This Row],[final_res]]+Wapato_Inventory[[#This Row],[final_det]]</f>
        <v>238700</v>
      </c>
      <c r="CF351" s="3">
        <f>Wapato_Inventory[[#This Row],[crop_value]]+Wapato_Inventory[[#This Row],[final_land]]+Wapato_Inventory[[#This Row],[final_imp]]</f>
        <v>290100</v>
      </c>
      <c r="CH351" t="str">
        <f t="shared" si="5"/>
        <v>update valuation set market_land =51400, market_bldg=238700, market_total =290100, market_mdno =405, market_date ='9/10/2023' where link_id = (select link_id from parcel where parcel_year = '2024' and parcel_id = '19111133421');</v>
      </c>
    </row>
    <row r="352" spans="1:86" x14ac:dyDescent="0.25">
      <c r="A352">
        <v>19111133426</v>
      </c>
      <c r="B352">
        <v>0.19</v>
      </c>
      <c r="C352">
        <v>8153</v>
      </c>
      <c r="D352" t="s">
        <v>144</v>
      </c>
      <c r="E352" t="s">
        <v>54</v>
      </c>
      <c r="F352" t="s">
        <v>54</v>
      </c>
      <c r="G352">
        <v>3</v>
      </c>
      <c r="H352" t="s">
        <v>55</v>
      </c>
      <c r="I352">
        <v>213500</v>
      </c>
      <c r="J352">
        <v>34100</v>
      </c>
      <c r="K352">
        <v>0.19</v>
      </c>
      <c r="L352">
        <f>IF(Wapato_Inventory[[#This Row],[parcel_acres]]-Wapato_Inventory[[#This Row],[non_valued_acres]] =0,0,LN(Wapato_Inventory[[#This Row],[parcel_acres]]-Wapato_Inventory[[#This Row],[non_valued_acres]]))</f>
        <v>-1.6607312068216509</v>
      </c>
      <c r="M352">
        <v>0</v>
      </c>
      <c r="N352">
        <v>0</v>
      </c>
      <c r="O352">
        <v>0</v>
      </c>
      <c r="P352">
        <v>27904.037</v>
      </c>
      <c r="Q352">
        <v>74398</v>
      </c>
      <c r="R352" s="3">
        <f>(Wapato_Inventory[[#This Row],[ln_acres]]*Wapato_Inventory[[#This Row],[coeff]])+Wapato_Inventory[[#This Row],[const]]</f>
        <v>28056.894957794</v>
      </c>
      <c r="S352" t="s">
        <v>56</v>
      </c>
      <c r="T352">
        <v>2</v>
      </c>
      <c r="U352" t="s">
        <v>67</v>
      </c>
      <c r="V352" t="s">
        <v>69</v>
      </c>
      <c r="W352">
        <v>0</v>
      </c>
      <c r="X352">
        <v>0</v>
      </c>
      <c r="Y352">
        <v>53</v>
      </c>
      <c r="Z352">
        <v>93</v>
      </c>
      <c r="AA352">
        <v>100</v>
      </c>
      <c r="AB352">
        <v>2000</v>
      </c>
      <c r="AC352">
        <v>1568</v>
      </c>
      <c r="AD352">
        <v>1368</v>
      </c>
      <c r="AE352">
        <v>200</v>
      </c>
      <c r="AF352">
        <v>0</v>
      </c>
      <c r="AG352">
        <v>0</v>
      </c>
      <c r="AH352">
        <v>350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96</v>
      </c>
      <c r="AO352">
        <v>0</v>
      </c>
      <c r="AP352">
        <v>8</v>
      </c>
      <c r="AQ352">
        <v>0</v>
      </c>
      <c r="AR352">
        <v>0</v>
      </c>
      <c r="AS352" t="s">
        <v>59</v>
      </c>
      <c r="AT352">
        <v>1</v>
      </c>
      <c r="AU352" t="s">
        <v>64</v>
      </c>
      <c r="AV352" t="s">
        <v>65</v>
      </c>
      <c r="AW352">
        <v>1</v>
      </c>
      <c r="AX352">
        <v>3</v>
      </c>
      <c r="AY352">
        <v>0</v>
      </c>
      <c r="AZ352">
        <v>19200</v>
      </c>
      <c r="BA352">
        <v>100</v>
      </c>
      <c r="BB352">
        <v>100</v>
      </c>
      <c r="BC352">
        <v>100</v>
      </c>
      <c r="BD352">
        <v>100</v>
      </c>
      <c r="BE352">
        <v>1</v>
      </c>
      <c r="BF352">
        <v>15000</v>
      </c>
      <c r="BG352">
        <v>1000</v>
      </c>
      <c r="BH352" s="7">
        <f>ROUND(Wapato_Inventory[[#This Row],[detatched_value]]*Lookups!$B$22*Lookups!$H$48,-2)</f>
        <v>17200</v>
      </c>
      <c r="BI352" s="7">
        <f>ROUND(((Wapato_Inventory[[#This Row],[land_extract]]*Lookups!$B$3) +(Lookups!$B$2*0.5))*Lookups!$H$48,-2)</f>
        <v>53800</v>
      </c>
      <c r="BJ352" s="7">
        <f>IF(Wapato_Inventory[[#This Row],[bldg_style]]="",0,Lookups!$B$2*0.5)</f>
        <v>53765.27</v>
      </c>
      <c r="BK352" s="7">
        <f>_xlfn.IFNA(VLOOKUP(Wapato_Inventory[[#This Row],[quality]],Lookups!$H$2:$J$14,3,FALSE),0)</f>
        <v>50405</v>
      </c>
      <c r="BL352" s="7">
        <f>_xlfn.IFNA(VLOOKUP(Wapato_Inventory[[#This Row],[condition]],Lookups!$H$17:$J$24,3,FALSE),0)</f>
        <v>74543</v>
      </c>
      <c r="BM352" s="7">
        <f>Wapato_Inventory[[#This Row],[Age]]*Lookups!$B$16</f>
        <v>-34472.840100000001</v>
      </c>
      <c r="BN352" s="7">
        <f>Wapato_Inventory[[#This Row],[Main Floor]]*Lookups!$B$17</f>
        <v>57183.410951999998</v>
      </c>
      <c r="BO352" s="7">
        <f>Wapato_Inventory[[#This Row],[Upper Floor]]*Lookups!$B$18</f>
        <v>9920.2278000000006</v>
      </c>
      <c r="BP352" s="7">
        <f>Wapato_Inventory[[#This Row],[Fin BSMT]]*Lookups!$B$19</f>
        <v>0</v>
      </c>
      <c r="BQ352" s="7">
        <f>(Wapato_Inventory[[#This Row],[att_gar]]+Wapato_Inventory[[#This Row],[blt_gar]])*Lookups!$B$20</f>
        <v>0</v>
      </c>
      <c r="BR352" s="7">
        <f>Wapato_Inventory[[#This Row],[Patio]]*Lookups!$B$21</f>
        <v>0</v>
      </c>
      <c r="BS352" s="7">
        <f>SUM(Wapato_Inventory[[#This Row],[intercept]:[patio_value]])*Wapato_Inventory[[#This Row],[res_pct]]</f>
        <v>211344.06865199999</v>
      </c>
      <c r="BT352" s="7">
        <f>Wapato_Inventory[[#This Row],[land_value]]</f>
        <v>53800</v>
      </c>
      <c r="BU352" s="2">
        <f>_xlfn.IFNA(VLOOKUP(Wapato_Inventory[[#This Row],[quality]],Lookups!$A$28:$C$37,3,FALSE),1)</f>
        <v>0.97993206410140754</v>
      </c>
      <c r="BV352" s="2">
        <f>_xlfn.IFNA(VLOOKUP(Wapato_Inventory[[#This Row],[condition]],Lookups!$A$41:$C$48,3,FALSE),1)</f>
        <v>0.98442438223270734</v>
      </c>
      <c r="BW352" s="2">
        <f>IF(Wapato_Inventory[[#This Row],[decade]]="",1,_xlfn.IFNA(VLOOKUP(Wapato_Inventory[[#This Row],[decade]],Lookups!$F$28:$H$45,3,FALSE),1))</f>
        <v>1.0114203040664467</v>
      </c>
      <c r="BX352" s="2">
        <f>_xlfn.IFNA(VLOOKUP(Wapato_Inventory[[#This Row],[living_area_range]],Lookups!$K$28:$M$37,3,FALSE),1)</f>
        <v>0.99330894324714125</v>
      </c>
      <c r="BY352" s="2">
        <f>AVERAGE(Wapato_Inventory[[#This Row],[qual_adj]:[range_adj]])</f>
        <v>0.99227142341192576</v>
      </c>
      <c r="BZ352" s="7">
        <f>(Wapato_Inventory[[#This Row],[sum_land]]-IF(Wapato_Inventory[[#This Row],[no_utilities]]=1,12000,0))/IF(Wapato_Inventory[[#This Row],[unbuildable]]=1,2,1)</f>
        <v>53800</v>
      </c>
      <c r="CA352" s="7">
        <f>Wapato_Inventory[[#This Row],[pre_res]]*Wapato_Inventory[[#This Row],[overall_adj]]</f>
        <v>209710.67983098779</v>
      </c>
      <c r="CB352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352" s="3">
        <f>IF(ROUND(Wapato_Inventory[[#This Row],[adj_res]]*Lookups!$H$48,-2)&lt;Wapato_Inventory[[#This Row],[min_res]],Wapato_Inventory[[#This Row],[min_res]],ROUND(Wapato_Inventory[[#This Row],[adj_res]]*Lookups!$H$48,-2))</f>
        <v>199200</v>
      </c>
      <c r="CD352" s="3">
        <f>ROUND(Wapato_Inventory[[#This Row],[det_value]]*Lookups!$H$48,-2)</f>
        <v>16300</v>
      </c>
      <c r="CE352" s="3">
        <f>Wapato_Inventory[[#This Row],[final_res]]+Wapato_Inventory[[#This Row],[final_det]]</f>
        <v>215500</v>
      </c>
      <c r="CF352" s="3">
        <f>Wapato_Inventory[[#This Row],[crop_value]]+Wapato_Inventory[[#This Row],[final_land]]+Wapato_Inventory[[#This Row],[final_imp]]</f>
        <v>266600</v>
      </c>
      <c r="CH352" t="str">
        <f t="shared" si="5"/>
        <v>update valuation set market_land =51100, market_bldg=215500, market_total =266600, market_mdno =405, market_date ='9/10/2023' where link_id = (select link_id from parcel where parcel_year = '2024' and parcel_id = '19111133426');</v>
      </c>
    </row>
    <row r="353" spans="1:86" x14ac:dyDescent="0.25">
      <c r="A353">
        <v>19111133427</v>
      </c>
      <c r="B353">
        <v>0.19</v>
      </c>
      <c r="C353">
        <v>8270</v>
      </c>
      <c r="D353" t="s">
        <v>144</v>
      </c>
      <c r="E353" t="s">
        <v>54</v>
      </c>
      <c r="F353" t="s">
        <v>54</v>
      </c>
      <c r="G353">
        <v>3</v>
      </c>
      <c r="H353" t="s">
        <v>55</v>
      </c>
      <c r="I353">
        <v>185500</v>
      </c>
      <c r="J353">
        <v>34100</v>
      </c>
      <c r="K353">
        <v>0.19</v>
      </c>
      <c r="L353">
        <f>IF(Wapato_Inventory[[#This Row],[parcel_acres]]-Wapato_Inventory[[#This Row],[non_valued_acres]] =0,0,LN(Wapato_Inventory[[#This Row],[parcel_acres]]-Wapato_Inventory[[#This Row],[non_valued_acres]]))</f>
        <v>-1.6607312068216509</v>
      </c>
      <c r="M353">
        <v>0</v>
      </c>
      <c r="N353">
        <v>0</v>
      </c>
      <c r="O353">
        <v>0</v>
      </c>
      <c r="P353">
        <v>27904.037</v>
      </c>
      <c r="Q353">
        <v>74398</v>
      </c>
      <c r="R353" s="3">
        <f>(Wapato_Inventory[[#This Row],[ln_acres]]*Wapato_Inventory[[#This Row],[coeff]])+Wapato_Inventory[[#This Row],[const]]</f>
        <v>28056.894957794</v>
      </c>
      <c r="S353" t="s">
        <v>56</v>
      </c>
      <c r="T353">
        <v>2</v>
      </c>
      <c r="U353" t="s">
        <v>75</v>
      </c>
      <c r="V353" t="s">
        <v>69</v>
      </c>
      <c r="W353">
        <v>0</v>
      </c>
      <c r="X353">
        <v>0</v>
      </c>
      <c r="Y353">
        <v>74</v>
      </c>
      <c r="Z353">
        <v>122</v>
      </c>
      <c r="AA353">
        <v>130</v>
      </c>
      <c r="AB353">
        <v>1500</v>
      </c>
      <c r="AC353">
        <v>1412</v>
      </c>
      <c r="AD353">
        <v>796</v>
      </c>
      <c r="AE353">
        <v>616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599</v>
      </c>
      <c r="AN353">
        <v>0</v>
      </c>
      <c r="AO353">
        <v>599</v>
      </c>
      <c r="AP353">
        <v>7</v>
      </c>
      <c r="AQ353">
        <v>0</v>
      </c>
      <c r="AR353">
        <v>0</v>
      </c>
      <c r="AS353" t="s">
        <v>59</v>
      </c>
      <c r="AT353">
        <v>1</v>
      </c>
      <c r="AU353" t="s">
        <v>72</v>
      </c>
      <c r="AV353" t="s">
        <v>65</v>
      </c>
      <c r="AW353">
        <v>0</v>
      </c>
      <c r="AX353">
        <v>4</v>
      </c>
      <c r="AY353">
        <v>0</v>
      </c>
      <c r="AZ353">
        <v>25000</v>
      </c>
      <c r="BA353">
        <v>100</v>
      </c>
      <c r="BB353">
        <v>100</v>
      </c>
      <c r="BC353">
        <v>100</v>
      </c>
      <c r="BD353">
        <v>100</v>
      </c>
      <c r="BE353">
        <v>1</v>
      </c>
      <c r="BF353">
        <v>15000</v>
      </c>
      <c r="BG353">
        <v>1000</v>
      </c>
      <c r="BH353" s="7">
        <f>ROUND(Wapato_Inventory[[#This Row],[detatched_value]]*Lookups!$B$22*Lookups!$H$48,-2)</f>
        <v>22300</v>
      </c>
      <c r="BI353" s="7">
        <f>ROUND(((Wapato_Inventory[[#This Row],[land_extract]]*Lookups!$B$3) +(Lookups!$B$2*0.5))*Lookups!$H$48,-2)</f>
        <v>53800</v>
      </c>
      <c r="BJ353" s="7">
        <f>IF(Wapato_Inventory[[#This Row],[bldg_style]]="",0,Lookups!$B$2*0.5)</f>
        <v>53765.27</v>
      </c>
      <c r="BK353" s="7">
        <f>_xlfn.IFNA(VLOOKUP(Wapato_Inventory[[#This Row],[quality]],Lookups!$H$2:$J$14,3,FALSE),0)</f>
        <v>48043</v>
      </c>
      <c r="BL353" s="7">
        <f>_xlfn.IFNA(VLOOKUP(Wapato_Inventory[[#This Row],[condition]],Lookups!$H$17:$J$24,3,FALSE),0)</f>
        <v>74543</v>
      </c>
      <c r="BM353" s="7">
        <f>Wapato_Inventory[[#This Row],[Age]]*Lookups!$B$16</f>
        <v>-45222.435400000002</v>
      </c>
      <c r="BN353" s="7">
        <f>Wapato_Inventory[[#This Row],[Main Floor]]*Lookups!$B$17</f>
        <v>33273.388244000002</v>
      </c>
      <c r="BO353" s="7">
        <f>Wapato_Inventory[[#This Row],[Upper Floor]]*Lookups!$B$18</f>
        <v>30554.301624000003</v>
      </c>
      <c r="BP353" s="7">
        <f>Wapato_Inventory[[#This Row],[Fin BSMT]]*Lookups!$B$19</f>
        <v>0</v>
      </c>
      <c r="BQ353" s="7">
        <f>(Wapato_Inventory[[#This Row],[att_gar]]+Wapato_Inventory[[#This Row],[blt_gar]])*Lookups!$B$20</f>
        <v>0</v>
      </c>
      <c r="BR353" s="7">
        <f>Wapato_Inventory[[#This Row],[Patio]]*Lookups!$B$21</f>
        <v>25951.063421000003</v>
      </c>
      <c r="BS353" s="7">
        <f>SUM(Wapato_Inventory[[#This Row],[intercept]:[patio_value]])*Wapato_Inventory[[#This Row],[res_pct]]</f>
        <v>220907.58788900002</v>
      </c>
      <c r="BT353" s="7">
        <f>Wapato_Inventory[[#This Row],[land_value]]</f>
        <v>53800</v>
      </c>
      <c r="BU353" s="2">
        <f>_xlfn.IFNA(VLOOKUP(Wapato_Inventory[[#This Row],[quality]],Lookups!$A$28:$C$37,3,FALSE),1)</f>
        <v>0.98196844879778955</v>
      </c>
      <c r="BV353" s="2">
        <f>_xlfn.IFNA(VLOOKUP(Wapato_Inventory[[#This Row],[condition]],Lookups!$A$41:$C$48,3,FALSE),1)</f>
        <v>0.98442438223270734</v>
      </c>
      <c r="BW353" s="2">
        <f>IF(Wapato_Inventory[[#This Row],[decade]]="",1,_xlfn.IFNA(VLOOKUP(Wapato_Inventory[[#This Row],[decade]],Lookups!$F$28:$H$45,3,FALSE),1))</f>
        <v>0.93664589651353292</v>
      </c>
      <c r="BX353" s="2">
        <f>_xlfn.IFNA(VLOOKUP(Wapato_Inventory[[#This Row],[living_area_range]],Lookups!$K$28:$M$37,3,FALSE),1)</f>
        <v>1.0061411172456287</v>
      </c>
      <c r="BY353" s="2">
        <f>AVERAGE(Wapato_Inventory[[#This Row],[qual_adj]:[range_adj]])</f>
        <v>0.97729496119741466</v>
      </c>
      <c r="BZ353" s="7">
        <f>(Wapato_Inventory[[#This Row],[sum_land]]-IF(Wapato_Inventory[[#This Row],[no_utilities]]=1,12000,0))/IF(Wapato_Inventory[[#This Row],[unbuildable]]=1,2,1)</f>
        <v>53800</v>
      </c>
      <c r="CA353" s="7">
        <f>Wapato_Inventory[[#This Row],[pre_res]]*Wapato_Inventory[[#This Row],[overall_adj]]</f>
        <v>215891.87253419473</v>
      </c>
      <c r="CB353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353" s="3">
        <f>IF(ROUND(Wapato_Inventory[[#This Row],[adj_res]]*Lookups!$H$48,-2)&lt;Wapato_Inventory[[#This Row],[min_res]],Wapato_Inventory[[#This Row],[min_res]],ROUND(Wapato_Inventory[[#This Row],[adj_res]]*Lookups!$H$48,-2))</f>
        <v>205100</v>
      </c>
      <c r="CD353" s="3">
        <f>ROUND(Wapato_Inventory[[#This Row],[det_value]]*Lookups!$H$48,-2)</f>
        <v>21200</v>
      </c>
      <c r="CE353" s="3">
        <f>Wapato_Inventory[[#This Row],[final_res]]+Wapato_Inventory[[#This Row],[final_det]]</f>
        <v>226300</v>
      </c>
      <c r="CF353" s="3">
        <f>Wapato_Inventory[[#This Row],[crop_value]]+Wapato_Inventory[[#This Row],[final_land]]+Wapato_Inventory[[#This Row],[final_imp]]</f>
        <v>277400</v>
      </c>
      <c r="CH353" t="str">
        <f t="shared" si="5"/>
        <v>update valuation set market_land =51100, market_bldg=226300, market_total =277400, market_mdno =405, market_date ='9/10/2023' where link_id = (select link_id from parcel where parcel_year = '2024' and parcel_id = '19111133427');</v>
      </c>
    </row>
    <row r="354" spans="1:86" x14ac:dyDescent="0.25">
      <c r="A354">
        <v>19111133428</v>
      </c>
      <c r="B354">
        <v>0.19</v>
      </c>
      <c r="C354">
        <v>8080</v>
      </c>
      <c r="D354" t="s">
        <v>144</v>
      </c>
      <c r="E354" t="s">
        <v>54</v>
      </c>
      <c r="F354" t="s">
        <v>54</v>
      </c>
      <c r="G354">
        <v>3</v>
      </c>
      <c r="H354" t="s">
        <v>55</v>
      </c>
      <c r="I354">
        <v>81600</v>
      </c>
      <c r="J354">
        <v>34100</v>
      </c>
      <c r="K354">
        <v>0.19</v>
      </c>
      <c r="L354">
        <f>IF(Wapato_Inventory[[#This Row],[parcel_acres]]-Wapato_Inventory[[#This Row],[non_valued_acres]] =0,0,LN(Wapato_Inventory[[#This Row],[parcel_acres]]-Wapato_Inventory[[#This Row],[non_valued_acres]]))</f>
        <v>-1.6607312068216509</v>
      </c>
      <c r="M354">
        <v>0</v>
      </c>
      <c r="N354">
        <v>0</v>
      </c>
      <c r="O354">
        <v>0</v>
      </c>
      <c r="P354">
        <v>27904.037</v>
      </c>
      <c r="Q354">
        <v>74398</v>
      </c>
      <c r="R354" s="3">
        <f>(Wapato_Inventory[[#This Row],[ln_acres]]*Wapato_Inventory[[#This Row],[coeff]])+Wapato_Inventory[[#This Row],[const]]</f>
        <v>28056.894957794</v>
      </c>
      <c r="S354" t="s">
        <v>145</v>
      </c>
      <c r="T354">
        <v>1</v>
      </c>
      <c r="U354" t="s">
        <v>71</v>
      </c>
      <c r="V354" t="s">
        <v>68</v>
      </c>
      <c r="W354">
        <v>0</v>
      </c>
      <c r="X354">
        <v>0</v>
      </c>
      <c r="Y354">
        <v>57</v>
      </c>
      <c r="Z354">
        <v>103</v>
      </c>
      <c r="AA354">
        <v>110</v>
      </c>
      <c r="AB354">
        <v>1000</v>
      </c>
      <c r="AC354">
        <v>784</v>
      </c>
      <c r="AD354">
        <v>784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30</v>
      </c>
      <c r="AN354">
        <v>0</v>
      </c>
      <c r="AO354">
        <v>0</v>
      </c>
      <c r="AP354">
        <v>5</v>
      </c>
      <c r="AQ354">
        <v>0</v>
      </c>
      <c r="AR354">
        <v>0</v>
      </c>
      <c r="AS354" t="s">
        <v>59</v>
      </c>
      <c r="AT354">
        <v>1</v>
      </c>
      <c r="AU354" t="s">
        <v>72</v>
      </c>
      <c r="AV354" t="s">
        <v>65</v>
      </c>
      <c r="AW354">
        <v>0</v>
      </c>
      <c r="AX354">
        <v>2</v>
      </c>
      <c r="AY354">
        <v>0</v>
      </c>
      <c r="AZ354">
        <v>0</v>
      </c>
      <c r="BA354">
        <v>100</v>
      </c>
      <c r="BB354">
        <v>100</v>
      </c>
      <c r="BC354">
        <v>100</v>
      </c>
      <c r="BD354">
        <v>100</v>
      </c>
      <c r="BE354">
        <v>1</v>
      </c>
      <c r="BF354">
        <v>15000</v>
      </c>
      <c r="BG354">
        <v>1000</v>
      </c>
      <c r="BH354" s="7">
        <f>ROUND(Wapato_Inventory[[#This Row],[detatched_value]]*Lookups!$B$22*Lookups!$H$48,-2)</f>
        <v>0</v>
      </c>
      <c r="BI354" s="7">
        <f>ROUND(((Wapato_Inventory[[#This Row],[land_extract]]*Lookups!$B$3) +(Lookups!$B$2*0.5))*Lookups!$H$48,-2)</f>
        <v>53800</v>
      </c>
      <c r="BJ354" s="7">
        <f>IF(Wapato_Inventory[[#This Row],[bldg_style]]="",0,Lookups!$B$2*0.5)</f>
        <v>53765.27</v>
      </c>
      <c r="BK354" s="7">
        <f>_xlfn.IFNA(VLOOKUP(Wapato_Inventory[[#This Row],[quality]],Lookups!$H$2:$J$14,3,FALSE),0)</f>
        <v>28034</v>
      </c>
      <c r="BL354" s="7">
        <f>_xlfn.IFNA(VLOOKUP(Wapato_Inventory[[#This Row],[condition]],Lookups!$H$17:$J$24,3,FALSE),0)</f>
        <v>52231</v>
      </c>
      <c r="BM354" s="7">
        <f>Wapato_Inventory[[#This Row],[Age]]*Lookups!$B$16</f>
        <v>-38179.597099999999</v>
      </c>
      <c r="BN354" s="7">
        <f>Wapato_Inventory[[#This Row],[Main Floor]]*Lookups!$B$17</f>
        <v>32771.779375999999</v>
      </c>
      <c r="BO354" s="7">
        <f>Wapato_Inventory[[#This Row],[Upper Floor]]*Lookups!$B$18</f>
        <v>0</v>
      </c>
      <c r="BP354" s="7">
        <f>Wapato_Inventory[[#This Row],[Fin BSMT]]*Lookups!$B$19</f>
        <v>0</v>
      </c>
      <c r="BQ354" s="7">
        <f>(Wapato_Inventory[[#This Row],[att_gar]]+Wapato_Inventory[[#This Row],[blt_gar]])*Lookups!$B$20</f>
        <v>0</v>
      </c>
      <c r="BR354" s="7">
        <f>Wapato_Inventory[[#This Row],[Patio]]*Lookups!$B$21</f>
        <v>1299.71937</v>
      </c>
      <c r="BS354" s="7">
        <f>SUM(Wapato_Inventory[[#This Row],[intercept]:[patio_value]])*Wapato_Inventory[[#This Row],[res_pct]]</f>
        <v>129922.171646</v>
      </c>
      <c r="BT354" s="7">
        <f>Wapato_Inventory[[#This Row],[land_value]]</f>
        <v>53800</v>
      </c>
      <c r="BU354" s="2">
        <f>_xlfn.IFNA(VLOOKUP(Wapato_Inventory[[#This Row],[quality]],Lookups!$A$28:$C$37,3,FALSE),1)</f>
        <v>0.96265813922927435</v>
      </c>
      <c r="BV354" s="2">
        <f>_xlfn.IFNA(VLOOKUP(Wapato_Inventory[[#This Row],[condition]],Lookups!$A$41:$C$48,3,FALSE),1)</f>
        <v>0.9832333997567807</v>
      </c>
      <c r="BW354" s="2">
        <f>IF(Wapato_Inventory[[#This Row],[decade]]="",1,_xlfn.IFNA(VLOOKUP(Wapato_Inventory[[#This Row],[decade]],Lookups!$F$28:$H$45,3,FALSE),1))</f>
        <v>0.93664589651353292</v>
      </c>
      <c r="BX354" s="2">
        <f>_xlfn.IFNA(VLOOKUP(Wapato_Inventory[[#This Row],[living_area_range]],Lookups!$K$28:$M$37,3,FALSE),1)</f>
        <v>0.99022994770196116</v>
      </c>
      <c r="BY354" s="2">
        <f>AVERAGE(Wapato_Inventory[[#This Row],[qual_adj]:[range_adj]])</f>
        <v>0.9681918458003872</v>
      </c>
      <c r="BZ354" s="7">
        <f>(Wapato_Inventory[[#This Row],[sum_land]]-IF(Wapato_Inventory[[#This Row],[no_utilities]]=1,12000,0))/IF(Wapato_Inventory[[#This Row],[unbuildable]]=1,2,1)</f>
        <v>53800</v>
      </c>
      <c r="CA354" s="7">
        <f>Wapato_Inventory[[#This Row],[pre_res]]*Wapato_Inventory[[#This Row],[overall_adj]]</f>
        <v>125789.58717633547</v>
      </c>
      <c r="CB354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354" s="3">
        <f>IF(ROUND(Wapato_Inventory[[#This Row],[adj_res]]*Lookups!$H$48,-2)&lt;Wapato_Inventory[[#This Row],[min_res]],Wapato_Inventory[[#This Row],[min_res]],ROUND(Wapato_Inventory[[#This Row],[adj_res]]*Lookups!$H$48,-2))</f>
        <v>119500</v>
      </c>
      <c r="CD354" s="3">
        <f>ROUND(Wapato_Inventory[[#This Row],[det_value]]*Lookups!$H$48,-2)</f>
        <v>0</v>
      </c>
      <c r="CE354" s="3">
        <f>Wapato_Inventory[[#This Row],[final_res]]+Wapato_Inventory[[#This Row],[final_det]]</f>
        <v>119500</v>
      </c>
      <c r="CF354" s="3">
        <f>Wapato_Inventory[[#This Row],[crop_value]]+Wapato_Inventory[[#This Row],[final_land]]+Wapato_Inventory[[#This Row],[final_imp]]</f>
        <v>170600</v>
      </c>
      <c r="CH354" t="str">
        <f t="shared" si="5"/>
        <v>update valuation set market_land =51100, market_bldg=119500, market_total =170600, market_mdno =405, market_date ='9/10/2023' where link_id = (select link_id from parcel where parcel_year = '2024' and parcel_id = '19111133428');</v>
      </c>
    </row>
    <row r="355" spans="1:86" x14ac:dyDescent="0.25">
      <c r="A355">
        <v>19111133429</v>
      </c>
      <c r="B355">
        <v>0.18</v>
      </c>
      <c r="C355">
        <v>7980</v>
      </c>
      <c r="D355" t="s">
        <v>144</v>
      </c>
      <c r="E355" t="s">
        <v>54</v>
      </c>
      <c r="F355" t="s">
        <v>54</v>
      </c>
      <c r="G355">
        <v>3</v>
      </c>
      <c r="H355" t="s">
        <v>55</v>
      </c>
      <c r="I355">
        <v>111000</v>
      </c>
      <c r="J355">
        <v>33700</v>
      </c>
      <c r="K355">
        <v>0.18</v>
      </c>
      <c r="L355">
        <f>IF(Wapato_Inventory[[#This Row],[parcel_acres]]-Wapato_Inventory[[#This Row],[non_valued_acres]] =0,0,LN(Wapato_Inventory[[#This Row],[parcel_acres]]-Wapato_Inventory[[#This Row],[non_valued_acres]]))</f>
        <v>-1.7147984280919266</v>
      </c>
      <c r="M355">
        <v>0</v>
      </c>
      <c r="N355">
        <v>0</v>
      </c>
      <c r="O355">
        <v>0</v>
      </c>
      <c r="P355">
        <v>27904.037</v>
      </c>
      <c r="Q355">
        <v>74398</v>
      </c>
      <c r="R355" s="3">
        <f>(Wapato_Inventory[[#This Row],[ln_acres]]*Wapato_Inventory[[#This Row],[coeff]])+Wapato_Inventory[[#This Row],[const]]</f>
        <v>26548.20121498104</v>
      </c>
      <c r="S355" t="s">
        <v>66</v>
      </c>
      <c r="T355">
        <v>1</v>
      </c>
      <c r="U355" t="s">
        <v>71</v>
      </c>
      <c r="V355" t="s">
        <v>68</v>
      </c>
      <c r="W355">
        <v>0</v>
      </c>
      <c r="X355">
        <v>0</v>
      </c>
      <c r="Y355">
        <v>53</v>
      </c>
      <c r="Z355">
        <v>93</v>
      </c>
      <c r="AA355">
        <v>100</v>
      </c>
      <c r="AB355">
        <v>1000</v>
      </c>
      <c r="AC355">
        <v>984</v>
      </c>
      <c r="AD355">
        <v>984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64</v>
      </c>
      <c r="AP355">
        <v>5</v>
      </c>
      <c r="AQ355">
        <v>0</v>
      </c>
      <c r="AR355">
        <v>0</v>
      </c>
      <c r="AS355" t="s">
        <v>59</v>
      </c>
      <c r="AT355">
        <v>1</v>
      </c>
      <c r="AU355" t="s">
        <v>64</v>
      </c>
      <c r="AV355" t="s">
        <v>65</v>
      </c>
      <c r="AW355">
        <v>0</v>
      </c>
      <c r="AX355">
        <v>2</v>
      </c>
      <c r="AY355">
        <v>0</v>
      </c>
      <c r="AZ355">
        <v>5200</v>
      </c>
      <c r="BA355">
        <v>100</v>
      </c>
      <c r="BB355">
        <v>100</v>
      </c>
      <c r="BC355">
        <v>100</v>
      </c>
      <c r="BD355">
        <v>100</v>
      </c>
      <c r="BE355">
        <v>1</v>
      </c>
      <c r="BF355">
        <v>15000</v>
      </c>
      <c r="BG355">
        <v>1000</v>
      </c>
      <c r="BH355" s="7">
        <f>ROUND(Wapato_Inventory[[#This Row],[detatched_value]]*Lookups!$B$22*Lookups!$H$48,-2)</f>
        <v>4600</v>
      </c>
      <c r="BI355" s="7">
        <f>ROUND(((Wapato_Inventory[[#This Row],[land_extract]]*Lookups!$B$3) +(Lookups!$B$2*0.5))*Lookups!$H$48,-2)</f>
        <v>53600</v>
      </c>
      <c r="BJ355" s="7">
        <f>IF(Wapato_Inventory[[#This Row],[bldg_style]]="",0,Lookups!$B$2*0.5)</f>
        <v>53765.27</v>
      </c>
      <c r="BK355" s="7">
        <f>_xlfn.IFNA(VLOOKUP(Wapato_Inventory[[#This Row],[quality]],Lookups!$H$2:$J$14,3,FALSE),0)</f>
        <v>28034</v>
      </c>
      <c r="BL355" s="7">
        <f>_xlfn.IFNA(VLOOKUP(Wapato_Inventory[[#This Row],[condition]],Lookups!$H$17:$J$24,3,FALSE),0)</f>
        <v>52231</v>
      </c>
      <c r="BM355" s="7">
        <f>Wapato_Inventory[[#This Row],[Age]]*Lookups!$B$16</f>
        <v>-34472.840100000001</v>
      </c>
      <c r="BN355" s="7">
        <f>Wapato_Inventory[[#This Row],[Main Floor]]*Lookups!$B$17</f>
        <v>41131.927175999997</v>
      </c>
      <c r="BO355" s="7">
        <f>Wapato_Inventory[[#This Row],[Upper Floor]]*Lookups!$B$18</f>
        <v>0</v>
      </c>
      <c r="BP355" s="7">
        <f>Wapato_Inventory[[#This Row],[Fin BSMT]]*Lookups!$B$19</f>
        <v>0</v>
      </c>
      <c r="BQ355" s="7">
        <f>(Wapato_Inventory[[#This Row],[att_gar]]+Wapato_Inventory[[#This Row],[blt_gar]])*Lookups!$B$20</f>
        <v>0</v>
      </c>
      <c r="BR355" s="7">
        <f>Wapato_Inventory[[#This Row],[Patio]]*Lookups!$B$21</f>
        <v>0</v>
      </c>
      <c r="BS355" s="7">
        <f>SUM(Wapato_Inventory[[#This Row],[intercept]:[patio_value]])*Wapato_Inventory[[#This Row],[res_pct]]</f>
        <v>140689.35707599999</v>
      </c>
      <c r="BT355" s="7">
        <f>Wapato_Inventory[[#This Row],[land_value]]</f>
        <v>53600</v>
      </c>
      <c r="BU355" s="2">
        <f>_xlfn.IFNA(VLOOKUP(Wapato_Inventory[[#This Row],[quality]],Lookups!$A$28:$C$37,3,FALSE),1)</f>
        <v>0.96265813922927435</v>
      </c>
      <c r="BV355" s="2">
        <f>_xlfn.IFNA(VLOOKUP(Wapato_Inventory[[#This Row],[condition]],Lookups!$A$41:$C$48,3,FALSE),1)</f>
        <v>0.9832333997567807</v>
      </c>
      <c r="BW355" s="2">
        <f>IF(Wapato_Inventory[[#This Row],[decade]]="",1,_xlfn.IFNA(VLOOKUP(Wapato_Inventory[[#This Row],[decade]],Lookups!$F$28:$H$45,3,FALSE),1))</f>
        <v>1.0114203040664467</v>
      </c>
      <c r="BX355" s="2">
        <f>_xlfn.IFNA(VLOOKUP(Wapato_Inventory[[#This Row],[living_area_range]],Lookups!$K$28:$M$37,3,FALSE),1)</f>
        <v>0.99022994770196116</v>
      </c>
      <c r="BY355" s="2">
        <f>AVERAGE(Wapato_Inventory[[#This Row],[qual_adj]:[range_adj]])</f>
        <v>0.98688544768861564</v>
      </c>
      <c r="BZ355" s="7">
        <f>(Wapato_Inventory[[#This Row],[sum_land]]-IF(Wapato_Inventory[[#This Row],[no_utilities]]=1,12000,0))/IF(Wapato_Inventory[[#This Row],[unbuildable]]=1,2,1)</f>
        <v>53600</v>
      </c>
      <c r="CA355" s="7">
        <f>Wapato_Inventory[[#This Row],[pre_res]]*Wapato_Inventory[[#This Row],[overall_adj]]</f>
        <v>138844.27914297176</v>
      </c>
      <c r="CB355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55" s="3">
        <f>IF(ROUND(Wapato_Inventory[[#This Row],[adj_res]]*Lookups!$H$48,-2)&lt;Wapato_Inventory[[#This Row],[min_res]],Wapato_Inventory[[#This Row],[min_res]],ROUND(Wapato_Inventory[[#This Row],[adj_res]]*Lookups!$H$48,-2))</f>
        <v>131900</v>
      </c>
      <c r="CD355" s="3">
        <f>ROUND(Wapato_Inventory[[#This Row],[det_value]]*Lookups!$H$48,-2)</f>
        <v>4400</v>
      </c>
      <c r="CE355" s="3">
        <f>Wapato_Inventory[[#This Row],[final_res]]+Wapato_Inventory[[#This Row],[final_det]]</f>
        <v>136300</v>
      </c>
      <c r="CF355" s="3">
        <f>Wapato_Inventory[[#This Row],[crop_value]]+Wapato_Inventory[[#This Row],[final_land]]+Wapato_Inventory[[#This Row],[final_imp]]</f>
        <v>187200</v>
      </c>
      <c r="CH355" t="str">
        <f t="shared" si="5"/>
        <v>update valuation set market_land =50900, market_bldg=136300, market_total =187200, market_mdno =405, market_date ='9/10/2023' where link_id = (select link_id from parcel where parcel_year = '2024' and parcel_id = '19111133429');</v>
      </c>
    </row>
    <row r="356" spans="1:86" x14ac:dyDescent="0.25">
      <c r="A356">
        <v>19111133430</v>
      </c>
      <c r="B356">
        <v>0.19</v>
      </c>
      <c r="C356">
        <v>8432</v>
      </c>
      <c r="D356" t="s">
        <v>144</v>
      </c>
      <c r="E356" t="s">
        <v>54</v>
      </c>
      <c r="F356" t="s">
        <v>54</v>
      </c>
      <c r="G356">
        <v>3</v>
      </c>
      <c r="H356" t="s">
        <v>55</v>
      </c>
      <c r="I356">
        <v>99800</v>
      </c>
      <c r="J356">
        <v>34100</v>
      </c>
      <c r="K356">
        <v>0.19</v>
      </c>
      <c r="L356">
        <f>IF(Wapato_Inventory[[#This Row],[parcel_acres]]-Wapato_Inventory[[#This Row],[non_valued_acres]] =0,0,LN(Wapato_Inventory[[#This Row],[parcel_acres]]-Wapato_Inventory[[#This Row],[non_valued_acres]]))</f>
        <v>-1.6607312068216509</v>
      </c>
      <c r="M356">
        <v>0</v>
      </c>
      <c r="N356">
        <v>0</v>
      </c>
      <c r="O356">
        <v>0</v>
      </c>
      <c r="P356">
        <v>27904.037</v>
      </c>
      <c r="Q356">
        <v>74398</v>
      </c>
      <c r="R356" s="3">
        <f>(Wapato_Inventory[[#This Row],[ln_acres]]*Wapato_Inventory[[#This Row],[coeff]])+Wapato_Inventory[[#This Row],[const]]</f>
        <v>28056.894957794</v>
      </c>
      <c r="S356" t="s">
        <v>66</v>
      </c>
      <c r="T356">
        <v>1</v>
      </c>
      <c r="U356" t="s">
        <v>71</v>
      </c>
      <c r="V356" t="s">
        <v>68</v>
      </c>
      <c r="W356">
        <v>0</v>
      </c>
      <c r="X356">
        <v>0</v>
      </c>
      <c r="Y356">
        <v>57</v>
      </c>
      <c r="Z356">
        <v>103</v>
      </c>
      <c r="AA356">
        <v>110</v>
      </c>
      <c r="AB356">
        <v>1000</v>
      </c>
      <c r="AC356">
        <v>925</v>
      </c>
      <c r="AD356">
        <v>925</v>
      </c>
      <c r="AE356">
        <v>0</v>
      </c>
      <c r="AF356">
        <v>0</v>
      </c>
      <c r="AG356">
        <v>0</v>
      </c>
      <c r="AH356">
        <v>180</v>
      </c>
      <c r="AI356">
        <v>0</v>
      </c>
      <c r="AJ356">
        <v>0</v>
      </c>
      <c r="AK356">
        <v>216</v>
      </c>
      <c r="AL356">
        <v>0</v>
      </c>
      <c r="AM356">
        <v>0</v>
      </c>
      <c r="AN356">
        <v>0</v>
      </c>
      <c r="AO356">
        <v>0</v>
      </c>
      <c r="AP356">
        <v>5</v>
      </c>
      <c r="AQ356">
        <v>0</v>
      </c>
      <c r="AR356">
        <v>0</v>
      </c>
      <c r="AS356" t="s">
        <v>59</v>
      </c>
      <c r="AT356">
        <v>1</v>
      </c>
      <c r="AU356" t="s">
        <v>64</v>
      </c>
      <c r="AV356" t="s">
        <v>65</v>
      </c>
      <c r="AW356">
        <v>0</v>
      </c>
      <c r="AX356">
        <v>2</v>
      </c>
      <c r="AY356">
        <v>0</v>
      </c>
      <c r="AZ356">
        <v>0</v>
      </c>
      <c r="BA356">
        <v>100</v>
      </c>
      <c r="BB356">
        <v>100</v>
      </c>
      <c r="BC356">
        <v>100</v>
      </c>
      <c r="BD356">
        <v>100</v>
      </c>
      <c r="BE356">
        <v>1</v>
      </c>
      <c r="BF356">
        <v>15000</v>
      </c>
      <c r="BG356">
        <v>1000</v>
      </c>
      <c r="BH356" s="7">
        <f>ROUND(Wapato_Inventory[[#This Row],[detatched_value]]*Lookups!$B$22*Lookups!$H$48,-2)</f>
        <v>0</v>
      </c>
      <c r="BI356" s="7">
        <f>ROUND(((Wapato_Inventory[[#This Row],[land_extract]]*Lookups!$B$3) +(Lookups!$B$2*0.5))*Lookups!$H$48,-2)</f>
        <v>53800</v>
      </c>
      <c r="BJ356" s="7">
        <f>IF(Wapato_Inventory[[#This Row],[bldg_style]]="",0,Lookups!$B$2*0.5)</f>
        <v>53765.27</v>
      </c>
      <c r="BK356" s="7">
        <f>_xlfn.IFNA(VLOOKUP(Wapato_Inventory[[#This Row],[quality]],Lookups!$H$2:$J$14,3,FALSE),0)</f>
        <v>28034</v>
      </c>
      <c r="BL356" s="7">
        <f>_xlfn.IFNA(VLOOKUP(Wapato_Inventory[[#This Row],[condition]],Lookups!$H$17:$J$24,3,FALSE),0)</f>
        <v>52231</v>
      </c>
      <c r="BM356" s="7">
        <f>Wapato_Inventory[[#This Row],[Age]]*Lookups!$B$16</f>
        <v>-38179.597099999999</v>
      </c>
      <c r="BN356" s="7">
        <f>Wapato_Inventory[[#This Row],[Main Floor]]*Lookups!$B$17</f>
        <v>38665.683575000003</v>
      </c>
      <c r="BO356" s="7">
        <f>Wapato_Inventory[[#This Row],[Upper Floor]]*Lookups!$B$18</f>
        <v>0</v>
      </c>
      <c r="BP356" s="7">
        <f>Wapato_Inventory[[#This Row],[Fin BSMT]]*Lookups!$B$19</f>
        <v>0</v>
      </c>
      <c r="BQ356" s="7">
        <f>(Wapato_Inventory[[#This Row],[att_gar]]+Wapato_Inventory[[#This Row],[blt_gar]])*Lookups!$B$20</f>
        <v>0</v>
      </c>
      <c r="BR356" s="7">
        <f>Wapato_Inventory[[#This Row],[Patio]]*Lookups!$B$21</f>
        <v>0</v>
      </c>
      <c r="BS356" s="7">
        <f>SUM(Wapato_Inventory[[#This Row],[intercept]:[patio_value]])*Wapato_Inventory[[#This Row],[res_pct]]</f>
        <v>134516.35647499998</v>
      </c>
      <c r="BT356" s="7">
        <f>Wapato_Inventory[[#This Row],[land_value]]</f>
        <v>53800</v>
      </c>
      <c r="BU356" s="2">
        <f>_xlfn.IFNA(VLOOKUP(Wapato_Inventory[[#This Row],[quality]],Lookups!$A$28:$C$37,3,FALSE),1)</f>
        <v>0.96265813922927435</v>
      </c>
      <c r="BV356" s="2">
        <f>_xlfn.IFNA(VLOOKUP(Wapato_Inventory[[#This Row],[condition]],Lookups!$A$41:$C$48,3,FALSE),1)</f>
        <v>0.9832333997567807</v>
      </c>
      <c r="BW356" s="2">
        <f>IF(Wapato_Inventory[[#This Row],[decade]]="",1,_xlfn.IFNA(VLOOKUP(Wapato_Inventory[[#This Row],[decade]],Lookups!$F$28:$H$45,3,FALSE),1))</f>
        <v>0.93664589651353292</v>
      </c>
      <c r="BX356" s="2">
        <f>_xlfn.IFNA(VLOOKUP(Wapato_Inventory[[#This Row],[living_area_range]],Lookups!$K$28:$M$37,3,FALSE),1)</f>
        <v>0.99022994770196116</v>
      </c>
      <c r="BY356" s="2">
        <f>AVERAGE(Wapato_Inventory[[#This Row],[qual_adj]:[range_adj]])</f>
        <v>0.9681918458003872</v>
      </c>
      <c r="BZ356" s="7">
        <f>(Wapato_Inventory[[#This Row],[sum_land]]-IF(Wapato_Inventory[[#This Row],[no_utilities]]=1,12000,0))/IF(Wapato_Inventory[[#This Row],[unbuildable]]=1,2,1)</f>
        <v>53800</v>
      </c>
      <c r="CA356" s="7">
        <f>Wapato_Inventory[[#This Row],[pre_res]]*Wapato_Inventory[[#This Row],[overall_adj]]</f>
        <v>130237.6394658731</v>
      </c>
      <c r="CB356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356" s="3">
        <f>IF(ROUND(Wapato_Inventory[[#This Row],[adj_res]]*Lookups!$H$48,-2)&lt;Wapato_Inventory[[#This Row],[min_res]],Wapato_Inventory[[#This Row],[min_res]],ROUND(Wapato_Inventory[[#This Row],[adj_res]]*Lookups!$H$48,-2))</f>
        <v>123700</v>
      </c>
      <c r="CD356" s="3">
        <f>ROUND(Wapato_Inventory[[#This Row],[det_value]]*Lookups!$H$48,-2)</f>
        <v>0</v>
      </c>
      <c r="CE356" s="3">
        <f>Wapato_Inventory[[#This Row],[final_res]]+Wapato_Inventory[[#This Row],[final_det]]</f>
        <v>123700</v>
      </c>
      <c r="CF356" s="3">
        <f>Wapato_Inventory[[#This Row],[crop_value]]+Wapato_Inventory[[#This Row],[final_land]]+Wapato_Inventory[[#This Row],[final_imp]]</f>
        <v>174800</v>
      </c>
      <c r="CH356" t="str">
        <f t="shared" si="5"/>
        <v>update valuation set market_land =51100, market_bldg=123700, market_total =174800, market_mdno =405, market_date ='9/10/2023' where link_id = (select link_id from parcel where parcel_year = '2024' and parcel_id = '19111133430');</v>
      </c>
    </row>
    <row r="357" spans="1:86" x14ac:dyDescent="0.25">
      <c r="A357">
        <v>19111133431</v>
      </c>
      <c r="B357">
        <v>0.18</v>
      </c>
      <c r="C357">
        <v>7887</v>
      </c>
      <c r="D357" t="s">
        <v>144</v>
      </c>
      <c r="E357" t="s">
        <v>54</v>
      </c>
      <c r="F357" t="s">
        <v>54</v>
      </c>
      <c r="G357">
        <v>3</v>
      </c>
      <c r="H357" t="s">
        <v>55</v>
      </c>
      <c r="I357">
        <v>130900</v>
      </c>
      <c r="J357">
        <v>33700</v>
      </c>
      <c r="K357">
        <v>0.18</v>
      </c>
      <c r="L357">
        <f>IF(Wapato_Inventory[[#This Row],[parcel_acres]]-Wapato_Inventory[[#This Row],[non_valued_acres]] =0,0,LN(Wapato_Inventory[[#This Row],[parcel_acres]]-Wapato_Inventory[[#This Row],[non_valued_acres]]))</f>
        <v>-1.7147984280919266</v>
      </c>
      <c r="M357">
        <v>0</v>
      </c>
      <c r="N357">
        <v>0</v>
      </c>
      <c r="O357">
        <v>0</v>
      </c>
      <c r="P357">
        <v>27904.037</v>
      </c>
      <c r="Q357">
        <v>74398</v>
      </c>
      <c r="R357" s="3">
        <f>(Wapato_Inventory[[#This Row],[ln_acres]]*Wapato_Inventory[[#This Row],[coeff]])+Wapato_Inventory[[#This Row],[const]]</f>
        <v>26548.20121498104</v>
      </c>
      <c r="S357" t="s">
        <v>66</v>
      </c>
      <c r="T357">
        <v>1</v>
      </c>
      <c r="U357" t="s">
        <v>71</v>
      </c>
      <c r="V357" t="s">
        <v>69</v>
      </c>
      <c r="W357">
        <v>0</v>
      </c>
      <c r="X357">
        <v>0</v>
      </c>
      <c r="Y357">
        <v>50</v>
      </c>
      <c r="Z357">
        <v>73</v>
      </c>
      <c r="AA357">
        <v>80</v>
      </c>
      <c r="AB357">
        <v>1000</v>
      </c>
      <c r="AC357">
        <v>701</v>
      </c>
      <c r="AD357">
        <v>701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243</v>
      </c>
      <c r="AL357">
        <v>0</v>
      </c>
      <c r="AM357">
        <v>0</v>
      </c>
      <c r="AN357">
        <v>0</v>
      </c>
      <c r="AO357">
        <v>0</v>
      </c>
      <c r="AP357">
        <v>5</v>
      </c>
      <c r="AQ357">
        <v>0</v>
      </c>
      <c r="AR357">
        <v>0</v>
      </c>
      <c r="AS357" t="s">
        <v>59</v>
      </c>
      <c r="AT357">
        <v>1</v>
      </c>
      <c r="AU357" t="s">
        <v>76</v>
      </c>
      <c r="AV357" t="s">
        <v>61</v>
      </c>
      <c r="AW357">
        <v>0</v>
      </c>
      <c r="AX357">
        <v>2</v>
      </c>
      <c r="AY357">
        <v>0</v>
      </c>
      <c r="AZ357">
        <v>0</v>
      </c>
      <c r="BA357">
        <v>100</v>
      </c>
      <c r="BB357">
        <v>100</v>
      </c>
      <c r="BC357">
        <v>100</v>
      </c>
      <c r="BD357">
        <v>100</v>
      </c>
      <c r="BE357">
        <v>1</v>
      </c>
      <c r="BF357">
        <v>15000</v>
      </c>
      <c r="BG357">
        <v>1000</v>
      </c>
      <c r="BH357" s="7">
        <f>ROUND(Wapato_Inventory[[#This Row],[detatched_value]]*Lookups!$B$22*Lookups!$H$48,-2)</f>
        <v>0</v>
      </c>
      <c r="BI357" s="7">
        <f>ROUND(((Wapato_Inventory[[#This Row],[land_extract]]*Lookups!$B$3) +(Lookups!$B$2*0.5))*Lookups!$H$48,-2)</f>
        <v>53600</v>
      </c>
      <c r="BJ357" s="7">
        <f>IF(Wapato_Inventory[[#This Row],[bldg_style]]="",0,Lookups!$B$2*0.5)</f>
        <v>53765.27</v>
      </c>
      <c r="BK357" s="7">
        <f>_xlfn.IFNA(VLOOKUP(Wapato_Inventory[[#This Row],[quality]],Lookups!$H$2:$J$14,3,FALSE),0)</f>
        <v>28034</v>
      </c>
      <c r="BL357" s="7">
        <f>_xlfn.IFNA(VLOOKUP(Wapato_Inventory[[#This Row],[condition]],Lookups!$H$17:$J$24,3,FALSE),0)</f>
        <v>74543</v>
      </c>
      <c r="BM357" s="7">
        <f>Wapato_Inventory[[#This Row],[Age]]*Lookups!$B$16</f>
        <v>-27059.326100000002</v>
      </c>
      <c r="BN357" s="7">
        <f>Wapato_Inventory[[#This Row],[Main Floor]]*Lookups!$B$17</f>
        <v>29302.318039000002</v>
      </c>
      <c r="BO357" s="7">
        <f>Wapato_Inventory[[#This Row],[Upper Floor]]*Lookups!$B$18</f>
        <v>0</v>
      </c>
      <c r="BP357" s="7">
        <f>Wapato_Inventory[[#This Row],[Fin BSMT]]*Lookups!$B$19</f>
        <v>0</v>
      </c>
      <c r="BQ357" s="7">
        <f>(Wapato_Inventory[[#This Row],[att_gar]]+Wapato_Inventory[[#This Row],[blt_gar]])*Lookups!$B$20</f>
        <v>0</v>
      </c>
      <c r="BR357" s="7">
        <f>Wapato_Inventory[[#This Row],[Patio]]*Lookups!$B$21</f>
        <v>0</v>
      </c>
      <c r="BS357" s="7">
        <f>SUM(Wapato_Inventory[[#This Row],[intercept]:[patio_value]])*Wapato_Inventory[[#This Row],[res_pct]]</f>
        <v>158585.26193899999</v>
      </c>
      <c r="BT357" s="7">
        <f>Wapato_Inventory[[#This Row],[land_value]]</f>
        <v>53600</v>
      </c>
      <c r="BU357" s="2">
        <f>_xlfn.IFNA(VLOOKUP(Wapato_Inventory[[#This Row],[quality]],Lookups!$A$28:$C$37,3,FALSE),1)</f>
        <v>0.96265813922927435</v>
      </c>
      <c r="BV357" s="2">
        <f>_xlfn.IFNA(VLOOKUP(Wapato_Inventory[[#This Row],[condition]],Lookups!$A$41:$C$48,3,FALSE),1)</f>
        <v>0.98442438223270734</v>
      </c>
      <c r="BW357" s="2">
        <f>IF(Wapato_Inventory[[#This Row],[decade]]="",1,_xlfn.IFNA(VLOOKUP(Wapato_Inventory[[#This Row],[decade]],Lookups!$F$28:$H$45,3,FALSE),1))</f>
        <v>0.8438929209510081</v>
      </c>
      <c r="BX357" s="2">
        <f>_xlfn.IFNA(VLOOKUP(Wapato_Inventory[[#This Row],[living_area_range]],Lookups!$K$28:$M$37,3,FALSE),1)</f>
        <v>0.99022994770196116</v>
      </c>
      <c r="BY357" s="2">
        <f>AVERAGE(Wapato_Inventory[[#This Row],[qual_adj]:[range_adj]])</f>
        <v>0.94530134752873773</v>
      </c>
      <c r="BZ357" s="7">
        <f>(Wapato_Inventory[[#This Row],[sum_land]]-IF(Wapato_Inventory[[#This Row],[no_utilities]]=1,12000,0))/IF(Wapato_Inventory[[#This Row],[unbuildable]]=1,2,1)</f>
        <v>53600</v>
      </c>
      <c r="CA357" s="7">
        <f>Wapato_Inventory[[#This Row],[pre_res]]*Wapato_Inventory[[#This Row],[overall_adj]]</f>
        <v>149910.86180913454</v>
      </c>
      <c r="CB357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57" s="3">
        <f>IF(ROUND(Wapato_Inventory[[#This Row],[adj_res]]*Lookups!$H$48,-2)&lt;Wapato_Inventory[[#This Row],[min_res]],Wapato_Inventory[[#This Row],[min_res]],ROUND(Wapato_Inventory[[#This Row],[adj_res]]*Lookups!$H$48,-2))</f>
        <v>142400</v>
      </c>
      <c r="CD357" s="3">
        <f>ROUND(Wapato_Inventory[[#This Row],[det_value]]*Lookups!$H$48,-2)</f>
        <v>0</v>
      </c>
      <c r="CE357" s="3">
        <f>Wapato_Inventory[[#This Row],[final_res]]+Wapato_Inventory[[#This Row],[final_det]]</f>
        <v>142400</v>
      </c>
      <c r="CF357" s="3">
        <f>Wapato_Inventory[[#This Row],[crop_value]]+Wapato_Inventory[[#This Row],[final_land]]+Wapato_Inventory[[#This Row],[final_imp]]</f>
        <v>193300</v>
      </c>
      <c r="CH357" t="str">
        <f t="shared" si="5"/>
        <v>update valuation set market_land =50900, market_bldg=142400, market_total =193300, market_mdno =405, market_date ='9/10/2023' where link_id = (select link_id from parcel where parcel_year = '2024' and parcel_id = '19111133431');</v>
      </c>
    </row>
    <row r="358" spans="1:86" x14ac:dyDescent="0.25">
      <c r="A358">
        <v>19111133432</v>
      </c>
      <c r="B358">
        <v>0.18</v>
      </c>
      <c r="C358">
        <v>8054</v>
      </c>
      <c r="D358" t="s">
        <v>144</v>
      </c>
      <c r="E358" t="s">
        <v>54</v>
      </c>
      <c r="F358" t="s">
        <v>54</v>
      </c>
      <c r="G358">
        <v>3</v>
      </c>
      <c r="H358" t="s">
        <v>55</v>
      </c>
      <c r="I358">
        <v>49400</v>
      </c>
      <c r="J358">
        <v>33700</v>
      </c>
      <c r="K358">
        <v>0.18</v>
      </c>
      <c r="L358">
        <f>IF(Wapato_Inventory[[#This Row],[parcel_acres]]-Wapato_Inventory[[#This Row],[non_valued_acres]] =0,0,LN(Wapato_Inventory[[#This Row],[parcel_acres]]-Wapato_Inventory[[#This Row],[non_valued_acres]]))</f>
        <v>-1.7147984280919266</v>
      </c>
      <c r="M358">
        <v>0</v>
      </c>
      <c r="N358">
        <v>0</v>
      </c>
      <c r="O358">
        <v>0</v>
      </c>
      <c r="P358">
        <v>27904.037</v>
      </c>
      <c r="Q358">
        <v>74398</v>
      </c>
      <c r="R358" s="3">
        <f>(Wapato_Inventory[[#This Row],[ln_acres]]*Wapato_Inventory[[#This Row],[coeff]])+Wapato_Inventory[[#This Row],[const]]</f>
        <v>26548.20121498104</v>
      </c>
      <c r="S358" t="s">
        <v>83</v>
      </c>
      <c r="T358">
        <v>1</v>
      </c>
      <c r="U358" t="s">
        <v>86</v>
      </c>
      <c r="V358" t="s">
        <v>73</v>
      </c>
      <c r="W358">
        <v>0</v>
      </c>
      <c r="X358">
        <v>0</v>
      </c>
      <c r="Y358">
        <v>103</v>
      </c>
      <c r="Z358">
        <v>103</v>
      </c>
      <c r="AA358">
        <v>110</v>
      </c>
      <c r="AB358">
        <v>1000</v>
      </c>
      <c r="AC358">
        <v>936</v>
      </c>
      <c r="AD358">
        <v>936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5</v>
      </c>
      <c r="AQ358">
        <v>0</v>
      </c>
      <c r="AR358">
        <v>0</v>
      </c>
      <c r="AS358" t="s">
        <v>59</v>
      </c>
      <c r="AT358">
        <v>0</v>
      </c>
      <c r="AU358" t="s">
        <v>80</v>
      </c>
      <c r="AV358" t="s">
        <v>158</v>
      </c>
      <c r="AW358">
        <v>0</v>
      </c>
      <c r="AX358">
        <v>4</v>
      </c>
      <c r="AY358">
        <v>0</v>
      </c>
      <c r="AZ358">
        <v>0</v>
      </c>
      <c r="BA358">
        <v>100</v>
      </c>
      <c r="BB358">
        <v>100</v>
      </c>
      <c r="BC358">
        <v>100</v>
      </c>
      <c r="BD358">
        <v>100</v>
      </c>
      <c r="BE358">
        <v>1</v>
      </c>
      <c r="BF358">
        <v>15000</v>
      </c>
      <c r="BG358">
        <v>1000</v>
      </c>
      <c r="BH358" s="7">
        <f>ROUND(Wapato_Inventory[[#This Row],[detatched_value]]*Lookups!$B$22*Lookups!$H$48,-2)</f>
        <v>0</v>
      </c>
      <c r="BI358" s="7">
        <f>ROUND(((Wapato_Inventory[[#This Row],[land_extract]]*Lookups!$B$3) +(Lookups!$B$2*0.5))*Lookups!$H$48,-2)</f>
        <v>53600</v>
      </c>
      <c r="BJ358" s="7">
        <f>IF(Wapato_Inventory[[#This Row],[bldg_style]]="",0,Lookups!$B$2*0.5)</f>
        <v>53765.27</v>
      </c>
      <c r="BK358" s="7">
        <f>_xlfn.IFNA(VLOOKUP(Wapato_Inventory[[#This Row],[quality]],Lookups!$H$2:$J$14,3,FALSE),0)</f>
        <v>0</v>
      </c>
      <c r="BL358" s="7">
        <f>_xlfn.IFNA(VLOOKUP(Wapato_Inventory[[#This Row],[condition]],Lookups!$H$17:$J$24,3,FALSE),0)</f>
        <v>16276</v>
      </c>
      <c r="BM358" s="7">
        <f>Wapato_Inventory[[#This Row],[Age]]*Lookups!$B$16</f>
        <v>-38179.597099999999</v>
      </c>
      <c r="BN358" s="7">
        <f>Wapato_Inventory[[#This Row],[Main Floor]]*Lookups!$B$17</f>
        <v>39125.491704</v>
      </c>
      <c r="BO358" s="7">
        <f>Wapato_Inventory[[#This Row],[Upper Floor]]*Lookups!$B$18</f>
        <v>0</v>
      </c>
      <c r="BP358" s="7">
        <f>Wapato_Inventory[[#This Row],[Fin BSMT]]*Lookups!$B$19</f>
        <v>0</v>
      </c>
      <c r="BQ358" s="7">
        <f>(Wapato_Inventory[[#This Row],[att_gar]]+Wapato_Inventory[[#This Row],[blt_gar]])*Lookups!$B$20</f>
        <v>0</v>
      </c>
      <c r="BR358" s="7">
        <f>Wapato_Inventory[[#This Row],[Patio]]*Lookups!$B$21</f>
        <v>0</v>
      </c>
      <c r="BS358" s="7">
        <f>SUM(Wapato_Inventory[[#This Row],[intercept]:[patio_value]])*Wapato_Inventory[[#This Row],[res_pct]]</f>
        <v>70987.164603999991</v>
      </c>
      <c r="BT358" s="7">
        <f>Wapato_Inventory[[#This Row],[land_value]]</f>
        <v>53600</v>
      </c>
      <c r="BU358" s="2">
        <f>_xlfn.IFNA(VLOOKUP(Wapato_Inventory[[#This Row],[quality]],Lookups!$A$28:$C$37,3,FALSE),1)</f>
        <v>1.0000010866511106</v>
      </c>
      <c r="BV358" s="2">
        <f>_xlfn.IFNA(VLOOKUP(Wapato_Inventory[[#This Row],[condition]],Lookups!$A$41:$C$48,3,FALSE),1)</f>
        <v>0.93399385491337139</v>
      </c>
      <c r="BW358" s="2">
        <f>IF(Wapato_Inventory[[#This Row],[decade]]="",1,_xlfn.IFNA(VLOOKUP(Wapato_Inventory[[#This Row],[decade]],Lookups!$F$28:$H$45,3,FALSE),1))</f>
        <v>0.93664589651353292</v>
      </c>
      <c r="BX358" s="2">
        <f>_xlfn.IFNA(VLOOKUP(Wapato_Inventory[[#This Row],[living_area_range]],Lookups!$K$28:$M$37,3,FALSE),1)</f>
        <v>0.99022994770196116</v>
      </c>
      <c r="BY358" s="2">
        <f>AVERAGE(Wapato_Inventory[[#This Row],[qual_adj]:[range_adj]])</f>
        <v>0.965217696444994</v>
      </c>
      <c r="BZ358" s="7">
        <f>(Wapato_Inventory[[#This Row],[sum_land]]-IF(Wapato_Inventory[[#This Row],[no_utilities]]=1,12000,0))/IF(Wapato_Inventory[[#This Row],[unbuildable]]=1,2,1)</f>
        <v>53600</v>
      </c>
      <c r="CA358" s="7">
        <f>Wapato_Inventory[[#This Row],[pre_res]]*Wapato_Inventory[[#This Row],[overall_adj]]</f>
        <v>68518.067496234478</v>
      </c>
      <c r="CB358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58" s="3">
        <f>IF(ROUND(Wapato_Inventory[[#This Row],[adj_res]]*Lookups!$H$48,-2)&lt;Wapato_Inventory[[#This Row],[min_res]],Wapato_Inventory[[#This Row],[min_res]],ROUND(Wapato_Inventory[[#This Row],[adj_res]]*Lookups!$H$48,-2))</f>
        <v>65100</v>
      </c>
      <c r="CD358" s="3">
        <f>ROUND(Wapato_Inventory[[#This Row],[det_value]]*Lookups!$H$48,-2)</f>
        <v>0</v>
      </c>
      <c r="CE358" s="3">
        <f>Wapato_Inventory[[#This Row],[final_res]]+Wapato_Inventory[[#This Row],[final_det]]</f>
        <v>65100</v>
      </c>
      <c r="CF358" s="3">
        <f>Wapato_Inventory[[#This Row],[crop_value]]+Wapato_Inventory[[#This Row],[final_land]]+Wapato_Inventory[[#This Row],[final_imp]]</f>
        <v>116000</v>
      </c>
      <c r="CH358" t="str">
        <f t="shared" si="5"/>
        <v>update valuation set market_land =50900, market_bldg=65100, market_total =116000, market_mdno =405, market_date ='9/10/2023' where link_id = (select link_id from parcel where parcel_year = '2024' and parcel_id = '19111133432');</v>
      </c>
    </row>
    <row r="359" spans="1:86" x14ac:dyDescent="0.25">
      <c r="A359">
        <v>19111133433</v>
      </c>
      <c r="B359">
        <v>0.19</v>
      </c>
      <c r="C359">
        <v>8472</v>
      </c>
      <c r="D359" t="s">
        <v>144</v>
      </c>
      <c r="E359" t="s">
        <v>54</v>
      </c>
      <c r="F359" t="s">
        <v>54</v>
      </c>
      <c r="G359">
        <v>3</v>
      </c>
      <c r="H359" t="s">
        <v>55</v>
      </c>
      <c r="I359">
        <v>158200</v>
      </c>
      <c r="J359">
        <v>34100</v>
      </c>
      <c r="K359">
        <v>0.19</v>
      </c>
      <c r="L359">
        <f>IF(Wapato_Inventory[[#This Row],[parcel_acres]]-Wapato_Inventory[[#This Row],[non_valued_acres]] =0,0,LN(Wapato_Inventory[[#This Row],[parcel_acres]]-Wapato_Inventory[[#This Row],[non_valued_acres]]))</f>
        <v>-1.6607312068216509</v>
      </c>
      <c r="M359">
        <v>0</v>
      </c>
      <c r="N359">
        <v>0</v>
      </c>
      <c r="O359">
        <v>0</v>
      </c>
      <c r="P359">
        <v>27904.037</v>
      </c>
      <c r="Q359">
        <v>74398</v>
      </c>
      <c r="R359" s="3">
        <f>(Wapato_Inventory[[#This Row],[ln_acres]]*Wapato_Inventory[[#This Row],[coeff]])+Wapato_Inventory[[#This Row],[const]]</f>
        <v>28056.894957794</v>
      </c>
      <c r="S359" t="s">
        <v>56</v>
      </c>
      <c r="T359">
        <v>2</v>
      </c>
      <c r="U359" t="s">
        <v>75</v>
      </c>
      <c r="V359" t="s">
        <v>68</v>
      </c>
      <c r="W359">
        <v>0</v>
      </c>
      <c r="X359">
        <v>0</v>
      </c>
      <c r="Y359">
        <v>57</v>
      </c>
      <c r="Z359">
        <v>103</v>
      </c>
      <c r="AA359">
        <v>110</v>
      </c>
      <c r="AB359">
        <v>2000</v>
      </c>
      <c r="AC359">
        <v>1568</v>
      </c>
      <c r="AD359">
        <v>1232</v>
      </c>
      <c r="AE359">
        <v>336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5</v>
      </c>
      <c r="AQ359">
        <v>0</v>
      </c>
      <c r="AR359">
        <v>0</v>
      </c>
      <c r="AS359" t="s">
        <v>59</v>
      </c>
      <c r="AT359">
        <v>0</v>
      </c>
      <c r="AU359" t="s">
        <v>80</v>
      </c>
      <c r="AV359" t="s">
        <v>65</v>
      </c>
      <c r="AW359">
        <v>0</v>
      </c>
      <c r="AX359">
        <v>3</v>
      </c>
      <c r="AY359">
        <v>0</v>
      </c>
      <c r="AZ359">
        <v>0</v>
      </c>
      <c r="BA359">
        <v>100</v>
      </c>
      <c r="BB359">
        <v>100</v>
      </c>
      <c r="BC359">
        <v>100</v>
      </c>
      <c r="BD359">
        <v>100</v>
      </c>
      <c r="BE359">
        <v>1</v>
      </c>
      <c r="BF359">
        <v>15000</v>
      </c>
      <c r="BG359">
        <v>1000</v>
      </c>
      <c r="BH359" s="7">
        <f>ROUND(Wapato_Inventory[[#This Row],[detatched_value]]*Lookups!$B$22*Lookups!$H$48,-2)</f>
        <v>0</v>
      </c>
      <c r="BI359" s="7">
        <f>ROUND(((Wapato_Inventory[[#This Row],[land_extract]]*Lookups!$B$3) +(Lookups!$B$2*0.5))*Lookups!$H$48,-2)</f>
        <v>53800</v>
      </c>
      <c r="BJ359" s="7">
        <f>IF(Wapato_Inventory[[#This Row],[bldg_style]]="",0,Lookups!$B$2*0.5)</f>
        <v>53765.27</v>
      </c>
      <c r="BK359" s="7">
        <f>_xlfn.IFNA(VLOOKUP(Wapato_Inventory[[#This Row],[quality]],Lookups!$H$2:$J$14,3,FALSE),0)</f>
        <v>48043</v>
      </c>
      <c r="BL359" s="7">
        <f>_xlfn.IFNA(VLOOKUP(Wapato_Inventory[[#This Row],[condition]],Lookups!$H$17:$J$24,3,FALSE),0)</f>
        <v>52231</v>
      </c>
      <c r="BM359" s="7">
        <f>Wapato_Inventory[[#This Row],[Age]]*Lookups!$B$16</f>
        <v>-38179.597099999999</v>
      </c>
      <c r="BN359" s="7">
        <f>Wapato_Inventory[[#This Row],[Main Floor]]*Lookups!$B$17</f>
        <v>51498.510448000001</v>
      </c>
      <c r="BO359" s="7">
        <f>Wapato_Inventory[[#This Row],[Upper Floor]]*Lookups!$B$18</f>
        <v>16665.982704000002</v>
      </c>
      <c r="BP359" s="7">
        <f>Wapato_Inventory[[#This Row],[Fin BSMT]]*Lookups!$B$19</f>
        <v>0</v>
      </c>
      <c r="BQ359" s="7">
        <f>(Wapato_Inventory[[#This Row],[att_gar]]+Wapato_Inventory[[#This Row],[blt_gar]])*Lookups!$B$20</f>
        <v>0</v>
      </c>
      <c r="BR359" s="7">
        <f>Wapato_Inventory[[#This Row],[Patio]]*Lookups!$B$21</f>
        <v>0</v>
      </c>
      <c r="BS359" s="7">
        <f>SUM(Wapato_Inventory[[#This Row],[intercept]:[patio_value]])*Wapato_Inventory[[#This Row],[res_pct]]</f>
        <v>184024.16605199999</v>
      </c>
      <c r="BT359" s="7">
        <f>Wapato_Inventory[[#This Row],[land_value]]</f>
        <v>53800</v>
      </c>
      <c r="BU359" s="2">
        <f>_xlfn.IFNA(VLOOKUP(Wapato_Inventory[[#This Row],[quality]],Lookups!$A$28:$C$37,3,FALSE),1)</f>
        <v>0.98196844879778955</v>
      </c>
      <c r="BV359" s="2">
        <f>_xlfn.IFNA(VLOOKUP(Wapato_Inventory[[#This Row],[condition]],Lookups!$A$41:$C$48,3,FALSE),1)</f>
        <v>0.9832333997567807</v>
      </c>
      <c r="BW359" s="2">
        <f>IF(Wapato_Inventory[[#This Row],[decade]]="",1,_xlfn.IFNA(VLOOKUP(Wapato_Inventory[[#This Row],[decade]],Lookups!$F$28:$H$45,3,FALSE),1))</f>
        <v>0.93664589651353292</v>
      </c>
      <c r="BX359" s="2">
        <f>_xlfn.IFNA(VLOOKUP(Wapato_Inventory[[#This Row],[living_area_range]],Lookups!$K$28:$M$37,3,FALSE),1)</f>
        <v>0.99330894324714125</v>
      </c>
      <c r="BY359" s="2">
        <f>AVERAGE(Wapato_Inventory[[#This Row],[qual_adj]:[range_adj]])</f>
        <v>0.9737891720788111</v>
      </c>
      <c r="BZ359" s="7">
        <f>(Wapato_Inventory[[#This Row],[sum_land]]-IF(Wapato_Inventory[[#This Row],[no_utilities]]=1,12000,0))/IF(Wapato_Inventory[[#This Row],[unbuildable]]=1,2,1)</f>
        <v>53800</v>
      </c>
      <c r="CA359" s="7">
        <f>Wapato_Inventory[[#This Row],[pre_res]]*Wapato_Inventory[[#This Row],[overall_adj]]</f>
        <v>179200.74030227071</v>
      </c>
      <c r="CB359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359" s="3">
        <f>IF(ROUND(Wapato_Inventory[[#This Row],[adj_res]]*Lookups!$H$48,-2)&lt;Wapato_Inventory[[#This Row],[min_res]],Wapato_Inventory[[#This Row],[min_res]],ROUND(Wapato_Inventory[[#This Row],[adj_res]]*Lookups!$H$48,-2))</f>
        <v>170200</v>
      </c>
      <c r="CD359" s="3">
        <f>ROUND(Wapato_Inventory[[#This Row],[det_value]]*Lookups!$H$48,-2)</f>
        <v>0</v>
      </c>
      <c r="CE359" s="3">
        <f>Wapato_Inventory[[#This Row],[final_res]]+Wapato_Inventory[[#This Row],[final_det]]</f>
        <v>170200</v>
      </c>
      <c r="CF359" s="3">
        <f>Wapato_Inventory[[#This Row],[crop_value]]+Wapato_Inventory[[#This Row],[final_land]]+Wapato_Inventory[[#This Row],[final_imp]]</f>
        <v>221300</v>
      </c>
      <c r="CH359" t="str">
        <f t="shared" si="5"/>
        <v>update valuation set market_land =51100, market_bldg=170200, market_total =221300, market_mdno =405, market_date ='9/10/2023' where link_id = (select link_id from parcel where parcel_year = '2024' and parcel_id = '19111133433');</v>
      </c>
    </row>
    <row r="360" spans="1:86" x14ac:dyDescent="0.25">
      <c r="A360">
        <v>19111133436</v>
      </c>
      <c r="B360">
        <v>0.15</v>
      </c>
      <c r="C360">
        <v>6564</v>
      </c>
      <c r="D360" t="s">
        <v>144</v>
      </c>
      <c r="E360" t="s">
        <v>54</v>
      </c>
      <c r="F360" t="s">
        <v>54</v>
      </c>
      <c r="G360">
        <v>3</v>
      </c>
      <c r="H360" t="s">
        <v>55</v>
      </c>
      <c r="I360">
        <v>109400</v>
      </c>
      <c r="J360">
        <v>32300</v>
      </c>
      <c r="K360">
        <v>0.15</v>
      </c>
      <c r="L360">
        <f>IF(Wapato_Inventory[[#This Row],[parcel_acres]]-Wapato_Inventory[[#This Row],[non_valued_acres]] =0,0,LN(Wapato_Inventory[[#This Row],[parcel_acres]]-Wapato_Inventory[[#This Row],[non_valued_acres]]))</f>
        <v>-1.8971199848858813</v>
      </c>
      <c r="M360">
        <v>0</v>
      </c>
      <c r="N360">
        <v>0</v>
      </c>
      <c r="O360">
        <v>0</v>
      </c>
      <c r="P360">
        <v>27904.037</v>
      </c>
      <c r="Q360">
        <v>74398</v>
      </c>
      <c r="R360" s="3">
        <f>(Wapato_Inventory[[#This Row],[ln_acres]]*Wapato_Inventory[[#This Row],[coeff]])+Wapato_Inventory[[#This Row],[const]]</f>
        <v>21460.693748304926</v>
      </c>
      <c r="S360" t="s">
        <v>66</v>
      </c>
      <c r="T360">
        <v>1</v>
      </c>
      <c r="U360" t="s">
        <v>71</v>
      </c>
      <c r="V360" t="s">
        <v>68</v>
      </c>
      <c r="W360">
        <v>0</v>
      </c>
      <c r="X360">
        <v>0</v>
      </c>
      <c r="Y360">
        <v>57</v>
      </c>
      <c r="Z360">
        <v>103</v>
      </c>
      <c r="AA360">
        <v>110</v>
      </c>
      <c r="AB360">
        <v>1500</v>
      </c>
      <c r="AC360">
        <v>1092</v>
      </c>
      <c r="AD360">
        <v>1092</v>
      </c>
      <c r="AE360">
        <v>0</v>
      </c>
      <c r="AF360">
        <v>0</v>
      </c>
      <c r="AG360">
        <v>0</v>
      </c>
      <c r="AH360">
        <v>64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5</v>
      </c>
      <c r="AQ360">
        <v>0</v>
      </c>
      <c r="AR360">
        <v>0</v>
      </c>
      <c r="AS360" t="s">
        <v>59</v>
      </c>
      <c r="AT360">
        <v>0</v>
      </c>
      <c r="AU360" t="s">
        <v>80</v>
      </c>
      <c r="AV360" t="s">
        <v>65</v>
      </c>
      <c r="AW360">
        <v>0</v>
      </c>
      <c r="AX360">
        <v>2</v>
      </c>
      <c r="AY360">
        <v>0</v>
      </c>
      <c r="AZ360">
        <v>0</v>
      </c>
      <c r="BA360">
        <v>100</v>
      </c>
      <c r="BB360">
        <v>100</v>
      </c>
      <c r="BC360">
        <v>100</v>
      </c>
      <c r="BD360">
        <v>100</v>
      </c>
      <c r="BE360">
        <v>1</v>
      </c>
      <c r="BF360">
        <v>15000</v>
      </c>
      <c r="BG360">
        <v>1000</v>
      </c>
      <c r="BH360" s="7">
        <f>ROUND(Wapato_Inventory[[#This Row],[detatched_value]]*Lookups!$B$22*Lookups!$H$48,-2)</f>
        <v>0</v>
      </c>
      <c r="BI360" s="7">
        <f>ROUND(((Wapato_Inventory[[#This Row],[land_extract]]*Lookups!$B$3) +(Lookups!$B$2*0.5))*Lookups!$H$48,-2)</f>
        <v>53100</v>
      </c>
      <c r="BJ360" s="7">
        <f>IF(Wapato_Inventory[[#This Row],[bldg_style]]="",0,Lookups!$B$2*0.5)</f>
        <v>53765.27</v>
      </c>
      <c r="BK360" s="7">
        <f>_xlfn.IFNA(VLOOKUP(Wapato_Inventory[[#This Row],[quality]],Lookups!$H$2:$J$14,3,FALSE),0)</f>
        <v>28034</v>
      </c>
      <c r="BL360" s="7">
        <f>_xlfn.IFNA(VLOOKUP(Wapato_Inventory[[#This Row],[condition]],Lookups!$H$17:$J$24,3,FALSE),0)</f>
        <v>52231</v>
      </c>
      <c r="BM360" s="7">
        <f>Wapato_Inventory[[#This Row],[Age]]*Lookups!$B$16</f>
        <v>-38179.597099999999</v>
      </c>
      <c r="BN360" s="7">
        <f>Wapato_Inventory[[#This Row],[Main Floor]]*Lookups!$B$17</f>
        <v>45646.406988000002</v>
      </c>
      <c r="BO360" s="7">
        <f>Wapato_Inventory[[#This Row],[Upper Floor]]*Lookups!$B$18</f>
        <v>0</v>
      </c>
      <c r="BP360" s="7">
        <f>Wapato_Inventory[[#This Row],[Fin BSMT]]*Lookups!$B$19</f>
        <v>0</v>
      </c>
      <c r="BQ360" s="7">
        <f>(Wapato_Inventory[[#This Row],[att_gar]]+Wapato_Inventory[[#This Row],[blt_gar]])*Lookups!$B$20</f>
        <v>0</v>
      </c>
      <c r="BR360" s="7">
        <f>Wapato_Inventory[[#This Row],[Patio]]*Lookups!$B$21</f>
        <v>0</v>
      </c>
      <c r="BS360" s="7">
        <f>SUM(Wapato_Inventory[[#This Row],[intercept]:[patio_value]])*Wapato_Inventory[[#This Row],[res_pct]]</f>
        <v>141497.07988799998</v>
      </c>
      <c r="BT360" s="7">
        <f>Wapato_Inventory[[#This Row],[land_value]]</f>
        <v>53100</v>
      </c>
      <c r="BU360" s="2">
        <f>_xlfn.IFNA(VLOOKUP(Wapato_Inventory[[#This Row],[quality]],Lookups!$A$28:$C$37,3,FALSE),1)</f>
        <v>0.96265813922927435</v>
      </c>
      <c r="BV360" s="2">
        <f>_xlfn.IFNA(VLOOKUP(Wapato_Inventory[[#This Row],[condition]],Lookups!$A$41:$C$48,3,FALSE),1)</f>
        <v>0.9832333997567807</v>
      </c>
      <c r="BW360" s="2">
        <f>IF(Wapato_Inventory[[#This Row],[decade]]="",1,_xlfn.IFNA(VLOOKUP(Wapato_Inventory[[#This Row],[decade]],Lookups!$F$28:$H$45,3,FALSE),1))</f>
        <v>0.93664589651353292</v>
      </c>
      <c r="BX360" s="2">
        <f>_xlfn.IFNA(VLOOKUP(Wapato_Inventory[[#This Row],[living_area_range]],Lookups!$K$28:$M$37,3,FALSE),1)</f>
        <v>1.0061411172456287</v>
      </c>
      <c r="BY360" s="2">
        <f>AVERAGE(Wapato_Inventory[[#This Row],[qual_adj]:[range_adj]])</f>
        <v>0.97216963818630409</v>
      </c>
      <c r="BZ360" s="7">
        <f>(Wapato_Inventory[[#This Row],[sum_land]]-IF(Wapato_Inventory[[#This Row],[no_utilities]]=1,12000,0))/IF(Wapato_Inventory[[#This Row],[unbuildable]]=1,2,1)</f>
        <v>53100</v>
      </c>
      <c r="CA360" s="7">
        <f>Wapato_Inventory[[#This Row],[pre_res]]*Wapato_Inventory[[#This Row],[overall_adj]]</f>
        <v>137559.16495913549</v>
      </c>
      <c r="CB36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60" s="3">
        <f>IF(ROUND(Wapato_Inventory[[#This Row],[adj_res]]*Lookups!$H$48,-2)&lt;Wapato_Inventory[[#This Row],[min_res]],Wapato_Inventory[[#This Row],[min_res]],ROUND(Wapato_Inventory[[#This Row],[adj_res]]*Lookups!$H$48,-2))</f>
        <v>130700</v>
      </c>
      <c r="CD360" s="3">
        <f>ROUND(Wapato_Inventory[[#This Row],[det_value]]*Lookups!$H$48,-2)</f>
        <v>0</v>
      </c>
      <c r="CE360" s="3">
        <f>Wapato_Inventory[[#This Row],[final_res]]+Wapato_Inventory[[#This Row],[final_det]]</f>
        <v>130700</v>
      </c>
      <c r="CF360" s="3">
        <f>Wapato_Inventory[[#This Row],[crop_value]]+Wapato_Inventory[[#This Row],[final_land]]+Wapato_Inventory[[#This Row],[final_imp]]</f>
        <v>181100</v>
      </c>
      <c r="CH360" t="str">
        <f t="shared" si="5"/>
        <v>update valuation set market_land =50400, market_bldg=130700, market_total =181100, market_mdno =405, market_date ='9/10/2023' where link_id = (select link_id from parcel where parcel_year = '2024' and parcel_id = '19111133436');</v>
      </c>
    </row>
    <row r="361" spans="1:86" x14ac:dyDescent="0.25">
      <c r="A361">
        <v>19111133437</v>
      </c>
      <c r="B361">
        <v>0.15</v>
      </c>
      <c r="C361">
        <v>6662</v>
      </c>
      <c r="D361" t="s">
        <v>144</v>
      </c>
      <c r="E361" t="s">
        <v>54</v>
      </c>
      <c r="F361" t="s">
        <v>54</v>
      </c>
      <c r="G361">
        <v>3</v>
      </c>
      <c r="H361" t="s">
        <v>55</v>
      </c>
      <c r="I361">
        <v>118200</v>
      </c>
      <c r="J361">
        <v>32300</v>
      </c>
      <c r="K361">
        <v>0.15</v>
      </c>
      <c r="L361">
        <f>IF(Wapato_Inventory[[#This Row],[parcel_acres]]-Wapato_Inventory[[#This Row],[non_valued_acres]] =0,0,LN(Wapato_Inventory[[#This Row],[parcel_acres]]-Wapato_Inventory[[#This Row],[non_valued_acres]]))</f>
        <v>-1.8971199848858813</v>
      </c>
      <c r="M361">
        <v>0</v>
      </c>
      <c r="N361">
        <v>0</v>
      </c>
      <c r="O361">
        <v>0</v>
      </c>
      <c r="P361">
        <v>27904.037</v>
      </c>
      <c r="Q361">
        <v>74398</v>
      </c>
      <c r="R361" s="3">
        <f>(Wapato_Inventory[[#This Row],[ln_acres]]*Wapato_Inventory[[#This Row],[coeff]])+Wapato_Inventory[[#This Row],[const]]</f>
        <v>21460.693748304926</v>
      </c>
      <c r="S361" t="s">
        <v>66</v>
      </c>
      <c r="T361">
        <v>1</v>
      </c>
      <c r="U361" t="s">
        <v>71</v>
      </c>
      <c r="V361" t="s">
        <v>68</v>
      </c>
      <c r="W361">
        <v>0</v>
      </c>
      <c r="X361">
        <v>0</v>
      </c>
      <c r="Y361">
        <v>57</v>
      </c>
      <c r="Z361">
        <v>103</v>
      </c>
      <c r="AA361">
        <v>110</v>
      </c>
      <c r="AB361">
        <v>1500</v>
      </c>
      <c r="AC361">
        <v>1248</v>
      </c>
      <c r="AD361">
        <v>1248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792</v>
      </c>
      <c r="AL361">
        <v>0</v>
      </c>
      <c r="AM361">
        <v>100</v>
      </c>
      <c r="AN361">
        <v>0</v>
      </c>
      <c r="AO361">
        <v>100</v>
      </c>
      <c r="AP361">
        <v>5</v>
      </c>
      <c r="AQ361">
        <v>0</v>
      </c>
      <c r="AR361">
        <v>0</v>
      </c>
      <c r="AS361" t="s">
        <v>59</v>
      </c>
      <c r="AT361">
        <v>0</v>
      </c>
      <c r="AU361" t="s">
        <v>80</v>
      </c>
      <c r="AV361" t="s">
        <v>65</v>
      </c>
      <c r="AW361">
        <v>0</v>
      </c>
      <c r="AX361">
        <v>3</v>
      </c>
      <c r="AY361">
        <v>0</v>
      </c>
      <c r="AZ361">
        <v>0</v>
      </c>
      <c r="BA361">
        <v>100</v>
      </c>
      <c r="BB361">
        <v>100</v>
      </c>
      <c r="BC361">
        <v>100</v>
      </c>
      <c r="BD361">
        <v>100</v>
      </c>
      <c r="BE361">
        <v>1</v>
      </c>
      <c r="BF361">
        <v>15000</v>
      </c>
      <c r="BG361">
        <v>1000</v>
      </c>
      <c r="BH361" s="7">
        <f>ROUND(Wapato_Inventory[[#This Row],[detatched_value]]*Lookups!$B$22*Lookups!$H$48,-2)</f>
        <v>0</v>
      </c>
      <c r="BI361" s="7">
        <f>ROUND(((Wapato_Inventory[[#This Row],[land_extract]]*Lookups!$B$3) +(Lookups!$B$2*0.5))*Lookups!$H$48,-2)</f>
        <v>53100</v>
      </c>
      <c r="BJ361" s="7">
        <f>IF(Wapato_Inventory[[#This Row],[bldg_style]]="",0,Lookups!$B$2*0.5)</f>
        <v>53765.27</v>
      </c>
      <c r="BK361" s="7">
        <f>_xlfn.IFNA(VLOOKUP(Wapato_Inventory[[#This Row],[quality]],Lookups!$H$2:$J$14,3,FALSE),0)</f>
        <v>28034</v>
      </c>
      <c r="BL361" s="7">
        <f>_xlfn.IFNA(VLOOKUP(Wapato_Inventory[[#This Row],[condition]],Lookups!$H$17:$J$24,3,FALSE),0)</f>
        <v>52231</v>
      </c>
      <c r="BM361" s="7">
        <f>Wapato_Inventory[[#This Row],[Age]]*Lookups!$B$16</f>
        <v>-38179.597099999999</v>
      </c>
      <c r="BN361" s="7">
        <f>Wapato_Inventory[[#This Row],[Main Floor]]*Lookups!$B$17</f>
        <v>52167.322271999998</v>
      </c>
      <c r="BO361" s="7">
        <f>Wapato_Inventory[[#This Row],[Upper Floor]]*Lookups!$B$18</f>
        <v>0</v>
      </c>
      <c r="BP361" s="7">
        <f>Wapato_Inventory[[#This Row],[Fin BSMT]]*Lookups!$B$19</f>
        <v>0</v>
      </c>
      <c r="BQ361" s="7">
        <f>(Wapato_Inventory[[#This Row],[att_gar]]+Wapato_Inventory[[#This Row],[blt_gar]])*Lookups!$B$20</f>
        <v>0</v>
      </c>
      <c r="BR361" s="7">
        <f>Wapato_Inventory[[#This Row],[Patio]]*Lookups!$B$21</f>
        <v>4332.3978999999999</v>
      </c>
      <c r="BS361" s="7">
        <f>SUM(Wapato_Inventory[[#This Row],[intercept]:[patio_value]])*Wapato_Inventory[[#This Row],[res_pct]]</f>
        <v>152350.39307200001</v>
      </c>
      <c r="BT361" s="7">
        <f>Wapato_Inventory[[#This Row],[land_value]]</f>
        <v>53100</v>
      </c>
      <c r="BU361" s="2">
        <f>_xlfn.IFNA(VLOOKUP(Wapato_Inventory[[#This Row],[quality]],Lookups!$A$28:$C$37,3,FALSE),1)</f>
        <v>0.96265813922927435</v>
      </c>
      <c r="BV361" s="2">
        <f>_xlfn.IFNA(VLOOKUP(Wapato_Inventory[[#This Row],[condition]],Lookups!$A$41:$C$48,3,FALSE),1)</f>
        <v>0.9832333997567807</v>
      </c>
      <c r="BW361" s="2">
        <f>IF(Wapato_Inventory[[#This Row],[decade]]="",1,_xlfn.IFNA(VLOOKUP(Wapato_Inventory[[#This Row],[decade]],Lookups!$F$28:$H$45,3,FALSE),1))</f>
        <v>0.93664589651353292</v>
      </c>
      <c r="BX361" s="2">
        <f>_xlfn.IFNA(VLOOKUP(Wapato_Inventory[[#This Row],[living_area_range]],Lookups!$K$28:$M$37,3,FALSE),1)</f>
        <v>1.0061411172456287</v>
      </c>
      <c r="BY361" s="2">
        <f>AVERAGE(Wapato_Inventory[[#This Row],[qual_adj]:[range_adj]])</f>
        <v>0.97216963818630409</v>
      </c>
      <c r="BZ361" s="7">
        <f>(Wapato_Inventory[[#This Row],[sum_land]]-IF(Wapato_Inventory[[#This Row],[no_utilities]]=1,12000,0))/IF(Wapato_Inventory[[#This Row],[unbuildable]]=1,2,1)</f>
        <v>53100</v>
      </c>
      <c r="CA361" s="7">
        <f>Wapato_Inventory[[#This Row],[pre_res]]*Wapato_Inventory[[#This Row],[overall_adj]]</f>
        <v>148110.42651034746</v>
      </c>
      <c r="CB36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61" s="3">
        <f>IF(ROUND(Wapato_Inventory[[#This Row],[adj_res]]*Lookups!$H$48,-2)&lt;Wapato_Inventory[[#This Row],[min_res]],Wapato_Inventory[[#This Row],[min_res]],ROUND(Wapato_Inventory[[#This Row],[adj_res]]*Lookups!$H$48,-2))</f>
        <v>140700</v>
      </c>
      <c r="CD361" s="3">
        <f>ROUND(Wapato_Inventory[[#This Row],[det_value]]*Lookups!$H$48,-2)</f>
        <v>0</v>
      </c>
      <c r="CE361" s="3">
        <f>Wapato_Inventory[[#This Row],[final_res]]+Wapato_Inventory[[#This Row],[final_det]]</f>
        <v>140700</v>
      </c>
      <c r="CF361" s="3">
        <f>Wapato_Inventory[[#This Row],[crop_value]]+Wapato_Inventory[[#This Row],[final_land]]+Wapato_Inventory[[#This Row],[final_imp]]</f>
        <v>191100</v>
      </c>
      <c r="CH361" t="str">
        <f t="shared" si="5"/>
        <v>update valuation set market_land =50400, market_bldg=140700, market_total =191100, market_mdno =405, market_date ='9/10/2023' where link_id = (select link_id from parcel where parcel_year = '2024' and parcel_id = '19111133437');</v>
      </c>
    </row>
    <row r="362" spans="1:86" x14ac:dyDescent="0.25">
      <c r="A362">
        <v>19111133438</v>
      </c>
      <c r="B362">
        <v>0.16</v>
      </c>
      <c r="C362">
        <v>6780</v>
      </c>
      <c r="D362" t="s">
        <v>144</v>
      </c>
      <c r="E362" t="s">
        <v>54</v>
      </c>
      <c r="F362" t="s">
        <v>54</v>
      </c>
      <c r="G362">
        <v>3</v>
      </c>
      <c r="H362" t="s">
        <v>55</v>
      </c>
      <c r="I362">
        <v>98000</v>
      </c>
      <c r="J362">
        <v>32800</v>
      </c>
      <c r="K362">
        <v>0.16</v>
      </c>
      <c r="L362">
        <f>IF(Wapato_Inventory[[#This Row],[parcel_acres]]-Wapato_Inventory[[#This Row],[non_valued_acres]] =0,0,LN(Wapato_Inventory[[#This Row],[parcel_acres]]-Wapato_Inventory[[#This Row],[non_valued_acres]]))</f>
        <v>-1.8325814637483102</v>
      </c>
      <c r="M362">
        <v>0</v>
      </c>
      <c r="N362">
        <v>0</v>
      </c>
      <c r="O362">
        <v>0</v>
      </c>
      <c r="P362">
        <v>27904.037</v>
      </c>
      <c r="Q362">
        <v>74398</v>
      </c>
      <c r="R362" s="3">
        <f>(Wapato_Inventory[[#This Row],[ln_acres]]*Wapato_Inventory[[#This Row],[coeff]])+Wapato_Inventory[[#This Row],[const]]</f>
        <v>23261.579030052992</v>
      </c>
      <c r="S362" t="s">
        <v>66</v>
      </c>
      <c r="T362">
        <v>1</v>
      </c>
      <c r="U362" t="s">
        <v>71</v>
      </c>
      <c r="V362" t="s">
        <v>68</v>
      </c>
      <c r="W362">
        <v>0</v>
      </c>
      <c r="X362">
        <v>0</v>
      </c>
      <c r="Y362">
        <v>57</v>
      </c>
      <c r="Z362">
        <v>103</v>
      </c>
      <c r="AA362">
        <v>110</v>
      </c>
      <c r="AB362">
        <v>1000</v>
      </c>
      <c r="AC362">
        <v>900</v>
      </c>
      <c r="AD362">
        <v>900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5</v>
      </c>
      <c r="AQ362">
        <v>0</v>
      </c>
      <c r="AR362">
        <v>0</v>
      </c>
      <c r="AS362" t="s">
        <v>59</v>
      </c>
      <c r="AT362">
        <v>0</v>
      </c>
      <c r="AU362" t="s">
        <v>80</v>
      </c>
      <c r="AV362" t="s">
        <v>65</v>
      </c>
      <c r="AW362">
        <v>0</v>
      </c>
      <c r="AX362">
        <v>2</v>
      </c>
      <c r="AY362">
        <v>0</v>
      </c>
      <c r="AZ362">
        <v>0</v>
      </c>
      <c r="BA362">
        <v>100</v>
      </c>
      <c r="BB362">
        <v>100</v>
      </c>
      <c r="BC362">
        <v>100</v>
      </c>
      <c r="BD362">
        <v>100</v>
      </c>
      <c r="BE362">
        <v>1</v>
      </c>
      <c r="BF362">
        <v>15000</v>
      </c>
      <c r="BG362">
        <v>1000</v>
      </c>
      <c r="BH362" s="7">
        <f>ROUND(Wapato_Inventory[[#This Row],[detatched_value]]*Lookups!$B$22*Lookups!$H$48,-2)</f>
        <v>0</v>
      </c>
      <c r="BI362" s="7">
        <f>ROUND(((Wapato_Inventory[[#This Row],[land_extract]]*Lookups!$B$3) +(Lookups!$B$2*0.5))*Lookups!$H$48,-2)</f>
        <v>53300</v>
      </c>
      <c r="BJ362" s="7">
        <f>IF(Wapato_Inventory[[#This Row],[bldg_style]]="",0,Lookups!$B$2*0.5)</f>
        <v>53765.27</v>
      </c>
      <c r="BK362" s="7">
        <f>_xlfn.IFNA(VLOOKUP(Wapato_Inventory[[#This Row],[quality]],Lookups!$H$2:$J$14,3,FALSE),0)</f>
        <v>28034</v>
      </c>
      <c r="BL362" s="7">
        <f>_xlfn.IFNA(VLOOKUP(Wapato_Inventory[[#This Row],[condition]],Lookups!$H$17:$J$24,3,FALSE),0)</f>
        <v>52231</v>
      </c>
      <c r="BM362" s="7">
        <f>Wapato_Inventory[[#This Row],[Age]]*Lookups!$B$16</f>
        <v>-38179.597099999999</v>
      </c>
      <c r="BN362" s="7">
        <f>Wapato_Inventory[[#This Row],[Main Floor]]*Lookups!$B$17</f>
        <v>37620.665099999998</v>
      </c>
      <c r="BO362" s="7">
        <f>Wapato_Inventory[[#This Row],[Upper Floor]]*Lookups!$B$18</f>
        <v>0</v>
      </c>
      <c r="BP362" s="7">
        <f>Wapato_Inventory[[#This Row],[Fin BSMT]]*Lookups!$B$19</f>
        <v>0</v>
      </c>
      <c r="BQ362" s="7">
        <f>(Wapato_Inventory[[#This Row],[att_gar]]+Wapato_Inventory[[#This Row],[blt_gar]])*Lookups!$B$20</f>
        <v>0</v>
      </c>
      <c r="BR362" s="7">
        <f>Wapato_Inventory[[#This Row],[Patio]]*Lookups!$B$21</f>
        <v>0</v>
      </c>
      <c r="BS362" s="7">
        <f>SUM(Wapato_Inventory[[#This Row],[intercept]:[patio_value]])*Wapato_Inventory[[#This Row],[res_pct]]</f>
        <v>133471.33799999999</v>
      </c>
      <c r="BT362" s="7">
        <f>Wapato_Inventory[[#This Row],[land_value]]</f>
        <v>53300</v>
      </c>
      <c r="BU362" s="2">
        <f>_xlfn.IFNA(VLOOKUP(Wapato_Inventory[[#This Row],[quality]],Lookups!$A$28:$C$37,3,FALSE),1)</f>
        <v>0.96265813922927435</v>
      </c>
      <c r="BV362" s="2">
        <f>_xlfn.IFNA(VLOOKUP(Wapato_Inventory[[#This Row],[condition]],Lookups!$A$41:$C$48,3,FALSE),1)</f>
        <v>0.9832333997567807</v>
      </c>
      <c r="BW362" s="2">
        <f>IF(Wapato_Inventory[[#This Row],[decade]]="",1,_xlfn.IFNA(VLOOKUP(Wapato_Inventory[[#This Row],[decade]],Lookups!$F$28:$H$45,3,FALSE),1))</f>
        <v>0.93664589651353292</v>
      </c>
      <c r="BX362" s="2">
        <f>_xlfn.IFNA(VLOOKUP(Wapato_Inventory[[#This Row],[living_area_range]],Lookups!$K$28:$M$37,3,FALSE),1)</f>
        <v>0.99022994770196116</v>
      </c>
      <c r="BY362" s="2">
        <f>AVERAGE(Wapato_Inventory[[#This Row],[qual_adj]:[range_adj]])</f>
        <v>0.9681918458003872</v>
      </c>
      <c r="BZ362" s="7">
        <f>(Wapato_Inventory[[#This Row],[sum_land]]-IF(Wapato_Inventory[[#This Row],[no_utilities]]=1,12000,0))/IF(Wapato_Inventory[[#This Row],[unbuildable]]=1,2,1)</f>
        <v>53300</v>
      </c>
      <c r="CA362" s="7">
        <f>Wapato_Inventory[[#This Row],[pre_res]]*Wapato_Inventory[[#This Row],[overall_adj]]</f>
        <v>129225.86109966735</v>
      </c>
      <c r="CB362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362" s="3">
        <f>IF(ROUND(Wapato_Inventory[[#This Row],[adj_res]]*Lookups!$H$48,-2)&lt;Wapato_Inventory[[#This Row],[min_res]],Wapato_Inventory[[#This Row],[min_res]],ROUND(Wapato_Inventory[[#This Row],[adj_res]]*Lookups!$H$48,-2))</f>
        <v>122800</v>
      </c>
      <c r="CD362" s="3">
        <f>ROUND(Wapato_Inventory[[#This Row],[det_value]]*Lookups!$H$48,-2)</f>
        <v>0</v>
      </c>
      <c r="CE362" s="3">
        <f>Wapato_Inventory[[#This Row],[final_res]]+Wapato_Inventory[[#This Row],[final_det]]</f>
        <v>122800</v>
      </c>
      <c r="CF362" s="3">
        <f>Wapato_Inventory[[#This Row],[crop_value]]+Wapato_Inventory[[#This Row],[final_land]]+Wapato_Inventory[[#This Row],[final_imp]]</f>
        <v>173400</v>
      </c>
      <c r="CH362" t="str">
        <f t="shared" si="5"/>
        <v>update valuation set market_land =50600, market_bldg=122800, market_total =173400, market_mdno =405, market_date ='9/10/2023' where link_id = (select link_id from parcel where parcel_year = '2024' and parcel_id = '19111133438');</v>
      </c>
    </row>
    <row r="363" spans="1:86" x14ac:dyDescent="0.25">
      <c r="A363">
        <v>19111133439</v>
      </c>
      <c r="B363">
        <v>0.15</v>
      </c>
      <c r="C363">
        <v>6708</v>
      </c>
      <c r="D363" t="s">
        <v>144</v>
      </c>
      <c r="E363" t="s">
        <v>54</v>
      </c>
      <c r="F363" t="s">
        <v>54</v>
      </c>
      <c r="G363">
        <v>3</v>
      </c>
      <c r="H363" t="s">
        <v>55</v>
      </c>
      <c r="I363">
        <v>83000</v>
      </c>
      <c r="J363">
        <v>32300</v>
      </c>
      <c r="K363">
        <v>0.15</v>
      </c>
      <c r="L363">
        <f>IF(Wapato_Inventory[[#This Row],[parcel_acres]]-Wapato_Inventory[[#This Row],[non_valued_acres]] =0,0,LN(Wapato_Inventory[[#This Row],[parcel_acres]]-Wapato_Inventory[[#This Row],[non_valued_acres]]))</f>
        <v>-1.8971199848858813</v>
      </c>
      <c r="M363">
        <v>0</v>
      </c>
      <c r="N363">
        <v>0</v>
      </c>
      <c r="O363">
        <v>0</v>
      </c>
      <c r="P363">
        <v>27904.037</v>
      </c>
      <c r="Q363">
        <v>74398</v>
      </c>
      <c r="R363" s="3">
        <f>(Wapato_Inventory[[#This Row],[ln_acres]]*Wapato_Inventory[[#This Row],[coeff]])+Wapato_Inventory[[#This Row],[const]]</f>
        <v>21460.693748304926</v>
      </c>
      <c r="S363" t="s">
        <v>145</v>
      </c>
      <c r="T363">
        <v>1</v>
      </c>
      <c r="U363" t="s">
        <v>71</v>
      </c>
      <c r="V363" t="s">
        <v>68</v>
      </c>
      <c r="W363">
        <v>0</v>
      </c>
      <c r="X363">
        <v>0</v>
      </c>
      <c r="Y363">
        <v>53</v>
      </c>
      <c r="Z363">
        <v>93</v>
      </c>
      <c r="AA363">
        <v>100</v>
      </c>
      <c r="AB363">
        <v>1000</v>
      </c>
      <c r="AC363">
        <v>712</v>
      </c>
      <c r="AD363">
        <v>712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100</v>
      </c>
      <c r="AO363">
        <v>0</v>
      </c>
      <c r="AP363">
        <v>5</v>
      </c>
      <c r="AQ363">
        <v>0</v>
      </c>
      <c r="AR363">
        <v>0</v>
      </c>
      <c r="AS363" t="s">
        <v>59</v>
      </c>
      <c r="AT363">
        <v>1</v>
      </c>
      <c r="AU363" t="s">
        <v>76</v>
      </c>
      <c r="AV363" t="s">
        <v>65</v>
      </c>
      <c r="AW363">
        <v>0</v>
      </c>
      <c r="AX363">
        <v>2</v>
      </c>
      <c r="AY363">
        <v>0</v>
      </c>
      <c r="AZ363">
        <v>7300</v>
      </c>
      <c r="BA363">
        <v>100</v>
      </c>
      <c r="BB363">
        <v>100</v>
      </c>
      <c r="BC363">
        <v>100</v>
      </c>
      <c r="BD363">
        <v>100</v>
      </c>
      <c r="BE363">
        <v>1</v>
      </c>
      <c r="BF363">
        <v>15000</v>
      </c>
      <c r="BG363">
        <v>1000</v>
      </c>
      <c r="BH363" s="7">
        <f>ROUND(Wapato_Inventory[[#This Row],[detatched_value]]*Lookups!$B$22*Lookups!$H$48,-2)</f>
        <v>6500</v>
      </c>
      <c r="BI363" s="7">
        <f>ROUND(((Wapato_Inventory[[#This Row],[land_extract]]*Lookups!$B$3) +(Lookups!$B$2*0.5))*Lookups!$H$48,-2)</f>
        <v>53100</v>
      </c>
      <c r="BJ363" s="7">
        <f>IF(Wapato_Inventory[[#This Row],[bldg_style]]="",0,Lookups!$B$2*0.5)</f>
        <v>53765.27</v>
      </c>
      <c r="BK363" s="7">
        <f>_xlfn.IFNA(VLOOKUP(Wapato_Inventory[[#This Row],[quality]],Lookups!$H$2:$J$14,3,FALSE),0)</f>
        <v>28034</v>
      </c>
      <c r="BL363" s="7">
        <f>_xlfn.IFNA(VLOOKUP(Wapato_Inventory[[#This Row],[condition]],Lookups!$H$17:$J$24,3,FALSE),0)</f>
        <v>52231</v>
      </c>
      <c r="BM363" s="7">
        <f>Wapato_Inventory[[#This Row],[Age]]*Lookups!$B$16</f>
        <v>-34472.840100000001</v>
      </c>
      <c r="BN363" s="7">
        <f>Wapato_Inventory[[#This Row],[Main Floor]]*Lookups!$B$17</f>
        <v>29762.126167999999</v>
      </c>
      <c r="BO363" s="7">
        <f>Wapato_Inventory[[#This Row],[Upper Floor]]*Lookups!$B$18</f>
        <v>0</v>
      </c>
      <c r="BP363" s="7">
        <f>Wapato_Inventory[[#This Row],[Fin BSMT]]*Lookups!$B$19</f>
        <v>0</v>
      </c>
      <c r="BQ363" s="7">
        <f>(Wapato_Inventory[[#This Row],[att_gar]]+Wapato_Inventory[[#This Row],[blt_gar]])*Lookups!$B$20</f>
        <v>0</v>
      </c>
      <c r="BR363" s="7">
        <f>Wapato_Inventory[[#This Row],[Patio]]*Lookups!$B$21</f>
        <v>0</v>
      </c>
      <c r="BS363" s="7">
        <f>SUM(Wapato_Inventory[[#This Row],[intercept]:[patio_value]])*Wapato_Inventory[[#This Row],[res_pct]]</f>
        <v>129319.55606799999</v>
      </c>
      <c r="BT363" s="7">
        <f>Wapato_Inventory[[#This Row],[land_value]]</f>
        <v>53100</v>
      </c>
      <c r="BU363" s="2">
        <f>_xlfn.IFNA(VLOOKUP(Wapato_Inventory[[#This Row],[quality]],Lookups!$A$28:$C$37,3,FALSE),1)</f>
        <v>0.96265813922927435</v>
      </c>
      <c r="BV363" s="2">
        <f>_xlfn.IFNA(VLOOKUP(Wapato_Inventory[[#This Row],[condition]],Lookups!$A$41:$C$48,3,FALSE),1)</f>
        <v>0.9832333997567807</v>
      </c>
      <c r="BW363" s="2">
        <f>IF(Wapato_Inventory[[#This Row],[decade]]="",1,_xlfn.IFNA(VLOOKUP(Wapato_Inventory[[#This Row],[decade]],Lookups!$F$28:$H$45,3,FALSE),1))</f>
        <v>1.0114203040664467</v>
      </c>
      <c r="BX363" s="2">
        <f>_xlfn.IFNA(VLOOKUP(Wapato_Inventory[[#This Row],[living_area_range]],Lookups!$K$28:$M$37,3,FALSE),1)</f>
        <v>0.99022994770196116</v>
      </c>
      <c r="BY363" s="2">
        <f>AVERAGE(Wapato_Inventory[[#This Row],[qual_adj]:[range_adj]])</f>
        <v>0.98688544768861564</v>
      </c>
      <c r="BZ363" s="7">
        <f>(Wapato_Inventory[[#This Row],[sum_land]]-IF(Wapato_Inventory[[#This Row],[no_utilities]]=1,12000,0))/IF(Wapato_Inventory[[#This Row],[unbuildable]]=1,2,1)</f>
        <v>53100</v>
      </c>
      <c r="CA363" s="7">
        <f>Wapato_Inventory[[#This Row],[pre_res]]*Wapato_Inventory[[#This Row],[overall_adj]]</f>
        <v>127623.5879850612</v>
      </c>
      <c r="CB36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63" s="3">
        <f>IF(ROUND(Wapato_Inventory[[#This Row],[adj_res]]*Lookups!$H$48,-2)&lt;Wapato_Inventory[[#This Row],[min_res]],Wapato_Inventory[[#This Row],[min_res]],ROUND(Wapato_Inventory[[#This Row],[adj_res]]*Lookups!$H$48,-2))</f>
        <v>121200</v>
      </c>
      <c r="CD363" s="3">
        <f>ROUND(Wapato_Inventory[[#This Row],[det_value]]*Lookups!$H$48,-2)</f>
        <v>6200</v>
      </c>
      <c r="CE363" s="3">
        <f>Wapato_Inventory[[#This Row],[final_res]]+Wapato_Inventory[[#This Row],[final_det]]</f>
        <v>127400</v>
      </c>
      <c r="CF363" s="3">
        <f>Wapato_Inventory[[#This Row],[crop_value]]+Wapato_Inventory[[#This Row],[final_land]]+Wapato_Inventory[[#This Row],[final_imp]]</f>
        <v>177800</v>
      </c>
      <c r="CH363" t="str">
        <f t="shared" si="5"/>
        <v>update valuation set market_land =50400, market_bldg=127400, market_total =177800, market_mdno =405, market_date ='9/10/2023' where link_id = (select link_id from parcel where parcel_year = '2024' and parcel_id = '19111133439');</v>
      </c>
    </row>
    <row r="364" spans="1:86" x14ac:dyDescent="0.25">
      <c r="A364">
        <v>19111133440</v>
      </c>
      <c r="B364">
        <v>0.15</v>
      </c>
      <c r="C364">
        <v>6621</v>
      </c>
      <c r="D364" t="s">
        <v>144</v>
      </c>
      <c r="E364" t="s">
        <v>54</v>
      </c>
      <c r="F364" t="s">
        <v>54</v>
      </c>
      <c r="G364">
        <v>3</v>
      </c>
      <c r="H364" t="s">
        <v>55</v>
      </c>
      <c r="I364">
        <v>183900</v>
      </c>
      <c r="J364">
        <v>32300</v>
      </c>
      <c r="K364">
        <v>0.15</v>
      </c>
      <c r="L364">
        <f>IF(Wapato_Inventory[[#This Row],[parcel_acres]]-Wapato_Inventory[[#This Row],[non_valued_acres]] =0,0,LN(Wapato_Inventory[[#This Row],[parcel_acres]]-Wapato_Inventory[[#This Row],[non_valued_acres]]))</f>
        <v>-1.8971199848858813</v>
      </c>
      <c r="M364">
        <v>0</v>
      </c>
      <c r="N364">
        <v>0</v>
      </c>
      <c r="O364">
        <v>0</v>
      </c>
      <c r="P364">
        <v>27904.037</v>
      </c>
      <c r="Q364">
        <v>74398</v>
      </c>
      <c r="R364" s="3">
        <f>(Wapato_Inventory[[#This Row],[ln_acres]]*Wapato_Inventory[[#This Row],[coeff]])+Wapato_Inventory[[#This Row],[const]]</f>
        <v>21460.693748304926</v>
      </c>
      <c r="S364" t="s">
        <v>66</v>
      </c>
      <c r="T364">
        <v>1</v>
      </c>
      <c r="U364" t="s">
        <v>71</v>
      </c>
      <c r="V364" t="s">
        <v>68</v>
      </c>
      <c r="W364">
        <v>0</v>
      </c>
      <c r="X364">
        <v>0</v>
      </c>
      <c r="Y364">
        <v>53</v>
      </c>
      <c r="Z364">
        <v>93</v>
      </c>
      <c r="AA364">
        <v>100</v>
      </c>
      <c r="AB364">
        <v>1500</v>
      </c>
      <c r="AC364">
        <v>1368</v>
      </c>
      <c r="AD364">
        <v>1368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480</v>
      </c>
      <c r="AL364">
        <v>437</v>
      </c>
      <c r="AM364">
        <v>400</v>
      </c>
      <c r="AN364">
        <v>0</v>
      </c>
      <c r="AO364">
        <v>837</v>
      </c>
      <c r="AP364">
        <v>8</v>
      </c>
      <c r="AQ364">
        <v>0</v>
      </c>
      <c r="AR364">
        <v>1</v>
      </c>
      <c r="AS364" t="s">
        <v>59</v>
      </c>
      <c r="AT364">
        <v>1</v>
      </c>
      <c r="AU364" t="s">
        <v>60</v>
      </c>
      <c r="AV364" t="s">
        <v>61</v>
      </c>
      <c r="AW364">
        <v>1</v>
      </c>
      <c r="AX364">
        <v>3</v>
      </c>
      <c r="AY364">
        <v>0</v>
      </c>
      <c r="AZ364">
        <v>6200</v>
      </c>
      <c r="BA364">
        <v>100</v>
      </c>
      <c r="BB364">
        <v>100</v>
      </c>
      <c r="BC364">
        <v>100</v>
      </c>
      <c r="BD364">
        <v>100</v>
      </c>
      <c r="BE364">
        <v>1</v>
      </c>
      <c r="BF364">
        <v>15000</v>
      </c>
      <c r="BG364">
        <v>1000</v>
      </c>
      <c r="BH364" s="7">
        <f>ROUND(Wapato_Inventory[[#This Row],[detatched_value]]*Lookups!$B$22*Lookups!$H$48,-2)</f>
        <v>5500</v>
      </c>
      <c r="BI364" s="7">
        <f>ROUND(((Wapato_Inventory[[#This Row],[land_extract]]*Lookups!$B$3) +(Lookups!$B$2*0.5))*Lookups!$H$48,-2)</f>
        <v>53100</v>
      </c>
      <c r="BJ364" s="7">
        <f>IF(Wapato_Inventory[[#This Row],[bldg_style]]="",0,Lookups!$B$2*0.5)</f>
        <v>53765.27</v>
      </c>
      <c r="BK364" s="7">
        <f>_xlfn.IFNA(VLOOKUP(Wapato_Inventory[[#This Row],[quality]],Lookups!$H$2:$J$14,3,FALSE),0)</f>
        <v>28034</v>
      </c>
      <c r="BL364" s="7">
        <f>_xlfn.IFNA(VLOOKUP(Wapato_Inventory[[#This Row],[condition]],Lookups!$H$17:$J$24,3,FALSE),0)</f>
        <v>52231</v>
      </c>
      <c r="BM364" s="7">
        <f>Wapato_Inventory[[#This Row],[Age]]*Lookups!$B$16</f>
        <v>-34472.840100000001</v>
      </c>
      <c r="BN364" s="7">
        <f>Wapato_Inventory[[#This Row],[Main Floor]]*Lookups!$B$17</f>
        <v>57183.410951999998</v>
      </c>
      <c r="BO364" s="7">
        <f>Wapato_Inventory[[#This Row],[Upper Floor]]*Lookups!$B$18</f>
        <v>0</v>
      </c>
      <c r="BP364" s="7">
        <f>Wapato_Inventory[[#This Row],[Fin BSMT]]*Lookups!$B$19</f>
        <v>0</v>
      </c>
      <c r="BQ364" s="7">
        <f>(Wapato_Inventory[[#This Row],[att_gar]]+Wapato_Inventory[[#This Row],[blt_gar]])*Lookups!$B$20</f>
        <v>0</v>
      </c>
      <c r="BR364" s="7">
        <f>Wapato_Inventory[[#This Row],[Patio]]*Lookups!$B$21</f>
        <v>17329.5916</v>
      </c>
      <c r="BS364" s="7">
        <f>SUM(Wapato_Inventory[[#This Row],[intercept]:[patio_value]])*Wapato_Inventory[[#This Row],[res_pct]]</f>
        <v>174070.43245199998</v>
      </c>
      <c r="BT364" s="7">
        <f>Wapato_Inventory[[#This Row],[land_value]]</f>
        <v>53100</v>
      </c>
      <c r="BU364" s="2">
        <f>_xlfn.IFNA(VLOOKUP(Wapato_Inventory[[#This Row],[quality]],Lookups!$A$28:$C$37,3,FALSE),1)</f>
        <v>0.96265813922927435</v>
      </c>
      <c r="BV364" s="2">
        <f>_xlfn.IFNA(VLOOKUP(Wapato_Inventory[[#This Row],[condition]],Lookups!$A$41:$C$48,3,FALSE),1)</f>
        <v>0.9832333997567807</v>
      </c>
      <c r="BW364" s="2">
        <f>IF(Wapato_Inventory[[#This Row],[decade]]="",1,_xlfn.IFNA(VLOOKUP(Wapato_Inventory[[#This Row],[decade]],Lookups!$F$28:$H$45,3,FALSE),1))</f>
        <v>1.0114203040664467</v>
      </c>
      <c r="BX364" s="2">
        <f>_xlfn.IFNA(VLOOKUP(Wapato_Inventory[[#This Row],[living_area_range]],Lookups!$K$28:$M$37,3,FALSE),1)</f>
        <v>1.0061411172456287</v>
      </c>
      <c r="BY364" s="2">
        <f>AVERAGE(Wapato_Inventory[[#This Row],[qual_adj]:[range_adj]])</f>
        <v>0.99086324007453253</v>
      </c>
      <c r="BZ364" s="7">
        <f>(Wapato_Inventory[[#This Row],[sum_land]]-IF(Wapato_Inventory[[#This Row],[no_utilities]]=1,12000,0))/IF(Wapato_Inventory[[#This Row],[unbuildable]]=1,2,1)</f>
        <v>53100</v>
      </c>
      <c r="CA364" s="7">
        <f>Wapato_Inventory[[#This Row],[pre_res]]*Wapato_Inventory[[#This Row],[overall_adj]]</f>
        <v>172479.99270056374</v>
      </c>
      <c r="CB36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64" s="3">
        <f>IF(ROUND(Wapato_Inventory[[#This Row],[adj_res]]*Lookups!$H$48,-2)&lt;Wapato_Inventory[[#This Row],[min_res]],Wapato_Inventory[[#This Row],[min_res]],ROUND(Wapato_Inventory[[#This Row],[adj_res]]*Lookups!$H$48,-2))</f>
        <v>163900</v>
      </c>
      <c r="CD364" s="3">
        <f>ROUND(Wapato_Inventory[[#This Row],[det_value]]*Lookups!$H$48,-2)</f>
        <v>5200</v>
      </c>
      <c r="CE364" s="3">
        <f>Wapato_Inventory[[#This Row],[final_res]]+Wapato_Inventory[[#This Row],[final_det]]</f>
        <v>169100</v>
      </c>
      <c r="CF364" s="3">
        <f>Wapato_Inventory[[#This Row],[crop_value]]+Wapato_Inventory[[#This Row],[final_land]]+Wapato_Inventory[[#This Row],[final_imp]]</f>
        <v>219500</v>
      </c>
      <c r="CH364" t="str">
        <f t="shared" si="5"/>
        <v>update valuation set market_land =50400, market_bldg=169100, market_total =219500, market_mdno =405, market_date ='9/10/2023' where link_id = (select link_id from parcel where parcel_year = '2024' and parcel_id = '19111133440');</v>
      </c>
    </row>
    <row r="365" spans="1:86" x14ac:dyDescent="0.25">
      <c r="A365">
        <v>19111133441</v>
      </c>
      <c r="B365">
        <v>0.16</v>
      </c>
      <c r="C365">
        <v>6862</v>
      </c>
      <c r="D365" t="s">
        <v>144</v>
      </c>
      <c r="E365" t="s">
        <v>54</v>
      </c>
      <c r="F365" t="s">
        <v>54</v>
      </c>
      <c r="G365">
        <v>3</v>
      </c>
      <c r="H365" t="s">
        <v>55</v>
      </c>
      <c r="I365">
        <v>135100</v>
      </c>
      <c r="J365">
        <v>32800</v>
      </c>
      <c r="K365">
        <v>0.16</v>
      </c>
      <c r="L365">
        <f>IF(Wapato_Inventory[[#This Row],[parcel_acres]]-Wapato_Inventory[[#This Row],[non_valued_acres]] =0,0,LN(Wapato_Inventory[[#This Row],[parcel_acres]]-Wapato_Inventory[[#This Row],[non_valued_acres]]))</f>
        <v>-1.8325814637483102</v>
      </c>
      <c r="M365">
        <v>0</v>
      </c>
      <c r="N365">
        <v>0</v>
      </c>
      <c r="O365">
        <v>0</v>
      </c>
      <c r="P365">
        <v>27904.037</v>
      </c>
      <c r="Q365">
        <v>74398</v>
      </c>
      <c r="R365" s="3">
        <f>(Wapato_Inventory[[#This Row],[ln_acres]]*Wapato_Inventory[[#This Row],[coeff]])+Wapato_Inventory[[#This Row],[const]]</f>
        <v>23261.579030052992</v>
      </c>
      <c r="S365" t="s">
        <v>66</v>
      </c>
      <c r="T365">
        <v>1</v>
      </c>
      <c r="U365" t="s">
        <v>71</v>
      </c>
      <c r="V365" t="s">
        <v>69</v>
      </c>
      <c r="W365">
        <v>0</v>
      </c>
      <c r="X365">
        <v>0</v>
      </c>
      <c r="Y365">
        <v>53</v>
      </c>
      <c r="Z365">
        <v>93</v>
      </c>
      <c r="AA365">
        <v>100</v>
      </c>
      <c r="AB365">
        <v>1000</v>
      </c>
      <c r="AC365">
        <v>964</v>
      </c>
      <c r="AD365">
        <v>964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352</v>
      </c>
      <c r="AL365">
        <v>0</v>
      </c>
      <c r="AM365">
        <v>0</v>
      </c>
      <c r="AN365">
        <v>40</v>
      </c>
      <c r="AO365">
        <v>80</v>
      </c>
      <c r="AP365">
        <v>5</v>
      </c>
      <c r="AQ365">
        <v>0</v>
      </c>
      <c r="AR365">
        <v>0</v>
      </c>
      <c r="AS365" t="s">
        <v>59</v>
      </c>
      <c r="AT365">
        <v>1</v>
      </c>
      <c r="AU365" t="s">
        <v>72</v>
      </c>
      <c r="AV365" t="s">
        <v>65</v>
      </c>
      <c r="AW365">
        <v>0</v>
      </c>
      <c r="AX365">
        <v>3</v>
      </c>
      <c r="AY365">
        <v>0</v>
      </c>
      <c r="AZ365">
        <v>4700</v>
      </c>
      <c r="BA365">
        <v>100</v>
      </c>
      <c r="BB365">
        <v>100</v>
      </c>
      <c r="BC365">
        <v>100</v>
      </c>
      <c r="BD365">
        <v>100</v>
      </c>
      <c r="BE365">
        <v>1</v>
      </c>
      <c r="BF365">
        <v>15000</v>
      </c>
      <c r="BG365">
        <v>1000</v>
      </c>
      <c r="BH365" s="7">
        <f>ROUND(Wapato_Inventory[[#This Row],[detatched_value]]*Lookups!$B$22*Lookups!$H$48,-2)</f>
        <v>4200</v>
      </c>
      <c r="BI365" s="7">
        <f>ROUND(((Wapato_Inventory[[#This Row],[land_extract]]*Lookups!$B$3) +(Lookups!$B$2*0.5))*Lookups!$H$48,-2)</f>
        <v>53300</v>
      </c>
      <c r="BJ365" s="7">
        <f>IF(Wapato_Inventory[[#This Row],[bldg_style]]="",0,Lookups!$B$2*0.5)</f>
        <v>53765.27</v>
      </c>
      <c r="BK365" s="7">
        <f>_xlfn.IFNA(VLOOKUP(Wapato_Inventory[[#This Row],[quality]],Lookups!$H$2:$J$14,3,FALSE),0)</f>
        <v>28034</v>
      </c>
      <c r="BL365" s="7">
        <f>_xlfn.IFNA(VLOOKUP(Wapato_Inventory[[#This Row],[condition]],Lookups!$H$17:$J$24,3,FALSE),0)</f>
        <v>74543</v>
      </c>
      <c r="BM365" s="7">
        <f>Wapato_Inventory[[#This Row],[Age]]*Lookups!$B$16</f>
        <v>-34472.840100000001</v>
      </c>
      <c r="BN365" s="7">
        <f>Wapato_Inventory[[#This Row],[Main Floor]]*Lookups!$B$17</f>
        <v>40295.912396</v>
      </c>
      <c r="BO365" s="7">
        <f>Wapato_Inventory[[#This Row],[Upper Floor]]*Lookups!$B$18</f>
        <v>0</v>
      </c>
      <c r="BP365" s="7">
        <f>Wapato_Inventory[[#This Row],[Fin BSMT]]*Lookups!$B$19</f>
        <v>0</v>
      </c>
      <c r="BQ365" s="7">
        <f>(Wapato_Inventory[[#This Row],[att_gar]]+Wapato_Inventory[[#This Row],[blt_gar]])*Lookups!$B$20</f>
        <v>0</v>
      </c>
      <c r="BR365" s="7">
        <f>Wapato_Inventory[[#This Row],[Patio]]*Lookups!$B$21</f>
        <v>0</v>
      </c>
      <c r="BS365" s="7">
        <f>SUM(Wapato_Inventory[[#This Row],[intercept]:[patio_value]])*Wapato_Inventory[[#This Row],[res_pct]]</f>
        <v>162165.34229599999</v>
      </c>
      <c r="BT365" s="7">
        <f>Wapato_Inventory[[#This Row],[land_value]]</f>
        <v>53300</v>
      </c>
      <c r="BU365" s="2">
        <f>_xlfn.IFNA(VLOOKUP(Wapato_Inventory[[#This Row],[quality]],Lookups!$A$28:$C$37,3,FALSE),1)</f>
        <v>0.96265813922927435</v>
      </c>
      <c r="BV365" s="2">
        <f>_xlfn.IFNA(VLOOKUP(Wapato_Inventory[[#This Row],[condition]],Lookups!$A$41:$C$48,3,FALSE),1)</f>
        <v>0.98442438223270734</v>
      </c>
      <c r="BW365" s="2">
        <f>IF(Wapato_Inventory[[#This Row],[decade]]="",1,_xlfn.IFNA(VLOOKUP(Wapato_Inventory[[#This Row],[decade]],Lookups!$F$28:$H$45,3,FALSE),1))</f>
        <v>1.0114203040664467</v>
      </c>
      <c r="BX365" s="2">
        <f>_xlfn.IFNA(VLOOKUP(Wapato_Inventory[[#This Row],[living_area_range]],Lookups!$K$28:$M$37,3,FALSE),1)</f>
        <v>0.99022994770196116</v>
      </c>
      <c r="BY365" s="2">
        <f>AVERAGE(Wapato_Inventory[[#This Row],[qual_adj]:[range_adj]])</f>
        <v>0.9871831933075973</v>
      </c>
      <c r="BZ365" s="7">
        <f>(Wapato_Inventory[[#This Row],[sum_land]]-IF(Wapato_Inventory[[#This Row],[no_utilities]]=1,12000,0))/IF(Wapato_Inventory[[#This Row],[unbuildable]]=1,2,1)</f>
        <v>53300</v>
      </c>
      <c r="CA365" s="7">
        <f>Wapato_Inventory[[#This Row],[pre_res]]*Wapato_Inventory[[#This Row],[overall_adj]]</f>
        <v>160086.90045158484</v>
      </c>
      <c r="CB365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365" s="3">
        <f>IF(ROUND(Wapato_Inventory[[#This Row],[adj_res]]*Lookups!$H$48,-2)&lt;Wapato_Inventory[[#This Row],[min_res]],Wapato_Inventory[[#This Row],[min_res]],ROUND(Wapato_Inventory[[#This Row],[adj_res]]*Lookups!$H$48,-2))</f>
        <v>152100</v>
      </c>
      <c r="CD365" s="3">
        <f>ROUND(Wapato_Inventory[[#This Row],[det_value]]*Lookups!$H$48,-2)</f>
        <v>4000</v>
      </c>
      <c r="CE365" s="3">
        <f>Wapato_Inventory[[#This Row],[final_res]]+Wapato_Inventory[[#This Row],[final_det]]</f>
        <v>156100</v>
      </c>
      <c r="CF365" s="3">
        <f>Wapato_Inventory[[#This Row],[crop_value]]+Wapato_Inventory[[#This Row],[final_land]]+Wapato_Inventory[[#This Row],[final_imp]]</f>
        <v>206700</v>
      </c>
      <c r="CH365" t="str">
        <f t="shared" si="5"/>
        <v>update valuation set market_land =50600, market_bldg=156100, market_total =206700, market_mdno =405, market_date ='9/10/2023' where link_id = (select link_id from parcel where parcel_year = '2024' and parcel_id = '19111133441');</v>
      </c>
    </row>
    <row r="366" spans="1:86" x14ac:dyDescent="0.25">
      <c r="A366">
        <v>19111133442</v>
      </c>
      <c r="B366">
        <v>0.15</v>
      </c>
      <c r="C366">
        <v>6688</v>
      </c>
      <c r="D366" t="s">
        <v>144</v>
      </c>
      <c r="E366" t="s">
        <v>54</v>
      </c>
      <c r="F366" t="s">
        <v>54</v>
      </c>
      <c r="G366">
        <v>3</v>
      </c>
      <c r="H366" t="s">
        <v>55</v>
      </c>
      <c r="I366">
        <v>195300</v>
      </c>
      <c r="J366">
        <v>32300</v>
      </c>
      <c r="K366">
        <v>0.15</v>
      </c>
      <c r="L366">
        <f>IF(Wapato_Inventory[[#This Row],[parcel_acres]]-Wapato_Inventory[[#This Row],[non_valued_acres]] =0,0,LN(Wapato_Inventory[[#This Row],[parcel_acres]]-Wapato_Inventory[[#This Row],[non_valued_acres]]))</f>
        <v>-1.8971199848858813</v>
      </c>
      <c r="M366">
        <v>0</v>
      </c>
      <c r="N366">
        <v>0</v>
      </c>
      <c r="O366">
        <v>0</v>
      </c>
      <c r="P366">
        <v>27904.037</v>
      </c>
      <c r="Q366">
        <v>74398</v>
      </c>
      <c r="R366" s="3">
        <f>(Wapato_Inventory[[#This Row],[ln_acres]]*Wapato_Inventory[[#This Row],[coeff]])+Wapato_Inventory[[#This Row],[const]]</f>
        <v>21460.693748304926</v>
      </c>
      <c r="S366" t="s">
        <v>145</v>
      </c>
      <c r="T366">
        <v>1</v>
      </c>
      <c r="U366" t="s">
        <v>75</v>
      </c>
      <c r="V366" t="s">
        <v>69</v>
      </c>
      <c r="W366">
        <v>0</v>
      </c>
      <c r="X366">
        <v>0</v>
      </c>
      <c r="Y366">
        <v>55</v>
      </c>
      <c r="Z366">
        <v>98</v>
      </c>
      <c r="AA366">
        <v>100</v>
      </c>
      <c r="AB366">
        <v>1500</v>
      </c>
      <c r="AC366">
        <v>1434</v>
      </c>
      <c r="AD366">
        <v>1434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353</v>
      </c>
      <c r="AN366">
        <v>0</v>
      </c>
      <c r="AO366">
        <v>72</v>
      </c>
      <c r="AP366">
        <v>5</v>
      </c>
      <c r="AQ366">
        <v>0</v>
      </c>
      <c r="AR366">
        <v>0</v>
      </c>
      <c r="AS366" t="s">
        <v>59</v>
      </c>
      <c r="AT366">
        <v>1</v>
      </c>
      <c r="AU366" t="s">
        <v>64</v>
      </c>
      <c r="AV366" t="s">
        <v>65</v>
      </c>
      <c r="AW366">
        <v>0</v>
      </c>
      <c r="AX366">
        <v>3</v>
      </c>
      <c r="AY366">
        <v>0</v>
      </c>
      <c r="AZ366">
        <v>0</v>
      </c>
      <c r="BA366">
        <v>100</v>
      </c>
      <c r="BB366">
        <v>100</v>
      </c>
      <c r="BC366">
        <v>100</v>
      </c>
      <c r="BD366">
        <v>100</v>
      </c>
      <c r="BE366">
        <v>1</v>
      </c>
      <c r="BF366">
        <v>15000</v>
      </c>
      <c r="BG366">
        <v>1000</v>
      </c>
      <c r="BH366" s="7">
        <f>ROUND(Wapato_Inventory[[#This Row],[detatched_value]]*Lookups!$B$22*Lookups!$H$48,-2)</f>
        <v>0</v>
      </c>
      <c r="BI366" s="7">
        <f>ROUND(((Wapato_Inventory[[#This Row],[land_extract]]*Lookups!$B$3) +(Lookups!$B$2*0.5))*Lookups!$H$48,-2)</f>
        <v>53100</v>
      </c>
      <c r="BJ366" s="7">
        <f>IF(Wapato_Inventory[[#This Row],[bldg_style]]="",0,Lookups!$B$2*0.5)</f>
        <v>53765.27</v>
      </c>
      <c r="BK366" s="7">
        <f>_xlfn.IFNA(VLOOKUP(Wapato_Inventory[[#This Row],[quality]],Lookups!$H$2:$J$14,3,FALSE),0)</f>
        <v>48043</v>
      </c>
      <c r="BL366" s="7">
        <f>_xlfn.IFNA(VLOOKUP(Wapato_Inventory[[#This Row],[condition]],Lookups!$H$17:$J$24,3,FALSE),0)</f>
        <v>74543</v>
      </c>
      <c r="BM366" s="7">
        <f>Wapato_Inventory[[#This Row],[Age]]*Lookups!$B$16</f>
        <v>-36326.2186</v>
      </c>
      <c r="BN366" s="7">
        <f>Wapato_Inventory[[#This Row],[Main Floor]]*Lookups!$B$17</f>
        <v>59942.259725999997</v>
      </c>
      <c r="BO366" s="7">
        <f>Wapato_Inventory[[#This Row],[Upper Floor]]*Lookups!$B$18</f>
        <v>0</v>
      </c>
      <c r="BP366" s="7">
        <f>Wapato_Inventory[[#This Row],[Fin BSMT]]*Lookups!$B$19</f>
        <v>0</v>
      </c>
      <c r="BQ366" s="7">
        <f>(Wapato_Inventory[[#This Row],[att_gar]]+Wapato_Inventory[[#This Row],[blt_gar]])*Lookups!$B$20</f>
        <v>0</v>
      </c>
      <c r="BR366" s="7">
        <f>Wapato_Inventory[[#This Row],[Patio]]*Lookups!$B$21</f>
        <v>15293.364587</v>
      </c>
      <c r="BS366" s="7">
        <f>SUM(Wapato_Inventory[[#This Row],[intercept]:[patio_value]])*Wapato_Inventory[[#This Row],[res_pct]]</f>
        <v>215260.67571299998</v>
      </c>
      <c r="BT366" s="7">
        <f>Wapato_Inventory[[#This Row],[land_value]]</f>
        <v>53100</v>
      </c>
      <c r="BU366" s="2">
        <f>_xlfn.IFNA(VLOOKUP(Wapato_Inventory[[#This Row],[quality]],Lookups!$A$28:$C$37,3,FALSE),1)</f>
        <v>0.98196844879778955</v>
      </c>
      <c r="BV366" s="2">
        <f>_xlfn.IFNA(VLOOKUP(Wapato_Inventory[[#This Row],[condition]],Lookups!$A$41:$C$48,3,FALSE),1)</f>
        <v>0.98442438223270734</v>
      </c>
      <c r="BW366" s="2">
        <f>IF(Wapato_Inventory[[#This Row],[decade]]="",1,_xlfn.IFNA(VLOOKUP(Wapato_Inventory[[#This Row],[decade]],Lookups!$F$28:$H$45,3,FALSE),1))</f>
        <v>1.0114203040664467</v>
      </c>
      <c r="BX366" s="2">
        <f>_xlfn.IFNA(VLOOKUP(Wapato_Inventory[[#This Row],[living_area_range]],Lookups!$K$28:$M$37,3,FALSE),1)</f>
        <v>1.0061411172456287</v>
      </c>
      <c r="BY366" s="2">
        <f>AVERAGE(Wapato_Inventory[[#This Row],[qual_adj]:[range_adj]])</f>
        <v>0.9959885630856431</v>
      </c>
      <c r="BZ366" s="7">
        <f>(Wapato_Inventory[[#This Row],[sum_land]]-IF(Wapato_Inventory[[#This Row],[no_utilities]]=1,12000,0))/IF(Wapato_Inventory[[#This Row],[unbuildable]]=1,2,1)</f>
        <v>53100</v>
      </c>
      <c r="CA366" s="7">
        <f>Wapato_Inventory[[#This Row],[pre_res]]*Wapato_Inventory[[#This Row],[overall_adj]]</f>
        <v>214397.17109223543</v>
      </c>
      <c r="CB36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366" s="3">
        <f>IF(ROUND(Wapato_Inventory[[#This Row],[adj_res]]*Lookups!$H$48,-2)&lt;Wapato_Inventory[[#This Row],[min_res]],Wapato_Inventory[[#This Row],[min_res]],ROUND(Wapato_Inventory[[#This Row],[adj_res]]*Lookups!$H$48,-2))</f>
        <v>203700</v>
      </c>
      <c r="CD366" s="3">
        <f>ROUND(Wapato_Inventory[[#This Row],[det_value]]*Lookups!$H$48,-2)</f>
        <v>0</v>
      </c>
      <c r="CE366" s="3">
        <f>Wapato_Inventory[[#This Row],[final_res]]+Wapato_Inventory[[#This Row],[final_det]]</f>
        <v>203700</v>
      </c>
      <c r="CF366" s="3">
        <f>Wapato_Inventory[[#This Row],[crop_value]]+Wapato_Inventory[[#This Row],[final_land]]+Wapato_Inventory[[#This Row],[final_imp]]</f>
        <v>254100</v>
      </c>
      <c r="CH366" t="str">
        <f t="shared" si="5"/>
        <v>update valuation set market_land =50400, market_bldg=203700, market_total =254100, market_mdno =405, market_date ='9/10/2023' where link_id = (select link_id from parcel where parcel_year = '2024' and parcel_id = '19111133442');</v>
      </c>
    </row>
    <row r="367" spans="1:86" x14ac:dyDescent="0.25">
      <c r="A367">
        <v>19111133443</v>
      </c>
      <c r="B367">
        <v>0.1</v>
      </c>
      <c r="C367">
        <v>4525</v>
      </c>
      <c r="D367" t="s">
        <v>144</v>
      </c>
      <c r="E367" t="s">
        <v>54</v>
      </c>
      <c r="F367" t="s">
        <v>54</v>
      </c>
      <c r="G367">
        <v>3</v>
      </c>
      <c r="H367" t="s">
        <v>55</v>
      </c>
      <c r="I367">
        <v>122800</v>
      </c>
      <c r="J367">
        <v>29500</v>
      </c>
      <c r="K367">
        <v>0.1</v>
      </c>
      <c r="L367">
        <f>IF(Wapato_Inventory[[#This Row],[parcel_acres]]-Wapato_Inventory[[#This Row],[non_valued_acres]] =0,0,LN(Wapato_Inventory[[#This Row],[parcel_acres]]-Wapato_Inventory[[#This Row],[non_valued_acres]]))</f>
        <v>-2.3025850929940455</v>
      </c>
      <c r="M367">
        <v>0</v>
      </c>
      <c r="N367">
        <v>0</v>
      </c>
      <c r="O367">
        <v>0</v>
      </c>
      <c r="P367">
        <v>27904.037</v>
      </c>
      <c r="Q367">
        <v>74398</v>
      </c>
      <c r="R367" s="3">
        <f>(Wapato_Inventory[[#This Row],[ln_acres]]*Wapato_Inventory[[#This Row],[coeff]])+Wapato_Inventory[[#This Row],[const]]</f>
        <v>10146.580369445714</v>
      </c>
      <c r="S367" t="s">
        <v>66</v>
      </c>
      <c r="T367">
        <v>1</v>
      </c>
      <c r="U367" t="s">
        <v>71</v>
      </c>
      <c r="V367" t="s">
        <v>68</v>
      </c>
      <c r="W367">
        <v>0</v>
      </c>
      <c r="X367">
        <v>0</v>
      </c>
      <c r="Y367">
        <v>53</v>
      </c>
      <c r="Z367">
        <v>93</v>
      </c>
      <c r="AA367">
        <v>100</v>
      </c>
      <c r="AB367">
        <v>1500</v>
      </c>
      <c r="AC367">
        <v>1080</v>
      </c>
      <c r="AD367">
        <v>1080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5</v>
      </c>
      <c r="AQ367">
        <v>1</v>
      </c>
      <c r="AR367">
        <v>0</v>
      </c>
      <c r="AS367" t="s">
        <v>59</v>
      </c>
      <c r="AT367">
        <v>1</v>
      </c>
      <c r="AU367" t="s">
        <v>72</v>
      </c>
      <c r="AV367" t="s">
        <v>61</v>
      </c>
      <c r="AW367">
        <v>0</v>
      </c>
      <c r="AX367">
        <v>3</v>
      </c>
      <c r="AY367">
        <v>0</v>
      </c>
      <c r="AZ367">
        <v>3600</v>
      </c>
      <c r="BA367">
        <v>100</v>
      </c>
      <c r="BB367">
        <v>100</v>
      </c>
      <c r="BC367">
        <v>100</v>
      </c>
      <c r="BD367">
        <v>100</v>
      </c>
      <c r="BE367">
        <v>1</v>
      </c>
      <c r="BF367">
        <v>15000</v>
      </c>
      <c r="BG367">
        <v>1000</v>
      </c>
      <c r="BH367" s="7">
        <f>ROUND(Wapato_Inventory[[#This Row],[detatched_value]]*Lookups!$B$22*Lookups!$H$48,-2)</f>
        <v>3200</v>
      </c>
      <c r="BI367" s="7">
        <f>ROUND(((Wapato_Inventory[[#This Row],[land_extract]]*Lookups!$B$3) +(Lookups!$B$2*0.5))*Lookups!$H$48,-2)</f>
        <v>52100</v>
      </c>
      <c r="BJ367" s="7">
        <f>IF(Wapato_Inventory[[#This Row],[bldg_style]]="",0,Lookups!$B$2*0.5)</f>
        <v>53765.27</v>
      </c>
      <c r="BK367" s="7">
        <f>_xlfn.IFNA(VLOOKUP(Wapato_Inventory[[#This Row],[quality]],Lookups!$H$2:$J$14,3,FALSE),0)</f>
        <v>28034</v>
      </c>
      <c r="BL367" s="7">
        <f>_xlfn.IFNA(VLOOKUP(Wapato_Inventory[[#This Row],[condition]],Lookups!$H$17:$J$24,3,FALSE),0)</f>
        <v>52231</v>
      </c>
      <c r="BM367" s="7">
        <f>Wapato_Inventory[[#This Row],[Age]]*Lookups!$B$16</f>
        <v>-34472.840100000001</v>
      </c>
      <c r="BN367" s="7">
        <f>Wapato_Inventory[[#This Row],[Main Floor]]*Lookups!$B$17</f>
        <v>45144.798119999999</v>
      </c>
      <c r="BO367" s="7">
        <f>Wapato_Inventory[[#This Row],[Upper Floor]]*Lookups!$B$18</f>
        <v>0</v>
      </c>
      <c r="BP367" s="7">
        <f>Wapato_Inventory[[#This Row],[Fin BSMT]]*Lookups!$B$19</f>
        <v>0</v>
      </c>
      <c r="BQ367" s="7">
        <f>(Wapato_Inventory[[#This Row],[att_gar]]+Wapato_Inventory[[#This Row],[blt_gar]])*Lookups!$B$20</f>
        <v>0</v>
      </c>
      <c r="BR367" s="7">
        <f>Wapato_Inventory[[#This Row],[Patio]]*Lookups!$B$21</f>
        <v>0</v>
      </c>
      <c r="BS367" s="7">
        <f>SUM(Wapato_Inventory[[#This Row],[intercept]:[patio_value]])*Wapato_Inventory[[#This Row],[res_pct]]</f>
        <v>144702.22801999998</v>
      </c>
      <c r="BT367" s="7">
        <f>Wapato_Inventory[[#This Row],[land_value]]</f>
        <v>52100</v>
      </c>
      <c r="BU367" s="2">
        <f>_xlfn.IFNA(VLOOKUP(Wapato_Inventory[[#This Row],[quality]],Lookups!$A$28:$C$37,3,FALSE),1)</f>
        <v>0.96265813922927435</v>
      </c>
      <c r="BV367" s="2">
        <f>_xlfn.IFNA(VLOOKUP(Wapato_Inventory[[#This Row],[condition]],Lookups!$A$41:$C$48,3,FALSE),1)</f>
        <v>0.9832333997567807</v>
      </c>
      <c r="BW367" s="2">
        <f>IF(Wapato_Inventory[[#This Row],[decade]]="",1,_xlfn.IFNA(VLOOKUP(Wapato_Inventory[[#This Row],[decade]],Lookups!$F$28:$H$45,3,FALSE),1))</f>
        <v>1.0114203040664467</v>
      </c>
      <c r="BX367" s="2">
        <f>_xlfn.IFNA(VLOOKUP(Wapato_Inventory[[#This Row],[living_area_range]],Lookups!$K$28:$M$37,3,FALSE),1)</f>
        <v>1.0061411172456287</v>
      </c>
      <c r="BY367" s="2">
        <f>AVERAGE(Wapato_Inventory[[#This Row],[qual_adj]:[range_adj]])</f>
        <v>0.99086324007453253</v>
      </c>
      <c r="BZ367" s="7">
        <f>(Wapato_Inventory[[#This Row],[sum_land]]-IF(Wapato_Inventory[[#This Row],[no_utilities]]=1,12000,0))/IF(Wapato_Inventory[[#This Row],[unbuildable]]=1,2,1)</f>
        <v>52100</v>
      </c>
      <c r="CA367" s="7">
        <f>Wapato_Inventory[[#This Row],[pre_res]]*Wapato_Inventory[[#This Row],[overall_adj]]</f>
        <v>143380.11850190099</v>
      </c>
      <c r="CB367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367" s="3">
        <f>IF(ROUND(Wapato_Inventory[[#This Row],[adj_res]]*Lookups!$H$48,-2)&lt;Wapato_Inventory[[#This Row],[min_res]],Wapato_Inventory[[#This Row],[min_res]],ROUND(Wapato_Inventory[[#This Row],[adj_res]]*Lookups!$H$48,-2))</f>
        <v>136200</v>
      </c>
      <c r="CD367" s="3">
        <f>ROUND(Wapato_Inventory[[#This Row],[det_value]]*Lookups!$H$48,-2)</f>
        <v>3000</v>
      </c>
      <c r="CE367" s="3">
        <f>Wapato_Inventory[[#This Row],[final_res]]+Wapato_Inventory[[#This Row],[final_det]]</f>
        <v>139200</v>
      </c>
      <c r="CF367" s="3">
        <f>Wapato_Inventory[[#This Row],[crop_value]]+Wapato_Inventory[[#This Row],[final_land]]+Wapato_Inventory[[#This Row],[final_imp]]</f>
        <v>188700</v>
      </c>
      <c r="CH367" t="str">
        <f t="shared" si="5"/>
        <v>update valuation set market_land =49500, market_bldg=139200, market_total =188700, market_mdno =405, market_date ='9/10/2023' where link_id = (select link_id from parcel where parcel_year = '2024' and parcel_id = '19111133443');</v>
      </c>
    </row>
    <row r="368" spans="1:86" x14ac:dyDescent="0.25">
      <c r="A368">
        <v>19111133444</v>
      </c>
      <c r="B368">
        <v>0.13</v>
      </c>
      <c r="C368">
        <v>5651</v>
      </c>
      <c r="D368" t="s">
        <v>144</v>
      </c>
      <c r="E368" t="s">
        <v>54</v>
      </c>
      <c r="F368" t="s">
        <v>54</v>
      </c>
      <c r="G368">
        <v>3</v>
      </c>
      <c r="H368" t="s">
        <v>55</v>
      </c>
      <c r="I368">
        <v>226500</v>
      </c>
      <c r="J368">
        <v>31400</v>
      </c>
      <c r="K368">
        <v>0.13</v>
      </c>
      <c r="L368">
        <f>IF(Wapato_Inventory[[#This Row],[parcel_acres]]-Wapato_Inventory[[#This Row],[non_valued_acres]] =0,0,LN(Wapato_Inventory[[#This Row],[parcel_acres]]-Wapato_Inventory[[#This Row],[non_valued_acres]]))</f>
        <v>-2.0402208285265546</v>
      </c>
      <c r="M368">
        <v>0</v>
      </c>
      <c r="N368">
        <v>0</v>
      </c>
      <c r="O368">
        <v>0</v>
      </c>
      <c r="P368">
        <v>27904.037</v>
      </c>
      <c r="Q368">
        <v>74398</v>
      </c>
      <c r="R368" s="3">
        <f>(Wapato_Inventory[[#This Row],[ln_acres]]*Wapato_Inventory[[#This Row],[coeff]])+Wapato_Inventory[[#This Row],[const]]</f>
        <v>17467.602512624362</v>
      </c>
      <c r="S368" t="s">
        <v>62</v>
      </c>
      <c r="T368">
        <v>1</v>
      </c>
      <c r="U368" t="s">
        <v>75</v>
      </c>
      <c r="V368" t="s">
        <v>69</v>
      </c>
      <c r="W368">
        <v>0</v>
      </c>
      <c r="X368">
        <v>0</v>
      </c>
      <c r="Y368">
        <v>27</v>
      </c>
      <c r="Z368">
        <v>27</v>
      </c>
      <c r="AA368">
        <v>30</v>
      </c>
      <c r="AB368">
        <v>1500</v>
      </c>
      <c r="AC368">
        <v>1181</v>
      </c>
      <c r="AD368">
        <v>1181</v>
      </c>
      <c r="AE368">
        <v>0</v>
      </c>
      <c r="AF368">
        <v>0</v>
      </c>
      <c r="AG368">
        <v>0</v>
      </c>
      <c r="AH368">
        <v>0</v>
      </c>
      <c r="AI368">
        <v>273</v>
      </c>
      <c r="AJ368">
        <v>0</v>
      </c>
      <c r="AK368">
        <v>0</v>
      </c>
      <c r="AL368">
        <v>0</v>
      </c>
      <c r="AM368">
        <v>0</v>
      </c>
      <c r="AN368">
        <v>30</v>
      </c>
      <c r="AO368">
        <v>160</v>
      </c>
      <c r="AP368">
        <v>8</v>
      </c>
      <c r="AQ368">
        <v>0</v>
      </c>
      <c r="AR368">
        <v>0</v>
      </c>
      <c r="AS368" t="s">
        <v>59</v>
      </c>
      <c r="AT368">
        <v>1</v>
      </c>
      <c r="AU368" t="s">
        <v>72</v>
      </c>
      <c r="AV368" t="s">
        <v>61</v>
      </c>
      <c r="AW368">
        <v>0</v>
      </c>
      <c r="AX368">
        <v>3</v>
      </c>
      <c r="AY368">
        <v>0</v>
      </c>
      <c r="AZ368">
        <v>0</v>
      </c>
      <c r="BA368">
        <v>100</v>
      </c>
      <c r="BB368">
        <v>100</v>
      </c>
      <c r="BC368">
        <v>100</v>
      </c>
      <c r="BD368">
        <v>100</v>
      </c>
      <c r="BE368">
        <v>1</v>
      </c>
      <c r="BF368">
        <v>15000</v>
      </c>
      <c r="BG368">
        <v>1000</v>
      </c>
      <c r="BH368" s="7">
        <f>ROUND(Wapato_Inventory[[#This Row],[detatched_value]]*Lookups!$B$22*Lookups!$H$48,-2)</f>
        <v>0</v>
      </c>
      <c r="BI368" s="7">
        <f>ROUND(((Wapato_Inventory[[#This Row],[land_extract]]*Lookups!$B$3) +(Lookups!$B$2*0.5))*Lookups!$H$48,-2)</f>
        <v>52800</v>
      </c>
      <c r="BJ368" s="7">
        <f>IF(Wapato_Inventory[[#This Row],[bldg_style]]="",0,Lookups!$B$2*0.5)</f>
        <v>53765.27</v>
      </c>
      <c r="BK368" s="7">
        <f>_xlfn.IFNA(VLOOKUP(Wapato_Inventory[[#This Row],[quality]],Lookups!$H$2:$J$14,3,FALSE),0)</f>
        <v>48043</v>
      </c>
      <c r="BL368" s="7">
        <f>_xlfn.IFNA(VLOOKUP(Wapato_Inventory[[#This Row],[condition]],Lookups!$H$17:$J$24,3,FALSE),0)</f>
        <v>74543</v>
      </c>
      <c r="BM368" s="7">
        <f>Wapato_Inventory[[#This Row],[Age]]*Lookups!$B$16</f>
        <v>-10008.243899999999</v>
      </c>
      <c r="BN368" s="7">
        <f>Wapato_Inventory[[#This Row],[Main Floor]]*Lookups!$B$17</f>
        <v>49366.672759000001</v>
      </c>
      <c r="BO368" s="7">
        <f>Wapato_Inventory[[#This Row],[Upper Floor]]*Lookups!$B$18</f>
        <v>0</v>
      </c>
      <c r="BP368" s="7">
        <f>Wapato_Inventory[[#This Row],[Fin BSMT]]*Lookups!$B$19</f>
        <v>0</v>
      </c>
      <c r="BQ368" s="7">
        <f>(Wapato_Inventory[[#This Row],[att_gar]]+Wapato_Inventory[[#This Row],[blt_gar]])*Lookups!$B$20</f>
        <v>10103.389296000001</v>
      </c>
      <c r="BR368" s="7">
        <f>Wapato_Inventory[[#This Row],[Patio]]*Lookups!$B$21</f>
        <v>0</v>
      </c>
      <c r="BS368" s="7">
        <f>SUM(Wapato_Inventory[[#This Row],[intercept]:[patio_value]])*Wapato_Inventory[[#This Row],[res_pct]]</f>
        <v>225813.088155</v>
      </c>
      <c r="BT368" s="7">
        <f>Wapato_Inventory[[#This Row],[land_value]]</f>
        <v>52800</v>
      </c>
      <c r="BU368" s="2">
        <f>_xlfn.IFNA(VLOOKUP(Wapato_Inventory[[#This Row],[quality]],Lookups!$A$28:$C$37,3,FALSE),1)</f>
        <v>0.98196844879778955</v>
      </c>
      <c r="BV368" s="2">
        <f>_xlfn.IFNA(VLOOKUP(Wapato_Inventory[[#This Row],[condition]],Lookups!$A$41:$C$48,3,FALSE),1)</f>
        <v>0.98442438223270734</v>
      </c>
      <c r="BW368" s="2">
        <f>IF(Wapato_Inventory[[#This Row],[decade]]="",1,_xlfn.IFNA(VLOOKUP(Wapato_Inventory[[#This Row],[decade]],Lookups!$F$28:$H$45,3,FALSE),1))</f>
        <v>1.0490505496896987</v>
      </c>
      <c r="BX368" s="2">
        <f>_xlfn.IFNA(VLOOKUP(Wapato_Inventory[[#This Row],[living_area_range]],Lookups!$K$28:$M$37,3,FALSE),1)</f>
        <v>1.0061411172456287</v>
      </c>
      <c r="BY368" s="2">
        <f>AVERAGE(Wapato_Inventory[[#This Row],[qual_adj]:[range_adj]])</f>
        <v>1.005396124491456</v>
      </c>
      <c r="BZ368" s="7">
        <f>(Wapato_Inventory[[#This Row],[sum_land]]-IF(Wapato_Inventory[[#This Row],[no_utilities]]=1,12000,0))/IF(Wapato_Inventory[[#This Row],[unbuildable]]=1,2,1)</f>
        <v>52800</v>
      </c>
      <c r="CA368" s="7">
        <f>Wapato_Inventory[[#This Row],[pre_res]]*Wapato_Inventory[[#This Row],[overall_adj]]</f>
        <v>227031.60369048451</v>
      </c>
      <c r="CB368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368" s="3">
        <f>IF(ROUND(Wapato_Inventory[[#This Row],[adj_res]]*Lookups!$H$48,-2)&lt;Wapato_Inventory[[#This Row],[min_res]],Wapato_Inventory[[#This Row],[min_res]],ROUND(Wapato_Inventory[[#This Row],[adj_res]]*Lookups!$H$48,-2))</f>
        <v>215700</v>
      </c>
      <c r="CD368" s="3">
        <f>ROUND(Wapato_Inventory[[#This Row],[det_value]]*Lookups!$H$48,-2)</f>
        <v>0</v>
      </c>
      <c r="CE368" s="3">
        <f>Wapato_Inventory[[#This Row],[final_res]]+Wapato_Inventory[[#This Row],[final_det]]</f>
        <v>215700</v>
      </c>
      <c r="CF368" s="3">
        <f>Wapato_Inventory[[#This Row],[crop_value]]+Wapato_Inventory[[#This Row],[final_land]]+Wapato_Inventory[[#This Row],[final_imp]]</f>
        <v>265900</v>
      </c>
      <c r="CH368" t="str">
        <f t="shared" si="5"/>
        <v>update valuation set market_land =50200, market_bldg=215700, market_total =265900, market_mdno =405, market_date ='9/10/2023' where link_id = (select link_id from parcel where parcel_year = '2024' and parcel_id = '19111133444');</v>
      </c>
    </row>
    <row r="369" spans="1:86" x14ac:dyDescent="0.25">
      <c r="A369">
        <v>19111133446</v>
      </c>
      <c r="B369">
        <v>0.18</v>
      </c>
      <c r="C369">
        <v>7681</v>
      </c>
      <c r="D369" t="s">
        <v>144</v>
      </c>
      <c r="E369" t="s">
        <v>54</v>
      </c>
      <c r="F369" t="s">
        <v>54</v>
      </c>
      <c r="G369">
        <v>3</v>
      </c>
      <c r="H369" t="s">
        <v>55</v>
      </c>
      <c r="I369">
        <v>100600</v>
      </c>
      <c r="J369">
        <v>33700</v>
      </c>
      <c r="K369">
        <v>0.18</v>
      </c>
      <c r="L369">
        <f>IF(Wapato_Inventory[[#This Row],[parcel_acres]]-Wapato_Inventory[[#This Row],[non_valued_acres]] =0,0,LN(Wapato_Inventory[[#This Row],[parcel_acres]]-Wapato_Inventory[[#This Row],[non_valued_acres]]))</f>
        <v>-1.7147984280919266</v>
      </c>
      <c r="M369">
        <v>0</v>
      </c>
      <c r="N369">
        <v>0</v>
      </c>
      <c r="O369">
        <v>0</v>
      </c>
      <c r="P369">
        <v>27904.037</v>
      </c>
      <c r="Q369">
        <v>74398</v>
      </c>
      <c r="R369" s="3">
        <f>(Wapato_Inventory[[#This Row],[ln_acres]]*Wapato_Inventory[[#This Row],[coeff]])+Wapato_Inventory[[#This Row],[const]]</f>
        <v>26548.20121498104</v>
      </c>
      <c r="S369" t="s">
        <v>66</v>
      </c>
      <c r="T369">
        <v>1</v>
      </c>
      <c r="U369" t="s">
        <v>78</v>
      </c>
      <c r="V369" t="s">
        <v>68</v>
      </c>
      <c r="W369">
        <v>0</v>
      </c>
      <c r="X369">
        <v>0</v>
      </c>
      <c r="Y369">
        <v>57</v>
      </c>
      <c r="Z369">
        <v>103</v>
      </c>
      <c r="AA369">
        <v>110</v>
      </c>
      <c r="AB369">
        <v>1000</v>
      </c>
      <c r="AC369">
        <v>800</v>
      </c>
      <c r="AD369">
        <v>800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5</v>
      </c>
      <c r="AQ369">
        <v>0</v>
      </c>
      <c r="AR369">
        <v>0</v>
      </c>
      <c r="AS369" t="s">
        <v>59</v>
      </c>
      <c r="AT369">
        <v>0</v>
      </c>
      <c r="AU369" t="s">
        <v>80</v>
      </c>
      <c r="AV369" t="s">
        <v>65</v>
      </c>
      <c r="AW369">
        <v>0</v>
      </c>
      <c r="AX369">
        <v>2</v>
      </c>
      <c r="AY369">
        <v>0</v>
      </c>
      <c r="AZ369">
        <v>0</v>
      </c>
      <c r="BA369">
        <v>100</v>
      </c>
      <c r="BB369">
        <v>100</v>
      </c>
      <c r="BC369">
        <v>100</v>
      </c>
      <c r="BD369">
        <v>100</v>
      </c>
      <c r="BE369">
        <v>1</v>
      </c>
      <c r="BF369">
        <v>15000</v>
      </c>
      <c r="BG369">
        <v>1000</v>
      </c>
      <c r="BH369" s="7">
        <f>ROUND(Wapato_Inventory[[#This Row],[detatched_value]]*Lookups!$B$22*Lookups!$H$48,-2)</f>
        <v>0</v>
      </c>
      <c r="BI369" s="7">
        <f>ROUND(((Wapato_Inventory[[#This Row],[land_extract]]*Lookups!$B$3) +(Lookups!$B$2*0.5))*Lookups!$H$48,-2)</f>
        <v>53600</v>
      </c>
      <c r="BJ369" s="7">
        <f>IF(Wapato_Inventory[[#This Row],[bldg_style]]="",0,Lookups!$B$2*0.5)</f>
        <v>53765.27</v>
      </c>
      <c r="BK369" s="7">
        <f>_xlfn.IFNA(VLOOKUP(Wapato_Inventory[[#This Row],[quality]],Lookups!$H$2:$J$14,3,FALSE),0)</f>
        <v>23424</v>
      </c>
      <c r="BL369" s="7">
        <f>_xlfn.IFNA(VLOOKUP(Wapato_Inventory[[#This Row],[condition]],Lookups!$H$17:$J$24,3,FALSE),0)</f>
        <v>52231</v>
      </c>
      <c r="BM369" s="7">
        <f>Wapato_Inventory[[#This Row],[Age]]*Lookups!$B$16</f>
        <v>-38179.597099999999</v>
      </c>
      <c r="BN369" s="7">
        <f>Wapato_Inventory[[#This Row],[Main Floor]]*Lookups!$B$17</f>
        <v>33440.591200000003</v>
      </c>
      <c r="BO369" s="7">
        <f>Wapato_Inventory[[#This Row],[Upper Floor]]*Lookups!$B$18</f>
        <v>0</v>
      </c>
      <c r="BP369" s="7">
        <f>Wapato_Inventory[[#This Row],[Fin BSMT]]*Lookups!$B$19</f>
        <v>0</v>
      </c>
      <c r="BQ369" s="7">
        <f>(Wapato_Inventory[[#This Row],[att_gar]]+Wapato_Inventory[[#This Row],[blt_gar]])*Lookups!$B$20</f>
        <v>0</v>
      </c>
      <c r="BR369" s="7">
        <f>Wapato_Inventory[[#This Row],[Patio]]*Lookups!$B$21</f>
        <v>0</v>
      </c>
      <c r="BS369" s="7">
        <f>SUM(Wapato_Inventory[[#This Row],[intercept]:[patio_value]])*Wapato_Inventory[[#This Row],[res_pct]]</f>
        <v>124681.2641</v>
      </c>
      <c r="BT369" s="7">
        <f>Wapato_Inventory[[#This Row],[land_value]]</f>
        <v>53600</v>
      </c>
      <c r="BU369" s="2">
        <f>_xlfn.IFNA(VLOOKUP(Wapato_Inventory[[#This Row],[quality]],Lookups!$A$28:$C$37,3,FALSE),1)</f>
        <v>1.0091195562373767</v>
      </c>
      <c r="BV369" s="2">
        <f>_xlfn.IFNA(VLOOKUP(Wapato_Inventory[[#This Row],[condition]],Lookups!$A$41:$C$48,3,FALSE),1)</f>
        <v>0.9832333997567807</v>
      </c>
      <c r="BW369" s="2">
        <f>IF(Wapato_Inventory[[#This Row],[decade]]="",1,_xlfn.IFNA(VLOOKUP(Wapato_Inventory[[#This Row],[decade]],Lookups!$F$28:$H$45,3,FALSE),1))</f>
        <v>0.93664589651353292</v>
      </c>
      <c r="BX369" s="2">
        <f>_xlfn.IFNA(VLOOKUP(Wapato_Inventory[[#This Row],[living_area_range]],Lookups!$K$28:$M$37,3,FALSE),1)</f>
        <v>0.99022994770196116</v>
      </c>
      <c r="BY369" s="2">
        <f>AVERAGE(Wapato_Inventory[[#This Row],[qual_adj]:[range_adj]])</f>
        <v>0.97980720005241284</v>
      </c>
      <c r="BZ369" s="7">
        <f>(Wapato_Inventory[[#This Row],[sum_land]]-IF(Wapato_Inventory[[#This Row],[no_utilities]]=1,12000,0))/IF(Wapato_Inventory[[#This Row],[unbuildable]]=1,2,1)</f>
        <v>53600</v>
      </c>
      <c r="CA369" s="7">
        <f>Wapato_Inventory[[#This Row],[pre_res]]*Wapato_Inventory[[#This Row],[overall_adj]]</f>
        <v>122163.60027681642</v>
      </c>
      <c r="CB369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69" s="3">
        <f>IF(ROUND(Wapato_Inventory[[#This Row],[adj_res]]*Lookups!$H$48,-2)&lt;Wapato_Inventory[[#This Row],[min_res]],Wapato_Inventory[[#This Row],[min_res]],ROUND(Wapato_Inventory[[#This Row],[adj_res]]*Lookups!$H$48,-2))</f>
        <v>116100</v>
      </c>
      <c r="CD369" s="3">
        <f>ROUND(Wapato_Inventory[[#This Row],[det_value]]*Lookups!$H$48,-2)</f>
        <v>0</v>
      </c>
      <c r="CE369" s="3">
        <f>Wapato_Inventory[[#This Row],[final_res]]+Wapato_Inventory[[#This Row],[final_det]]</f>
        <v>116100</v>
      </c>
      <c r="CF369" s="3">
        <f>Wapato_Inventory[[#This Row],[crop_value]]+Wapato_Inventory[[#This Row],[final_land]]+Wapato_Inventory[[#This Row],[final_imp]]</f>
        <v>167000</v>
      </c>
      <c r="CH369" t="str">
        <f t="shared" si="5"/>
        <v>update valuation set market_land =50900, market_bldg=116100, market_total =167000, market_mdno =405, market_date ='9/10/2023' where link_id = (select link_id from parcel where parcel_year = '2024' and parcel_id = '19111133446');</v>
      </c>
    </row>
    <row r="370" spans="1:86" x14ac:dyDescent="0.25">
      <c r="A370">
        <v>19111133448</v>
      </c>
      <c r="B370">
        <v>0.24</v>
      </c>
      <c r="C370">
        <v>10439</v>
      </c>
      <c r="D370" t="s">
        <v>144</v>
      </c>
      <c r="E370" t="s">
        <v>54</v>
      </c>
      <c r="F370" t="s">
        <v>54</v>
      </c>
      <c r="G370">
        <v>3</v>
      </c>
      <c r="H370" t="s">
        <v>55</v>
      </c>
      <c r="I370">
        <v>110700</v>
      </c>
      <c r="J370">
        <v>35700</v>
      </c>
      <c r="K370">
        <v>0.24</v>
      </c>
      <c r="L370">
        <f>IF(Wapato_Inventory[[#This Row],[parcel_acres]]-Wapato_Inventory[[#This Row],[non_valued_acres]] =0,0,LN(Wapato_Inventory[[#This Row],[parcel_acres]]-Wapato_Inventory[[#This Row],[non_valued_acres]]))</f>
        <v>-1.4271163556401458</v>
      </c>
      <c r="M370">
        <v>0</v>
      </c>
      <c r="N370">
        <v>0</v>
      </c>
      <c r="O370">
        <v>0</v>
      </c>
      <c r="P370">
        <v>27904.037</v>
      </c>
      <c r="Q370">
        <v>74398</v>
      </c>
      <c r="R370" s="3">
        <f>(Wapato_Inventory[[#This Row],[ln_acres]]*Wapato_Inventory[[#This Row],[coeff]])+Wapato_Inventory[[#This Row],[const]]</f>
        <v>34575.692408912211</v>
      </c>
      <c r="S370" t="s">
        <v>66</v>
      </c>
      <c r="T370">
        <v>1</v>
      </c>
      <c r="U370" t="s">
        <v>71</v>
      </c>
      <c r="V370" t="s">
        <v>68</v>
      </c>
      <c r="W370">
        <v>0</v>
      </c>
      <c r="X370">
        <v>0</v>
      </c>
      <c r="Y370">
        <v>55</v>
      </c>
      <c r="Z370">
        <v>98</v>
      </c>
      <c r="AA370">
        <v>100</v>
      </c>
      <c r="AB370">
        <v>1500</v>
      </c>
      <c r="AC370">
        <v>1051</v>
      </c>
      <c r="AD370">
        <v>1051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651</v>
      </c>
      <c r="AL370">
        <v>0</v>
      </c>
      <c r="AM370">
        <v>0</v>
      </c>
      <c r="AN370">
        <v>0</v>
      </c>
      <c r="AO370">
        <v>210</v>
      </c>
      <c r="AP370">
        <v>5</v>
      </c>
      <c r="AQ370">
        <v>0</v>
      </c>
      <c r="AR370">
        <v>0</v>
      </c>
      <c r="AS370" t="s">
        <v>59</v>
      </c>
      <c r="AT370">
        <v>1</v>
      </c>
      <c r="AU370" t="s">
        <v>72</v>
      </c>
      <c r="AV370" t="s">
        <v>61</v>
      </c>
      <c r="AW370">
        <v>0</v>
      </c>
      <c r="AX370">
        <v>2</v>
      </c>
      <c r="AY370">
        <v>0</v>
      </c>
      <c r="AZ370">
        <v>0</v>
      </c>
      <c r="BA370">
        <v>100</v>
      </c>
      <c r="BB370">
        <v>100</v>
      </c>
      <c r="BC370">
        <v>100</v>
      </c>
      <c r="BD370">
        <v>100</v>
      </c>
      <c r="BE370">
        <v>1</v>
      </c>
      <c r="BF370">
        <v>15000</v>
      </c>
      <c r="BG370">
        <v>1000</v>
      </c>
      <c r="BH370" s="7">
        <f>ROUND(Wapato_Inventory[[#This Row],[detatched_value]]*Lookups!$B$22*Lookups!$H$48,-2)</f>
        <v>0</v>
      </c>
      <c r="BI370" s="7">
        <f>ROUND(((Wapato_Inventory[[#This Row],[land_extract]]*Lookups!$B$3) +(Lookups!$B$2*0.5))*Lookups!$H$48,-2)</f>
        <v>54400</v>
      </c>
      <c r="BJ370" s="7">
        <f>IF(Wapato_Inventory[[#This Row],[bldg_style]]="",0,Lookups!$B$2*0.5)</f>
        <v>53765.27</v>
      </c>
      <c r="BK370" s="7">
        <f>_xlfn.IFNA(VLOOKUP(Wapato_Inventory[[#This Row],[quality]],Lookups!$H$2:$J$14,3,FALSE),0)</f>
        <v>28034</v>
      </c>
      <c r="BL370" s="7">
        <f>_xlfn.IFNA(VLOOKUP(Wapato_Inventory[[#This Row],[condition]],Lookups!$H$17:$J$24,3,FALSE),0)</f>
        <v>52231</v>
      </c>
      <c r="BM370" s="7">
        <f>Wapato_Inventory[[#This Row],[Age]]*Lookups!$B$16</f>
        <v>-36326.2186</v>
      </c>
      <c r="BN370" s="7">
        <f>Wapato_Inventory[[#This Row],[Main Floor]]*Lookups!$B$17</f>
        <v>43932.576689000001</v>
      </c>
      <c r="BO370" s="7">
        <f>Wapato_Inventory[[#This Row],[Upper Floor]]*Lookups!$B$18</f>
        <v>0</v>
      </c>
      <c r="BP370" s="7">
        <f>Wapato_Inventory[[#This Row],[Fin BSMT]]*Lookups!$B$19</f>
        <v>0</v>
      </c>
      <c r="BQ370" s="7">
        <f>(Wapato_Inventory[[#This Row],[att_gar]]+Wapato_Inventory[[#This Row],[blt_gar]])*Lookups!$B$20</f>
        <v>0</v>
      </c>
      <c r="BR370" s="7">
        <f>Wapato_Inventory[[#This Row],[Patio]]*Lookups!$B$21</f>
        <v>0</v>
      </c>
      <c r="BS370" s="7">
        <f>SUM(Wapato_Inventory[[#This Row],[intercept]:[patio_value]])*Wapato_Inventory[[#This Row],[res_pct]]</f>
        <v>141636.62808900001</v>
      </c>
      <c r="BT370" s="7">
        <f>Wapato_Inventory[[#This Row],[land_value]]</f>
        <v>54400</v>
      </c>
      <c r="BU370" s="2">
        <f>_xlfn.IFNA(VLOOKUP(Wapato_Inventory[[#This Row],[quality]],Lookups!$A$28:$C$37,3,FALSE),1)</f>
        <v>0.96265813922927435</v>
      </c>
      <c r="BV370" s="2">
        <f>_xlfn.IFNA(VLOOKUP(Wapato_Inventory[[#This Row],[condition]],Lookups!$A$41:$C$48,3,FALSE),1)</f>
        <v>0.9832333997567807</v>
      </c>
      <c r="BW370" s="2">
        <f>IF(Wapato_Inventory[[#This Row],[decade]]="",1,_xlfn.IFNA(VLOOKUP(Wapato_Inventory[[#This Row],[decade]],Lookups!$F$28:$H$45,3,FALSE),1))</f>
        <v>1.0114203040664467</v>
      </c>
      <c r="BX370" s="2">
        <f>_xlfn.IFNA(VLOOKUP(Wapato_Inventory[[#This Row],[living_area_range]],Lookups!$K$28:$M$37,3,FALSE),1)</f>
        <v>1.0061411172456287</v>
      </c>
      <c r="BY370" s="2">
        <f>AVERAGE(Wapato_Inventory[[#This Row],[qual_adj]:[range_adj]])</f>
        <v>0.99086324007453253</v>
      </c>
      <c r="BZ370" s="7">
        <f>(Wapato_Inventory[[#This Row],[sum_land]]-IF(Wapato_Inventory[[#This Row],[no_utilities]]=1,12000,0))/IF(Wapato_Inventory[[#This Row],[unbuildable]]=1,2,1)</f>
        <v>54400</v>
      </c>
      <c r="CA370" s="7">
        <f>Wapato_Inventory[[#This Row],[pre_res]]*Wapato_Inventory[[#This Row],[overall_adj]]</f>
        <v>140342.5282214981</v>
      </c>
      <c r="CB370" s="3">
        <f>IF(ROUND(Wapato_Inventory[[#This Row],[adj_land]]*Lookups!$H$48,-2)&lt;Wapato_Inventory[[#This Row],[min_land]],Wapato_Inventory[[#This Row],[min_land]],ROUND(Wapato_Inventory[[#This Row],[adj_land]]*Lookups!$H$48,-2))</f>
        <v>51700</v>
      </c>
      <c r="CC370" s="3">
        <f>IF(ROUND(Wapato_Inventory[[#This Row],[adj_res]]*Lookups!$H$48,-2)&lt;Wapato_Inventory[[#This Row],[min_res]],Wapato_Inventory[[#This Row],[min_res]],ROUND(Wapato_Inventory[[#This Row],[adj_res]]*Lookups!$H$48,-2))</f>
        <v>133300</v>
      </c>
      <c r="CD370" s="3">
        <f>ROUND(Wapato_Inventory[[#This Row],[det_value]]*Lookups!$H$48,-2)</f>
        <v>0</v>
      </c>
      <c r="CE370" s="3">
        <f>Wapato_Inventory[[#This Row],[final_res]]+Wapato_Inventory[[#This Row],[final_det]]</f>
        <v>133300</v>
      </c>
      <c r="CF370" s="3">
        <f>Wapato_Inventory[[#This Row],[crop_value]]+Wapato_Inventory[[#This Row],[final_land]]+Wapato_Inventory[[#This Row],[final_imp]]</f>
        <v>185000</v>
      </c>
      <c r="CH370" t="str">
        <f t="shared" si="5"/>
        <v>update valuation set market_land =51700, market_bldg=133300, market_total =185000, market_mdno =405, market_date ='9/10/2023' where link_id = (select link_id from parcel where parcel_year = '2024' and parcel_id = '19111133448');</v>
      </c>
    </row>
    <row r="371" spans="1:86" x14ac:dyDescent="0.25">
      <c r="A371">
        <v>19111133449</v>
      </c>
      <c r="B371">
        <v>0.23</v>
      </c>
      <c r="C371">
        <v>10235</v>
      </c>
      <c r="D371" t="s">
        <v>144</v>
      </c>
      <c r="E371" t="s">
        <v>54</v>
      </c>
      <c r="F371" t="s">
        <v>54</v>
      </c>
      <c r="G371">
        <v>3</v>
      </c>
      <c r="H371" t="s">
        <v>55</v>
      </c>
      <c r="I371">
        <v>168000</v>
      </c>
      <c r="J371">
        <v>35500</v>
      </c>
      <c r="K371">
        <v>0.23</v>
      </c>
      <c r="L371">
        <f>IF(Wapato_Inventory[[#This Row],[parcel_acres]]-Wapato_Inventory[[#This Row],[non_valued_acres]] =0,0,LN(Wapato_Inventory[[#This Row],[parcel_acres]]-Wapato_Inventory[[#This Row],[non_valued_acres]]))</f>
        <v>-1.4696759700589417</v>
      </c>
      <c r="M371">
        <v>0</v>
      </c>
      <c r="N371">
        <v>0</v>
      </c>
      <c r="O371">
        <v>0</v>
      </c>
      <c r="P371">
        <v>27904.037</v>
      </c>
      <c r="Q371">
        <v>74398</v>
      </c>
      <c r="R371" s="3">
        <f>(Wapato_Inventory[[#This Row],[ln_acres]]*Wapato_Inventory[[#This Row],[coeff]])+Wapato_Inventory[[#This Row],[const]]</f>
        <v>33388.107353464402</v>
      </c>
      <c r="S371" t="s">
        <v>56</v>
      </c>
      <c r="T371">
        <v>1</v>
      </c>
      <c r="U371" t="s">
        <v>67</v>
      </c>
      <c r="V371" t="s">
        <v>68</v>
      </c>
      <c r="W371">
        <v>0</v>
      </c>
      <c r="X371">
        <v>0</v>
      </c>
      <c r="Y371">
        <v>55</v>
      </c>
      <c r="Z371">
        <v>98</v>
      </c>
      <c r="AA371">
        <v>100</v>
      </c>
      <c r="AB371">
        <v>2000</v>
      </c>
      <c r="AC371">
        <v>1640</v>
      </c>
      <c r="AD371">
        <v>1640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486</v>
      </c>
      <c r="AL371">
        <v>0</v>
      </c>
      <c r="AM371">
        <v>280</v>
      </c>
      <c r="AN371">
        <v>80</v>
      </c>
      <c r="AO371">
        <v>280</v>
      </c>
      <c r="AP371">
        <v>8</v>
      </c>
      <c r="AQ371">
        <v>1</v>
      </c>
      <c r="AR371">
        <v>0</v>
      </c>
      <c r="AS371" t="s">
        <v>59</v>
      </c>
      <c r="AT371">
        <v>1</v>
      </c>
      <c r="AU371" t="s">
        <v>64</v>
      </c>
      <c r="AV371" t="s">
        <v>65</v>
      </c>
      <c r="AW371">
        <v>0</v>
      </c>
      <c r="AX371">
        <v>3</v>
      </c>
      <c r="AY371">
        <v>0</v>
      </c>
      <c r="AZ371">
        <v>0</v>
      </c>
      <c r="BA371">
        <v>100</v>
      </c>
      <c r="BB371">
        <v>100</v>
      </c>
      <c r="BC371">
        <v>100</v>
      </c>
      <c r="BD371">
        <v>100</v>
      </c>
      <c r="BE371">
        <v>1</v>
      </c>
      <c r="BF371">
        <v>15000</v>
      </c>
      <c r="BG371">
        <v>1000</v>
      </c>
      <c r="BH371" s="7">
        <f>ROUND(Wapato_Inventory[[#This Row],[detatched_value]]*Lookups!$B$22*Lookups!$H$48,-2)</f>
        <v>0</v>
      </c>
      <c r="BI371" s="7">
        <f>ROUND(((Wapato_Inventory[[#This Row],[land_extract]]*Lookups!$B$3) +(Lookups!$B$2*0.5))*Lookups!$H$48,-2)</f>
        <v>54300</v>
      </c>
      <c r="BJ371" s="7">
        <f>IF(Wapato_Inventory[[#This Row],[bldg_style]]="",0,Lookups!$B$2*0.5)</f>
        <v>53765.27</v>
      </c>
      <c r="BK371" s="7">
        <f>_xlfn.IFNA(VLOOKUP(Wapato_Inventory[[#This Row],[quality]],Lookups!$H$2:$J$14,3,FALSE),0)</f>
        <v>50405</v>
      </c>
      <c r="BL371" s="7">
        <f>_xlfn.IFNA(VLOOKUP(Wapato_Inventory[[#This Row],[condition]],Lookups!$H$17:$J$24,3,FALSE),0)</f>
        <v>52231</v>
      </c>
      <c r="BM371" s="7">
        <f>Wapato_Inventory[[#This Row],[Age]]*Lookups!$B$16</f>
        <v>-36326.2186</v>
      </c>
      <c r="BN371" s="7">
        <f>Wapato_Inventory[[#This Row],[Main Floor]]*Lookups!$B$17</f>
        <v>68553.211960000001</v>
      </c>
      <c r="BO371" s="7">
        <f>Wapato_Inventory[[#This Row],[Upper Floor]]*Lookups!$B$18</f>
        <v>0</v>
      </c>
      <c r="BP371" s="7">
        <f>Wapato_Inventory[[#This Row],[Fin BSMT]]*Lookups!$B$19</f>
        <v>0</v>
      </c>
      <c r="BQ371" s="7">
        <f>(Wapato_Inventory[[#This Row],[att_gar]]+Wapato_Inventory[[#This Row],[blt_gar]])*Lookups!$B$20</f>
        <v>0</v>
      </c>
      <c r="BR371" s="7">
        <f>Wapato_Inventory[[#This Row],[Patio]]*Lookups!$B$21</f>
        <v>12130.714120000001</v>
      </c>
      <c r="BS371" s="7">
        <f>SUM(Wapato_Inventory[[#This Row],[intercept]:[patio_value]])*Wapato_Inventory[[#This Row],[res_pct]]</f>
        <v>200758.97747999997</v>
      </c>
      <c r="BT371" s="7">
        <f>Wapato_Inventory[[#This Row],[land_value]]</f>
        <v>54300</v>
      </c>
      <c r="BU371" s="2">
        <f>_xlfn.IFNA(VLOOKUP(Wapato_Inventory[[#This Row],[quality]],Lookups!$A$28:$C$37,3,FALSE),1)</f>
        <v>0.97993206410140754</v>
      </c>
      <c r="BV371" s="2">
        <f>_xlfn.IFNA(VLOOKUP(Wapato_Inventory[[#This Row],[condition]],Lookups!$A$41:$C$48,3,FALSE),1)</f>
        <v>0.9832333997567807</v>
      </c>
      <c r="BW371" s="2">
        <f>IF(Wapato_Inventory[[#This Row],[decade]]="",1,_xlfn.IFNA(VLOOKUP(Wapato_Inventory[[#This Row],[decade]],Lookups!$F$28:$H$45,3,FALSE),1))</f>
        <v>1.0114203040664467</v>
      </c>
      <c r="BX371" s="2">
        <f>_xlfn.IFNA(VLOOKUP(Wapato_Inventory[[#This Row],[living_area_range]],Lookups!$K$28:$M$37,3,FALSE),1)</f>
        <v>0.99330894324714125</v>
      </c>
      <c r="BY371" s="2">
        <f>AVERAGE(Wapato_Inventory[[#This Row],[qual_adj]:[range_adj]])</f>
        <v>0.9919736777929441</v>
      </c>
      <c r="BZ371" s="7">
        <f>(Wapato_Inventory[[#This Row],[sum_land]]-IF(Wapato_Inventory[[#This Row],[no_utilities]]=1,12000,0))/IF(Wapato_Inventory[[#This Row],[unbuildable]]=1,2,1)</f>
        <v>54300</v>
      </c>
      <c r="CA371" s="7">
        <f>Wapato_Inventory[[#This Row],[pre_res]]*Wapato_Inventory[[#This Row],[overall_adj]]</f>
        <v>199147.62124078642</v>
      </c>
      <c r="CB371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371" s="3">
        <f>IF(ROUND(Wapato_Inventory[[#This Row],[adj_res]]*Lookups!$H$48,-2)&lt;Wapato_Inventory[[#This Row],[min_res]],Wapato_Inventory[[#This Row],[min_res]],ROUND(Wapato_Inventory[[#This Row],[adj_res]]*Lookups!$H$48,-2))</f>
        <v>189200</v>
      </c>
      <c r="CD371" s="3">
        <f>ROUND(Wapato_Inventory[[#This Row],[det_value]]*Lookups!$H$48,-2)</f>
        <v>0</v>
      </c>
      <c r="CE371" s="3">
        <f>Wapato_Inventory[[#This Row],[final_res]]+Wapato_Inventory[[#This Row],[final_det]]</f>
        <v>189200</v>
      </c>
      <c r="CF371" s="3">
        <f>Wapato_Inventory[[#This Row],[crop_value]]+Wapato_Inventory[[#This Row],[final_land]]+Wapato_Inventory[[#This Row],[final_imp]]</f>
        <v>240800</v>
      </c>
      <c r="CH371" t="str">
        <f t="shared" si="5"/>
        <v>update valuation set market_land =51600, market_bldg=189200, market_total =240800, market_mdno =405, market_date ='9/10/2023' where link_id = (select link_id from parcel where parcel_year = '2024' and parcel_id = '19111133449');</v>
      </c>
    </row>
    <row r="372" spans="1:86" x14ac:dyDescent="0.25">
      <c r="A372">
        <v>19111133451</v>
      </c>
      <c r="B372">
        <v>0.21</v>
      </c>
      <c r="C372">
        <v>9071</v>
      </c>
      <c r="D372" t="s">
        <v>144</v>
      </c>
      <c r="E372" t="s">
        <v>54</v>
      </c>
      <c r="F372" t="s">
        <v>54</v>
      </c>
      <c r="G372">
        <v>3</v>
      </c>
      <c r="H372" t="s">
        <v>55</v>
      </c>
      <c r="I372">
        <v>108500</v>
      </c>
      <c r="J372">
        <v>34800</v>
      </c>
      <c r="K372">
        <v>0.21</v>
      </c>
      <c r="L372">
        <f>IF(Wapato_Inventory[[#This Row],[parcel_acres]]-Wapato_Inventory[[#This Row],[non_valued_acres]] =0,0,LN(Wapato_Inventory[[#This Row],[parcel_acres]]-Wapato_Inventory[[#This Row],[non_valued_acres]]))</f>
        <v>-1.5606477482646683</v>
      </c>
      <c r="M372">
        <v>0</v>
      </c>
      <c r="N372">
        <v>0</v>
      </c>
      <c r="O372">
        <v>0</v>
      </c>
      <c r="P372">
        <v>27904.037</v>
      </c>
      <c r="Q372">
        <v>74398</v>
      </c>
      <c r="R372" s="3">
        <f>(Wapato_Inventory[[#This Row],[ln_acres]]*Wapato_Inventory[[#This Row],[coeff]])+Wapato_Inventory[[#This Row],[const]]</f>
        <v>30849.627488456012</v>
      </c>
      <c r="S372" t="s">
        <v>66</v>
      </c>
      <c r="T372">
        <v>1</v>
      </c>
      <c r="U372" t="s">
        <v>78</v>
      </c>
      <c r="V372" t="s">
        <v>68</v>
      </c>
      <c r="W372">
        <v>0</v>
      </c>
      <c r="X372">
        <v>0</v>
      </c>
      <c r="Y372">
        <v>55</v>
      </c>
      <c r="Z372">
        <v>98</v>
      </c>
      <c r="AA372">
        <v>100</v>
      </c>
      <c r="AB372">
        <v>1000</v>
      </c>
      <c r="AC372">
        <v>928</v>
      </c>
      <c r="AD372">
        <v>928</v>
      </c>
      <c r="AE372">
        <v>0</v>
      </c>
      <c r="AF372">
        <v>0</v>
      </c>
      <c r="AG372">
        <v>0</v>
      </c>
      <c r="AH372">
        <v>200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5</v>
      </c>
      <c r="AQ372">
        <v>0</v>
      </c>
      <c r="AR372">
        <v>0</v>
      </c>
      <c r="AS372" t="s">
        <v>59</v>
      </c>
      <c r="AT372">
        <v>1</v>
      </c>
      <c r="AU372" t="s">
        <v>76</v>
      </c>
      <c r="AV372" t="s">
        <v>61</v>
      </c>
      <c r="AW372">
        <v>0</v>
      </c>
      <c r="AX372">
        <v>2</v>
      </c>
      <c r="AY372">
        <v>0</v>
      </c>
      <c r="AZ372">
        <v>0</v>
      </c>
      <c r="BA372">
        <v>100</v>
      </c>
      <c r="BB372">
        <v>100</v>
      </c>
      <c r="BC372">
        <v>100</v>
      </c>
      <c r="BD372">
        <v>100</v>
      </c>
      <c r="BE372">
        <v>1</v>
      </c>
      <c r="BF372">
        <v>15000</v>
      </c>
      <c r="BG372">
        <v>1000</v>
      </c>
      <c r="BH372" s="7">
        <f>ROUND(Wapato_Inventory[[#This Row],[detatched_value]]*Lookups!$B$22*Lookups!$H$48,-2)</f>
        <v>0</v>
      </c>
      <c r="BI372" s="7">
        <f>ROUND(((Wapato_Inventory[[#This Row],[land_extract]]*Lookups!$B$3) +(Lookups!$B$2*0.5))*Lookups!$H$48,-2)</f>
        <v>54100</v>
      </c>
      <c r="BJ372" s="7">
        <f>IF(Wapato_Inventory[[#This Row],[bldg_style]]="",0,Lookups!$B$2*0.5)</f>
        <v>53765.27</v>
      </c>
      <c r="BK372" s="7">
        <f>_xlfn.IFNA(VLOOKUP(Wapato_Inventory[[#This Row],[quality]],Lookups!$H$2:$J$14,3,FALSE),0)</f>
        <v>23424</v>
      </c>
      <c r="BL372" s="7">
        <f>_xlfn.IFNA(VLOOKUP(Wapato_Inventory[[#This Row],[condition]],Lookups!$H$17:$J$24,3,FALSE),0)</f>
        <v>52231</v>
      </c>
      <c r="BM372" s="7">
        <f>Wapato_Inventory[[#This Row],[Age]]*Lookups!$B$16</f>
        <v>-36326.2186</v>
      </c>
      <c r="BN372" s="7">
        <f>Wapato_Inventory[[#This Row],[Main Floor]]*Lookups!$B$17</f>
        <v>38791.085791999998</v>
      </c>
      <c r="BO372" s="7">
        <f>Wapato_Inventory[[#This Row],[Upper Floor]]*Lookups!$B$18</f>
        <v>0</v>
      </c>
      <c r="BP372" s="7">
        <f>Wapato_Inventory[[#This Row],[Fin BSMT]]*Lookups!$B$19</f>
        <v>0</v>
      </c>
      <c r="BQ372" s="7">
        <f>(Wapato_Inventory[[#This Row],[att_gar]]+Wapato_Inventory[[#This Row],[blt_gar]])*Lookups!$B$20</f>
        <v>0</v>
      </c>
      <c r="BR372" s="7">
        <f>Wapato_Inventory[[#This Row],[Patio]]*Lookups!$B$21</f>
        <v>0</v>
      </c>
      <c r="BS372" s="7">
        <f>SUM(Wapato_Inventory[[#This Row],[intercept]:[patio_value]])*Wapato_Inventory[[#This Row],[res_pct]]</f>
        <v>131885.13719199999</v>
      </c>
      <c r="BT372" s="7">
        <f>Wapato_Inventory[[#This Row],[land_value]]</f>
        <v>54100</v>
      </c>
      <c r="BU372" s="2">
        <f>_xlfn.IFNA(VLOOKUP(Wapato_Inventory[[#This Row],[quality]],Lookups!$A$28:$C$37,3,FALSE),1)</f>
        <v>1.0091195562373767</v>
      </c>
      <c r="BV372" s="2">
        <f>_xlfn.IFNA(VLOOKUP(Wapato_Inventory[[#This Row],[condition]],Lookups!$A$41:$C$48,3,FALSE),1)</f>
        <v>0.9832333997567807</v>
      </c>
      <c r="BW372" s="2">
        <f>IF(Wapato_Inventory[[#This Row],[decade]]="",1,_xlfn.IFNA(VLOOKUP(Wapato_Inventory[[#This Row],[decade]],Lookups!$F$28:$H$45,3,FALSE),1))</f>
        <v>1.0114203040664467</v>
      </c>
      <c r="BX372" s="2">
        <f>_xlfn.IFNA(VLOOKUP(Wapato_Inventory[[#This Row],[living_area_range]],Lookups!$K$28:$M$37,3,FALSE),1)</f>
        <v>0.99022994770196116</v>
      </c>
      <c r="BY372" s="2">
        <f>AVERAGE(Wapato_Inventory[[#This Row],[qual_adj]:[range_adj]])</f>
        <v>0.99850080194064128</v>
      </c>
      <c r="BZ372" s="7">
        <f>(Wapato_Inventory[[#This Row],[sum_land]]-IF(Wapato_Inventory[[#This Row],[no_utilities]]=1,12000,0))/IF(Wapato_Inventory[[#This Row],[unbuildable]]=1,2,1)</f>
        <v>54100</v>
      </c>
      <c r="CA372" s="7">
        <f>Wapato_Inventory[[#This Row],[pre_res]]*Wapato_Inventory[[#This Row],[overall_adj]]</f>
        <v>131687.4152502635</v>
      </c>
      <c r="CB372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372" s="3">
        <f>IF(ROUND(Wapato_Inventory[[#This Row],[adj_res]]*Lookups!$H$48,-2)&lt;Wapato_Inventory[[#This Row],[min_res]],Wapato_Inventory[[#This Row],[min_res]],ROUND(Wapato_Inventory[[#This Row],[adj_res]]*Lookups!$H$48,-2))</f>
        <v>125100</v>
      </c>
      <c r="CD372" s="3">
        <f>ROUND(Wapato_Inventory[[#This Row],[det_value]]*Lookups!$H$48,-2)</f>
        <v>0</v>
      </c>
      <c r="CE372" s="3">
        <f>Wapato_Inventory[[#This Row],[final_res]]+Wapato_Inventory[[#This Row],[final_det]]</f>
        <v>125100</v>
      </c>
      <c r="CF372" s="3">
        <f>Wapato_Inventory[[#This Row],[crop_value]]+Wapato_Inventory[[#This Row],[final_land]]+Wapato_Inventory[[#This Row],[final_imp]]</f>
        <v>176500</v>
      </c>
      <c r="CH372" t="str">
        <f t="shared" si="5"/>
        <v>update valuation set market_land =51400, market_bldg=125100, market_total =176500, market_mdno =405, market_date ='9/10/2023' where link_id = (select link_id from parcel where parcel_year = '2024' and parcel_id = '19111133451');</v>
      </c>
    </row>
    <row r="373" spans="1:86" x14ac:dyDescent="0.25">
      <c r="A373">
        <v>19111133452</v>
      </c>
      <c r="B373">
        <v>0.37</v>
      </c>
      <c r="C373">
        <v>16189</v>
      </c>
      <c r="D373" t="s">
        <v>144</v>
      </c>
      <c r="E373" t="s">
        <v>54</v>
      </c>
      <c r="F373" t="s">
        <v>54</v>
      </c>
      <c r="G373">
        <v>3</v>
      </c>
      <c r="H373" t="s">
        <v>55</v>
      </c>
      <c r="I373">
        <v>141500</v>
      </c>
      <c r="J373">
        <v>38800</v>
      </c>
      <c r="K373">
        <v>0.37</v>
      </c>
      <c r="L373">
        <f>IF(Wapato_Inventory[[#This Row],[parcel_acres]]-Wapato_Inventory[[#This Row],[non_valued_acres]] =0,0,LN(Wapato_Inventory[[#This Row],[parcel_acres]]-Wapato_Inventory[[#This Row],[non_valued_acres]]))</f>
        <v>-0.9942522733438669</v>
      </c>
      <c r="M373">
        <v>0</v>
      </c>
      <c r="N373">
        <v>0</v>
      </c>
      <c r="O373">
        <v>0</v>
      </c>
      <c r="P373">
        <v>27904.037</v>
      </c>
      <c r="Q373">
        <v>74398</v>
      </c>
      <c r="R373" s="3">
        <f>(Wapato_Inventory[[#This Row],[ln_acres]]*Wapato_Inventory[[#This Row],[coeff]])+Wapato_Inventory[[#This Row],[const]]</f>
        <v>46654.347777278628</v>
      </c>
      <c r="S373" t="s">
        <v>66</v>
      </c>
      <c r="T373">
        <v>1</v>
      </c>
      <c r="U373" t="s">
        <v>75</v>
      </c>
      <c r="V373" t="s">
        <v>68</v>
      </c>
      <c r="W373">
        <v>0</v>
      </c>
      <c r="X373">
        <v>0</v>
      </c>
      <c r="Y373">
        <v>55</v>
      </c>
      <c r="Z373">
        <v>98</v>
      </c>
      <c r="AA373">
        <v>100</v>
      </c>
      <c r="AB373">
        <v>1500</v>
      </c>
      <c r="AC373">
        <v>1052</v>
      </c>
      <c r="AD373">
        <v>1052</v>
      </c>
      <c r="AE373">
        <v>0</v>
      </c>
      <c r="AF373">
        <v>0</v>
      </c>
      <c r="AG373">
        <v>0</v>
      </c>
      <c r="AH373">
        <v>200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5</v>
      </c>
      <c r="AQ373">
        <v>0</v>
      </c>
      <c r="AR373">
        <v>0</v>
      </c>
      <c r="AS373" t="s">
        <v>59</v>
      </c>
      <c r="AT373">
        <v>1</v>
      </c>
      <c r="AU373" t="s">
        <v>64</v>
      </c>
      <c r="AV373" t="s">
        <v>65</v>
      </c>
      <c r="AW373">
        <v>0</v>
      </c>
      <c r="AX373">
        <v>2</v>
      </c>
      <c r="AY373">
        <v>0</v>
      </c>
      <c r="AZ373">
        <v>8100</v>
      </c>
      <c r="BA373">
        <v>100</v>
      </c>
      <c r="BB373">
        <v>100</v>
      </c>
      <c r="BC373">
        <v>100</v>
      </c>
      <c r="BD373">
        <v>100</v>
      </c>
      <c r="BE373">
        <v>1</v>
      </c>
      <c r="BF373">
        <v>15000</v>
      </c>
      <c r="BG373">
        <v>1000</v>
      </c>
      <c r="BH373" s="7">
        <f>ROUND(Wapato_Inventory[[#This Row],[detatched_value]]*Lookups!$B$22*Lookups!$H$48,-2)</f>
        <v>7200</v>
      </c>
      <c r="BI373" s="7">
        <f>ROUND(((Wapato_Inventory[[#This Row],[land_extract]]*Lookups!$B$3) +(Lookups!$B$2*0.5))*Lookups!$H$48,-2)</f>
        <v>55600</v>
      </c>
      <c r="BJ373" s="7">
        <f>IF(Wapato_Inventory[[#This Row],[bldg_style]]="",0,Lookups!$B$2*0.5)</f>
        <v>53765.27</v>
      </c>
      <c r="BK373" s="7">
        <f>_xlfn.IFNA(VLOOKUP(Wapato_Inventory[[#This Row],[quality]],Lookups!$H$2:$J$14,3,FALSE),0)</f>
        <v>48043</v>
      </c>
      <c r="BL373" s="7">
        <f>_xlfn.IFNA(VLOOKUP(Wapato_Inventory[[#This Row],[condition]],Lookups!$H$17:$J$24,3,FALSE),0)</f>
        <v>52231</v>
      </c>
      <c r="BM373" s="7">
        <f>Wapato_Inventory[[#This Row],[Age]]*Lookups!$B$16</f>
        <v>-36326.2186</v>
      </c>
      <c r="BN373" s="7">
        <f>Wapato_Inventory[[#This Row],[Main Floor]]*Lookups!$B$17</f>
        <v>43974.377428</v>
      </c>
      <c r="BO373" s="7">
        <f>Wapato_Inventory[[#This Row],[Upper Floor]]*Lookups!$B$18</f>
        <v>0</v>
      </c>
      <c r="BP373" s="7">
        <f>Wapato_Inventory[[#This Row],[Fin BSMT]]*Lookups!$B$19</f>
        <v>0</v>
      </c>
      <c r="BQ373" s="7">
        <f>(Wapato_Inventory[[#This Row],[att_gar]]+Wapato_Inventory[[#This Row],[blt_gar]])*Lookups!$B$20</f>
        <v>0</v>
      </c>
      <c r="BR373" s="7">
        <f>Wapato_Inventory[[#This Row],[Patio]]*Lookups!$B$21</f>
        <v>0</v>
      </c>
      <c r="BS373" s="7">
        <f>SUM(Wapato_Inventory[[#This Row],[intercept]:[patio_value]])*Wapato_Inventory[[#This Row],[res_pct]]</f>
        <v>161687.428828</v>
      </c>
      <c r="BT373" s="7">
        <f>Wapato_Inventory[[#This Row],[land_value]]</f>
        <v>55600</v>
      </c>
      <c r="BU373" s="2">
        <f>_xlfn.IFNA(VLOOKUP(Wapato_Inventory[[#This Row],[quality]],Lookups!$A$28:$C$37,3,FALSE),1)</f>
        <v>0.98196844879778955</v>
      </c>
      <c r="BV373" s="2">
        <f>_xlfn.IFNA(VLOOKUP(Wapato_Inventory[[#This Row],[condition]],Lookups!$A$41:$C$48,3,FALSE),1)</f>
        <v>0.9832333997567807</v>
      </c>
      <c r="BW373" s="2">
        <f>IF(Wapato_Inventory[[#This Row],[decade]]="",1,_xlfn.IFNA(VLOOKUP(Wapato_Inventory[[#This Row],[decade]],Lookups!$F$28:$H$45,3,FALSE),1))</f>
        <v>1.0114203040664467</v>
      </c>
      <c r="BX373" s="2">
        <f>_xlfn.IFNA(VLOOKUP(Wapato_Inventory[[#This Row],[living_area_range]],Lookups!$K$28:$M$37,3,FALSE),1)</f>
        <v>1.0061411172456287</v>
      </c>
      <c r="BY373" s="2">
        <f>AVERAGE(Wapato_Inventory[[#This Row],[qual_adj]:[range_adj]])</f>
        <v>0.99569081746666144</v>
      </c>
      <c r="BZ373" s="7">
        <f>(Wapato_Inventory[[#This Row],[sum_land]]-IF(Wapato_Inventory[[#This Row],[no_utilities]]=1,12000,0))/IF(Wapato_Inventory[[#This Row],[unbuildable]]=1,2,1)</f>
        <v>55600</v>
      </c>
      <c r="CA373" s="7">
        <f>Wapato_Inventory[[#This Row],[pre_res]]*Wapato_Inventory[[#This Row],[overall_adj]]</f>
        <v>160990.68818383396</v>
      </c>
      <c r="CB373" s="3">
        <f>IF(ROUND(Wapato_Inventory[[#This Row],[adj_land]]*Lookups!$H$48,-2)&lt;Wapato_Inventory[[#This Row],[min_land]],Wapato_Inventory[[#This Row],[min_land]],ROUND(Wapato_Inventory[[#This Row],[adj_land]]*Lookups!$H$48,-2))</f>
        <v>52800</v>
      </c>
      <c r="CC373" s="3">
        <f>IF(ROUND(Wapato_Inventory[[#This Row],[adj_res]]*Lookups!$H$48,-2)&lt;Wapato_Inventory[[#This Row],[min_res]],Wapato_Inventory[[#This Row],[min_res]],ROUND(Wapato_Inventory[[#This Row],[adj_res]]*Lookups!$H$48,-2))</f>
        <v>152900</v>
      </c>
      <c r="CD373" s="3">
        <f>ROUND(Wapato_Inventory[[#This Row],[det_value]]*Lookups!$H$48,-2)</f>
        <v>6800</v>
      </c>
      <c r="CE373" s="3">
        <f>Wapato_Inventory[[#This Row],[final_res]]+Wapato_Inventory[[#This Row],[final_det]]</f>
        <v>159700</v>
      </c>
      <c r="CF373" s="3">
        <f>Wapato_Inventory[[#This Row],[crop_value]]+Wapato_Inventory[[#This Row],[final_land]]+Wapato_Inventory[[#This Row],[final_imp]]</f>
        <v>212500</v>
      </c>
      <c r="CH373" t="str">
        <f t="shared" si="5"/>
        <v>update valuation set market_land =52800, market_bldg=159700, market_total =212500, market_mdno =405, market_date ='9/10/2023' where link_id = (select link_id from parcel where parcel_year = '2024' and parcel_id = '19111133452');</v>
      </c>
    </row>
    <row r="374" spans="1:86" x14ac:dyDescent="0.25">
      <c r="A374">
        <v>19111133456</v>
      </c>
      <c r="B374">
        <v>0.32</v>
      </c>
      <c r="C374">
        <v>13744</v>
      </c>
      <c r="D374" t="s">
        <v>144</v>
      </c>
      <c r="E374" t="s">
        <v>54</v>
      </c>
      <c r="F374" t="s">
        <v>54</v>
      </c>
      <c r="G374">
        <v>3</v>
      </c>
      <c r="H374" t="s">
        <v>55</v>
      </c>
      <c r="I374">
        <v>135300</v>
      </c>
      <c r="J374">
        <v>37800</v>
      </c>
      <c r="K374">
        <v>0.32</v>
      </c>
      <c r="L374">
        <f>IF(Wapato_Inventory[[#This Row],[parcel_acres]]-Wapato_Inventory[[#This Row],[non_valued_acres]] =0,0,LN(Wapato_Inventory[[#This Row],[parcel_acres]]-Wapato_Inventory[[#This Row],[non_valued_acres]]))</f>
        <v>-1.1394342831883648</v>
      </c>
      <c r="M374">
        <v>0</v>
      </c>
      <c r="N374">
        <v>0</v>
      </c>
      <c r="O374">
        <v>0</v>
      </c>
      <c r="P374">
        <v>27904.037</v>
      </c>
      <c r="Q374">
        <v>74398</v>
      </c>
      <c r="R374" s="3">
        <f>(Wapato_Inventory[[#This Row],[ln_acres]]*Wapato_Inventory[[#This Row],[coeff]])+Wapato_Inventory[[#This Row],[const]]</f>
        <v>42603.18360284339</v>
      </c>
      <c r="S374" t="s">
        <v>66</v>
      </c>
      <c r="T374">
        <v>1</v>
      </c>
      <c r="U374" t="s">
        <v>71</v>
      </c>
      <c r="V374" t="s">
        <v>69</v>
      </c>
      <c r="W374">
        <v>0</v>
      </c>
      <c r="X374">
        <v>0</v>
      </c>
      <c r="Y374">
        <v>48</v>
      </c>
      <c r="Z374">
        <v>103</v>
      </c>
      <c r="AA374">
        <v>110</v>
      </c>
      <c r="AB374">
        <v>1000</v>
      </c>
      <c r="AC374">
        <v>936</v>
      </c>
      <c r="AD374">
        <v>936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5</v>
      </c>
      <c r="AQ374">
        <v>0</v>
      </c>
      <c r="AR374">
        <v>0</v>
      </c>
      <c r="AS374" t="s">
        <v>59</v>
      </c>
      <c r="AT374">
        <v>0</v>
      </c>
      <c r="AU374" t="s">
        <v>80</v>
      </c>
      <c r="AV374" t="s">
        <v>65</v>
      </c>
      <c r="AW374">
        <v>0</v>
      </c>
      <c r="AX374">
        <v>2</v>
      </c>
      <c r="AY374">
        <v>0</v>
      </c>
      <c r="AZ374">
        <v>0</v>
      </c>
      <c r="BA374">
        <v>100</v>
      </c>
      <c r="BB374">
        <v>100</v>
      </c>
      <c r="BC374">
        <v>100</v>
      </c>
      <c r="BD374">
        <v>100</v>
      </c>
      <c r="BE374">
        <v>1</v>
      </c>
      <c r="BF374">
        <v>15000</v>
      </c>
      <c r="BG374">
        <v>1000</v>
      </c>
      <c r="BH374" s="7">
        <f>ROUND(Wapato_Inventory[[#This Row],[detatched_value]]*Lookups!$B$22*Lookups!$H$48,-2)</f>
        <v>0</v>
      </c>
      <c r="BI374" s="7">
        <f>ROUND(((Wapato_Inventory[[#This Row],[land_extract]]*Lookups!$B$3) +(Lookups!$B$2*0.5))*Lookups!$H$48,-2)</f>
        <v>55200</v>
      </c>
      <c r="BJ374" s="7">
        <f>IF(Wapato_Inventory[[#This Row],[bldg_style]]="",0,Lookups!$B$2*0.5)</f>
        <v>53765.27</v>
      </c>
      <c r="BK374" s="7">
        <f>_xlfn.IFNA(VLOOKUP(Wapato_Inventory[[#This Row],[quality]],Lookups!$H$2:$J$14,3,FALSE),0)</f>
        <v>28034</v>
      </c>
      <c r="BL374" s="7">
        <f>_xlfn.IFNA(VLOOKUP(Wapato_Inventory[[#This Row],[condition]],Lookups!$H$17:$J$24,3,FALSE),0)</f>
        <v>74543</v>
      </c>
      <c r="BM374" s="7">
        <f>Wapato_Inventory[[#This Row],[Age]]*Lookups!$B$16</f>
        <v>-38179.597099999999</v>
      </c>
      <c r="BN374" s="7">
        <f>Wapato_Inventory[[#This Row],[Main Floor]]*Lookups!$B$17</f>
        <v>39125.491704</v>
      </c>
      <c r="BO374" s="7">
        <f>Wapato_Inventory[[#This Row],[Upper Floor]]*Lookups!$B$18</f>
        <v>0</v>
      </c>
      <c r="BP374" s="7">
        <f>Wapato_Inventory[[#This Row],[Fin BSMT]]*Lookups!$B$19</f>
        <v>0</v>
      </c>
      <c r="BQ374" s="7">
        <f>(Wapato_Inventory[[#This Row],[att_gar]]+Wapato_Inventory[[#This Row],[blt_gar]])*Lookups!$B$20</f>
        <v>0</v>
      </c>
      <c r="BR374" s="7">
        <f>Wapato_Inventory[[#This Row],[Patio]]*Lookups!$B$21</f>
        <v>0</v>
      </c>
      <c r="BS374" s="7">
        <f>SUM(Wapato_Inventory[[#This Row],[intercept]:[patio_value]])*Wapato_Inventory[[#This Row],[res_pct]]</f>
        <v>157288.16460399999</v>
      </c>
      <c r="BT374" s="7">
        <f>Wapato_Inventory[[#This Row],[land_value]]</f>
        <v>55200</v>
      </c>
      <c r="BU374" s="2">
        <f>_xlfn.IFNA(VLOOKUP(Wapato_Inventory[[#This Row],[quality]],Lookups!$A$28:$C$37,3,FALSE),1)</f>
        <v>0.96265813922927435</v>
      </c>
      <c r="BV374" s="2">
        <f>_xlfn.IFNA(VLOOKUP(Wapato_Inventory[[#This Row],[condition]],Lookups!$A$41:$C$48,3,FALSE),1)</f>
        <v>0.98442438223270734</v>
      </c>
      <c r="BW374" s="2">
        <f>IF(Wapato_Inventory[[#This Row],[decade]]="",1,_xlfn.IFNA(VLOOKUP(Wapato_Inventory[[#This Row],[decade]],Lookups!$F$28:$H$45,3,FALSE),1))</f>
        <v>0.93664589651353292</v>
      </c>
      <c r="BX374" s="2">
        <f>_xlfn.IFNA(VLOOKUP(Wapato_Inventory[[#This Row],[living_area_range]],Lookups!$K$28:$M$37,3,FALSE),1)</f>
        <v>0.99022994770196116</v>
      </c>
      <c r="BY374" s="2">
        <f>AVERAGE(Wapato_Inventory[[#This Row],[qual_adj]:[range_adj]])</f>
        <v>0.96848959141936886</v>
      </c>
      <c r="BZ374" s="7">
        <f>(Wapato_Inventory[[#This Row],[sum_land]]-IF(Wapato_Inventory[[#This Row],[no_utilities]]=1,12000,0))/IF(Wapato_Inventory[[#This Row],[unbuildable]]=1,2,1)</f>
        <v>55200</v>
      </c>
      <c r="CA374" s="7">
        <f>Wapato_Inventory[[#This Row],[pre_res]]*Wapato_Inventory[[#This Row],[overall_adj]]</f>
        <v>152331.95027243037</v>
      </c>
      <c r="CB374" s="3">
        <f>IF(ROUND(Wapato_Inventory[[#This Row],[adj_land]]*Lookups!$H$48,-2)&lt;Wapato_Inventory[[#This Row],[min_land]],Wapato_Inventory[[#This Row],[min_land]],ROUND(Wapato_Inventory[[#This Row],[adj_land]]*Lookups!$H$48,-2))</f>
        <v>52400</v>
      </c>
      <c r="CC374" s="3">
        <f>IF(ROUND(Wapato_Inventory[[#This Row],[adj_res]]*Lookups!$H$48,-2)&lt;Wapato_Inventory[[#This Row],[min_res]],Wapato_Inventory[[#This Row],[min_res]],ROUND(Wapato_Inventory[[#This Row],[adj_res]]*Lookups!$H$48,-2))</f>
        <v>144700</v>
      </c>
      <c r="CD374" s="3">
        <f>ROUND(Wapato_Inventory[[#This Row],[det_value]]*Lookups!$H$48,-2)</f>
        <v>0</v>
      </c>
      <c r="CE374" s="3">
        <f>Wapato_Inventory[[#This Row],[final_res]]+Wapato_Inventory[[#This Row],[final_det]]</f>
        <v>144700</v>
      </c>
      <c r="CF374" s="3">
        <f>Wapato_Inventory[[#This Row],[crop_value]]+Wapato_Inventory[[#This Row],[final_land]]+Wapato_Inventory[[#This Row],[final_imp]]</f>
        <v>197100</v>
      </c>
      <c r="CH374" t="str">
        <f t="shared" si="5"/>
        <v>update valuation set market_land =52400, market_bldg=144700, market_total =197100, market_mdno =405, market_date ='9/10/2023' where link_id = (select link_id from parcel where parcel_year = '2024' and parcel_id = '19111133456');</v>
      </c>
    </row>
    <row r="375" spans="1:86" x14ac:dyDescent="0.25">
      <c r="A375">
        <v>19111133457</v>
      </c>
      <c r="B375">
        <v>0.17</v>
      </c>
      <c r="C375">
        <v>7578</v>
      </c>
      <c r="D375" t="s">
        <v>144</v>
      </c>
      <c r="E375" t="s">
        <v>54</v>
      </c>
      <c r="F375" t="s">
        <v>54</v>
      </c>
      <c r="G375">
        <v>3</v>
      </c>
      <c r="H375" t="s">
        <v>55</v>
      </c>
      <c r="I375">
        <v>0</v>
      </c>
      <c r="J375">
        <v>33200</v>
      </c>
      <c r="K375">
        <v>0.17</v>
      </c>
      <c r="L375">
        <f>IF(Wapato_Inventory[[#This Row],[parcel_acres]]-Wapato_Inventory[[#This Row],[non_valued_acres]] =0,0,LN(Wapato_Inventory[[#This Row],[parcel_acres]]-Wapato_Inventory[[#This Row],[non_valued_acres]]))</f>
        <v>-1.7719568419318752</v>
      </c>
      <c r="M375">
        <v>0</v>
      </c>
      <c r="N375">
        <v>0</v>
      </c>
      <c r="O375">
        <v>0</v>
      </c>
      <c r="P375">
        <v>27904.037</v>
      </c>
      <c r="Q375">
        <v>74398</v>
      </c>
      <c r="R375" s="3">
        <f>(Wapato_Inventory[[#This Row],[ln_acres]]*Wapato_Inventory[[#This Row],[coeff]])+Wapato_Inventory[[#This Row],[const]]</f>
        <v>24953.250720329801</v>
      </c>
      <c r="S375" t="s">
        <v>83</v>
      </c>
      <c r="T375">
        <v>1</v>
      </c>
      <c r="U375" t="s">
        <v>86</v>
      </c>
      <c r="V375" t="s">
        <v>110</v>
      </c>
      <c r="W375">
        <v>0</v>
      </c>
      <c r="X375">
        <v>0</v>
      </c>
      <c r="Y375">
        <v>62</v>
      </c>
      <c r="Z375">
        <v>98</v>
      </c>
      <c r="AA375">
        <v>100</v>
      </c>
      <c r="AB375">
        <v>1000</v>
      </c>
      <c r="AC375">
        <v>504</v>
      </c>
      <c r="AD375">
        <v>504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5</v>
      </c>
      <c r="AQ375">
        <v>0</v>
      </c>
      <c r="AR375">
        <v>0</v>
      </c>
      <c r="AS375" t="s">
        <v>157</v>
      </c>
      <c r="AT375">
        <v>0</v>
      </c>
      <c r="AU375" t="s">
        <v>80</v>
      </c>
      <c r="AV375" t="s">
        <v>65</v>
      </c>
      <c r="AW375">
        <v>0</v>
      </c>
      <c r="AX375">
        <v>1</v>
      </c>
      <c r="AY375">
        <v>0</v>
      </c>
      <c r="AZ375">
        <v>0</v>
      </c>
      <c r="BA375">
        <v>100</v>
      </c>
      <c r="BB375">
        <v>100</v>
      </c>
      <c r="BC375">
        <v>100</v>
      </c>
      <c r="BD375">
        <v>100</v>
      </c>
      <c r="BE375">
        <v>0</v>
      </c>
      <c r="BF375">
        <v>15000</v>
      </c>
      <c r="BG375">
        <v>0</v>
      </c>
      <c r="BH375" s="7">
        <f>ROUND(Wapato_Inventory[[#This Row],[detatched_value]]*Lookups!$B$22*Lookups!$H$48,-2)</f>
        <v>0</v>
      </c>
      <c r="BI375" s="7">
        <f>ROUND(((Wapato_Inventory[[#This Row],[land_extract]]*Lookups!$B$3) +(Lookups!$B$2*0.5))*Lookups!$H$48,-2)</f>
        <v>53500</v>
      </c>
      <c r="BJ375" s="7">
        <f>IF(Wapato_Inventory[[#This Row],[bldg_style]]="",0,Lookups!$B$2*0.5)</f>
        <v>53765.27</v>
      </c>
      <c r="BK375" s="7">
        <f>_xlfn.IFNA(VLOOKUP(Wapato_Inventory[[#This Row],[quality]],Lookups!$H$2:$J$14,3,FALSE),0)</f>
        <v>0</v>
      </c>
      <c r="BL375" s="7">
        <f>_xlfn.IFNA(VLOOKUP(Wapato_Inventory[[#This Row],[condition]],Lookups!$H$17:$J$24,3,FALSE),0)</f>
        <v>-49363</v>
      </c>
      <c r="BM375" s="7">
        <f>Wapato_Inventory[[#This Row],[Age]]*Lookups!$B$16</f>
        <v>-36326.2186</v>
      </c>
      <c r="BN375" s="7">
        <f>Wapato_Inventory[[#This Row],[Main Floor]]*Lookups!$B$17</f>
        <v>21067.572456000002</v>
      </c>
      <c r="BO375" s="7">
        <f>Wapato_Inventory[[#This Row],[Upper Floor]]*Lookups!$B$18</f>
        <v>0</v>
      </c>
      <c r="BP375" s="7">
        <f>Wapato_Inventory[[#This Row],[Fin BSMT]]*Lookups!$B$19</f>
        <v>0</v>
      </c>
      <c r="BQ375" s="7">
        <f>(Wapato_Inventory[[#This Row],[att_gar]]+Wapato_Inventory[[#This Row],[blt_gar]])*Lookups!$B$20</f>
        <v>0</v>
      </c>
      <c r="BR375" s="7">
        <f>Wapato_Inventory[[#This Row],[Patio]]*Lookups!$B$21</f>
        <v>0</v>
      </c>
      <c r="BS375" s="7">
        <f>SUM(Wapato_Inventory[[#This Row],[intercept]:[patio_value]])*Wapato_Inventory[[#This Row],[res_pct]]</f>
        <v>0</v>
      </c>
      <c r="BT375" s="7">
        <f>Wapato_Inventory[[#This Row],[land_value]]</f>
        <v>53500</v>
      </c>
      <c r="BU375" s="2">
        <f>_xlfn.IFNA(VLOOKUP(Wapato_Inventory[[#This Row],[quality]],Lookups!$A$28:$C$37,3,FALSE),1)</f>
        <v>1.0000010866511106</v>
      </c>
      <c r="BV375" s="2">
        <f>_xlfn.IFNA(VLOOKUP(Wapato_Inventory[[#This Row],[condition]],Lookups!$A$41:$C$48,3,FALSE),1)</f>
        <v>0</v>
      </c>
      <c r="BW375" s="2">
        <f>IF(Wapato_Inventory[[#This Row],[decade]]="",1,_xlfn.IFNA(VLOOKUP(Wapato_Inventory[[#This Row],[decade]],Lookups!$F$28:$H$45,3,FALSE),1))</f>
        <v>1.0114203040664467</v>
      </c>
      <c r="BX375" s="2">
        <f>_xlfn.IFNA(VLOOKUP(Wapato_Inventory[[#This Row],[living_area_range]],Lookups!$K$28:$M$37,3,FALSE),1)</f>
        <v>0.99022994770196116</v>
      </c>
      <c r="BY375" s="2">
        <f>AVERAGE(Wapato_Inventory[[#This Row],[qual_adj]:[range_adj]])</f>
        <v>0.75041283460487962</v>
      </c>
      <c r="BZ375" s="7">
        <f>(Wapato_Inventory[[#This Row],[sum_land]]-IF(Wapato_Inventory[[#This Row],[no_utilities]]=1,12000,0))/IF(Wapato_Inventory[[#This Row],[unbuildable]]=1,2,1)</f>
        <v>53500</v>
      </c>
      <c r="CA375" s="7">
        <f>Wapato_Inventory[[#This Row],[pre_res]]*Wapato_Inventory[[#This Row],[overall_adj]]</f>
        <v>0</v>
      </c>
      <c r="CB375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37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375" s="3">
        <f>ROUND(Wapato_Inventory[[#This Row],[det_value]]*Lookups!$H$48,-2)</f>
        <v>0</v>
      </c>
      <c r="CE375" s="3">
        <f>Wapato_Inventory[[#This Row],[final_res]]+Wapato_Inventory[[#This Row],[final_det]]</f>
        <v>0</v>
      </c>
      <c r="CF375" s="3">
        <f>Wapato_Inventory[[#This Row],[crop_value]]+Wapato_Inventory[[#This Row],[final_land]]+Wapato_Inventory[[#This Row],[final_imp]]</f>
        <v>50800</v>
      </c>
      <c r="CH375" t="str">
        <f t="shared" si="5"/>
        <v>update valuation set market_land =50800, market_bldg=0, market_total =50800, market_mdno =405, market_date ='9/10/2023' where link_id = (select link_id from parcel where parcel_year = '2024' and parcel_id = '19111133457');</v>
      </c>
    </row>
    <row r="376" spans="1:86" x14ac:dyDescent="0.25">
      <c r="A376">
        <v>19111133458</v>
      </c>
      <c r="B376">
        <v>0.28999999999999998</v>
      </c>
      <c r="C376">
        <v>12512</v>
      </c>
      <c r="D376" t="s">
        <v>144</v>
      </c>
      <c r="E376" t="s">
        <v>54</v>
      </c>
      <c r="F376" t="s">
        <v>54</v>
      </c>
      <c r="G376">
        <v>3</v>
      </c>
      <c r="H376" t="s">
        <v>55</v>
      </c>
      <c r="I376">
        <v>121800</v>
      </c>
      <c r="J376">
        <v>37100</v>
      </c>
      <c r="K376">
        <v>0.28999999999999998</v>
      </c>
      <c r="L376">
        <f>IF(Wapato_Inventory[[#This Row],[parcel_acres]]-Wapato_Inventory[[#This Row],[non_valued_acres]] =0,0,LN(Wapato_Inventory[[#This Row],[parcel_acres]]-Wapato_Inventory[[#This Row],[non_valued_acres]]))</f>
        <v>-1.2378743560016174</v>
      </c>
      <c r="M376">
        <v>0</v>
      </c>
      <c r="N376">
        <v>0</v>
      </c>
      <c r="O376">
        <v>0</v>
      </c>
      <c r="P376">
        <v>27904.037</v>
      </c>
      <c r="Q376">
        <v>74398</v>
      </c>
      <c r="R376" s="3">
        <f>(Wapato_Inventory[[#This Row],[ln_acres]]*Wapato_Inventory[[#This Row],[coeff]])+Wapato_Inventory[[#This Row],[const]]</f>
        <v>39856.308168779695</v>
      </c>
      <c r="S376" t="s">
        <v>66</v>
      </c>
      <c r="T376">
        <v>1</v>
      </c>
      <c r="U376" t="s">
        <v>71</v>
      </c>
      <c r="V376" t="s">
        <v>68</v>
      </c>
      <c r="W376">
        <v>0</v>
      </c>
      <c r="X376">
        <v>0</v>
      </c>
      <c r="Y376">
        <v>57</v>
      </c>
      <c r="Z376">
        <v>103</v>
      </c>
      <c r="AA376">
        <v>110</v>
      </c>
      <c r="AB376">
        <v>1500</v>
      </c>
      <c r="AC376">
        <v>1115</v>
      </c>
      <c r="AD376">
        <v>1115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5</v>
      </c>
      <c r="AQ376">
        <v>0</v>
      </c>
      <c r="AR376">
        <v>0</v>
      </c>
      <c r="AS376" t="s">
        <v>59</v>
      </c>
      <c r="AT376">
        <v>1</v>
      </c>
      <c r="AU376" t="s">
        <v>64</v>
      </c>
      <c r="AV376" t="s">
        <v>61</v>
      </c>
      <c r="AW376">
        <v>0</v>
      </c>
      <c r="AX376">
        <v>3</v>
      </c>
      <c r="AY376">
        <v>0</v>
      </c>
      <c r="AZ376">
        <v>0</v>
      </c>
      <c r="BA376">
        <v>100</v>
      </c>
      <c r="BB376">
        <v>100</v>
      </c>
      <c r="BC376">
        <v>100</v>
      </c>
      <c r="BD376">
        <v>100</v>
      </c>
      <c r="BE376">
        <v>1</v>
      </c>
      <c r="BF376">
        <v>15000</v>
      </c>
      <c r="BG376">
        <v>1000</v>
      </c>
      <c r="BH376" s="7">
        <f>ROUND(Wapato_Inventory[[#This Row],[detatched_value]]*Lookups!$B$22*Lookups!$H$48,-2)</f>
        <v>0</v>
      </c>
      <c r="BI376" s="7">
        <f>ROUND(((Wapato_Inventory[[#This Row],[land_extract]]*Lookups!$B$3) +(Lookups!$B$2*0.5))*Lookups!$H$48,-2)</f>
        <v>54900</v>
      </c>
      <c r="BJ376" s="7">
        <f>IF(Wapato_Inventory[[#This Row],[bldg_style]]="",0,Lookups!$B$2*0.5)</f>
        <v>53765.27</v>
      </c>
      <c r="BK376" s="7">
        <f>_xlfn.IFNA(VLOOKUP(Wapato_Inventory[[#This Row],[quality]],Lookups!$H$2:$J$14,3,FALSE),0)</f>
        <v>28034</v>
      </c>
      <c r="BL376" s="7">
        <f>_xlfn.IFNA(VLOOKUP(Wapato_Inventory[[#This Row],[condition]],Lookups!$H$17:$J$24,3,FALSE),0)</f>
        <v>52231</v>
      </c>
      <c r="BM376" s="7">
        <f>Wapato_Inventory[[#This Row],[Age]]*Lookups!$B$16</f>
        <v>-38179.597099999999</v>
      </c>
      <c r="BN376" s="7">
        <f>Wapato_Inventory[[#This Row],[Main Floor]]*Lookups!$B$17</f>
        <v>46607.823985000003</v>
      </c>
      <c r="BO376" s="7">
        <f>Wapato_Inventory[[#This Row],[Upper Floor]]*Lookups!$B$18</f>
        <v>0</v>
      </c>
      <c r="BP376" s="7">
        <f>Wapato_Inventory[[#This Row],[Fin BSMT]]*Lookups!$B$19</f>
        <v>0</v>
      </c>
      <c r="BQ376" s="7">
        <f>(Wapato_Inventory[[#This Row],[att_gar]]+Wapato_Inventory[[#This Row],[blt_gar]])*Lookups!$B$20</f>
        <v>0</v>
      </c>
      <c r="BR376" s="7">
        <f>Wapato_Inventory[[#This Row],[Patio]]*Lookups!$B$21</f>
        <v>0</v>
      </c>
      <c r="BS376" s="7">
        <f>SUM(Wapato_Inventory[[#This Row],[intercept]:[patio_value]])*Wapato_Inventory[[#This Row],[res_pct]]</f>
        <v>142458.496885</v>
      </c>
      <c r="BT376" s="7">
        <f>Wapato_Inventory[[#This Row],[land_value]]</f>
        <v>54900</v>
      </c>
      <c r="BU376" s="2">
        <f>_xlfn.IFNA(VLOOKUP(Wapato_Inventory[[#This Row],[quality]],Lookups!$A$28:$C$37,3,FALSE),1)</f>
        <v>0.96265813922927435</v>
      </c>
      <c r="BV376" s="2">
        <f>_xlfn.IFNA(VLOOKUP(Wapato_Inventory[[#This Row],[condition]],Lookups!$A$41:$C$48,3,FALSE),1)</f>
        <v>0.9832333997567807</v>
      </c>
      <c r="BW376" s="2">
        <f>IF(Wapato_Inventory[[#This Row],[decade]]="",1,_xlfn.IFNA(VLOOKUP(Wapato_Inventory[[#This Row],[decade]],Lookups!$F$28:$H$45,3,FALSE),1))</f>
        <v>0.93664589651353292</v>
      </c>
      <c r="BX376" s="2">
        <f>_xlfn.IFNA(VLOOKUP(Wapato_Inventory[[#This Row],[living_area_range]],Lookups!$K$28:$M$37,3,FALSE),1)</f>
        <v>1.0061411172456287</v>
      </c>
      <c r="BY376" s="2">
        <f>AVERAGE(Wapato_Inventory[[#This Row],[qual_adj]:[range_adj]])</f>
        <v>0.97216963818630409</v>
      </c>
      <c r="BZ376" s="7">
        <f>(Wapato_Inventory[[#This Row],[sum_land]]-IF(Wapato_Inventory[[#This Row],[no_utilities]]=1,12000,0))/IF(Wapato_Inventory[[#This Row],[unbuildable]]=1,2,1)</f>
        <v>54900</v>
      </c>
      <c r="CA376" s="7">
        <f>Wapato_Inventory[[#This Row],[pre_res]]*Wapato_Inventory[[#This Row],[overall_adj]]</f>
        <v>138493.82537325518</v>
      </c>
      <c r="CB376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376" s="3">
        <f>IF(ROUND(Wapato_Inventory[[#This Row],[adj_res]]*Lookups!$H$48,-2)&lt;Wapato_Inventory[[#This Row],[min_res]],Wapato_Inventory[[#This Row],[min_res]],ROUND(Wapato_Inventory[[#This Row],[adj_res]]*Lookups!$H$48,-2))</f>
        <v>131600</v>
      </c>
      <c r="CD376" s="3">
        <f>ROUND(Wapato_Inventory[[#This Row],[det_value]]*Lookups!$H$48,-2)</f>
        <v>0</v>
      </c>
      <c r="CE376" s="3">
        <f>Wapato_Inventory[[#This Row],[final_res]]+Wapato_Inventory[[#This Row],[final_det]]</f>
        <v>131600</v>
      </c>
      <c r="CF376" s="3">
        <f>Wapato_Inventory[[#This Row],[crop_value]]+Wapato_Inventory[[#This Row],[final_land]]+Wapato_Inventory[[#This Row],[final_imp]]</f>
        <v>183800</v>
      </c>
      <c r="CH376" t="str">
        <f t="shared" si="5"/>
        <v>update valuation set market_land =52200, market_bldg=131600, market_total =183800, market_mdno =405, market_date ='9/10/2023' where link_id = (select link_id from parcel where parcel_year = '2024' and parcel_id = '19111133458');</v>
      </c>
    </row>
    <row r="377" spans="1:86" x14ac:dyDescent="0.25">
      <c r="A377">
        <v>19111133459</v>
      </c>
      <c r="B377">
        <v>0.25</v>
      </c>
      <c r="C377">
        <v>10807</v>
      </c>
      <c r="D377" t="s">
        <v>144</v>
      </c>
      <c r="E377" t="s">
        <v>54</v>
      </c>
      <c r="F377" t="s">
        <v>54</v>
      </c>
      <c r="G377">
        <v>3</v>
      </c>
      <c r="H377" t="s">
        <v>55</v>
      </c>
      <c r="I377">
        <v>132800</v>
      </c>
      <c r="J377">
        <v>36000</v>
      </c>
      <c r="K377">
        <v>0.25</v>
      </c>
      <c r="L377">
        <f>IF(Wapato_Inventory[[#This Row],[parcel_acres]]-Wapato_Inventory[[#This Row],[non_valued_acres]] =0,0,LN(Wapato_Inventory[[#This Row],[parcel_acres]]-Wapato_Inventory[[#This Row],[non_valued_acres]]))</f>
        <v>-1.3862943611198906</v>
      </c>
      <c r="M377">
        <v>0</v>
      </c>
      <c r="N377">
        <v>0</v>
      </c>
      <c r="O377">
        <v>0</v>
      </c>
      <c r="P377">
        <v>27904.037</v>
      </c>
      <c r="Q377">
        <v>74398</v>
      </c>
      <c r="R377" s="3">
        <f>(Wapato_Inventory[[#This Row],[ln_acres]]*Wapato_Inventory[[#This Row],[coeff]])+Wapato_Inventory[[#This Row],[const]]</f>
        <v>35714.790854419211</v>
      </c>
      <c r="S377" t="s">
        <v>66</v>
      </c>
      <c r="T377">
        <v>1</v>
      </c>
      <c r="U377" t="s">
        <v>71</v>
      </c>
      <c r="V377" t="s">
        <v>68</v>
      </c>
      <c r="W377">
        <v>0</v>
      </c>
      <c r="X377">
        <v>0</v>
      </c>
      <c r="Y377">
        <v>34</v>
      </c>
      <c r="Z377">
        <v>88</v>
      </c>
      <c r="AA377">
        <v>90</v>
      </c>
      <c r="AB377">
        <v>1500</v>
      </c>
      <c r="AC377">
        <v>1488</v>
      </c>
      <c r="AD377">
        <v>1488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384</v>
      </c>
      <c r="AM377">
        <v>0</v>
      </c>
      <c r="AN377">
        <v>0</v>
      </c>
      <c r="AO377">
        <v>384</v>
      </c>
      <c r="AP377">
        <v>8</v>
      </c>
      <c r="AQ377">
        <v>0</v>
      </c>
      <c r="AR377">
        <v>0</v>
      </c>
      <c r="AS377" t="s">
        <v>59</v>
      </c>
      <c r="AT377">
        <v>1</v>
      </c>
      <c r="AU377" t="s">
        <v>76</v>
      </c>
      <c r="AV377" t="s">
        <v>65</v>
      </c>
      <c r="AW377">
        <v>0</v>
      </c>
      <c r="AX377">
        <v>4</v>
      </c>
      <c r="AY377">
        <v>0</v>
      </c>
      <c r="AZ377">
        <v>0</v>
      </c>
      <c r="BA377">
        <v>100</v>
      </c>
      <c r="BB377">
        <v>100</v>
      </c>
      <c r="BC377">
        <v>100</v>
      </c>
      <c r="BD377">
        <v>100</v>
      </c>
      <c r="BE377">
        <v>1</v>
      </c>
      <c r="BF377">
        <v>15000</v>
      </c>
      <c r="BG377">
        <v>1000</v>
      </c>
      <c r="BH377" s="7">
        <f>ROUND(Wapato_Inventory[[#This Row],[detatched_value]]*Lookups!$B$22*Lookups!$H$48,-2)</f>
        <v>0</v>
      </c>
      <c r="BI377" s="7">
        <f>ROUND(((Wapato_Inventory[[#This Row],[land_extract]]*Lookups!$B$3) +(Lookups!$B$2*0.5))*Lookups!$H$48,-2)</f>
        <v>54500</v>
      </c>
      <c r="BJ377" s="7">
        <f>IF(Wapato_Inventory[[#This Row],[bldg_style]]="",0,Lookups!$B$2*0.5)</f>
        <v>53765.27</v>
      </c>
      <c r="BK377" s="7">
        <f>_xlfn.IFNA(VLOOKUP(Wapato_Inventory[[#This Row],[quality]],Lookups!$H$2:$J$14,3,FALSE),0)</f>
        <v>28034</v>
      </c>
      <c r="BL377" s="7">
        <f>_xlfn.IFNA(VLOOKUP(Wapato_Inventory[[#This Row],[condition]],Lookups!$H$17:$J$24,3,FALSE),0)</f>
        <v>52231</v>
      </c>
      <c r="BM377" s="7">
        <f>Wapato_Inventory[[#This Row],[Age]]*Lookups!$B$16</f>
        <v>-32619.461600000002</v>
      </c>
      <c r="BN377" s="7">
        <f>Wapato_Inventory[[#This Row],[Main Floor]]*Lookups!$B$17</f>
        <v>62199.499631999999</v>
      </c>
      <c r="BO377" s="7">
        <f>Wapato_Inventory[[#This Row],[Upper Floor]]*Lookups!$B$18</f>
        <v>0</v>
      </c>
      <c r="BP377" s="7">
        <f>Wapato_Inventory[[#This Row],[Fin BSMT]]*Lookups!$B$19</f>
        <v>0</v>
      </c>
      <c r="BQ377" s="7">
        <f>(Wapato_Inventory[[#This Row],[att_gar]]+Wapato_Inventory[[#This Row],[blt_gar]])*Lookups!$B$20</f>
        <v>0</v>
      </c>
      <c r="BR377" s="7">
        <f>Wapato_Inventory[[#This Row],[Patio]]*Lookups!$B$21</f>
        <v>0</v>
      </c>
      <c r="BS377" s="7">
        <f>SUM(Wapato_Inventory[[#This Row],[intercept]:[patio_value]])*Wapato_Inventory[[#This Row],[res_pct]]</f>
        <v>163610.30803199997</v>
      </c>
      <c r="BT377" s="7">
        <f>Wapato_Inventory[[#This Row],[land_value]]</f>
        <v>54500</v>
      </c>
      <c r="BU377" s="2">
        <f>_xlfn.IFNA(VLOOKUP(Wapato_Inventory[[#This Row],[quality]],Lookups!$A$28:$C$37,3,FALSE),1)</f>
        <v>0.96265813922927435</v>
      </c>
      <c r="BV377" s="2">
        <f>_xlfn.IFNA(VLOOKUP(Wapato_Inventory[[#This Row],[condition]],Lookups!$A$41:$C$48,3,FALSE),1)</f>
        <v>0.9832333997567807</v>
      </c>
      <c r="BW377" s="2">
        <f>IF(Wapato_Inventory[[#This Row],[decade]]="",1,_xlfn.IFNA(VLOOKUP(Wapato_Inventory[[#This Row],[decade]],Lookups!$F$28:$H$45,3,FALSE),1))</f>
        <v>0.94742695999815718</v>
      </c>
      <c r="BX377" s="2">
        <f>_xlfn.IFNA(VLOOKUP(Wapato_Inventory[[#This Row],[living_area_range]],Lookups!$K$28:$M$37,3,FALSE),1)</f>
        <v>1.0061411172456287</v>
      </c>
      <c r="BY377" s="2">
        <f>AVERAGE(Wapato_Inventory[[#This Row],[qual_adj]:[range_adj]])</f>
        <v>0.97486490405746018</v>
      </c>
      <c r="BZ377" s="7">
        <f>(Wapato_Inventory[[#This Row],[sum_land]]-IF(Wapato_Inventory[[#This Row],[no_utilities]]=1,12000,0))/IF(Wapato_Inventory[[#This Row],[unbuildable]]=1,2,1)</f>
        <v>54500</v>
      </c>
      <c r="CA377" s="7">
        <f>Wapato_Inventory[[#This Row],[pre_res]]*Wapato_Inventory[[#This Row],[overall_adj]]</f>
        <v>159497.94724242715</v>
      </c>
      <c r="CB377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377" s="3">
        <f>IF(ROUND(Wapato_Inventory[[#This Row],[adj_res]]*Lookups!$H$48,-2)&lt;Wapato_Inventory[[#This Row],[min_res]],Wapato_Inventory[[#This Row],[min_res]],ROUND(Wapato_Inventory[[#This Row],[adj_res]]*Lookups!$H$48,-2))</f>
        <v>151500</v>
      </c>
      <c r="CD377" s="3">
        <f>ROUND(Wapato_Inventory[[#This Row],[det_value]]*Lookups!$H$48,-2)</f>
        <v>0</v>
      </c>
      <c r="CE377" s="3">
        <f>Wapato_Inventory[[#This Row],[final_res]]+Wapato_Inventory[[#This Row],[final_det]]</f>
        <v>151500</v>
      </c>
      <c r="CF377" s="3">
        <f>Wapato_Inventory[[#This Row],[crop_value]]+Wapato_Inventory[[#This Row],[final_land]]+Wapato_Inventory[[#This Row],[final_imp]]</f>
        <v>203300</v>
      </c>
      <c r="CH377" t="str">
        <f t="shared" si="5"/>
        <v>update valuation set market_land =51800, market_bldg=151500, market_total =203300, market_mdno =405, market_date ='9/10/2023' where link_id = (select link_id from parcel where parcel_year = '2024' and parcel_id = '19111133459');</v>
      </c>
    </row>
    <row r="378" spans="1:86" x14ac:dyDescent="0.25">
      <c r="A378">
        <v>19111133460</v>
      </c>
      <c r="B378">
        <v>0.55000000000000004</v>
      </c>
      <c r="C378">
        <v>23982</v>
      </c>
      <c r="D378" t="s">
        <v>144</v>
      </c>
      <c r="E378" t="s">
        <v>54</v>
      </c>
      <c r="F378" t="s">
        <v>54</v>
      </c>
      <c r="G378">
        <v>3</v>
      </c>
      <c r="H378" t="s">
        <v>55</v>
      </c>
      <c r="I378">
        <v>95300</v>
      </c>
      <c r="J378">
        <v>41700</v>
      </c>
      <c r="K378">
        <v>0.55000000000000004</v>
      </c>
      <c r="L378">
        <f>IF(Wapato_Inventory[[#This Row],[parcel_acres]]-Wapato_Inventory[[#This Row],[non_valued_acres]] =0,0,LN(Wapato_Inventory[[#This Row],[parcel_acres]]-Wapato_Inventory[[#This Row],[non_valued_acres]]))</f>
        <v>-0.59783700075562041</v>
      </c>
      <c r="M378">
        <v>0</v>
      </c>
      <c r="N378">
        <v>0</v>
      </c>
      <c r="O378">
        <v>0</v>
      </c>
      <c r="P378">
        <v>27904.037</v>
      </c>
      <c r="Q378">
        <v>74398</v>
      </c>
      <c r="R378" s="3">
        <f>(Wapato_Inventory[[#This Row],[ln_acres]]*Wapato_Inventory[[#This Row],[coeff]])+Wapato_Inventory[[#This Row],[const]]</f>
        <v>57715.934210946143</v>
      </c>
      <c r="S378" t="s">
        <v>66</v>
      </c>
      <c r="T378">
        <v>1</v>
      </c>
      <c r="U378" t="s">
        <v>71</v>
      </c>
      <c r="V378" t="s">
        <v>73</v>
      </c>
      <c r="W378">
        <v>0</v>
      </c>
      <c r="X378">
        <v>0</v>
      </c>
      <c r="Y378">
        <v>53</v>
      </c>
      <c r="Z378">
        <v>93</v>
      </c>
      <c r="AA378">
        <v>100</v>
      </c>
      <c r="AB378">
        <v>1500</v>
      </c>
      <c r="AC378">
        <v>1300</v>
      </c>
      <c r="AD378">
        <v>1300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390</v>
      </c>
      <c r="AL378">
        <v>0</v>
      </c>
      <c r="AM378">
        <v>0</v>
      </c>
      <c r="AN378">
        <v>0</v>
      </c>
      <c r="AO378">
        <v>0</v>
      </c>
      <c r="AP378">
        <v>7</v>
      </c>
      <c r="AQ378">
        <v>1</v>
      </c>
      <c r="AR378">
        <v>0</v>
      </c>
      <c r="AS378" t="s">
        <v>59</v>
      </c>
      <c r="AT378">
        <v>1</v>
      </c>
      <c r="AU378" t="s">
        <v>76</v>
      </c>
      <c r="AV378" t="s">
        <v>61</v>
      </c>
      <c r="AW378">
        <v>0</v>
      </c>
      <c r="AX378">
        <v>3</v>
      </c>
      <c r="AY378">
        <v>0</v>
      </c>
      <c r="AZ378">
        <v>0</v>
      </c>
      <c r="BA378">
        <v>100</v>
      </c>
      <c r="BB378">
        <v>100</v>
      </c>
      <c r="BC378">
        <v>100</v>
      </c>
      <c r="BD378">
        <v>100</v>
      </c>
      <c r="BE378">
        <v>1</v>
      </c>
      <c r="BF378">
        <v>15000</v>
      </c>
      <c r="BG378">
        <v>1000</v>
      </c>
      <c r="BH378" s="7">
        <f>ROUND(Wapato_Inventory[[#This Row],[detatched_value]]*Lookups!$B$22*Lookups!$H$48,-2)</f>
        <v>0</v>
      </c>
      <c r="BI378" s="7">
        <f>ROUND(((Wapato_Inventory[[#This Row],[land_extract]]*Lookups!$B$3) +(Lookups!$B$2*0.5))*Lookups!$H$48,-2)</f>
        <v>56600</v>
      </c>
      <c r="BJ378" s="7">
        <f>IF(Wapato_Inventory[[#This Row],[bldg_style]]="",0,Lookups!$B$2*0.5)</f>
        <v>53765.27</v>
      </c>
      <c r="BK378" s="7">
        <f>_xlfn.IFNA(VLOOKUP(Wapato_Inventory[[#This Row],[quality]],Lookups!$H$2:$J$14,3,FALSE),0)</f>
        <v>28034</v>
      </c>
      <c r="BL378" s="7">
        <f>_xlfn.IFNA(VLOOKUP(Wapato_Inventory[[#This Row],[condition]],Lookups!$H$17:$J$24,3,FALSE),0)</f>
        <v>16276</v>
      </c>
      <c r="BM378" s="7">
        <f>Wapato_Inventory[[#This Row],[Age]]*Lookups!$B$16</f>
        <v>-34472.840100000001</v>
      </c>
      <c r="BN378" s="7">
        <f>Wapato_Inventory[[#This Row],[Main Floor]]*Lookups!$B$17</f>
        <v>54340.960700000003</v>
      </c>
      <c r="BO378" s="7">
        <f>Wapato_Inventory[[#This Row],[Upper Floor]]*Lookups!$B$18</f>
        <v>0</v>
      </c>
      <c r="BP378" s="7">
        <f>Wapato_Inventory[[#This Row],[Fin BSMT]]*Lookups!$B$19</f>
        <v>0</v>
      </c>
      <c r="BQ378" s="7">
        <f>(Wapato_Inventory[[#This Row],[att_gar]]+Wapato_Inventory[[#This Row],[blt_gar]])*Lookups!$B$20</f>
        <v>0</v>
      </c>
      <c r="BR378" s="7">
        <f>Wapato_Inventory[[#This Row],[Patio]]*Lookups!$B$21</f>
        <v>0</v>
      </c>
      <c r="BS378" s="7">
        <f>SUM(Wapato_Inventory[[#This Row],[intercept]:[patio_value]])*Wapato_Inventory[[#This Row],[res_pct]]</f>
        <v>117943.39059999998</v>
      </c>
      <c r="BT378" s="7">
        <f>Wapato_Inventory[[#This Row],[land_value]]</f>
        <v>56600</v>
      </c>
      <c r="BU378" s="2">
        <f>_xlfn.IFNA(VLOOKUP(Wapato_Inventory[[#This Row],[quality]],Lookups!$A$28:$C$37,3,FALSE),1)</f>
        <v>0.96265813922927435</v>
      </c>
      <c r="BV378" s="2">
        <f>_xlfn.IFNA(VLOOKUP(Wapato_Inventory[[#This Row],[condition]],Lookups!$A$41:$C$48,3,FALSE),1)</f>
        <v>0.93399385491337139</v>
      </c>
      <c r="BW378" s="2">
        <f>IF(Wapato_Inventory[[#This Row],[decade]]="",1,_xlfn.IFNA(VLOOKUP(Wapato_Inventory[[#This Row],[decade]],Lookups!$F$28:$H$45,3,FALSE),1))</f>
        <v>1.0114203040664467</v>
      </c>
      <c r="BX378" s="2">
        <f>_xlfn.IFNA(VLOOKUP(Wapato_Inventory[[#This Row],[living_area_range]],Lookups!$K$28:$M$37,3,FALSE),1)</f>
        <v>1.0061411172456287</v>
      </c>
      <c r="BY378" s="2">
        <f>AVERAGE(Wapato_Inventory[[#This Row],[qual_adj]:[range_adj]])</f>
        <v>0.97855335386368036</v>
      </c>
      <c r="BZ378" s="7">
        <f>(Wapato_Inventory[[#This Row],[sum_land]]-IF(Wapato_Inventory[[#This Row],[no_utilities]]=1,12000,0))/IF(Wapato_Inventory[[#This Row],[unbuildable]]=1,2,1)</f>
        <v>56600</v>
      </c>
      <c r="CA378" s="7">
        <f>Wapato_Inventory[[#This Row],[pre_res]]*Wapato_Inventory[[#This Row],[overall_adj]]</f>
        <v>115413.90043768406</v>
      </c>
      <c r="CB378" s="3">
        <f>IF(ROUND(Wapato_Inventory[[#This Row],[adj_land]]*Lookups!$H$48,-2)&lt;Wapato_Inventory[[#This Row],[min_land]],Wapato_Inventory[[#This Row],[min_land]],ROUND(Wapato_Inventory[[#This Row],[adj_land]]*Lookups!$H$48,-2))</f>
        <v>53800</v>
      </c>
      <c r="CC378" s="3">
        <f>IF(ROUND(Wapato_Inventory[[#This Row],[adj_res]]*Lookups!$H$48,-2)&lt;Wapato_Inventory[[#This Row],[min_res]],Wapato_Inventory[[#This Row],[min_res]],ROUND(Wapato_Inventory[[#This Row],[adj_res]]*Lookups!$H$48,-2))</f>
        <v>109600</v>
      </c>
      <c r="CD378" s="3">
        <f>ROUND(Wapato_Inventory[[#This Row],[det_value]]*Lookups!$H$48,-2)</f>
        <v>0</v>
      </c>
      <c r="CE378" s="3">
        <f>Wapato_Inventory[[#This Row],[final_res]]+Wapato_Inventory[[#This Row],[final_det]]</f>
        <v>109600</v>
      </c>
      <c r="CF378" s="3">
        <f>Wapato_Inventory[[#This Row],[crop_value]]+Wapato_Inventory[[#This Row],[final_land]]+Wapato_Inventory[[#This Row],[final_imp]]</f>
        <v>163400</v>
      </c>
      <c r="CH378" t="str">
        <f t="shared" si="5"/>
        <v>update valuation set market_land =53800, market_bldg=109600, market_total =163400, market_mdno =405, market_date ='9/10/2023' where link_id = (select link_id from parcel where parcel_year = '2024' and parcel_id = '19111133460');</v>
      </c>
    </row>
    <row r="379" spans="1:86" x14ac:dyDescent="0.25">
      <c r="A379">
        <v>19111133462</v>
      </c>
      <c r="B379">
        <v>0.12</v>
      </c>
      <c r="C379">
        <v>5170</v>
      </c>
      <c r="D379" t="s">
        <v>144</v>
      </c>
      <c r="E379" t="s">
        <v>54</v>
      </c>
      <c r="F379" t="s">
        <v>54</v>
      </c>
      <c r="G379">
        <v>3</v>
      </c>
      <c r="H379" t="s">
        <v>55</v>
      </c>
      <c r="I379">
        <v>105400</v>
      </c>
      <c r="J379">
        <v>30800</v>
      </c>
      <c r="K379">
        <v>0.12</v>
      </c>
      <c r="L379">
        <f>IF(Wapato_Inventory[[#This Row],[parcel_acres]]-Wapato_Inventory[[#This Row],[non_valued_acres]] =0,0,LN(Wapato_Inventory[[#This Row],[parcel_acres]]-Wapato_Inventory[[#This Row],[non_valued_acres]]))</f>
        <v>-2.120263536200091</v>
      </c>
      <c r="M379">
        <v>0</v>
      </c>
      <c r="N379">
        <v>0</v>
      </c>
      <c r="O379">
        <v>0</v>
      </c>
      <c r="P379">
        <v>27904.037</v>
      </c>
      <c r="Q379">
        <v>74398</v>
      </c>
      <c r="R379" s="3">
        <f>(Wapato_Inventory[[#This Row],[ln_acres]]*Wapato_Inventory[[#This Row],[coeff]])+Wapato_Inventory[[#This Row],[const]]</f>
        <v>15234.08783612182</v>
      </c>
      <c r="S379" t="s">
        <v>66</v>
      </c>
      <c r="T379">
        <v>1</v>
      </c>
      <c r="U379" t="s">
        <v>71</v>
      </c>
      <c r="V379" t="s">
        <v>68</v>
      </c>
      <c r="W379">
        <v>0</v>
      </c>
      <c r="X379">
        <v>0</v>
      </c>
      <c r="Y379">
        <v>55</v>
      </c>
      <c r="Z379">
        <v>98</v>
      </c>
      <c r="AA379">
        <v>100</v>
      </c>
      <c r="AB379">
        <v>1000</v>
      </c>
      <c r="AC379">
        <v>960</v>
      </c>
      <c r="AD379">
        <v>960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8</v>
      </c>
      <c r="AQ379">
        <v>0</v>
      </c>
      <c r="AR379">
        <v>0</v>
      </c>
      <c r="AS379" t="s">
        <v>59</v>
      </c>
      <c r="AT379">
        <v>1</v>
      </c>
      <c r="AU379" t="s">
        <v>72</v>
      </c>
      <c r="AV379" t="s">
        <v>61</v>
      </c>
      <c r="AW379">
        <v>0</v>
      </c>
      <c r="AX379">
        <v>3</v>
      </c>
      <c r="AY379">
        <v>0</v>
      </c>
      <c r="AZ379">
        <v>0</v>
      </c>
      <c r="BA379">
        <v>100</v>
      </c>
      <c r="BB379">
        <v>100</v>
      </c>
      <c r="BC379">
        <v>100</v>
      </c>
      <c r="BD379">
        <v>100</v>
      </c>
      <c r="BE379">
        <v>1</v>
      </c>
      <c r="BF379">
        <v>15000</v>
      </c>
      <c r="BG379">
        <v>1000</v>
      </c>
      <c r="BH379" s="7">
        <f>ROUND(Wapato_Inventory[[#This Row],[detatched_value]]*Lookups!$B$22*Lookups!$H$48,-2)</f>
        <v>0</v>
      </c>
      <c r="BI379" s="7">
        <f>ROUND(((Wapato_Inventory[[#This Row],[land_extract]]*Lookups!$B$3) +(Lookups!$B$2*0.5))*Lookups!$H$48,-2)</f>
        <v>52500</v>
      </c>
      <c r="BJ379" s="7">
        <f>IF(Wapato_Inventory[[#This Row],[bldg_style]]="",0,Lookups!$B$2*0.5)</f>
        <v>53765.27</v>
      </c>
      <c r="BK379" s="7">
        <f>_xlfn.IFNA(VLOOKUP(Wapato_Inventory[[#This Row],[quality]],Lookups!$H$2:$J$14,3,FALSE),0)</f>
        <v>28034</v>
      </c>
      <c r="BL379" s="7">
        <f>_xlfn.IFNA(VLOOKUP(Wapato_Inventory[[#This Row],[condition]],Lookups!$H$17:$J$24,3,FALSE),0)</f>
        <v>52231</v>
      </c>
      <c r="BM379" s="7">
        <f>Wapato_Inventory[[#This Row],[Age]]*Lookups!$B$16</f>
        <v>-36326.2186</v>
      </c>
      <c r="BN379" s="7">
        <f>Wapato_Inventory[[#This Row],[Main Floor]]*Lookups!$B$17</f>
        <v>40128.709439999999</v>
      </c>
      <c r="BO379" s="7">
        <f>Wapato_Inventory[[#This Row],[Upper Floor]]*Lookups!$B$18</f>
        <v>0</v>
      </c>
      <c r="BP379" s="7">
        <f>Wapato_Inventory[[#This Row],[Fin BSMT]]*Lookups!$B$19</f>
        <v>0</v>
      </c>
      <c r="BQ379" s="7">
        <f>(Wapato_Inventory[[#This Row],[att_gar]]+Wapato_Inventory[[#This Row],[blt_gar]])*Lookups!$B$20</f>
        <v>0</v>
      </c>
      <c r="BR379" s="7">
        <f>Wapato_Inventory[[#This Row],[Patio]]*Lookups!$B$21</f>
        <v>0</v>
      </c>
      <c r="BS379" s="7">
        <f>SUM(Wapato_Inventory[[#This Row],[intercept]:[patio_value]])*Wapato_Inventory[[#This Row],[res_pct]]</f>
        <v>137832.76084</v>
      </c>
      <c r="BT379" s="7">
        <f>Wapato_Inventory[[#This Row],[land_value]]</f>
        <v>52500</v>
      </c>
      <c r="BU379" s="2">
        <f>_xlfn.IFNA(VLOOKUP(Wapato_Inventory[[#This Row],[quality]],Lookups!$A$28:$C$37,3,FALSE),1)</f>
        <v>0.96265813922927435</v>
      </c>
      <c r="BV379" s="2">
        <f>_xlfn.IFNA(VLOOKUP(Wapato_Inventory[[#This Row],[condition]],Lookups!$A$41:$C$48,3,FALSE),1)</f>
        <v>0.9832333997567807</v>
      </c>
      <c r="BW379" s="2">
        <f>IF(Wapato_Inventory[[#This Row],[decade]]="",1,_xlfn.IFNA(VLOOKUP(Wapato_Inventory[[#This Row],[decade]],Lookups!$F$28:$H$45,3,FALSE),1))</f>
        <v>1.0114203040664467</v>
      </c>
      <c r="BX379" s="2">
        <f>_xlfn.IFNA(VLOOKUP(Wapato_Inventory[[#This Row],[living_area_range]],Lookups!$K$28:$M$37,3,FALSE),1)</f>
        <v>0.99022994770196116</v>
      </c>
      <c r="BY379" s="2">
        <f>AVERAGE(Wapato_Inventory[[#This Row],[qual_adj]:[range_adj]])</f>
        <v>0.98688544768861564</v>
      </c>
      <c r="BZ379" s="7">
        <f>(Wapato_Inventory[[#This Row],[sum_land]]-IF(Wapato_Inventory[[#This Row],[no_utilities]]=1,12000,0))/IF(Wapato_Inventory[[#This Row],[unbuildable]]=1,2,1)</f>
        <v>52500</v>
      </c>
      <c r="CA379" s="7">
        <f>Wapato_Inventory[[#This Row],[pre_res]]*Wapato_Inventory[[#This Row],[overall_adj]]</f>
        <v>136025.1458877413</v>
      </c>
      <c r="CB379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379" s="3">
        <f>IF(ROUND(Wapato_Inventory[[#This Row],[adj_res]]*Lookups!$H$48,-2)&lt;Wapato_Inventory[[#This Row],[min_res]],Wapato_Inventory[[#This Row],[min_res]],ROUND(Wapato_Inventory[[#This Row],[adj_res]]*Lookups!$H$48,-2))</f>
        <v>129200</v>
      </c>
      <c r="CD379" s="3">
        <f>ROUND(Wapato_Inventory[[#This Row],[det_value]]*Lookups!$H$48,-2)</f>
        <v>0</v>
      </c>
      <c r="CE379" s="3">
        <f>Wapato_Inventory[[#This Row],[final_res]]+Wapato_Inventory[[#This Row],[final_det]]</f>
        <v>129200</v>
      </c>
      <c r="CF379" s="3">
        <f>Wapato_Inventory[[#This Row],[crop_value]]+Wapato_Inventory[[#This Row],[final_land]]+Wapato_Inventory[[#This Row],[final_imp]]</f>
        <v>179100</v>
      </c>
      <c r="CH379" t="str">
        <f t="shared" si="5"/>
        <v>update valuation set market_land =49900, market_bldg=129200, market_total =179100, market_mdno =405, market_date ='9/10/2023' where link_id = (select link_id from parcel where parcel_year = '2024' and parcel_id = '19111133462');</v>
      </c>
    </row>
    <row r="380" spans="1:86" x14ac:dyDescent="0.25">
      <c r="A380">
        <v>19111133467</v>
      </c>
      <c r="B380">
        <v>0.25</v>
      </c>
      <c r="C380">
        <v>10775</v>
      </c>
      <c r="D380" t="s">
        <v>144</v>
      </c>
      <c r="E380" t="s">
        <v>54</v>
      </c>
      <c r="F380" t="s">
        <v>54</v>
      </c>
      <c r="G380">
        <v>3</v>
      </c>
      <c r="H380" t="s">
        <v>55</v>
      </c>
      <c r="I380">
        <v>131600</v>
      </c>
      <c r="J380">
        <v>36000</v>
      </c>
      <c r="K380">
        <v>0.25</v>
      </c>
      <c r="L380">
        <f>IF(Wapato_Inventory[[#This Row],[parcel_acres]]-Wapato_Inventory[[#This Row],[non_valued_acres]] =0,0,LN(Wapato_Inventory[[#This Row],[parcel_acres]]-Wapato_Inventory[[#This Row],[non_valued_acres]]))</f>
        <v>-1.3862943611198906</v>
      </c>
      <c r="M380">
        <v>0</v>
      </c>
      <c r="N380">
        <v>0</v>
      </c>
      <c r="O380">
        <v>0</v>
      </c>
      <c r="P380">
        <v>27904.037</v>
      </c>
      <c r="Q380">
        <v>74398</v>
      </c>
      <c r="R380" s="3">
        <f>(Wapato_Inventory[[#This Row],[ln_acres]]*Wapato_Inventory[[#This Row],[coeff]])+Wapato_Inventory[[#This Row],[const]]</f>
        <v>35714.790854419211</v>
      </c>
      <c r="S380" t="s">
        <v>66</v>
      </c>
      <c r="T380">
        <v>1</v>
      </c>
      <c r="U380" t="s">
        <v>75</v>
      </c>
      <c r="V380" t="s">
        <v>68</v>
      </c>
      <c r="W380">
        <v>0</v>
      </c>
      <c r="X380">
        <v>0</v>
      </c>
      <c r="Y380">
        <v>53</v>
      </c>
      <c r="Z380">
        <v>93</v>
      </c>
      <c r="AA380">
        <v>100</v>
      </c>
      <c r="AB380">
        <v>1500</v>
      </c>
      <c r="AC380">
        <v>1078</v>
      </c>
      <c r="AD380">
        <v>1078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869</v>
      </c>
      <c r="AL380">
        <v>0</v>
      </c>
      <c r="AM380">
        <v>0</v>
      </c>
      <c r="AN380">
        <v>50</v>
      </c>
      <c r="AO380">
        <v>0</v>
      </c>
      <c r="AP380">
        <v>7</v>
      </c>
      <c r="AQ380">
        <v>0</v>
      </c>
      <c r="AR380">
        <v>1</v>
      </c>
      <c r="AS380" t="s">
        <v>59</v>
      </c>
      <c r="AT380">
        <v>1</v>
      </c>
      <c r="AU380" t="s">
        <v>76</v>
      </c>
      <c r="AV380" t="s">
        <v>65</v>
      </c>
      <c r="AW380">
        <v>0</v>
      </c>
      <c r="AX380">
        <v>2</v>
      </c>
      <c r="AY380">
        <v>0</v>
      </c>
      <c r="AZ380">
        <v>500</v>
      </c>
      <c r="BA380">
        <v>100</v>
      </c>
      <c r="BB380">
        <v>100</v>
      </c>
      <c r="BC380">
        <v>100</v>
      </c>
      <c r="BD380">
        <v>100</v>
      </c>
      <c r="BE380">
        <v>1</v>
      </c>
      <c r="BF380">
        <v>15000</v>
      </c>
      <c r="BG380">
        <v>1000</v>
      </c>
      <c r="BH380" s="7">
        <f>ROUND(Wapato_Inventory[[#This Row],[detatched_value]]*Lookups!$B$22*Lookups!$H$48,-2)</f>
        <v>400</v>
      </c>
      <c r="BI380" s="7">
        <f>ROUND(((Wapato_Inventory[[#This Row],[land_extract]]*Lookups!$B$3) +(Lookups!$B$2*0.5))*Lookups!$H$48,-2)</f>
        <v>54500</v>
      </c>
      <c r="BJ380" s="7">
        <f>IF(Wapato_Inventory[[#This Row],[bldg_style]]="",0,Lookups!$B$2*0.5)</f>
        <v>53765.27</v>
      </c>
      <c r="BK380" s="7">
        <f>_xlfn.IFNA(VLOOKUP(Wapato_Inventory[[#This Row],[quality]],Lookups!$H$2:$J$14,3,FALSE),0)</f>
        <v>48043</v>
      </c>
      <c r="BL380" s="7">
        <f>_xlfn.IFNA(VLOOKUP(Wapato_Inventory[[#This Row],[condition]],Lookups!$H$17:$J$24,3,FALSE),0)</f>
        <v>52231</v>
      </c>
      <c r="BM380" s="7">
        <f>Wapato_Inventory[[#This Row],[Age]]*Lookups!$B$16</f>
        <v>-34472.840100000001</v>
      </c>
      <c r="BN380" s="7">
        <f>Wapato_Inventory[[#This Row],[Main Floor]]*Lookups!$B$17</f>
        <v>45061.196642000003</v>
      </c>
      <c r="BO380" s="7">
        <f>Wapato_Inventory[[#This Row],[Upper Floor]]*Lookups!$B$18</f>
        <v>0</v>
      </c>
      <c r="BP380" s="7">
        <f>Wapato_Inventory[[#This Row],[Fin BSMT]]*Lookups!$B$19</f>
        <v>0</v>
      </c>
      <c r="BQ380" s="7">
        <f>(Wapato_Inventory[[#This Row],[att_gar]]+Wapato_Inventory[[#This Row],[blt_gar]])*Lookups!$B$20</f>
        <v>0</v>
      </c>
      <c r="BR380" s="7">
        <f>Wapato_Inventory[[#This Row],[Patio]]*Lookups!$B$21</f>
        <v>0</v>
      </c>
      <c r="BS380" s="7">
        <f>SUM(Wapato_Inventory[[#This Row],[intercept]:[patio_value]])*Wapato_Inventory[[#This Row],[res_pct]]</f>
        <v>164627.62654199998</v>
      </c>
      <c r="BT380" s="7">
        <f>Wapato_Inventory[[#This Row],[land_value]]</f>
        <v>54500</v>
      </c>
      <c r="BU380" s="2">
        <f>_xlfn.IFNA(VLOOKUP(Wapato_Inventory[[#This Row],[quality]],Lookups!$A$28:$C$37,3,FALSE),1)</f>
        <v>0.98196844879778955</v>
      </c>
      <c r="BV380" s="2">
        <f>_xlfn.IFNA(VLOOKUP(Wapato_Inventory[[#This Row],[condition]],Lookups!$A$41:$C$48,3,FALSE),1)</f>
        <v>0.9832333997567807</v>
      </c>
      <c r="BW380" s="2">
        <f>IF(Wapato_Inventory[[#This Row],[decade]]="",1,_xlfn.IFNA(VLOOKUP(Wapato_Inventory[[#This Row],[decade]],Lookups!$F$28:$H$45,3,FALSE),1))</f>
        <v>1.0114203040664467</v>
      </c>
      <c r="BX380" s="2">
        <f>_xlfn.IFNA(VLOOKUP(Wapato_Inventory[[#This Row],[living_area_range]],Lookups!$K$28:$M$37,3,FALSE),1)</f>
        <v>1.0061411172456287</v>
      </c>
      <c r="BY380" s="2">
        <f>AVERAGE(Wapato_Inventory[[#This Row],[qual_adj]:[range_adj]])</f>
        <v>0.99569081746666144</v>
      </c>
      <c r="BZ380" s="7">
        <f>(Wapato_Inventory[[#This Row],[sum_land]]-IF(Wapato_Inventory[[#This Row],[no_utilities]]=1,12000,0))/IF(Wapato_Inventory[[#This Row],[unbuildable]]=1,2,1)</f>
        <v>54500</v>
      </c>
      <c r="CA380" s="7">
        <f>Wapato_Inventory[[#This Row],[pre_res]]*Wapato_Inventory[[#This Row],[overall_adj]]</f>
        <v>163918.21604920021</v>
      </c>
      <c r="CB380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380" s="3">
        <f>IF(ROUND(Wapato_Inventory[[#This Row],[adj_res]]*Lookups!$H$48,-2)&lt;Wapato_Inventory[[#This Row],[min_res]],Wapato_Inventory[[#This Row],[min_res]],ROUND(Wapato_Inventory[[#This Row],[adj_res]]*Lookups!$H$48,-2))</f>
        <v>155700</v>
      </c>
      <c r="CD380" s="3">
        <f>ROUND(Wapato_Inventory[[#This Row],[det_value]]*Lookups!$H$48,-2)</f>
        <v>400</v>
      </c>
      <c r="CE380" s="3">
        <f>Wapato_Inventory[[#This Row],[final_res]]+Wapato_Inventory[[#This Row],[final_det]]</f>
        <v>156100</v>
      </c>
      <c r="CF380" s="3">
        <f>Wapato_Inventory[[#This Row],[crop_value]]+Wapato_Inventory[[#This Row],[final_land]]+Wapato_Inventory[[#This Row],[final_imp]]</f>
        <v>207900</v>
      </c>
      <c r="CH380" t="str">
        <f t="shared" si="5"/>
        <v>update valuation set market_land =51800, market_bldg=156100, market_total =207900, market_mdno =405, market_date ='9/10/2023' where link_id = (select link_id from parcel where parcel_year = '2024' and parcel_id = '19111133467');</v>
      </c>
    </row>
    <row r="381" spans="1:86" x14ac:dyDescent="0.25">
      <c r="A381">
        <v>19111133468</v>
      </c>
      <c r="B381">
        <v>0.5</v>
      </c>
      <c r="C381">
        <v>21600</v>
      </c>
      <c r="D381" t="s">
        <v>144</v>
      </c>
      <c r="E381" t="s">
        <v>54</v>
      </c>
      <c r="F381" t="s">
        <v>54</v>
      </c>
      <c r="G381">
        <v>3</v>
      </c>
      <c r="H381" t="s">
        <v>55</v>
      </c>
      <c r="I381">
        <v>177400</v>
      </c>
      <c r="J381">
        <v>41000</v>
      </c>
      <c r="K381">
        <v>0.5</v>
      </c>
      <c r="L381">
        <f>IF(Wapato_Inventory[[#This Row],[parcel_acres]]-Wapato_Inventory[[#This Row],[non_valued_acres]] =0,0,LN(Wapato_Inventory[[#This Row],[parcel_acres]]-Wapato_Inventory[[#This Row],[non_valued_acres]]))</f>
        <v>-0.69314718055994529</v>
      </c>
      <c r="M381">
        <v>0</v>
      </c>
      <c r="N381">
        <v>0</v>
      </c>
      <c r="O381">
        <v>0</v>
      </c>
      <c r="P381">
        <v>27904.037</v>
      </c>
      <c r="Q381">
        <v>74398</v>
      </c>
      <c r="R381" s="3">
        <f>(Wapato_Inventory[[#This Row],[ln_acres]]*Wapato_Inventory[[#This Row],[coeff]])+Wapato_Inventory[[#This Row],[const]]</f>
        <v>55056.395427209602</v>
      </c>
      <c r="S381" t="s">
        <v>62</v>
      </c>
      <c r="T381">
        <v>1</v>
      </c>
      <c r="U381" t="s">
        <v>71</v>
      </c>
      <c r="V381" t="s">
        <v>69</v>
      </c>
      <c r="W381">
        <v>0</v>
      </c>
      <c r="X381">
        <v>0</v>
      </c>
      <c r="Y381">
        <v>33</v>
      </c>
      <c r="Z381">
        <v>93</v>
      </c>
      <c r="AA381">
        <v>100</v>
      </c>
      <c r="AB381">
        <v>1500</v>
      </c>
      <c r="AC381">
        <v>1372</v>
      </c>
      <c r="AD381">
        <v>1372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784</v>
      </c>
      <c r="AN381">
        <v>0</v>
      </c>
      <c r="AO381">
        <v>0</v>
      </c>
      <c r="AP381">
        <v>5</v>
      </c>
      <c r="AQ381">
        <v>0</v>
      </c>
      <c r="AR381">
        <v>0</v>
      </c>
      <c r="AS381" t="s">
        <v>59</v>
      </c>
      <c r="AT381">
        <v>1</v>
      </c>
      <c r="AU381" t="s">
        <v>64</v>
      </c>
      <c r="AV381" t="s">
        <v>61</v>
      </c>
      <c r="AW381">
        <v>0</v>
      </c>
      <c r="AX381">
        <v>3</v>
      </c>
      <c r="AY381">
        <v>0</v>
      </c>
      <c r="AZ381">
        <v>0</v>
      </c>
      <c r="BA381">
        <v>100</v>
      </c>
      <c r="BB381">
        <v>100</v>
      </c>
      <c r="BC381">
        <v>100</v>
      </c>
      <c r="BD381">
        <v>100</v>
      </c>
      <c r="BE381">
        <v>1</v>
      </c>
      <c r="BF381">
        <v>15000</v>
      </c>
      <c r="BG381">
        <v>1000</v>
      </c>
      <c r="BH381" s="7">
        <f>ROUND(Wapato_Inventory[[#This Row],[detatched_value]]*Lookups!$B$22*Lookups!$H$48,-2)</f>
        <v>0</v>
      </c>
      <c r="BI381" s="7">
        <f>ROUND(((Wapato_Inventory[[#This Row],[land_extract]]*Lookups!$B$3) +(Lookups!$B$2*0.5))*Lookups!$H$48,-2)</f>
        <v>56400</v>
      </c>
      <c r="BJ381" s="7">
        <f>IF(Wapato_Inventory[[#This Row],[bldg_style]]="",0,Lookups!$B$2*0.5)</f>
        <v>53765.27</v>
      </c>
      <c r="BK381" s="7">
        <f>_xlfn.IFNA(VLOOKUP(Wapato_Inventory[[#This Row],[quality]],Lookups!$H$2:$J$14,3,FALSE),0)</f>
        <v>28034</v>
      </c>
      <c r="BL381" s="7">
        <f>_xlfn.IFNA(VLOOKUP(Wapato_Inventory[[#This Row],[condition]],Lookups!$H$17:$J$24,3,FALSE),0)</f>
        <v>74543</v>
      </c>
      <c r="BM381" s="7">
        <f>Wapato_Inventory[[#This Row],[Age]]*Lookups!$B$16</f>
        <v>-34472.840100000001</v>
      </c>
      <c r="BN381" s="7">
        <f>Wapato_Inventory[[#This Row],[Main Floor]]*Lookups!$B$17</f>
        <v>57350.613907999999</v>
      </c>
      <c r="BO381" s="7">
        <f>Wapato_Inventory[[#This Row],[Upper Floor]]*Lookups!$B$18</f>
        <v>0</v>
      </c>
      <c r="BP381" s="7">
        <f>Wapato_Inventory[[#This Row],[Fin BSMT]]*Lookups!$B$19</f>
        <v>0</v>
      </c>
      <c r="BQ381" s="7">
        <f>(Wapato_Inventory[[#This Row],[att_gar]]+Wapato_Inventory[[#This Row],[blt_gar]])*Lookups!$B$20</f>
        <v>0</v>
      </c>
      <c r="BR381" s="7">
        <f>Wapato_Inventory[[#This Row],[Patio]]*Lookups!$B$21</f>
        <v>33965.999536000003</v>
      </c>
      <c r="BS381" s="7">
        <f>SUM(Wapato_Inventory[[#This Row],[intercept]:[patio_value]])*Wapato_Inventory[[#This Row],[res_pct]]</f>
        <v>213186.04334400001</v>
      </c>
      <c r="BT381" s="7">
        <f>Wapato_Inventory[[#This Row],[land_value]]</f>
        <v>56400</v>
      </c>
      <c r="BU381" s="2">
        <f>_xlfn.IFNA(VLOOKUP(Wapato_Inventory[[#This Row],[quality]],Lookups!$A$28:$C$37,3,FALSE),1)</f>
        <v>0.96265813922927435</v>
      </c>
      <c r="BV381" s="2">
        <f>_xlfn.IFNA(VLOOKUP(Wapato_Inventory[[#This Row],[condition]],Lookups!$A$41:$C$48,3,FALSE),1)</f>
        <v>0.98442438223270734</v>
      </c>
      <c r="BW381" s="2">
        <f>IF(Wapato_Inventory[[#This Row],[decade]]="",1,_xlfn.IFNA(VLOOKUP(Wapato_Inventory[[#This Row],[decade]],Lookups!$F$28:$H$45,3,FALSE),1))</f>
        <v>1.0114203040664467</v>
      </c>
      <c r="BX381" s="2">
        <f>_xlfn.IFNA(VLOOKUP(Wapato_Inventory[[#This Row],[living_area_range]],Lookups!$K$28:$M$37,3,FALSE),1)</f>
        <v>1.0061411172456287</v>
      </c>
      <c r="BY381" s="2">
        <f>AVERAGE(Wapato_Inventory[[#This Row],[qual_adj]:[range_adj]])</f>
        <v>0.99116098569351418</v>
      </c>
      <c r="BZ381" s="7">
        <f>(Wapato_Inventory[[#This Row],[sum_land]]-IF(Wapato_Inventory[[#This Row],[no_utilities]]=1,12000,0))/IF(Wapato_Inventory[[#This Row],[unbuildable]]=1,2,1)</f>
        <v>56400</v>
      </c>
      <c r="CA381" s="7">
        <f>Wapato_Inventory[[#This Row],[pre_res]]*Wapato_Inventory[[#This Row],[overall_adj]]</f>
        <v>211301.68885693929</v>
      </c>
      <c r="CB381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381" s="3">
        <f>IF(ROUND(Wapato_Inventory[[#This Row],[adj_res]]*Lookups!$H$48,-2)&lt;Wapato_Inventory[[#This Row],[min_res]],Wapato_Inventory[[#This Row],[min_res]],ROUND(Wapato_Inventory[[#This Row],[adj_res]]*Lookups!$H$48,-2))</f>
        <v>200700</v>
      </c>
      <c r="CD381" s="3">
        <f>ROUND(Wapato_Inventory[[#This Row],[det_value]]*Lookups!$H$48,-2)</f>
        <v>0</v>
      </c>
      <c r="CE381" s="3">
        <f>Wapato_Inventory[[#This Row],[final_res]]+Wapato_Inventory[[#This Row],[final_det]]</f>
        <v>200700</v>
      </c>
      <c r="CF381" s="3">
        <f>Wapato_Inventory[[#This Row],[crop_value]]+Wapato_Inventory[[#This Row],[final_land]]+Wapato_Inventory[[#This Row],[final_imp]]</f>
        <v>254300</v>
      </c>
      <c r="CH381" t="str">
        <f t="shared" si="5"/>
        <v>update valuation set market_land =53600, market_bldg=200700, market_total =254300, market_mdno =405, market_date ='9/10/2023' where link_id = (select link_id from parcel where parcel_year = '2024' and parcel_id = '19111133468');</v>
      </c>
    </row>
    <row r="382" spans="1:86" x14ac:dyDescent="0.25">
      <c r="A382">
        <v>19111133469</v>
      </c>
      <c r="B382">
        <v>0.25</v>
      </c>
      <c r="C382">
        <v>10800</v>
      </c>
      <c r="D382" t="s">
        <v>144</v>
      </c>
      <c r="E382" t="s">
        <v>54</v>
      </c>
      <c r="F382" t="s">
        <v>54</v>
      </c>
      <c r="G382">
        <v>3</v>
      </c>
      <c r="H382" t="s">
        <v>55</v>
      </c>
      <c r="I382">
        <v>149600</v>
      </c>
      <c r="J382">
        <v>36000</v>
      </c>
      <c r="K382">
        <v>0.25</v>
      </c>
      <c r="L382">
        <f>IF(Wapato_Inventory[[#This Row],[parcel_acres]]-Wapato_Inventory[[#This Row],[non_valued_acres]] =0,0,LN(Wapato_Inventory[[#This Row],[parcel_acres]]-Wapato_Inventory[[#This Row],[non_valued_acres]]))</f>
        <v>-1.3862943611198906</v>
      </c>
      <c r="M382">
        <v>0</v>
      </c>
      <c r="N382">
        <v>0</v>
      </c>
      <c r="O382">
        <v>0</v>
      </c>
      <c r="P382">
        <v>27904.037</v>
      </c>
      <c r="Q382">
        <v>74398</v>
      </c>
      <c r="R382" s="3">
        <f>(Wapato_Inventory[[#This Row],[ln_acres]]*Wapato_Inventory[[#This Row],[coeff]])+Wapato_Inventory[[#This Row],[const]]</f>
        <v>35714.790854419211</v>
      </c>
      <c r="S382" t="s">
        <v>62</v>
      </c>
      <c r="T382">
        <v>1</v>
      </c>
      <c r="U382" t="s">
        <v>75</v>
      </c>
      <c r="V382" t="s">
        <v>73</v>
      </c>
      <c r="W382">
        <v>0</v>
      </c>
      <c r="X382">
        <v>0</v>
      </c>
      <c r="Y382">
        <v>43</v>
      </c>
      <c r="Z382">
        <v>44</v>
      </c>
      <c r="AA382">
        <v>50</v>
      </c>
      <c r="AB382">
        <v>1500</v>
      </c>
      <c r="AC382">
        <v>1012</v>
      </c>
      <c r="AD382">
        <v>1012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64</v>
      </c>
      <c r="AN382">
        <v>64</v>
      </c>
      <c r="AO382">
        <v>64</v>
      </c>
      <c r="AP382">
        <v>7</v>
      </c>
      <c r="AQ382">
        <v>0</v>
      </c>
      <c r="AR382">
        <v>0</v>
      </c>
      <c r="AS382" t="s">
        <v>59</v>
      </c>
      <c r="AT382">
        <v>1</v>
      </c>
      <c r="AU382" t="s">
        <v>64</v>
      </c>
      <c r="AV382" t="s">
        <v>65</v>
      </c>
      <c r="AW382">
        <v>0</v>
      </c>
      <c r="AX382">
        <v>3</v>
      </c>
      <c r="AY382">
        <v>0</v>
      </c>
      <c r="AZ382">
        <v>34500</v>
      </c>
      <c r="BA382">
        <v>100</v>
      </c>
      <c r="BB382">
        <v>100</v>
      </c>
      <c r="BC382">
        <v>100</v>
      </c>
      <c r="BD382">
        <v>100</v>
      </c>
      <c r="BE382">
        <v>1</v>
      </c>
      <c r="BF382">
        <v>15000</v>
      </c>
      <c r="BG382">
        <v>1000</v>
      </c>
      <c r="BH382" s="7">
        <f>ROUND(Wapato_Inventory[[#This Row],[detatched_value]]*Lookups!$B$22*Lookups!$H$48,-2)</f>
        <v>30800</v>
      </c>
      <c r="BI382" s="7">
        <f>ROUND(((Wapato_Inventory[[#This Row],[land_extract]]*Lookups!$B$3) +(Lookups!$B$2*0.5))*Lookups!$H$48,-2)</f>
        <v>54500</v>
      </c>
      <c r="BJ382" s="7">
        <f>IF(Wapato_Inventory[[#This Row],[bldg_style]]="",0,Lookups!$B$2*0.5)</f>
        <v>53765.27</v>
      </c>
      <c r="BK382" s="7">
        <f>_xlfn.IFNA(VLOOKUP(Wapato_Inventory[[#This Row],[quality]],Lookups!$H$2:$J$14,3,FALSE),0)</f>
        <v>48043</v>
      </c>
      <c r="BL382" s="7">
        <f>_xlfn.IFNA(VLOOKUP(Wapato_Inventory[[#This Row],[condition]],Lookups!$H$17:$J$24,3,FALSE),0)</f>
        <v>16276</v>
      </c>
      <c r="BM382" s="7">
        <f>Wapato_Inventory[[#This Row],[Age]]*Lookups!$B$16</f>
        <v>-16309.730800000001</v>
      </c>
      <c r="BN382" s="7">
        <f>Wapato_Inventory[[#This Row],[Main Floor]]*Lookups!$B$17</f>
        <v>42302.347867999997</v>
      </c>
      <c r="BO382" s="7">
        <f>Wapato_Inventory[[#This Row],[Upper Floor]]*Lookups!$B$18</f>
        <v>0</v>
      </c>
      <c r="BP382" s="7">
        <f>Wapato_Inventory[[#This Row],[Fin BSMT]]*Lookups!$B$19</f>
        <v>0</v>
      </c>
      <c r="BQ382" s="7">
        <f>(Wapato_Inventory[[#This Row],[att_gar]]+Wapato_Inventory[[#This Row],[blt_gar]])*Lookups!$B$20</f>
        <v>0</v>
      </c>
      <c r="BR382" s="7">
        <f>Wapato_Inventory[[#This Row],[Patio]]*Lookups!$B$21</f>
        <v>2772.7346560000001</v>
      </c>
      <c r="BS382" s="7">
        <f>SUM(Wapato_Inventory[[#This Row],[intercept]:[patio_value]])*Wapato_Inventory[[#This Row],[res_pct]]</f>
        <v>146849.62172399997</v>
      </c>
      <c r="BT382" s="7">
        <f>Wapato_Inventory[[#This Row],[land_value]]</f>
        <v>54500</v>
      </c>
      <c r="BU382" s="2">
        <f>_xlfn.IFNA(VLOOKUP(Wapato_Inventory[[#This Row],[quality]],Lookups!$A$28:$C$37,3,FALSE),1)</f>
        <v>0.98196844879778955</v>
      </c>
      <c r="BV382" s="2">
        <f>_xlfn.IFNA(VLOOKUP(Wapato_Inventory[[#This Row],[condition]],Lookups!$A$41:$C$48,3,FALSE),1)</f>
        <v>0.93399385491337139</v>
      </c>
      <c r="BW382" s="2">
        <f>IF(Wapato_Inventory[[#This Row],[decade]]="",1,_xlfn.IFNA(VLOOKUP(Wapato_Inventory[[#This Row],[decade]],Lookups!$F$28:$H$45,3,FALSE),1))</f>
        <v>0.96240333884358298</v>
      </c>
      <c r="BX382" s="2">
        <f>_xlfn.IFNA(VLOOKUP(Wapato_Inventory[[#This Row],[living_area_range]],Lookups!$K$28:$M$37,3,FALSE),1)</f>
        <v>1.0061411172456287</v>
      </c>
      <c r="BY382" s="2">
        <f>AVERAGE(Wapato_Inventory[[#This Row],[qual_adj]:[range_adj]])</f>
        <v>0.97112668995009321</v>
      </c>
      <c r="BZ382" s="7">
        <f>(Wapato_Inventory[[#This Row],[sum_land]]-IF(Wapato_Inventory[[#This Row],[no_utilities]]=1,12000,0))/IF(Wapato_Inventory[[#This Row],[unbuildable]]=1,2,1)</f>
        <v>54500</v>
      </c>
      <c r="CA382" s="7">
        <f>Wapato_Inventory[[#This Row],[pre_res]]*Wapato_Inventory[[#This Row],[overall_adj]]</f>
        <v>142609.5870652514</v>
      </c>
      <c r="CB382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382" s="3">
        <f>IF(ROUND(Wapato_Inventory[[#This Row],[adj_res]]*Lookups!$H$48,-2)&lt;Wapato_Inventory[[#This Row],[min_res]],Wapato_Inventory[[#This Row],[min_res]],ROUND(Wapato_Inventory[[#This Row],[adj_res]]*Lookups!$H$48,-2))</f>
        <v>135500</v>
      </c>
      <c r="CD382" s="3">
        <f>ROUND(Wapato_Inventory[[#This Row],[det_value]]*Lookups!$H$48,-2)</f>
        <v>29300</v>
      </c>
      <c r="CE382" s="3">
        <f>Wapato_Inventory[[#This Row],[final_res]]+Wapato_Inventory[[#This Row],[final_det]]</f>
        <v>164800</v>
      </c>
      <c r="CF382" s="3">
        <f>Wapato_Inventory[[#This Row],[crop_value]]+Wapato_Inventory[[#This Row],[final_land]]+Wapato_Inventory[[#This Row],[final_imp]]</f>
        <v>216600</v>
      </c>
      <c r="CH382" t="str">
        <f t="shared" si="5"/>
        <v>update valuation set market_land =51800, market_bldg=164800, market_total =216600, market_mdno =405, market_date ='9/10/2023' where link_id = (select link_id from parcel where parcel_year = '2024' and parcel_id = '19111133469');</v>
      </c>
    </row>
    <row r="383" spans="1:86" x14ac:dyDescent="0.25">
      <c r="A383">
        <v>19111133470</v>
      </c>
      <c r="B383">
        <v>0.25</v>
      </c>
      <c r="C383">
        <v>10800</v>
      </c>
      <c r="D383" t="s">
        <v>144</v>
      </c>
      <c r="E383" t="s">
        <v>54</v>
      </c>
      <c r="F383" t="s">
        <v>54</v>
      </c>
      <c r="G383">
        <v>3</v>
      </c>
      <c r="H383" t="s">
        <v>55</v>
      </c>
      <c r="I383">
        <v>153800</v>
      </c>
      <c r="J383">
        <v>36000</v>
      </c>
      <c r="K383">
        <v>0.25</v>
      </c>
      <c r="L383">
        <f>IF(Wapato_Inventory[[#This Row],[parcel_acres]]-Wapato_Inventory[[#This Row],[non_valued_acres]] =0,0,LN(Wapato_Inventory[[#This Row],[parcel_acres]]-Wapato_Inventory[[#This Row],[non_valued_acres]]))</f>
        <v>-1.3862943611198906</v>
      </c>
      <c r="M383">
        <v>0</v>
      </c>
      <c r="N383">
        <v>0</v>
      </c>
      <c r="O383">
        <v>0</v>
      </c>
      <c r="P383">
        <v>27904.037</v>
      </c>
      <c r="Q383">
        <v>74398</v>
      </c>
      <c r="R383" s="3">
        <f>(Wapato_Inventory[[#This Row],[ln_acres]]*Wapato_Inventory[[#This Row],[coeff]])+Wapato_Inventory[[#This Row],[const]]</f>
        <v>35714.790854419211</v>
      </c>
      <c r="S383" t="s">
        <v>66</v>
      </c>
      <c r="T383">
        <v>1</v>
      </c>
      <c r="U383" t="s">
        <v>75</v>
      </c>
      <c r="V383" t="s">
        <v>68</v>
      </c>
      <c r="W383">
        <v>0</v>
      </c>
      <c r="X383">
        <v>0</v>
      </c>
      <c r="Y383">
        <v>51</v>
      </c>
      <c r="Z383">
        <v>83</v>
      </c>
      <c r="AA383">
        <v>90</v>
      </c>
      <c r="AB383">
        <v>1500</v>
      </c>
      <c r="AC383">
        <v>1189</v>
      </c>
      <c r="AD383">
        <v>1189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8</v>
      </c>
      <c r="AQ383">
        <v>1</v>
      </c>
      <c r="AR383">
        <v>0</v>
      </c>
      <c r="AS383" t="s">
        <v>59</v>
      </c>
      <c r="AT383">
        <v>1</v>
      </c>
      <c r="AU383" t="s">
        <v>64</v>
      </c>
      <c r="AV383" t="s">
        <v>65</v>
      </c>
      <c r="AW383">
        <v>1</v>
      </c>
      <c r="AX383">
        <v>4</v>
      </c>
      <c r="AY383">
        <v>0</v>
      </c>
      <c r="AZ383">
        <v>0</v>
      </c>
      <c r="BA383">
        <v>100</v>
      </c>
      <c r="BB383">
        <v>100</v>
      </c>
      <c r="BC383">
        <v>100</v>
      </c>
      <c r="BD383">
        <v>100</v>
      </c>
      <c r="BE383">
        <v>1</v>
      </c>
      <c r="BF383">
        <v>15000</v>
      </c>
      <c r="BG383">
        <v>1000</v>
      </c>
      <c r="BH383" s="7">
        <f>ROUND(Wapato_Inventory[[#This Row],[detatched_value]]*Lookups!$B$22*Lookups!$H$48,-2)</f>
        <v>0</v>
      </c>
      <c r="BI383" s="7">
        <f>ROUND(((Wapato_Inventory[[#This Row],[land_extract]]*Lookups!$B$3) +(Lookups!$B$2*0.5))*Lookups!$H$48,-2)</f>
        <v>54500</v>
      </c>
      <c r="BJ383" s="7">
        <f>IF(Wapato_Inventory[[#This Row],[bldg_style]]="",0,Lookups!$B$2*0.5)</f>
        <v>53765.27</v>
      </c>
      <c r="BK383" s="7">
        <f>_xlfn.IFNA(VLOOKUP(Wapato_Inventory[[#This Row],[quality]],Lookups!$H$2:$J$14,3,FALSE),0)</f>
        <v>48043</v>
      </c>
      <c r="BL383" s="7">
        <f>_xlfn.IFNA(VLOOKUP(Wapato_Inventory[[#This Row],[condition]],Lookups!$H$17:$J$24,3,FALSE),0)</f>
        <v>52231</v>
      </c>
      <c r="BM383" s="7">
        <f>Wapato_Inventory[[#This Row],[Age]]*Lookups!$B$16</f>
        <v>-30766.0831</v>
      </c>
      <c r="BN383" s="7">
        <f>Wapato_Inventory[[#This Row],[Main Floor]]*Lookups!$B$17</f>
        <v>49701.078671000003</v>
      </c>
      <c r="BO383" s="7">
        <f>Wapato_Inventory[[#This Row],[Upper Floor]]*Lookups!$B$18</f>
        <v>0</v>
      </c>
      <c r="BP383" s="7">
        <f>Wapato_Inventory[[#This Row],[Fin BSMT]]*Lookups!$B$19</f>
        <v>0</v>
      </c>
      <c r="BQ383" s="7">
        <f>(Wapato_Inventory[[#This Row],[att_gar]]+Wapato_Inventory[[#This Row],[blt_gar]])*Lookups!$B$20</f>
        <v>0</v>
      </c>
      <c r="BR383" s="7">
        <f>Wapato_Inventory[[#This Row],[Patio]]*Lookups!$B$21</f>
        <v>0</v>
      </c>
      <c r="BS383" s="7">
        <f>SUM(Wapato_Inventory[[#This Row],[intercept]:[patio_value]])*Wapato_Inventory[[#This Row],[res_pct]]</f>
        <v>172974.265571</v>
      </c>
      <c r="BT383" s="7">
        <f>Wapato_Inventory[[#This Row],[land_value]]</f>
        <v>54500</v>
      </c>
      <c r="BU383" s="2">
        <f>_xlfn.IFNA(VLOOKUP(Wapato_Inventory[[#This Row],[quality]],Lookups!$A$28:$C$37,3,FALSE),1)</f>
        <v>0.98196844879778955</v>
      </c>
      <c r="BV383" s="2">
        <f>_xlfn.IFNA(VLOOKUP(Wapato_Inventory[[#This Row],[condition]],Lookups!$A$41:$C$48,3,FALSE),1)</f>
        <v>0.9832333997567807</v>
      </c>
      <c r="BW383" s="2">
        <f>IF(Wapato_Inventory[[#This Row],[decade]]="",1,_xlfn.IFNA(VLOOKUP(Wapato_Inventory[[#This Row],[decade]],Lookups!$F$28:$H$45,3,FALSE),1))</f>
        <v>0.94742695999815718</v>
      </c>
      <c r="BX383" s="2">
        <f>_xlfn.IFNA(VLOOKUP(Wapato_Inventory[[#This Row],[living_area_range]],Lookups!$K$28:$M$37,3,FALSE),1)</f>
        <v>1.0061411172456287</v>
      </c>
      <c r="BY383" s="2">
        <f>AVERAGE(Wapato_Inventory[[#This Row],[qual_adj]:[range_adj]])</f>
        <v>0.97969248144958898</v>
      </c>
      <c r="BZ383" s="7">
        <f>(Wapato_Inventory[[#This Row],[sum_land]]-IF(Wapato_Inventory[[#This Row],[no_utilities]]=1,12000,0))/IF(Wapato_Inventory[[#This Row],[unbuildable]]=1,2,1)</f>
        <v>54500</v>
      </c>
      <c r="CA383" s="7">
        <f>Wapato_Inventory[[#This Row],[pre_res]]*Wapato_Inventory[[#This Row],[overall_adj]]</f>
        <v>169461.58746417318</v>
      </c>
      <c r="CB383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383" s="3">
        <f>IF(ROUND(Wapato_Inventory[[#This Row],[adj_res]]*Lookups!$H$48,-2)&lt;Wapato_Inventory[[#This Row],[min_res]],Wapato_Inventory[[#This Row],[min_res]],ROUND(Wapato_Inventory[[#This Row],[adj_res]]*Lookups!$H$48,-2))</f>
        <v>161000</v>
      </c>
      <c r="CD383" s="3">
        <f>ROUND(Wapato_Inventory[[#This Row],[det_value]]*Lookups!$H$48,-2)</f>
        <v>0</v>
      </c>
      <c r="CE383" s="3">
        <f>Wapato_Inventory[[#This Row],[final_res]]+Wapato_Inventory[[#This Row],[final_det]]</f>
        <v>161000</v>
      </c>
      <c r="CF383" s="3">
        <f>Wapato_Inventory[[#This Row],[crop_value]]+Wapato_Inventory[[#This Row],[final_land]]+Wapato_Inventory[[#This Row],[final_imp]]</f>
        <v>212800</v>
      </c>
      <c r="CH383" t="str">
        <f t="shared" si="5"/>
        <v>update valuation set market_land =51800, market_bldg=161000, market_total =212800, market_mdno =405, market_date ='9/10/2023' where link_id = (select link_id from parcel where parcel_year = '2024' and parcel_id = '19111133470');</v>
      </c>
    </row>
    <row r="384" spans="1:86" x14ac:dyDescent="0.25">
      <c r="A384">
        <v>19111133473</v>
      </c>
      <c r="B384">
        <v>0.25</v>
      </c>
      <c r="C384">
        <v>10800</v>
      </c>
      <c r="D384" t="s">
        <v>144</v>
      </c>
      <c r="E384" t="s">
        <v>54</v>
      </c>
      <c r="F384" t="s">
        <v>54</v>
      </c>
      <c r="G384">
        <v>3</v>
      </c>
      <c r="H384" t="s">
        <v>55</v>
      </c>
      <c r="I384">
        <v>19500</v>
      </c>
      <c r="J384">
        <v>36000</v>
      </c>
      <c r="K384">
        <v>0.25</v>
      </c>
      <c r="L384">
        <f>IF(Wapato_Inventory[[#This Row],[parcel_acres]]-Wapato_Inventory[[#This Row],[non_valued_acres]] =0,0,LN(Wapato_Inventory[[#This Row],[parcel_acres]]-Wapato_Inventory[[#This Row],[non_valued_acres]]))</f>
        <v>-1.3862943611198906</v>
      </c>
      <c r="M384">
        <v>0</v>
      </c>
      <c r="N384">
        <v>0</v>
      </c>
      <c r="O384">
        <v>0</v>
      </c>
      <c r="P384">
        <v>27904.037</v>
      </c>
      <c r="Q384">
        <v>74398</v>
      </c>
      <c r="R384" s="3">
        <f>(Wapato_Inventory[[#This Row],[ln_acres]]*Wapato_Inventory[[#This Row],[coeff]])+Wapato_Inventory[[#This Row],[const]]</f>
        <v>35714.790854419211</v>
      </c>
      <c r="S384" t="s">
        <v>83</v>
      </c>
      <c r="T384">
        <v>1</v>
      </c>
      <c r="U384" t="s">
        <v>86</v>
      </c>
      <c r="V384" t="s">
        <v>84</v>
      </c>
      <c r="W384">
        <v>0</v>
      </c>
      <c r="X384">
        <v>0</v>
      </c>
      <c r="Y384">
        <v>88</v>
      </c>
      <c r="Z384">
        <v>88</v>
      </c>
      <c r="AA384">
        <v>90</v>
      </c>
      <c r="AB384">
        <v>1000</v>
      </c>
      <c r="AC384">
        <v>555</v>
      </c>
      <c r="AD384">
        <v>555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5</v>
      </c>
      <c r="AQ384">
        <v>0</v>
      </c>
      <c r="AR384">
        <v>0</v>
      </c>
      <c r="AS384" t="s">
        <v>59</v>
      </c>
      <c r="AT384">
        <v>1</v>
      </c>
      <c r="AU384" t="s">
        <v>72</v>
      </c>
      <c r="AV384" t="s">
        <v>77</v>
      </c>
      <c r="AW384">
        <v>0</v>
      </c>
      <c r="AX384">
        <v>2</v>
      </c>
      <c r="AY384">
        <v>0</v>
      </c>
      <c r="AZ384">
        <v>0</v>
      </c>
      <c r="BA384">
        <v>100</v>
      </c>
      <c r="BB384">
        <v>100</v>
      </c>
      <c r="BC384">
        <v>100</v>
      </c>
      <c r="BD384">
        <v>100</v>
      </c>
      <c r="BE384">
        <v>1</v>
      </c>
      <c r="BF384">
        <v>15000</v>
      </c>
      <c r="BG384">
        <v>1000</v>
      </c>
      <c r="BH384" s="7">
        <f>ROUND(Wapato_Inventory[[#This Row],[detatched_value]]*Lookups!$B$22*Lookups!$H$48,-2)</f>
        <v>0</v>
      </c>
      <c r="BI384" s="7">
        <f>ROUND(((Wapato_Inventory[[#This Row],[land_extract]]*Lookups!$B$3) +(Lookups!$B$2*0.5))*Lookups!$H$48,-2)</f>
        <v>54500</v>
      </c>
      <c r="BJ384" s="7">
        <f>IF(Wapato_Inventory[[#This Row],[bldg_style]]="",0,Lookups!$B$2*0.5)</f>
        <v>53765.27</v>
      </c>
      <c r="BK384" s="7">
        <f>_xlfn.IFNA(VLOOKUP(Wapato_Inventory[[#This Row],[quality]],Lookups!$H$2:$J$14,3,FALSE),0)</f>
        <v>0</v>
      </c>
      <c r="BL384" s="7">
        <f>_xlfn.IFNA(VLOOKUP(Wapato_Inventory[[#This Row],[condition]],Lookups!$H$17:$J$24,3,FALSE),0)</f>
        <v>0</v>
      </c>
      <c r="BM384" s="7">
        <f>Wapato_Inventory[[#This Row],[Age]]*Lookups!$B$16</f>
        <v>-32619.461600000002</v>
      </c>
      <c r="BN384" s="7">
        <f>Wapato_Inventory[[#This Row],[Main Floor]]*Lookups!$B$17</f>
        <v>23199.410145000002</v>
      </c>
      <c r="BO384" s="7">
        <f>Wapato_Inventory[[#This Row],[Upper Floor]]*Lookups!$B$18</f>
        <v>0</v>
      </c>
      <c r="BP384" s="7">
        <f>Wapato_Inventory[[#This Row],[Fin BSMT]]*Lookups!$B$19</f>
        <v>0</v>
      </c>
      <c r="BQ384" s="7">
        <f>(Wapato_Inventory[[#This Row],[att_gar]]+Wapato_Inventory[[#This Row],[blt_gar]])*Lookups!$B$20</f>
        <v>0</v>
      </c>
      <c r="BR384" s="7">
        <f>Wapato_Inventory[[#This Row],[Patio]]*Lookups!$B$21</f>
        <v>0</v>
      </c>
      <c r="BS384" s="7">
        <f>SUM(Wapato_Inventory[[#This Row],[intercept]:[patio_value]])*Wapato_Inventory[[#This Row],[res_pct]]</f>
        <v>44345.218544999996</v>
      </c>
      <c r="BT384" s="7">
        <f>Wapato_Inventory[[#This Row],[land_value]]</f>
        <v>54500</v>
      </c>
      <c r="BU384" s="2">
        <f>_xlfn.IFNA(VLOOKUP(Wapato_Inventory[[#This Row],[quality]],Lookups!$A$28:$C$37,3,FALSE),1)</f>
        <v>1.0000010866511106</v>
      </c>
      <c r="BV384" s="2">
        <f>_xlfn.IFNA(VLOOKUP(Wapato_Inventory[[#This Row],[condition]],Lookups!$A$41:$C$48,3,FALSE),1)</f>
        <v>1.0000035546274355</v>
      </c>
      <c r="BW384" s="2">
        <f>IF(Wapato_Inventory[[#This Row],[decade]]="",1,_xlfn.IFNA(VLOOKUP(Wapato_Inventory[[#This Row],[decade]],Lookups!$F$28:$H$45,3,FALSE),1))</f>
        <v>0.94742695999815718</v>
      </c>
      <c r="BX384" s="2">
        <f>_xlfn.IFNA(VLOOKUP(Wapato_Inventory[[#This Row],[living_area_range]],Lookups!$K$28:$M$37,3,FALSE),1)</f>
        <v>0.99022994770196116</v>
      </c>
      <c r="BY384" s="2">
        <f>AVERAGE(Wapato_Inventory[[#This Row],[qual_adj]:[range_adj]])</f>
        <v>0.98441538724466615</v>
      </c>
      <c r="BZ384" s="7">
        <f>(Wapato_Inventory[[#This Row],[sum_land]]-IF(Wapato_Inventory[[#This Row],[no_utilities]]=1,12000,0))/IF(Wapato_Inventory[[#This Row],[unbuildable]]=1,2,1)</f>
        <v>54500</v>
      </c>
      <c r="CA384" s="7">
        <f>Wapato_Inventory[[#This Row],[pre_res]]*Wapato_Inventory[[#This Row],[overall_adj]]</f>
        <v>43654.115486425522</v>
      </c>
      <c r="CB384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384" s="3">
        <f>IF(ROUND(Wapato_Inventory[[#This Row],[adj_res]]*Lookups!$H$48,-2)&lt;Wapato_Inventory[[#This Row],[min_res]],Wapato_Inventory[[#This Row],[min_res]],ROUND(Wapato_Inventory[[#This Row],[adj_res]]*Lookups!$H$48,-2))</f>
        <v>41500</v>
      </c>
      <c r="CD384" s="3">
        <f>ROUND(Wapato_Inventory[[#This Row],[det_value]]*Lookups!$H$48,-2)</f>
        <v>0</v>
      </c>
      <c r="CE384" s="3">
        <f>Wapato_Inventory[[#This Row],[final_res]]+Wapato_Inventory[[#This Row],[final_det]]</f>
        <v>41500</v>
      </c>
      <c r="CF384" s="3">
        <f>Wapato_Inventory[[#This Row],[crop_value]]+Wapato_Inventory[[#This Row],[final_land]]+Wapato_Inventory[[#This Row],[final_imp]]</f>
        <v>93300</v>
      </c>
      <c r="CH384" t="str">
        <f t="shared" si="5"/>
        <v>update valuation set market_land =51800, market_bldg=41500, market_total =93300, market_mdno =405, market_date ='9/10/2023' where link_id = (select link_id from parcel where parcel_year = '2024' and parcel_id = '19111133473');</v>
      </c>
    </row>
    <row r="385" spans="1:86" x14ac:dyDescent="0.25">
      <c r="A385">
        <v>19111133474</v>
      </c>
      <c r="B385">
        <v>0.25</v>
      </c>
      <c r="C385">
        <v>10800</v>
      </c>
      <c r="D385" t="s">
        <v>144</v>
      </c>
      <c r="E385" t="s">
        <v>54</v>
      </c>
      <c r="F385" t="s">
        <v>54</v>
      </c>
      <c r="G385">
        <v>3</v>
      </c>
      <c r="H385" t="s">
        <v>55</v>
      </c>
      <c r="I385">
        <v>113400</v>
      </c>
      <c r="J385">
        <v>36000</v>
      </c>
      <c r="K385">
        <v>0.25</v>
      </c>
      <c r="L385">
        <f>IF(Wapato_Inventory[[#This Row],[parcel_acres]]-Wapato_Inventory[[#This Row],[non_valued_acres]] =0,0,LN(Wapato_Inventory[[#This Row],[parcel_acres]]-Wapato_Inventory[[#This Row],[non_valued_acres]]))</f>
        <v>-1.3862943611198906</v>
      </c>
      <c r="M385">
        <v>0</v>
      </c>
      <c r="N385">
        <v>0</v>
      </c>
      <c r="O385">
        <v>0</v>
      </c>
      <c r="P385">
        <v>27904.037</v>
      </c>
      <c r="Q385">
        <v>74398</v>
      </c>
      <c r="R385" s="3">
        <f>(Wapato_Inventory[[#This Row],[ln_acres]]*Wapato_Inventory[[#This Row],[coeff]])+Wapato_Inventory[[#This Row],[const]]</f>
        <v>35714.790854419211</v>
      </c>
      <c r="S385" t="s">
        <v>66</v>
      </c>
      <c r="T385">
        <v>1</v>
      </c>
      <c r="U385" t="s">
        <v>71</v>
      </c>
      <c r="V385" t="s">
        <v>68</v>
      </c>
      <c r="W385">
        <v>0</v>
      </c>
      <c r="X385">
        <v>0</v>
      </c>
      <c r="Y385">
        <v>52</v>
      </c>
      <c r="Z385">
        <v>88</v>
      </c>
      <c r="AA385">
        <v>90</v>
      </c>
      <c r="AB385">
        <v>1500</v>
      </c>
      <c r="AC385">
        <v>1008</v>
      </c>
      <c r="AD385">
        <v>1008</v>
      </c>
      <c r="AE385">
        <v>0</v>
      </c>
      <c r="AF385">
        <v>0</v>
      </c>
      <c r="AG385">
        <v>0</v>
      </c>
      <c r="AH385">
        <v>320</v>
      </c>
      <c r="AI385">
        <v>0</v>
      </c>
      <c r="AJ385">
        <v>0</v>
      </c>
      <c r="AK385">
        <v>200</v>
      </c>
      <c r="AL385">
        <v>0</v>
      </c>
      <c r="AM385">
        <v>216</v>
      </c>
      <c r="AN385">
        <v>0</v>
      </c>
      <c r="AO385">
        <v>216</v>
      </c>
      <c r="AP385">
        <v>5</v>
      </c>
      <c r="AQ385">
        <v>0</v>
      </c>
      <c r="AR385">
        <v>0</v>
      </c>
      <c r="AS385" t="s">
        <v>59</v>
      </c>
      <c r="AT385">
        <v>1</v>
      </c>
      <c r="AU385" t="s">
        <v>72</v>
      </c>
      <c r="AV385" t="s">
        <v>61</v>
      </c>
      <c r="AW385">
        <v>0</v>
      </c>
      <c r="AX385">
        <v>3</v>
      </c>
      <c r="AY385">
        <v>0</v>
      </c>
      <c r="AZ385">
        <v>0</v>
      </c>
      <c r="BA385">
        <v>100</v>
      </c>
      <c r="BB385">
        <v>100</v>
      </c>
      <c r="BC385">
        <v>100</v>
      </c>
      <c r="BD385">
        <v>100</v>
      </c>
      <c r="BE385">
        <v>1</v>
      </c>
      <c r="BF385">
        <v>15000</v>
      </c>
      <c r="BG385">
        <v>1000</v>
      </c>
      <c r="BH385" s="7">
        <f>ROUND(Wapato_Inventory[[#This Row],[detatched_value]]*Lookups!$B$22*Lookups!$H$48,-2)</f>
        <v>0</v>
      </c>
      <c r="BI385" s="7">
        <f>ROUND(((Wapato_Inventory[[#This Row],[land_extract]]*Lookups!$B$3) +(Lookups!$B$2*0.5))*Lookups!$H$48,-2)</f>
        <v>54500</v>
      </c>
      <c r="BJ385" s="7">
        <f>IF(Wapato_Inventory[[#This Row],[bldg_style]]="",0,Lookups!$B$2*0.5)</f>
        <v>53765.27</v>
      </c>
      <c r="BK385" s="7">
        <f>_xlfn.IFNA(VLOOKUP(Wapato_Inventory[[#This Row],[quality]],Lookups!$H$2:$J$14,3,FALSE),0)</f>
        <v>28034</v>
      </c>
      <c r="BL385" s="7">
        <f>_xlfn.IFNA(VLOOKUP(Wapato_Inventory[[#This Row],[condition]],Lookups!$H$17:$J$24,3,FALSE),0)</f>
        <v>52231</v>
      </c>
      <c r="BM385" s="7">
        <f>Wapato_Inventory[[#This Row],[Age]]*Lookups!$B$16</f>
        <v>-32619.461600000002</v>
      </c>
      <c r="BN385" s="7">
        <f>Wapato_Inventory[[#This Row],[Main Floor]]*Lookups!$B$17</f>
        <v>42135.144912000003</v>
      </c>
      <c r="BO385" s="7">
        <f>Wapato_Inventory[[#This Row],[Upper Floor]]*Lookups!$B$18</f>
        <v>0</v>
      </c>
      <c r="BP385" s="7">
        <f>Wapato_Inventory[[#This Row],[Fin BSMT]]*Lookups!$B$19</f>
        <v>0</v>
      </c>
      <c r="BQ385" s="7">
        <f>(Wapato_Inventory[[#This Row],[att_gar]]+Wapato_Inventory[[#This Row],[blt_gar]])*Lookups!$B$20</f>
        <v>0</v>
      </c>
      <c r="BR385" s="7">
        <f>Wapato_Inventory[[#This Row],[Patio]]*Lookups!$B$21</f>
        <v>9357.979464</v>
      </c>
      <c r="BS385" s="7">
        <f>SUM(Wapato_Inventory[[#This Row],[intercept]:[patio_value]])*Wapato_Inventory[[#This Row],[res_pct]]</f>
        <v>152903.93277599997</v>
      </c>
      <c r="BT385" s="7">
        <f>Wapato_Inventory[[#This Row],[land_value]]</f>
        <v>54500</v>
      </c>
      <c r="BU385" s="2">
        <f>_xlfn.IFNA(VLOOKUP(Wapato_Inventory[[#This Row],[quality]],Lookups!$A$28:$C$37,3,FALSE),1)</f>
        <v>0.96265813922927435</v>
      </c>
      <c r="BV385" s="2">
        <f>_xlfn.IFNA(VLOOKUP(Wapato_Inventory[[#This Row],[condition]],Lookups!$A$41:$C$48,3,FALSE),1)</f>
        <v>0.9832333997567807</v>
      </c>
      <c r="BW385" s="2">
        <f>IF(Wapato_Inventory[[#This Row],[decade]]="",1,_xlfn.IFNA(VLOOKUP(Wapato_Inventory[[#This Row],[decade]],Lookups!$F$28:$H$45,3,FALSE),1))</f>
        <v>0.94742695999815718</v>
      </c>
      <c r="BX385" s="2">
        <f>_xlfn.IFNA(VLOOKUP(Wapato_Inventory[[#This Row],[living_area_range]],Lookups!$K$28:$M$37,3,FALSE),1)</f>
        <v>1.0061411172456287</v>
      </c>
      <c r="BY385" s="2">
        <f>AVERAGE(Wapato_Inventory[[#This Row],[qual_adj]:[range_adj]])</f>
        <v>0.97486490405746018</v>
      </c>
      <c r="BZ385" s="7">
        <f>(Wapato_Inventory[[#This Row],[sum_land]]-IF(Wapato_Inventory[[#This Row],[no_utilities]]=1,12000,0))/IF(Wapato_Inventory[[#This Row],[unbuildable]]=1,2,1)</f>
        <v>54500</v>
      </c>
      <c r="CA385" s="7">
        <f>Wapato_Inventory[[#This Row],[pre_res]]*Wapato_Inventory[[#This Row],[overall_adj]]</f>
        <v>149060.67775568354</v>
      </c>
      <c r="CB385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385" s="3">
        <f>IF(ROUND(Wapato_Inventory[[#This Row],[adj_res]]*Lookups!$H$48,-2)&lt;Wapato_Inventory[[#This Row],[min_res]],Wapato_Inventory[[#This Row],[min_res]],ROUND(Wapato_Inventory[[#This Row],[adj_res]]*Lookups!$H$48,-2))</f>
        <v>141600</v>
      </c>
      <c r="CD385" s="3">
        <f>ROUND(Wapato_Inventory[[#This Row],[det_value]]*Lookups!$H$48,-2)</f>
        <v>0</v>
      </c>
      <c r="CE385" s="3">
        <f>Wapato_Inventory[[#This Row],[final_res]]+Wapato_Inventory[[#This Row],[final_det]]</f>
        <v>141600</v>
      </c>
      <c r="CF385" s="3">
        <f>Wapato_Inventory[[#This Row],[crop_value]]+Wapato_Inventory[[#This Row],[final_land]]+Wapato_Inventory[[#This Row],[final_imp]]</f>
        <v>193400</v>
      </c>
      <c r="CH385" t="str">
        <f t="shared" si="5"/>
        <v>update valuation set market_land =51800, market_bldg=141600, market_total =193400, market_mdno =405, market_date ='9/10/2023' where link_id = (select link_id from parcel where parcel_year = '2024' and parcel_id = '19111133474');</v>
      </c>
    </row>
    <row r="386" spans="1:86" x14ac:dyDescent="0.25">
      <c r="A386">
        <v>19111133475</v>
      </c>
      <c r="B386">
        <v>0.25</v>
      </c>
      <c r="C386">
        <v>10800</v>
      </c>
      <c r="D386" t="s">
        <v>144</v>
      </c>
      <c r="E386" t="s">
        <v>54</v>
      </c>
      <c r="F386" t="s">
        <v>54</v>
      </c>
      <c r="G386">
        <v>3</v>
      </c>
      <c r="H386" t="s">
        <v>55</v>
      </c>
      <c r="I386">
        <v>96100</v>
      </c>
      <c r="J386">
        <v>36000</v>
      </c>
      <c r="K386">
        <v>0.25</v>
      </c>
      <c r="L386">
        <f>IF(Wapato_Inventory[[#This Row],[parcel_acres]]-Wapato_Inventory[[#This Row],[non_valued_acres]] =0,0,LN(Wapato_Inventory[[#This Row],[parcel_acres]]-Wapato_Inventory[[#This Row],[non_valued_acres]]))</f>
        <v>-1.3862943611198906</v>
      </c>
      <c r="M386">
        <v>0</v>
      </c>
      <c r="N386">
        <v>0</v>
      </c>
      <c r="O386">
        <v>0</v>
      </c>
      <c r="P386">
        <v>27904.037</v>
      </c>
      <c r="Q386">
        <v>74398</v>
      </c>
      <c r="R386" s="3">
        <f>(Wapato_Inventory[[#This Row],[ln_acres]]*Wapato_Inventory[[#This Row],[coeff]])+Wapato_Inventory[[#This Row],[const]]</f>
        <v>35714.790854419211</v>
      </c>
      <c r="S386" t="s">
        <v>66</v>
      </c>
      <c r="T386">
        <v>1</v>
      </c>
      <c r="U386" t="s">
        <v>71</v>
      </c>
      <c r="V386" t="s">
        <v>68</v>
      </c>
      <c r="W386">
        <v>0</v>
      </c>
      <c r="X386">
        <v>0</v>
      </c>
      <c r="Y386">
        <v>55</v>
      </c>
      <c r="Z386">
        <v>98</v>
      </c>
      <c r="AA386">
        <v>100</v>
      </c>
      <c r="AB386">
        <v>1000</v>
      </c>
      <c r="AC386">
        <v>812</v>
      </c>
      <c r="AD386">
        <v>812</v>
      </c>
      <c r="AE386">
        <v>0</v>
      </c>
      <c r="AF386">
        <v>0</v>
      </c>
      <c r="AG386">
        <v>0</v>
      </c>
      <c r="AH386">
        <v>416</v>
      </c>
      <c r="AI386">
        <v>0</v>
      </c>
      <c r="AJ386">
        <v>0</v>
      </c>
      <c r="AK386">
        <v>240</v>
      </c>
      <c r="AL386">
        <v>0</v>
      </c>
      <c r="AM386">
        <v>0</v>
      </c>
      <c r="AN386">
        <v>0</v>
      </c>
      <c r="AO386">
        <v>120</v>
      </c>
      <c r="AP386">
        <v>5</v>
      </c>
      <c r="AQ386">
        <v>0</v>
      </c>
      <c r="AR386">
        <v>0</v>
      </c>
      <c r="AS386" t="s">
        <v>59</v>
      </c>
      <c r="AT386">
        <v>1</v>
      </c>
      <c r="AU386" t="s">
        <v>64</v>
      </c>
      <c r="AV386" t="s">
        <v>65</v>
      </c>
      <c r="AW386">
        <v>0</v>
      </c>
      <c r="AX386">
        <v>2</v>
      </c>
      <c r="AY386">
        <v>0</v>
      </c>
      <c r="AZ386">
        <v>0</v>
      </c>
      <c r="BA386">
        <v>100</v>
      </c>
      <c r="BB386">
        <v>100</v>
      </c>
      <c r="BC386">
        <v>100</v>
      </c>
      <c r="BD386">
        <v>100</v>
      </c>
      <c r="BE386">
        <v>1</v>
      </c>
      <c r="BF386">
        <v>15000</v>
      </c>
      <c r="BG386">
        <v>1000</v>
      </c>
      <c r="BH386" s="7">
        <f>ROUND(Wapato_Inventory[[#This Row],[detatched_value]]*Lookups!$B$22*Lookups!$H$48,-2)</f>
        <v>0</v>
      </c>
      <c r="BI386" s="7">
        <f>ROUND(((Wapato_Inventory[[#This Row],[land_extract]]*Lookups!$B$3) +(Lookups!$B$2*0.5))*Lookups!$H$48,-2)</f>
        <v>54500</v>
      </c>
      <c r="BJ386" s="7">
        <f>IF(Wapato_Inventory[[#This Row],[bldg_style]]="",0,Lookups!$B$2*0.5)</f>
        <v>53765.27</v>
      </c>
      <c r="BK386" s="7">
        <f>_xlfn.IFNA(VLOOKUP(Wapato_Inventory[[#This Row],[quality]],Lookups!$H$2:$J$14,3,FALSE),0)</f>
        <v>28034</v>
      </c>
      <c r="BL386" s="7">
        <f>_xlfn.IFNA(VLOOKUP(Wapato_Inventory[[#This Row],[condition]],Lookups!$H$17:$J$24,3,FALSE),0)</f>
        <v>52231</v>
      </c>
      <c r="BM386" s="7">
        <f>Wapato_Inventory[[#This Row],[Age]]*Lookups!$B$16</f>
        <v>-36326.2186</v>
      </c>
      <c r="BN386" s="7">
        <f>Wapato_Inventory[[#This Row],[Main Floor]]*Lookups!$B$17</f>
        <v>33942.200067999998</v>
      </c>
      <c r="BO386" s="7">
        <f>Wapato_Inventory[[#This Row],[Upper Floor]]*Lookups!$B$18</f>
        <v>0</v>
      </c>
      <c r="BP386" s="7">
        <f>Wapato_Inventory[[#This Row],[Fin BSMT]]*Lookups!$B$19</f>
        <v>0</v>
      </c>
      <c r="BQ386" s="7">
        <f>(Wapato_Inventory[[#This Row],[att_gar]]+Wapato_Inventory[[#This Row],[blt_gar]])*Lookups!$B$20</f>
        <v>0</v>
      </c>
      <c r="BR386" s="7">
        <f>Wapato_Inventory[[#This Row],[Patio]]*Lookups!$B$21</f>
        <v>0</v>
      </c>
      <c r="BS386" s="7">
        <f>SUM(Wapato_Inventory[[#This Row],[intercept]:[patio_value]])*Wapato_Inventory[[#This Row],[res_pct]]</f>
        <v>131646.251468</v>
      </c>
      <c r="BT386" s="7">
        <f>Wapato_Inventory[[#This Row],[land_value]]</f>
        <v>54500</v>
      </c>
      <c r="BU386" s="2">
        <f>_xlfn.IFNA(VLOOKUP(Wapato_Inventory[[#This Row],[quality]],Lookups!$A$28:$C$37,3,FALSE),1)</f>
        <v>0.96265813922927435</v>
      </c>
      <c r="BV386" s="2">
        <f>_xlfn.IFNA(VLOOKUP(Wapato_Inventory[[#This Row],[condition]],Lookups!$A$41:$C$48,3,FALSE),1)</f>
        <v>0.9832333997567807</v>
      </c>
      <c r="BW386" s="2">
        <f>IF(Wapato_Inventory[[#This Row],[decade]]="",1,_xlfn.IFNA(VLOOKUP(Wapato_Inventory[[#This Row],[decade]],Lookups!$F$28:$H$45,3,FALSE),1))</f>
        <v>1.0114203040664467</v>
      </c>
      <c r="BX386" s="2">
        <f>_xlfn.IFNA(VLOOKUP(Wapato_Inventory[[#This Row],[living_area_range]],Lookups!$K$28:$M$37,3,FALSE),1)</f>
        <v>0.99022994770196116</v>
      </c>
      <c r="BY386" s="2">
        <f>AVERAGE(Wapato_Inventory[[#This Row],[qual_adj]:[range_adj]])</f>
        <v>0.98688544768861564</v>
      </c>
      <c r="BZ386" s="7">
        <f>(Wapato_Inventory[[#This Row],[sum_land]]-IF(Wapato_Inventory[[#This Row],[no_utilities]]=1,12000,0))/IF(Wapato_Inventory[[#This Row],[unbuildable]]=1,2,1)</f>
        <v>54500</v>
      </c>
      <c r="CA386" s="7">
        <f>Wapato_Inventory[[#This Row],[pre_res]]*Wapato_Inventory[[#This Row],[overall_adj]]</f>
        <v>129919.76981652525</v>
      </c>
      <c r="CB386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386" s="3">
        <f>IF(ROUND(Wapato_Inventory[[#This Row],[adj_res]]*Lookups!$H$48,-2)&lt;Wapato_Inventory[[#This Row],[min_res]],Wapato_Inventory[[#This Row],[min_res]],ROUND(Wapato_Inventory[[#This Row],[adj_res]]*Lookups!$H$48,-2))</f>
        <v>123400</v>
      </c>
      <c r="CD386" s="3">
        <f>ROUND(Wapato_Inventory[[#This Row],[det_value]]*Lookups!$H$48,-2)</f>
        <v>0</v>
      </c>
      <c r="CE386" s="3">
        <f>Wapato_Inventory[[#This Row],[final_res]]+Wapato_Inventory[[#This Row],[final_det]]</f>
        <v>123400</v>
      </c>
      <c r="CF386" s="3">
        <f>Wapato_Inventory[[#This Row],[crop_value]]+Wapato_Inventory[[#This Row],[final_land]]+Wapato_Inventory[[#This Row],[final_imp]]</f>
        <v>175200</v>
      </c>
      <c r="CH386" t="str">
        <f t="shared" ref="CH386:CH449" si="6">"update valuation set market_land ="&amp;CB386&amp;", market_bldg="&amp;CE386&amp;", market_total ="&amp;CF386&amp;", market_mdno ="&amp;$CH$1&amp;", market_date ='"&amp;TEXT($CI$1,"m/d/yyyy")&amp;"' where link_id = (select link_id from parcel where parcel_year = '2024' and parcel_id = '"&amp;A386&amp;"');"</f>
        <v>update valuation set market_land =51800, market_bldg=123400, market_total =175200, market_mdno =405, market_date ='9/10/2023' where link_id = (select link_id from parcel where parcel_year = '2024' and parcel_id = '19111133475');</v>
      </c>
    </row>
    <row r="387" spans="1:86" x14ac:dyDescent="0.25">
      <c r="A387">
        <v>19111133476</v>
      </c>
      <c r="B387">
        <v>0.25</v>
      </c>
      <c r="C387">
        <v>10800</v>
      </c>
      <c r="D387" t="s">
        <v>144</v>
      </c>
      <c r="E387" t="s">
        <v>54</v>
      </c>
      <c r="F387" t="s">
        <v>54</v>
      </c>
      <c r="G387">
        <v>3</v>
      </c>
      <c r="H387" t="s">
        <v>55</v>
      </c>
      <c r="I387">
        <v>103800</v>
      </c>
      <c r="J387">
        <v>36000</v>
      </c>
      <c r="K387">
        <v>0.25</v>
      </c>
      <c r="L387">
        <f>IF(Wapato_Inventory[[#This Row],[parcel_acres]]-Wapato_Inventory[[#This Row],[non_valued_acres]] =0,0,LN(Wapato_Inventory[[#This Row],[parcel_acres]]-Wapato_Inventory[[#This Row],[non_valued_acres]]))</f>
        <v>-1.3862943611198906</v>
      </c>
      <c r="M387">
        <v>0</v>
      </c>
      <c r="N387">
        <v>0</v>
      </c>
      <c r="O387">
        <v>0</v>
      </c>
      <c r="P387">
        <v>27904.037</v>
      </c>
      <c r="Q387">
        <v>74398</v>
      </c>
      <c r="R387" s="3">
        <f>(Wapato_Inventory[[#This Row],[ln_acres]]*Wapato_Inventory[[#This Row],[coeff]])+Wapato_Inventory[[#This Row],[const]]</f>
        <v>35714.790854419211</v>
      </c>
      <c r="S387" t="s">
        <v>66</v>
      </c>
      <c r="T387">
        <v>1</v>
      </c>
      <c r="U387" t="s">
        <v>71</v>
      </c>
      <c r="V387" t="s">
        <v>68</v>
      </c>
      <c r="W387">
        <v>0</v>
      </c>
      <c r="X387">
        <v>0</v>
      </c>
      <c r="Y387">
        <v>53</v>
      </c>
      <c r="Z387">
        <v>93</v>
      </c>
      <c r="AA387">
        <v>100</v>
      </c>
      <c r="AB387">
        <v>1000</v>
      </c>
      <c r="AC387">
        <v>936</v>
      </c>
      <c r="AD387">
        <v>936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5</v>
      </c>
      <c r="AQ387">
        <v>0</v>
      </c>
      <c r="AR387">
        <v>0</v>
      </c>
      <c r="AS387" t="s">
        <v>59</v>
      </c>
      <c r="AT387">
        <v>1</v>
      </c>
      <c r="AU387" t="s">
        <v>64</v>
      </c>
      <c r="AV387" t="s">
        <v>65</v>
      </c>
      <c r="AW387">
        <v>0</v>
      </c>
      <c r="AX387">
        <v>2</v>
      </c>
      <c r="AY387">
        <v>0</v>
      </c>
      <c r="AZ387">
        <v>0</v>
      </c>
      <c r="BA387">
        <v>100</v>
      </c>
      <c r="BB387">
        <v>100</v>
      </c>
      <c r="BC387">
        <v>100</v>
      </c>
      <c r="BD387">
        <v>100</v>
      </c>
      <c r="BE387">
        <v>1</v>
      </c>
      <c r="BF387">
        <v>15000</v>
      </c>
      <c r="BG387">
        <v>1000</v>
      </c>
      <c r="BH387" s="7">
        <f>ROUND(Wapato_Inventory[[#This Row],[detatched_value]]*Lookups!$B$22*Lookups!$H$48,-2)</f>
        <v>0</v>
      </c>
      <c r="BI387" s="7">
        <f>ROUND(((Wapato_Inventory[[#This Row],[land_extract]]*Lookups!$B$3) +(Lookups!$B$2*0.5))*Lookups!$H$48,-2)</f>
        <v>54500</v>
      </c>
      <c r="BJ387" s="7">
        <f>IF(Wapato_Inventory[[#This Row],[bldg_style]]="",0,Lookups!$B$2*0.5)</f>
        <v>53765.27</v>
      </c>
      <c r="BK387" s="7">
        <f>_xlfn.IFNA(VLOOKUP(Wapato_Inventory[[#This Row],[quality]],Lookups!$H$2:$J$14,3,FALSE),0)</f>
        <v>28034</v>
      </c>
      <c r="BL387" s="7">
        <f>_xlfn.IFNA(VLOOKUP(Wapato_Inventory[[#This Row],[condition]],Lookups!$H$17:$J$24,3,FALSE),0)</f>
        <v>52231</v>
      </c>
      <c r="BM387" s="7">
        <f>Wapato_Inventory[[#This Row],[Age]]*Lookups!$B$16</f>
        <v>-34472.840100000001</v>
      </c>
      <c r="BN387" s="7">
        <f>Wapato_Inventory[[#This Row],[Main Floor]]*Lookups!$B$17</f>
        <v>39125.491704</v>
      </c>
      <c r="BO387" s="7">
        <f>Wapato_Inventory[[#This Row],[Upper Floor]]*Lookups!$B$18</f>
        <v>0</v>
      </c>
      <c r="BP387" s="7">
        <f>Wapato_Inventory[[#This Row],[Fin BSMT]]*Lookups!$B$19</f>
        <v>0</v>
      </c>
      <c r="BQ387" s="7">
        <f>(Wapato_Inventory[[#This Row],[att_gar]]+Wapato_Inventory[[#This Row],[blt_gar]])*Lookups!$B$20</f>
        <v>0</v>
      </c>
      <c r="BR387" s="7">
        <f>Wapato_Inventory[[#This Row],[Patio]]*Lookups!$B$21</f>
        <v>0</v>
      </c>
      <c r="BS387" s="7">
        <f>SUM(Wapato_Inventory[[#This Row],[intercept]:[patio_value]])*Wapato_Inventory[[#This Row],[res_pct]]</f>
        <v>138682.92160399997</v>
      </c>
      <c r="BT387" s="7">
        <f>Wapato_Inventory[[#This Row],[land_value]]</f>
        <v>54500</v>
      </c>
      <c r="BU387" s="2">
        <f>_xlfn.IFNA(VLOOKUP(Wapato_Inventory[[#This Row],[quality]],Lookups!$A$28:$C$37,3,FALSE),1)</f>
        <v>0.96265813922927435</v>
      </c>
      <c r="BV387" s="2">
        <f>_xlfn.IFNA(VLOOKUP(Wapato_Inventory[[#This Row],[condition]],Lookups!$A$41:$C$48,3,FALSE),1)</f>
        <v>0.9832333997567807</v>
      </c>
      <c r="BW387" s="2">
        <f>IF(Wapato_Inventory[[#This Row],[decade]]="",1,_xlfn.IFNA(VLOOKUP(Wapato_Inventory[[#This Row],[decade]],Lookups!$F$28:$H$45,3,FALSE),1))</f>
        <v>1.0114203040664467</v>
      </c>
      <c r="BX387" s="2">
        <f>_xlfn.IFNA(VLOOKUP(Wapato_Inventory[[#This Row],[living_area_range]],Lookups!$K$28:$M$37,3,FALSE),1)</f>
        <v>0.99022994770196116</v>
      </c>
      <c r="BY387" s="2">
        <f>AVERAGE(Wapato_Inventory[[#This Row],[qual_adj]:[range_adj]])</f>
        <v>0.98688544768861564</v>
      </c>
      <c r="BZ387" s="7">
        <f>(Wapato_Inventory[[#This Row],[sum_land]]-IF(Wapato_Inventory[[#This Row],[no_utilities]]=1,12000,0))/IF(Wapato_Inventory[[#This Row],[unbuildable]]=1,2,1)</f>
        <v>54500</v>
      </c>
      <c r="CA387" s="7">
        <f>Wapato_Inventory[[#This Row],[pre_res]]*Wapato_Inventory[[#This Row],[overall_adj]]</f>
        <v>136864.15717392869</v>
      </c>
      <c r="CB387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387" s="3">
        <f>IF(ROUND(Wapato_Inventory[[#This Row],[adj_res]]*Lookups!$H$48,-2)&lt;Wapato_Inventory[[#This Row],[min_res]],Wapato_Inventory[[#This Row],[min_res]],ROUND(Wapato_Inventory[[#This Row],[adj_res]]*Lookups!$H$48,-2))</f>
        <v>130000</v>
      </c>
      <c r="CD387" s="3">
        <f>ROUND(Wapato_Inventory[[#This Row],[det_value]]*Lookups!$H$48,-2)</f>
        <v>0</v>
      </c>
      <c r="CE387" s="3">
        <f>Wapato_Inventory[[#This Row],[final_res]]+Wapato_Inventory[[#This Row],[final_det]]</f>
        <v>130000</v>
      </c>
      <c r="CF387" s="3">
        <f>Wapato_Inventory[[#This Row],[crop_value]]+Wapato_Inventory[[#This Row],[final_land]]+Wapato_Inventory[[#This Row],[final_imp]]</f>
        <v>181800</v>
      </c>
      <c r="CH387" t="str">
        <f t="shared" si="6"/>
        <v>update valuation set market_land =51800, market_bldg=130000, market_total =181800, market_mdno =405, market_date ='9/10/2023' where link_id = (select link_id from parcel where parcel_year = '2024' and parcel_id = '19111133476');</v>
      </c>
    </row>
    <row r="388" spans="1:86" x14ac:dyDescent="0.25">
      <c r="A388">
        <v>19111133479</v>
      </c>
      <c r="B388">
        <v>0.17</v>
      </c>
      <c r="C388">
        <v>7584</v>
      </c>
      <c r="D388" t="s">
        <v>144</v>
      </c>
      <c r="E388" t="s">
        <v>54</v>
      </c>
      <c r="F388" t="s">
        <v>54</v>
      </c>
      <c r="G388">
        <v>3</v>
      </c>
      <c r="H388" t="s">
        <v>55</v>
      </c>
      <c r="I388">
        <v>60200</v>
      </c>
      <c r="J388">
        <v>33200</v>
      </c>
      <c r="K388">
        <v>0.17</v>
      </c>
      <c r="L388">
        <f>IF(Wapato_Inventory[[#This Row],[parcel_acres]]-Wapato_Inventory[[#This Row],[non_valued_acres]] =0,0,LN(Wapato_Inventory[[#This Row],[parcel_acres]]-Wapato_Inventory[[#This Row],[non_valued_acres]]))</f>
        <v>-1.7719568419318752</v>
      </c>
      <c r="M388">
        <v>0</v>
      </c>
      <c r="N388">
        <v>0</v>
      </c>
      <c r="O388">
        <v>0</v>
      </c>
      <c r="P388">
        <v>27904.037</v>
      </c>
      <c r="Q388">
        <v>74398</v>
      </c>
      <c r="R388" s="3">
        <f>(Wapato_Inventory[[#This Row],[ln_acres]]*Wapato_Inventory[[#This Row],[coeff]])+Wapato_Inventory[[#This Row],[const]]</f>
        <v>24953.250720329801</v>
      </c>
      <c r="S388" t="s">
        <v>66</v>
      </c>
      <c r="T388">
        <v>1</v>
      </c>
      <c r="U388" t="s">
        <v>86</v>
      </c>
      <c r="V388" t="s">
        <v>68</v>
      </c>
      <c r="W388">
        <v>0</v>
      </c>
      <c r="X388">
        <v>0</v>
      </c>
      <c r="Y388">
        <v>57</v>
      </c>
      <c r="Z388">
        <v>103</v>
      </c>
      <c r="AA388">
        <v>110</v>
      </c>
      <c r="AB388">
        <v>1000</v>
      </c>
      <c r="AC388">
        <v>680</v>
      </c>
      <c r="AD388">
        <v>680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5</v>
      </c>
      <c r="AQ388">
        <v>0</v>
      </c>
      <c r="AR388">
        <v>0</v>
      </c>
      <c r="AS388" t="s">
        <v>59</v>
      </c>
      <c r="AT388">
        <v>1</v>
      </c>
      <c r="AU388" t="s">
        <v>76</v>
      </c>
      <c r="AV388" t="s">
        <v>61</v>
      </c>
      <c r="AW388">
        <v>0</v>
      </c>
      <c r="AX388">
        <v>2</v>
      </c>
      <c r="AY388">
        <v>0</v>
      </c>
      <c r="AZ388">
        <v>0</v>
      </c>
      <c r="BA388">
        <v>100</v>
      </c>
      <c r="BB388">
        <v>100</v>
      </c>
      <c r="BC388">
        <v>100</v>
      </c>
      <c r="BD388">
        <v>100</v>
      </c>
      <c r="BE388">
        <v>1</v>
      </c>
      <c r="BF388">
        <v>15000</v>
      </c>
      <c r="BG388">
        <v>1000</v>
      </c>
      <c r="BH388" s="7">
        <f>ROUND(Wapato_Inventory[[#This Row],[detatched_value]]*Lookups!$B$22*Lookups!$H$48,-2)</f>
        <v>0</v>
      </c>
      <c r="BI388" s="7">
        <f>ROUND(((Wapato_Inventory[[#This Row],[land_extract]]*Lookups!$B$3) +(Lookups!$B$2*0.5))*Lookups!$H$48,-2)</f>
        <v>53500</v>
      </c>
      <c r="BJ388" s="7">
        <f>IF(Wapato_Inventory[[#This Row],[bldg_style]]="",0,Lookups!$B$2*0.5)</f>
        <v>53765.27</v>
      </c>
      <c r="BK388" s="7">
        <f>_xlfn.IFNA(VLOOKUP(Wapato_Inventory[[#This Row],[quality]],Lookups!$H$2:$J$14,3,FALSE),0)</f>
        <v>0</v>
      </c>
      <c r="BL388" s="7">
        <f>_xlfn.IFNA(VLOOKUP(Wapato_Inventory[[#This Row],[condition]],Lookups!$H$17:$J$24,3,FALSE),0)</f>
        <v>52231</v>
      </c>
      <c r="BM388" s="7">
        <f>Wapato_Inventory[[#This Row],[Age]]*Lookups!$B$16</f>
        <v>-38179.597099999999</v>
      </c>
      <c r="BN388" s="7">
        <f>Wapato_Inventory[[#This Row],[Main Floor]]*Lookups!$B$17</f>
        <v>28424.502520000002</v>
      </c>
      <c r="BO388" s="7">
        <f>Wapato_Inventory[[#This Row],[Upper Floor]]*Lookups!$B$18</f>
        <v>0</v>
      </c>
      <c r="BP388" s="7">
        <f>Wapato_Inventory[[#This Row],[Fin BSMT]]*Lookups!$B$19</f>
        <v>0</v>
      </c>
      <c r="BQ388" s="7">
        <f>(Wapato_Inventory[[#This Row],[att_gar]]+Wapato_Inventory[[#This Row],[blt_gar]])*Lookups!$B$20</f>
        <v>0</v>
      </c>
      <c r="BR388" s="7">
        <f>Wapato_Inventory[[#This Row],[Patio]]*Lookups!$B$21</f>
        <v>0</v>
      </c>
      <c r="BS388" s="7">
        <f>SUM(Wapato_Inventory[[#This Row],[intercept]:[patio_value]])*Wapato_Inventory[[#This Row],[res_pct]]</f>
        <v>96241.175419999985</v>
      </c>
      <c r="BT388" s="7">
        <f>Wapato_Inventory[[#This Row],[land_value]]</f>
        <v>53500</v>
      </c>
      <c r="BU388" s="2">
        <f>_xlfn.IFNA(VLOOKUP(Wapato_Inventory[[#This Row],[quality]],Lookups!$A$28:$C$37,3,FALSE),1)</f>
        <v>1.0000010866511106</v>
      </c>
      <c r="BV388" s="2">
        <f>_xlfn.IFNA(VLOOKUP(Wapato_Inventory[[#This Row],[condition]],Lookups!$A$41:$C$48,3,FALSE),1)</f>
        <v>0.9832333997567807</v>
      </c>
      <c r="BW388" s="2">
        <f>IF(Wapato_Inventory[[#This Row],[decade]]="",1,_xlfn.IFNA(VLOOKUP(Wapato_Inventory[[#This Row],[decade]],Lookups!$F$28:$H$45,3,FALSE),1))</f>
        <v>0.93664589651353292</v>
      </c>
      <c r="BX388" s="2">
        <f>_xlfn.IFNA(VLOOKUP(Wapato_Inventory[[#This Row],[living_area_range]],Lookups!$K$28:$M$37,3,FALSE),1)</f>
        <v>0.99022994770196116</v>
      </c>
      <c r="BY388" s="2">
        <f>AVERAGE(Wapato_Inventory[[#This Row],[qual_adj]:[range_adj]])</f>
        <v>0.97752758265584638</v>
      </c>
      <c r="BZ388" s="7">
        <f>(Wapato_Inventory[[#This Row],[sum_land]]-IF(Wapato_Inventory[[#This Row],[no_utilities]]=1,12000,0))/IF(Wapato_Inventory[[#This Row],[unbuildable]]=1,2,1)</f>
        <v>53500</v>
      </c>
      <c r="CA388" s="7">
        <f>Wapato_Inventory[[#This Row],[pre_res]]*Wapato_Inventory[[#This Row],[overall_adj]]</f>
        <v>94078.403560269842</v>
      </c>
      <c r="CB388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388" s="3">
        <f>IF(ROUND(Wapato_Inventory[[#This Row],[adj_res]]*Lookups!$H$48,-2)&lt;Wapato_Inventory[[#This Row],[min_res]],Wapato_Inventory[[#This Row],[min_res]],ROUND(Wapato_Inventory[[#This Row],[adj_res]]*Lookups!$H$48,-2))</f>
        <v>89400</v>
      </c>
      <c r="CD388" s="3">
        <f>ROUND(Wapato_Inventory[[#This Row],[det_value]]*Lookups!$H$48,-2)</f>
        <v>0</v>
      </c>
      <c r="CE388" s="3">
        <f>Wapato_Inventory[[#This Row],[final_res]]+Wapato_Inventory[[#This Row],[final_det]]</f>
        <v>89400</v>
      </c>
      <c r="CF388" s="3">
        <f>Wapato_Inventory[[#This Row],[crop_value]]+Wapato_Inventory[[#This Row],[final_land]]+Wapato_Inventory[[#This Row],[final_imp]]</f>
        <v>140200</v>
      </c>
      <c r="CH388" t="str">
        <f t="shared" si="6"/>
        <v>update valuation set market_land =50800, market_bldg=89400, market_total =140200, market_mdno =405, market_date ='9/10/2023' where link_id = (select link_id from parcel where parcel_year = '2024' and parcel_id = '19111133479');</v>
      </c>
    </row>
    <row r="389" spans="1:86" x14ac:dyDescent="0.25">
      <c r="A389">
        <v>19111133480</v>
      </c>
      <c r="B389">
        <v>0.18</v>
      </c>
      <c r="C389">
        <v>8007</v>
      </c>
      <c r="D389" t="s">
        <v>144</v>
      </c>
      <c r="E389" t="s">
        <v>54</v>
      </c>
      <c r="F389" t="s">
        <v>54</v>
      </c>
      <c r="G389">
        <v>3</v>
      </c>
      <c r="H389" t="s">
        <v>55</v>
      </c>
      <c r="I389">
        <v>194100</v>
      </c>
      <c r="J389">
        <v>33700</v>
      </c>
      <c r="K389">
        <v>0.18</v>
      </c>
      <c r="L389">
        <f>IF(Wapato_Inventory[[#This Row],[parcel_acres]]-Wapato_Inventory[[#This Row],[non_valued_acres]] =0,0,LN(Wapato_Inventory[[#This Row],[parcel_acres]]-Wapato_Inventory[[#This Row],[non_valued_acres]]))</f>
        <v>-1.7147984280919266</v>
      </c>
      <c r="M389">
        <v>0</v>
      </c>
      <c r="N389">
        <v>0</v>
      </c>
      <c r="O389">
        <v>0</v>
      </c>
      <c r="P389">
        <v>27904.037</v>
      </c>
      <c r="Q389">
        <v>74398</v>
      </c>
      <c r="R389" s="3">
        <f>(Wapato_Inventory[[#This Row],[ln_acres]]*Wapato_Inventory[[#This Row],[coeff]])+Wapato_Inventory[[#This Row],[const]]</f>
        <v>26548.20121498104</v>
      </c>
      <c r="S389" t="s">
        <v>62</v>
      </c>
      <c r="T389">
        <v>1</v>
      </c>
      <c r="U389" t="s">
        <v>75</v>
      </c>
      <c r="V389" t="s">
        <v>68</v>
      </c>
      <c r="W389">
        <v>0</v>
      </c>
      <c r="X389">
        <v>0</v>
      </c>
      <c r="Y389">
        <v>44</v>
      </c>
      <c r="Z389">
        <v>46</v>
      </c>
      <c r="AA389">
        <v>50</v>
      </c>
      <c r="AB389">
        <v>1500</v>
      </c>
      <c r="AC389">
        <v>1064</v>
      </c>
      <c r="AD389">
        <v>1064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5</v>
      </c>
      <c r="AQ389">
        <v>0</v>
      </c>
      <c r="AR389">
        <v>0</v>
      </c>
      <c r="AS389" t="s">
        <v>59</v>
      </c>
      <c r="AT389">
        <v>1</v>
      </c>
      <c r="AU389" t="s">
        <v>64</v>
      </c>
      <c r="AV389" t="s">
        <v>61</v>
      </c>
      <c r="AW389">
        <v>0</v>
      </c>
      <c r="AX389">
        <v>3</v>
      </c>
      <c r="AY389">
        <v>0</v>
      </c>
      <c r="AZ389">
        <v>30300</v>
      </c>
      <c r="BA389">
        <v>100</v>
      </c>
      <c r="BB389">
        <v>100</v>
      </c>
      <c r="BC389">
        <v>100</v>
      </c>
      <c r="BD389">
        <v>100</v>
      </c>
      <c r="BE389">
        <v>1</v>
      </c>
      <c r="BF389">
        <v>15000</v>
      </c>
      <c r="BG389">
        <v>1000</v>
      </c>
      <c r="BH389" s="7">
        <f>ROUND(Wapato_Inventory[[#This Row],[detatched_value]]*Lookups!$B$22*Lookups!$H$48,-2)</f>
        <v>27100</v>
      </c>
      <c r="BI389" s="7">
        <f>ROUND(((Wapato_Inventory[[#This Row],[land_extract]]*Lookups!$B$3) +(Lookups!$B$2*0.5))*Lookups!$H$48,-2)</f>
        <v>53600</v>
      </c>
      <c r="BJ389" s="7">
        <f>IF(Wapato_Inventory[[#This Row],[bldg_style]]="",0,Lookups!$B$2*0.5)</f>
        <v>53765.27</v>
      </c>
      <c r="BK389" s="7">
        <f>_xlfn.IFNA(VLOOKUP(Wapato_Inventory[[#This Row],[quality]],Lookups!$H$2:$J$14,3,FALSE),0)</f>
        <v>48043</v>
      </c>
      <c r="BL389" s="7">
        <f>_xlfn.IFNA(VLOOKUP(Wapato_Inventory[[#This Row],[condition]],Lookups!$H$17:$J$24,3,FALSE),0)</f>
        <v>52231</v>
      </c>
      <c r="BM389" s="7">
        <f>Wapato_Inventory[[#This Row],[Age]]*Lookups!$B$16</f>
        <v>-17051.082200000001</v>
      </c>
      <c r="BN389" s="7">
        <f>Wapato_Inventory[[#This Row],[Main Floor]]*Lookups!$B$17</f>
        <v>44475.986296000003</v>
      </c>
      <c r="BO389" s="7">
        <f>Wapato_Inventory[[#This Row],[Upper Floor]]*Lookups!$B$18</f>
        <v>0</v>
      </c>
      <c r="BP389" s="7">
        <f>Wapato_Inventory[[#This Row],[Fin BSMT]]*Lookups!$B$19</f>
        <v>0</v>
      </c>
      <c r="BQ389" s="7">
        <f>(Wapato_Inventory[[#This Row],[att_gar]]+Wapato_Inventory[[#This Row],[blt_gar]])*Lookups!$B$20</f>
        <v>0</v>
      </c>
      <c r="BR389" s="7">
        <f>Wapato_Inventory[[#This Row],[Patio]]*Lookups!$B$21</f>
        <v>0</v>
      </c>
      <c r="BS389" s="7">
        <f>SUM(Wapato_Inventory[[#This Row],[intercept]:[patio_value]])*Wapato_Inventory[[#This Row],[res_pct]]</f>
        <v>181464.17409599997</v>
      </c>
      <c r="BT389" s="7">
        <f>Wapato_Inventory[[#This Row],[land_value]]</f>
        <v>53600</v>
      </c>
      <c r="BU389" s="2">
        <f>_xlfn.IFNA(VLOOKUP(Wapato_Inventory[[#This Row],[quality]],Lookups!$A$28:$C$37,3,FALSE),1)</f>
        <v>0.98196844879778955</v>
      </c>
      <c r="BV389" s="2">
        <f>_xlfn.IFNA(VLOOKUP(Wapato_Inventory[[#This Row],[condition]],Lookups!$A$41:$C$48,3,FALSE),1)</f>
        <v>0.9832333997567807</v>
      </c>
      <c r="BW389" s="2">
        <f>IF(Wapato_Inventory[[#This Row],[decade]]="",1,_xlfn.IFNA(VLOOKUP(Wapato_Inventory[[#This Row],[decade]],Lookups!$F$28:$H$45,3,FALSE),1))</f>
        <v>0.96240333884358298</v>
      </c>
      <c r="BX389" s="2">
        <f>_xlfn.IFNA(VLOOKUP(Wapato_Inventory[[#This Row],[living_area_range]],Lookups!$K$28:$M$37,3,FALSE),1)</f>
        <v>1.0061411172456287</v>
      </c>
      <c r="BY389" s="2">
        <f>AVERAGE(Wapato_Inventory[[#This Row],[qual_adj]:[range_adj]])</f>
        <v>0.98343657616094549</v>
      </c>
      <c r="BZ389" s="7">
        <f>(Wapato_Inventory[[#This Row],[sum_land]]-IF(Wapato_Inventory[[#This Row],[no_utilities]]=1,12000,0))/IF(Wapato_Inventory[[#This Row],[unbuildable]]=1,2,1)</f>
        <v>53600</v>
      </c>
      <c r="CA389" s="7">
        <f>Wapato_Inventory[[#This Row],[pre_res]]*Wapato_Inventory[[#This Row],[overall_adj]]</f>
        <v>178458.50606884394</v>
      </c>
      <c r="CB389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89" s="3">
        <f>IF(ROUND(Wapato_Inventory[[#This Row],[adj_res]]*Lookups!$H$48,-2)&lt;Wapato_Inventory[[#This Row],[min_res]],Wapato_Inventory[[#This Row],[min_res]],ROUND(Wapato_Inventory[[#This Row],[adj_res]]*Lookups!$H$48,-2))</f>
        <v>169500</v>
      </c>
      <c r="CD389" s="3">
        <f>ROUND(Wapato_Inventory[[#This Row],[det_value]]*Lookups!$H$48,-2)</f>
        <v>25700</v>
      </c>
      <c r="CE389" s="3">
        <f>Wapato_Inventory[[#This Row],[final_res]]+Wapato_Inventory[[#This Row],[final_det]]</f>
        <v>195200</v>
      </c>
      <c r="CF389" s="3">
        <f>Wapato_Inventory[[#This Row],[crop_value]]+Wapato_Inventory[[#This Row],[final_land]]+Wapato_Inventory[[#This Row],[final_imp]]</f>
        <v>246100</v>
      </c>
      <c r="CH389" t="str">
        <f t="shared" si="6"/>
        <v>update valuation set market_land =50900, market_bldg=195200, market_total =246100, market_mdno =405, market_date ='9/10/2023' where link_id = (select link_id from parcel where parcel_year = '2024' and parcel_id = '19111133480');</v>
      </c>
    </row>
    <row r="390" spans="1:86" x14ac:dyDescent="0.25">
      <c r="A390">
        <v>19111133481</v>
      </c>
      <c r="B390">
        <v>0.18</v>
      </c>
      <c r="C390">
        <v>7896</v>
      </c>
      <c r="D390" t="s">
        <v>144</v>
      </c>
      <c r="E390" t="s">
        <v>54</v>
      </c>
      <c r="F390" t="s">
        <v>54</v>
      </c>
      <c r="G390">
        <v>3</v>
      </c>
      <c r="H390" t="s">
        <v>55</v>
      </c>
      <c r="I390">
        <v>134800</v>
      </c>
      <c r="J390">
        <v>33700</v>
      </c>
      <c r="K390">
        <v>0.18</v>
      </c>
      <c r="L390">
        <f>IF(Wapato_Inventory[[#This Row],[parcel_acres]]-Wapato_Inventory[[#This Row],[non_valued_acres]] =0,0,LN(Wapato_Inventory[[#This Row],[parcel_acres]]-Wapato_Inventory[[#This Row],[non_valued_acres]]))</f>
        <v>-1.7147984280919266</v>
      </c>
      <c r="M390">
        <v>0</v>
      </c>
      <c r="N390">
        <v>0</v>
      </c>
      <c r="O390">
        <v>0</v>
      </c>
      <c r="P390">
        <v>27904.037</v>
      </c>
      <c r="Q390">
        <v>74398</v>
      </c>
      <c r="R390" s="3">
        <f>(Wapato_Inventory[[#This Row],[ln_acres]]*Wapato_Inventory[[#This Row],[coeff]])+Wapato_Inventory[[#This Row],[const]]</f>
        <v>26548.20121498104</v>
      </c>
      <c r="S390" t="s">
        <v>62</v>
      </c>
      <c r="T390">
        <v>1</v>
      </c>
      <c r="U390" t="s">
        <v>71</v>
      </c>
      <c r="V390" t="s">
        <v>68</v>
      </c>
      <c r="W390">
        <v>0</v>
      </c>
      <c r="X390">
        <v>0</v>
      </c>
      <c r="Y390">
        <v>43</v>
      </c>
      <c r="Z390">
        <v>44</v>
      </c>
      <c r="AA390">
        <v>50</v>
      </c>
      <c r="AB390">
        <v>1500</v>
      </c>
      <c r="AC390">
        <v>1092</v>
      </c>
      <c r="AD390">
        <v>1092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504</v>
      </c>
      <c r="AL390">
        <v>0</v>
      </c>
      <c r="AM390">
        <v>0</v>
      </c>
      <c r="AN390">
        <v>0</v>
      </c>
      <c r="AO390">
        <v>0</v>
      </c>
      <c r="AP390">
        <v>5</v>
      </c>
      <c r="AQ390">
        <v>0</v>
      </c>
      <c r="AR390">
        <v>0</v>
      </c>
      <c r="AS390" t="s">
        <v>59</v>
      </c>
      <c r="AT390">
        <v>1</v>
      </c>
      <c r="AU390" t="s">
        <v>72</v>
      </c>
      <c r="AV390" t="s">
        <v>61</v>
      </c>
      <c r="AW390">
        <v>0</v>
      </c>
      <c r="AX390">
        <v>3</v>
      </c>
      <c r="AY390">
        <v>0</v>
      </c>
      <c r="AZ390">
        <v>0</v>
      </c>
      <c r="BA390">
        <v>100</v>
      </c>
      <c r="BB390">
        <v>100</v>
      </c>
      <c r="BC390">
        <v>100</v>
      </c>
      <c r="BD390">
        <v>100</v>
      </c>
      <c r="BE390">
        <v>1</v>
      </c>
      <c r="BF390">
        <v>15000</v>
      </c>
      <c r="BG390">
        <v>1000</v>
      </c>
      <c r="BH390" s="7">
        <f>ROUND(Wapato_Inventory[[#This Row],[detatched_value]]*Lookups!$B$22*Lookups!$H$48,-2)</f>
        <v>0</v>
      </c>
      <c r="BI390" s="7">
        <f>ROUND(((Wapato_Inventory[[#This Row],[land_extract]]*Lookups!$B$3) +(Lookups!$B$2*0.5))*Lookups!$H$48,-2)</f>
        <v>53600</v>
      </c>
      <c r="BJ390" s="7">
        <f>IF(Wapato_Inventory[[#This Row],[bldg_style]]="",0,Lookups!$B$2*0.5)</f>
        <v>53765.27</v>
      </c>
      <c r="BK390" s="7">
        <f>_xlfn.IFNA(VLOOKUP(Wapato_Inventory[[#This Row],[quality]],Lookups!$H$2:$J$14,3,FALSE),0)</f>
        <v>28034</v>
      </c>
      <c r="BL390" s="7">
        <f>_xlfn.IFNA(VLOOKUP(Wapato_Inventory[[#This Row],[condition]],Lookups!$H$17:$J$24,3,FALSE),0)</f>
        <v>52231</v>
      </c>
      <c r="BM390" s="7">
        <f>Wapato_Inventory[[#This Row],[Age]]*Lookups!$B$16</f>
        <v>-16309.730800000001</v>
      </c>
      <c r="BN390" s="7">
        <f>Wapato_Inventory[[#This Row],[Main Floor]]*Lookups!$B$17</f>
        <v>45646.406988000002</v>
      </c>
      <c r="BO390" s="7">
        <f>Wapato_Inventory[[#This Row],[Upper Floor]]*Lookups!$B$18</f>
        <v>0</v>
      </c>
      <c r="BP390" s="7">
        <f>Wapato_Inventory[[#This Row],[Fin BSMT]]*Lookups!$B$19</f>
        <v>0</v>
      </c>
      <c r="BQ390" s="7">
        <f>(Wapato_Inventory[[#This Row],[att_gar]]+Wapato_Inventory[[#This Row],[blt_gar]])*Lookups!$B$20</f>
        <v>0</v>
      </c>
      <c r="BR390" s="7">
        <f>Wapato_Inventory[[#This Row],[Patio]]*Lookups!$B$21</f>
        <v>0</v>
      </c>
      <c r="BS390" s="7">
        <f>SUM(Wapato_Inventory[[#This Row],[intercept]:[patio_value]])*Wapato_Inventory[[#This Row],[res_pct]]</f>
        <v>163366.94618799997</v>
      </c>
      <c r="BT390" s="7">
        <f>Wapato_Inventory[[#This Row],[land_value]]</f>
        <v>53600</v>
      </c>
      <c r="BU390" s="2">
        <f>_xlfn.IFNA(VLOOKUP(Wapato_Inventory[[#This Row],[quality]],Lookups!$A$28:$C$37,3,FALSE),1)</f>
        <v>0.96265813922927435</v>
      </c>
      <c r="BV390" s="2">
        <f>_xlfn.IFNA(VLOOKUP(Wapato_Inventory[[#This Row],[condition]],Lookups!$A$41:$C$48,3,FALSE),1)</f>
        <v>0.9832333997567807</v>
      </c>
      <c r="BW390" s="2">
        <f>IF(Wapato_Inventory[[#This Row],[decade]]="",1,_xlfn.IFNA(VLOOKUP(Wapato_Inventory[[#This Row],[decade]],Lookups!$F$28:$H$45,3,FALSE),1))</f>
        <v>0.96240333884358298</v>
      </c>
      <c r="BX390" s="2">
        <f>_xlfn.IFNA(VLOOKUP(Wapato_Inventory[[#This Row],[living_area_range]],Lookups!$K$28:$M$37,3,FALSE),1)</f>
        <v>1.0061411172456287</v>
      </c>
      <c r="BY390" s="2">
        <f>AVERAGE(Wapato_Inventory[[#This Row],[qual_adj]:[range_adj]])</f>
        <v>0.97860899876881668</v>
      </c>
      <c r="BZ390" s="7">
        <f>(Wapato_Inventory[[#This Row],[sum_land]]-IF(Wapato_Inventory[[#This Row],[no_utilities]]=1,12000,0))/IF(Wapato_Inventory[[#This Row],[unbuildable]]=1,2,1)</f>
        <v>53600</v>
      </c>
      <c r="CA390" s="7">
        <f>Wapato_Inventory[[#This Row],[pre_res]]*Wapato_Inventory[[#This Row],[overall_adj]]</f>
        <v>159872.3636409578</v>
      </c>
      <c r="CB390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90" s="3">
        <f>IF(ROUND(Wapato_Inventory[[#This Row],[adj_res]]*Lookups!$H$48,-2)&lt;Wapato_Inventory[[#This Row],[min_res]],Wapato_Inventory[[#This Row],[min_res]],ROUND(Wapato_Inventory[[#This Row],[adj_res]]*Lookups!$H$48,-2))</f>
        <v>151900</v>
      </c>
      <c r="CD390" s="3">
        <f>ROUND(Wapato_Inventory[[#This Row],[det_value]]*Lookups!$H$48,-2)</f>
        <v>0</v>
      </c>
      <c r="CE390" s="3">
        <f>Wapato_Inventory[[#This Row],[final_res]]+Wapato_Inventory[[#This Row],[final_det]]</f>
        <v>151900</v>
      </c>
      <c r="CF390" s="3">
        <f>Wapato_Inventory[[#This Row],[crop_value]]+Wapato_Inventory[[#This Row],[final_land]]+Wapato_Inventory[[#This Row],[final_imp]]</f>
        <v>202800</v>
      </c>
      <c r="CH390" t="str">
        <f t="shared" si="6"/>
        <v>update valuation set market_land =50900, market_bldg=151900, market_total =202800, market_mdno =405, market_date ='9/10/2023' where link_id = (select link_id from parcel where parcel_year = '2024' and parcel_id = '19111133481');</v>
      </c>
    </row>
    <row r="391" spans="1:86" x14ac:dyDescent="0.25">
      <c r="A391">
        <v>19111133482</v>
      </c>
      <c r="B391">
        <v>0.18</v>
      </c>
      <c r="C391">
        <v>7905</v>
      </c>
      <c r="D391" t="s">
        <v>144</v>
      </c>
      <c r="E391" t="s">
        <v>54</v>
      </c>
      <c r="F391" t="s">
        <v>54</v>
      </c>
      <c r="G391">
        <v>3</v>
      </c>
      <c r="H391" t="s">
        <v>55</v>
      </c>
      <c r="I391">
        <v>109000</v>
      </c>
      <c r="J391">
        <v>33700</v>
      </c>
      <c r="K391">
        <v>0.18</v>
      </c>
      <c r="L391">
        <f>IF(Wapato_Inventory[[#This Row],[parcel_acres]]-Wapato_Inventory[[#This Row],[non_valued_acres]] =0,0,LN(Wapato_Inventory[[#This Row],[parcel_acres]]-Wapato_Inventory[[#This Row],[non_valued_acres]]))</f>
        <v>-1.7147984280919266</v>
      </c>
      <c r="M391">
        <v>0</v>
      </c>
      <c r="N391">
        <v>0</v>
      </c>
      <c r="O391">
        <v>0</v>
      </c>
      <c r="P391">
        <v>27904.037</v>
      </c>
      <c r="Q391">
        <v>74398</v>
      </c>
      <c r="R391" s="3">
        <f>(Wapato_Inventory[[#This Row],[ln_acres]]*Wapato_Inventory[[#This Row],[coeff]])+Wapato_Inventory[[#This Row],[const]]</f>
        <v>26548.20121498104</v>
      </c>
      <c r="S391" t="s">
        <v>66</v>
      </c>
      <c r="T391">
        <v>1</v>
      </c>
      <c r="U391" t="s">
        <v>71</v>
      </c>
      <c r="V391" t="s">
        <v>68</v>
      </c>
      <c r="W391">
        <v>0</v>
      </c>
      <c r="X391">
        <v>0</v>
      </c>
      <c r="Y391">
        <v>57</v>
      </c>
      <c r="Z391">
        <v>103</v>
      </c>
      <c r="AA391">
        <v>110</v>
      </c>
      <c r="AB391">
        <v>1500</v>
      </c>
      <c r="AC391">
        <v>1089</v>
      </c>
      <c r="AD391">
        <v>1089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577</v>
      </c>
      <c r="AL391">
        <v>0</v>
      </c>
      <c r="AM391">
        <v>0</v>
      </c>
      <c r="AN391">
        <v>0</v>
      </c>
      <c r="AO391">
        <v>0</v>
      </c>
      <c r="AP391">
        <v>5</v>
      </c>
      <c r="AQ391">
        <v>0</v>
      </c>
      <c r="AR391">
        <v>0</v>
      </c>
      <c r="AS391" t="s">
        <v>59</v>
      </c>
      <c r="AT391">
        <v>0</v>
      </c>
      <c r="AU391" t="s">
        <v>80</v>
      </c>
      <c r="AV391" t="s">
        <v>65</v>
      </c>
      <c r="AW391">
        <v>0</v>
      </c>
      <c r="AX391">
        <v>3</v>
      </c>
      <c r="AY391">
        <v>0</v>
      </c>
      <c r="AZ391">
        <v>0</v>
      </c>
      <c r="BA391">
        <v>100</v>
      </c>
      <c r="BB391">
        <v>100</v>
      </c>
      <c r="BC391">
        <v>100</v>
      </c>
      <c r="BD391">
        <v>100</v>
      </c>
      <c r="BE391">
        <v>1</v>
      </c>
      <c r="BF391">
        <v>15000</v>
      </c>
      <c r="BG391">
        <v>1000</v>
      </c>
      <c r="BH391" s="7">
        <f>ROUND(Wapato_Inventory[[#This Row],[detatched_value]]*Lookups!$B$22*Lookups!$H$48,-2)</f>
        <v>0</v>
      </c>
      <c r="BI391" s="7">
        <f>ROUND(((Wapato_Inventory[[#This Row],[land_extract]]*Lookups!$B$3) +(Lookups!$B$2*0.5))*Lookups!$H$48,-2)</f>
        <v>53600</v>
      </c>
      <c r="BJ391" s="7">
        <f>IF(Wapato_Inventory[[#This Row],[bldg_style]]="",0,Lookups!$B$2*0.5)</f>
        <v>53765.27</v>
      </c>
      <c r="BK391" s="7">
        <f>_xlfn.IFNA(VLOOKUP(Wapato_Inventory[[#This Row],[quality]],Lookups!$H$2:$J$14,3,FALSE),0)</f>
        <v>28034</v>
      </c>
      <c r="BL391" s="7">
        <f>_xlfn.IFNA(VLOOKUP(Wapato_Inventory[[#This Row],[condition]],Lookups!$H$17:$J$24,3,FALSE),0)</f>
        <v>52231</v>
      </c>
      <c r="BM391" s="7">
        <f>Wapato_Inventory[[#This Row],[Age]]*Lookups!$B$16</f>
        <v>-38179.597099999999</v>
      </c>
      <c r="BN391" s="7">
        <f>Wapato_Inventory[[#This Row],[Main Floor]]*Lookups!$B$17</f>
        <v>45521.004771</v>
      </c>
      <c r="BO391" s="7">
        <f>Wapato_Inventory[[#This Row],[Upper Floor]]*Lookups!$B$18</f>
        <v>0</v>
      </c>
      <c r="BP391" s="7">
        <f>Wapato_Inventory[[#This Row],[Fin BSMT]]*Lookups!$B$19</f>
        <v>0</v>
      </c>
      <c r="BQ391" s="7">
        <f>(Wapato_Inventory[[#This Row],[att_gar]]+Wapato_Inventory[[#This Row],[blt_gar]])*Lookups!$B$20</f>
        <v>0</v>
      </c>
      <c r="BR391" s="7">
        <f>Wapato_Inventory[[#This Row],[Patio]]*Lookups!$B$21</f>
        <v>0</v>
      </c>
      <c r="BS391" s="7">
        <f>SUM(Wapato_Inventory[[#This Row],[intercept]:[patio_value]])*Wapato_Inventory[[#This Row],[res_pct]]</f>
        <v>141371.67767099998</v>
      </c>
      <c r="BT391" s="7">
        <f>Wapato_Inventory[[#This Row],[land_value]]</f>
        <v>53600</v>
      </c>
      <c r="BU391" s="2">
        <f>_xlfn.IFNA(VLOOKUP(Wapato_Inventory[[#This Row],[quality]],Lookups!$A$28:$C$37,3,FALSE),1)</f>
        <v>0.96265813922927435</v>
      </c>
      <c r="BV391" s="2">
        <f>_xlfn.IFNA(VLOOKUP(Wapato_Inventory[[#This Row],[condition]],Lookups!$A$41:$C$48,3,FALSE),1)</f>
        <v>0.9832333997567807</v>
      </c>
      <c r="BW391" s="2">
        <f>IF(Wapato_Inventory[[#This Row],[decade]]="",1,_xlfn.IFNA(VLOOKUP(Wapato_Inventory[[#This Row],[decade]],Lookups!$F$28:$H$45,3,FALSE),1))</f>
        <v>0.93664589651353292</v>
      </c>
      <c r="BX391" s="2">
        <f>_xlfn.IFNA(VLOOKUP(Wapato_Inventory[[#This Row],[living_area_range]],Lookups!$K$28:$M$37,3,FALSE),1)</f>
        <v>1.0061411172456287</v>
      </c>
      <c r="BY391" s="2">
        <f>AVERAGE(Wapato_Inventory[[#This Row],[qual_adj]:[range_adj]])</f>
        <v>0.97216963818630409</v>
      </c>
      <c r="BZ391" s="7">
        <f>(Wapato_Inventory[[#This Row],[sum_land]]-IF(Wapato_Inventory[[#This Row],[no_utilities]]=1,12000,0))/IF(Wapato_Inventory[[#This Row],[unbuildable]]=1,2,1)</f>
        <v>53600</v>
      </c>
      <c r="CA391" s="7">
        <f>Wapato_Inventory[[#This Row],[pre_res]]*Wapato_Inventory[[#This Row],[overall_adj]]</f>
        <v>137437.25273120686</v>
      </c>
      <c r="CB391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91" s="3">
        <f>IF(ROUND(Wapato_Inventory[[#This Row],[adj_res]]*Lookups!$H$48,-2)&lt;Wapato_Inventory[[#This Row],[min_res]],Wapato_Inventory[[#This Row],[min_res]],ROUND(Wapato_Inventory[[#This Row],[adj_res]]*Lookups!$H$48,-2))</f>
        <v>130600</v>
      </c>
      <c r="CD391" s="3">
        <f>ROUND(Wapato_Inventory[[#This Row],[det_value]]*Lookups!$H$48,-2)</f>
        <v>0</v>
      </c>
      <c r="CE391" s="3">
        <f>Wapato_Inventory[[#This Row],[final_res]]+Wapato_Inventory[[#This Row],[final_det]]</f>
        <v>130600</v>
      </c>
      <c r="CF391" s="3">
        <f>Wapato_Inventory[[#This Row],[crop_value]]+Wapato_Inventory[[#This Row],[final_land]]+Wapato_Inventory[[#This Row],[final_imp]]</f>
        <v>181500</v>
      </c>
      <c r="CH391" t="str">
        <f t="shared" si="6"/>
        <v>update valuation set market_land =50900, market_bldg=130600, market_total =181500, market_mdno =405, market_date ='9/10/2023' where link_id = (select link_id from parcel where parcel_year = '2024' and parcel_id = '19111133482');</v>
      </c>
    </row>
    <row r="392" spans="1:86" x14ac:dyDescent="0.25">
      <c r="A392">
        <v>19111133483</v>
      </c>
      <c r="B392">
        <v>0.18</v>
      </c>
      <c r="C392">
        <v>7890</v>
      </c>
      <c r="D392" t="s">
        <v>144</v>
      </c>
      <c r="E392" t="s">
        <v>54</v>
      </c>
      <c r="F392" t="s">
        <v>54</v>
      </c>
      <c r="G392">
        <v>3</v>
      </c>
      <c r="H392" t="s">
        <v>55</v>
      </c>
      <c r="I392">
        <v>161900</v>
      </c>
      <c r="J392">
        <v>33700</v>
      </c>
      <c r="K392">
        <v>0.18</v>
      </c>
      <c r="L392">
        <f>IF(Wapato_Inventory[[#This Row],[parcel_acres]]-Wapato_Inventory[[#This Row],[non_valued_acres]] =0,0,LN(Wapato_Inventory[[#This Row],[parcel_acres]]-Wapato_Inventory[[#This Row],[non_valued_acres]]))</f>
        <v>-1.7147984280919266</v>
      </c>
      <c r="M392">
        <v>0</v>
      </c>
      <c r="N392">
        <v>0</v>
      </c>
      <c r="O392">
        <v>0</v>
      </c>
      <c r="P392">
        <v>27904.037</v>
      </c>
      <c r="Q392">
        <v>74398</v>
      </c>
      <c r="R392" s="3">
        <f>(Wapato_Inventory[[#This Row],[ln_acres]]*Wapato_Inventory[[#This Row],[coeff]])+Wapato_Inventory[[#This Row],[const]]</f>
        <v>26548.20121498104</v>
      </c>
      <c r="S392" t="s">
        <v>66</v>
      </c>
      <c r="T392">
        <v>1</v>
      </c>
      <c r="U392" t="s">
        <v>71</v>
      </c>
      <c r="V392" t="s">
        <v>69</v>
      </c>
      <c r="W392">
        <v>0</v>
      </c>
      <c r="X392">
        <v>0</v>
      </c>
      <c r="Y392">
        <v>53</v>
      </c>
      <c r="Z392">
        <v>93</v>
      </c>
      <c r="AA392">
        <v>100</v>
      </c>
      <c r="AB392">
        <v>1500</v>
      </c>
      <c r="AC392">
        <v>1008</v>
      </c>
      <c r="AD392">
        <v>1008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5</v>
      </c>
      <c r="AQ392">
        <v>0</v>
      </c>
      <c r="AR392">
        <v>0</v>
      </c>
      <c r="AS392" t="s">
        <v>59</v>
      </c>
      <c r="AT392">
        <v>1</v>
      </c>
      <c r="AU392" t="s">
        <v>64</v>
      </c>
      <c r="AV392" t="s">
        <v>65</v>
      </c>
      <c r="AW392">
        <v>0</v>
      </c>
      <c r="AX392">
        <v>3</v>
      </c>
      <c r="AY392">
        <v>0</v>
      </c>
      <c r="AZ392">
        <v>21700</v>
      </c>
      <c r="BA392">
        <v>100</v>
      </c>
      <c r="BB392">
        <v>100</v>
      </c>
      <c r="BC392">
        <v>100</v>
      </c>
      <c r="BD392">
        <v>100</v>
      </c>
      <c r="BE392">
        <v>1</v>
      </c>
      <c r="BF392">
        <v>15000</v>
      </c>
      <c r="BG392">
        <v>1000</v>
      </c>
      <c r="BH392" s="7">
        <f>ROUND(Wapato_Inventory[[#This Row],[detatched_value]]*Lookups!$B$22*Lookups!$H$48,-2)</f>
        <v>19400</v>
      </c>
      <c r="BI392" s="7">
        <f>ROUND(((Wapato_Inventory[[#This Row],[land_extract]]*Lookups!$B$3) +(Lookups!$B$2*0.5))*Lookups!$H$48,-2)</f>
        <v>53600</v>
      </c>
      <c r="BJ392" s="7">
        <f>IF(Wapato_Inventory[[#This Row],[bldg_style]]="",0,Lookups!$B$2*0.5)</f>
        <v>53765.27</v>
      </c>
      <c r="BK392" s="7">
        <f>_xlfn.IFNA(VLOOKUP(Wapato_Inventory[[#This Row],[quality]],Lookups!$H$2:$J$14,3,FALSE),0)</f>
        <v>28034</v>
      </c>
      <c r="BL392" s="7">
        <f>_xlfn.IFNA(VLOOKUP(Wapato_Inventory[[#This Row],[condition]],Lookups!$H$17:$J$24,3,FALSE),0)</f>
        <v>74543</v>
      </c>
      <c r="BM392" s="7">
        <f>Wapato_Inventory[[#This Row],[Age]]*Lookups!$B$16</f>
        <v>-34472.840100000001</v>
      </c>
      <c r="BN392" s="7">
        <f>Wapato_Inventory[[#This Row],[Main Floor]]*Lookups!$B$17</f>
        <v>42135.144912000003</v>
      </c>
      <c r="BO392" s="7">
        <f>Wapato_Inventory[[#This Row],[Upper Floor]]*Lookups!$B$18</f>
        <v>0</v>
      </c>
      <c r="BP392" s="7">
        <f>Wapato_Inventory[[#This Row],[Fin BSMT]]*Lookups!$B$19</f>
        <v>0</v>
      </c>
      <c r="BQ392" s="7">
        <f>(Wapato_Inventory[[#This Row],[att_gar]]+Wapato_Inventory[[#This Row],[blt_gar]])*Lookups!$B$20</f>
        <v>0</v>
      </c>
      <c r="BR392" s="7">
        <f>Wapato_Inventory[[#This Row],[Patio]]*Lookups!$B$21</f>
        <v>0</v>
      </c>
      <c r="BS392" s="7">
        <f>SUM(Wapato_Inventory[[#This Row],[intercept]:[patio_value]])*Wapato_Inventory[[#This Row],[res_pct]]</f>
        <v>164004.57481199998</v>
      </c>
      <c r="BT392" s="7">
        <f>Wapato_Inventory[[#This Row],[land_value]]</f>
        <v>53600</v>
      </c>
      <c r="BU392" s="2">
        <f>_xlfn.IFNA(VLOOKUP(Wapato_Inventory[[#This Row],[quality]],Lookups!$A$28:$C$37,3,FALSE),1)</f>
        <v>0.96265813922927435</v>
      </c>
      <c r="BV392" s="2">
        <f>_xlfn.IFNA(VLOOKUP(Wapato_Inventory[[#This Row],[condition]],Lookups!$A$41:$C$48,3,FALSE),1)</f>
        <v>0.98442438223270734</v>
      </c>
      <c r="BW392" s="2">
        <f>IF(Wapato_Inventory[[#This Row],[decade]]="",1,_xlfn.IFNA(VLOOKUP(Wapato_Inventory[[#This Row],[decade]],Lookups!$F$28:$H$45,3,FALSE),1))</f>
        <v>1.0114203040664467</v>
      </c>
      <c r="BX392" s="2">
        <f>_xlfn.IFNA(VLOOKUP(Wapato_Inventory[[#This Row],[living_area_range]],Lookups!$K$28:$M$37,3,FALSE),1)</f>
        <v>1.0061411172456287</v>
      </c>
      <c r="BY392" s="2">
        <f>AVERAGE(Wapato_Inventory[[#This Row],[qual_adj]:[range_adj]])</f>
        <v>0.99116098569351418</v>
      </c>
      <c r="BZ392" s="7">
        <f>(Wapato_Inventory[[#This Row],[sum_land]]-IF(Wapato_Inventory[[#This Row],[no_utilities]]=1,12000,0))/IF(Wapato_Inventory[[#This Row],[unbuildable]]=1,2,1)</f>
        <v>53600</v>
      </c>
      <c r="CA392" s="7">
        <f>Wapato_Inventory[[#This Row],[pre_res]]*Wapato_Inventory[[#This Row],[overall_adj]]</f>
        <v>162554.9360289076</v>
      </c>
      <c r="CB392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392" s="3">
        <f>IF(ROUND(Wapato_Inventory[[#This Row],[adj_res]]*Lookups!$H$48,-2)&lt;Wapato_Inventory[[#This Row],[min_res]],Wapato_Inventory[[#This Row],[min_res]],ROUND(Wapato_Inventory[[#This Row],[adj_res]]*Lookups!$H$48,-2))</f>
        <v>154400</v>
      </c>
      <c r="CD392" s="3">
        <f>ROUND(Wapato_Inventory[[#This Row],[det_value]]*Lookups!$H$48,-2)</f>
        <v>18400</v>
      </c>
      <c r="CE392" s="3">
        <f>Wapato_Inventory[[#This Row],[final_res]]+Wapato_Inventory[[#This Row],[final_det]]</f>
        <v>172800</v>
      </c>
      <c r="CF392" s="3">
        <f>Wapato_Inventory[[#This Row],[crop_value]]+Wapato_Inventory[[#This Row],[final_land]]+Wapato_Inventory[[#This Row],[final_imp]]</f>
        <v>223700</v>
      </c>
      <c r="CH392" t="str">
        <f t="shared" si="6"/>
        <v>update valuation set market_land =50900, market_bldg=172800, market_total =223700, market_mdno =405, market_date ='9/10/2023' where link_id = (select link_id from parcel where parcel_year = '2024' and parcel_id = '19111133483');</v>
      </c>
    </row>
    <row r="393" spans="1:86" x14ac:dyDescent="0.25">
      <c r="A393">
        <v>19111133484</v>
      </c>
      <c r="B393">
        <v>0.21</v>
      </c>
      <c r="C393">
        <v>9134</v>
      </c>
      <c r="D393" t="s">
        <v>144</v>
      </c>
      <c r="E393" t="s">
        <v>54</v>
      </c>
      <c r="F393" t="s">
        <v>54</v>
      </c>
      <c r="G393">
        <v>3</v>
      </c>
      <c r="H393" t="s">
        <v>55</v>
      </c>
      <c r="I393">
        <v>183200</v>
      </c>
      <c r="J393">
        <v>34800</v>
      </c>
      <c r="K393">
        <v>0.21</v>
      </c>
      <c r="L393">
        <f>IF(Wapato_Inventory[[#This Row],[parcel_acres]]-Wapato_Inventory[[#This Row],[non_valued_acres]] =0,0,LN(Wapato_Inventory[[#This Row],[parcel_acres]]-Wapato_Inventory[[#This Row],[non_valued_acres]]))</f>
        <v>-1.5606477482646683</v>
      </c>
      <c r="M393">
        <v>0</v>
      </c>
      <c r="N393">
        <v>0</v>
      </c>
      <c r="O393">
        <v>0</v>
      </c>
      <c r="P393">
        <v>27904.037</v>
      </c>
      <c r="Q393">
        <v>74398</v>
      </c>
      <c r="R393" s="3">
        <f>(Wapato_Inventory[[#This Row],[ln_acres]]*Wapato_Inventory[[#This Row],[coeff]])+Wapato_Inventory[[#This Row],[const]]</f>
        <v>30849.627488456012</v>
      </c>
      <c r="S393" t="s">
        <v>66</v>
      </c>
      <c r="T393">
        <v>1</v>
      </c>
      <c r="U393" t="s">
        <v>75</v>
      </c>
      <c r="V393" t="s">
        <v>69</v>
      </c>
      <c r="W393">
        <v>0</v>
      </c>
      <c r="X393">
        <v>0</v>
      </c>
      <c r="Y393">
        <v>55</v>
      </c>
      <c r="Z393">
        <v>98</v>
      </c>
      <c r="AA393">
        <v>100</v>
      </c>
      <c r="AB393">
        <v>1000</v>
      </c>
      <c r="AC393">
        <v>969</v>
      </c>
      <c r="AD393">
        <v>969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100</v>
      </c>
      <c r="AM393">
        <v>0</v>
      </c>
      <c r="AN393">
        <v>140</v>
      </c>
      <c r="AO393">
        <v>0</v>
      </c>
      <c r="AP393">
        <v>5</v>
      </c>
      <c r="AQ393">
        <v>0</v>
      </c>
      <c r="AR393">
        <v>0</v>
      </c>
      <c r="AS393" t="s">
        <v>59</v>
      </c>
      <c r="AT393">
        <v>1</v>
      </c>
      <c r="AU393" t="s">
        <v>64</v>
      </c>
      <c r="AV393" t="s">
        <v>61</v>
      </c>
      <c r="AW393">
        <v>0</v>
      </c>
      <c r="AX393">
        <v>3</v>
      </c>
      <c r="AY393">
        <v>0</v>
      </c>
      <c r="AZ393">
        <v>2200</v>
      </c>
      <c r="BA393">
        <v>100</v>
      </c>
      <c r="BB393">
        <v>100</v>
      </c>
      <c r="BC393">
        <v>100</v>
      </c>
      <c r="BD393">
        <v>100</v>
      </c>
      <c r="BE393">
        <v>1</v>
      </c>
      <c r="BF393">
        <v>15000</v>
      </c>
      <c r="BG393">
        <v>1000</v>
      </c>
      <c r="BH393" s="7">
        <f>ROUND(Wapato_Inventory[[#This Row],[detatched_value]]*Lookups!$B$22*Lookups!$H$48,-2)</f>
        <v>2000</v>
      </c>
      <c r="BI393" s="7">
        <f>ROUND(((Wapato_Inventory[[#This Row],[land_extract]]*Lookups!$B$3) +(Lookups!$B$2*0.5))*Lookups!$H$48,-2)</f>
        <v>54100</v>
      </c>
      <c r="BJ393" s="7">
        <f>IF(Wapato_Inventory[[#This Row],[bldg_style]]="",0,Lookups!$B$2*0.5)</f>
        <v>53765.27</v>
      </c>
      <c r="BK393" s="7">
        <f>_xlfn.IFNA(VLOOKUP(Wapato_Inventory[[#This Row],[quality]],Lookups!$H$2:$J$14,3,FALSE),0)</f>
        <v>48043</v>
      </c>
      <c r="BL393" s="7">
        <f>_xlfn.IFNA(VLOOKUP(Wapato_Inventory[[#This Row],[condition]],Lookups!$H$17:$J$24,3,FALSE),0)</f>
        <v>74543</v>
      </c>
      <c r="BM393" s="7">
        <f>Wapato_Inventory[[#This Row],[Age]]*Lookups!$B$16</f>
        <v>-36326.2186</v>
      </c>
      <c r="BN393" s="7">
        <f>Wapato_Inventory[[#This Row],[Main Floor]]*Lookups!$B$17</f>
        <v>40504.916090999999</v>
      </c>
      <c r="BO393" s="7">
        <f>Wapato_Inventory[[#This Row],[Upper Floor]]*Lookups!$B$18</f>
        <v>0</v>
      </c>
      <c r="BP393" s="7">
        <f>Wapato_Inventory[[#This Row],[Fin BSMT]]*Lookups!$B$19</f>
        <v>0</v>
      </c>
      <c r="BQ393" s="7">
        <f>(Wapato_Inventory[[#This Row],[att_gar]]+Wapato_Inventory[[#This Row],[blt_gar]])*Lookups!$B$20</f>
        <v>0</v>
      </c>
      <c r="BR393" s="7">
        <f>Wapato_Inventory[[#This Row],[Patio]]*Lookups!$B$21</f>
        <v>0</v>
      </c>
      <c r="BS393" s="7">
        <f>SUM(Wapato_Inventory[[#This Row],[intercept]:[patio_value]])*Wapato_Inventory[[#This Row],[res_pct]]</f>
        <v>180529.96749099999</v>
      </c>
      <c r="BT393" s="7">
        <f>Wapato_Inventory[[#This Row],[land_value]]</f>
        <v>54100</v>
      </c>
      <c r="BU393" s="2">
        <f>_xlfn.IFNA(VLOOKUP(Wapato_Inventory[[#This Row],[quality]],Lookups!$A$28:$C$37,3,FALSE),1)</f>
        <v>0.98196844879778955</v>
      </c>
      <c r="BV393" s="2">
        <f>_xlfn.IFNA(VLOOKUP(Wapato_Inventory[[#This Row],[condition]],Lookups!$A$41:$C$48,3,FALSE),1)</f>
        <v>0.98442438223270734</v>
      </c>
      <c r="BW393" s="2">
        <f>IF(Wapato_Inventory[[#This Row],[decade]]="",1,_xlfn.IFNA(VLOOKUP(Wapato_Inventory[[#This Row],[decade]],Lookups!$F$28:$H$45,3,FALSE),1))</f>
        <v>1.0114203040664467</v>
      </c>
      <c r="BX393" s="2">
        <f>_xlfn.IFNA(VLOOKUP(Wapato_Inventory[[#This Row],[living_area_range]],Lookups!$K$28:$M$37,3,FALSE),1)</f>
        <v>0.99022994770196116</v>
      </c>
      <c r="BY393" s="2">
        <f>AVERAGE(Wapato_Inventory[[#This Row],[qual_adj]:[range_adj]])</f>
        <v>0.99201077069972621</v>
      </c>
      <c r="BZ393" s="7">
        <f>(Wapato_Inventory[[#This Row],[sum_land]]-IF(Wapato_Inventory[[#This Row],[no_utilities]]=1,12000,0))/IF(Wapato_Inventory[[#This Row],[unbuildable]]=1,2,1)</f>
        <v>54100</v>
      </c>
      <c r="CA393" s="7">
        <f>Wapato_Inventory[[#This Row],[pre_res]]*Wapato_Inventory[[#This Row],[overall_adj]]</f>
        <v>179087.67218514343</v>
      </c>
      <c r="CB393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393" s="3">
        <f>IF(ROUND(Wapato_Inventory[[#This Row],[adj_res]]*Lookups!$H$48,-2)&lt;Wapato_Inventory[[#This Row],[min_res]],Wapato_Inventory[[#This Row],[min_res]],ROUND(Wapato_Inventory[[#This Row],[adj_res]]*Lookups!$H$48,-2))</f>
        <v>170100</v>
      </c>
      <c r="CD393" s="3">
        <f>ROUND(Wapato_Inventory[[#This Row],[det_value]]*Lookups!$H$48,-2)</f>
        <v>1900</v>
      </c>
      <c r="CE393" s="3">
        <f>Wapato_Inventory[[#This Row],[final_res]]+Wapato_Inventory[[#This Row],[final_det]]</f>
        <v>172000</v>
      </c>
      <c r="CF393" s="3">
        <f>Wapato_Inventory[[#This Row],[crop_value]]+Wapato_Inventory[[#This Row],[final_land]]+Wapato_Inventory[[#This Row],[final_imp]]</f>
        <v>223400</v>
      </c>
      <c r="CH393" t="str">
        <f t="shared" si="6"/>
        <v>update valuation set market_land =51400, market_bldg=172000, market_total =223400, market_mdno =405, market_date ='9/10/2023' where link_id = (select link_id from parcel where parcel_year = '2024' and parcel_id = '19111133484');</v>
      </c>
    </row>
    <row r="394" spans="1:86" x14ac:dyDescent="0.25">
      <c r="A394">
        <v>19111133485</v>
      </c>
      <c r="B394">
        <v>0.16</v>
      </c>
      <c r="C394">
        <v>7072</v>
      </c>
      <c r="D394" t="s">
        <v>144</v>
      </c>
      <c r="E394" t="s">
        <v>54</v>
      </c>
      <c r="F394" t="s">
        <v>54</v>
      </c>
      <c r="G394">
        <v>3</v>
      </c>
      <c r="H394" t="s">
        <v>55</v>
      </c>
      <c r="I394">
        <v>126500</v>
      </c>
      <c r="J394">
        <v>32800</v>
      </c>
      <c r="K394">
        <v>0.16</v>
      </c>
      <c r="L394">
        <f>IF(Wapato_Inventory[[#This Row],[parcel_acres]]-Wapato_Inventory[[#This Row],[non_valued_acres]] =0,0,LN(Wapato_Inventory[[#This Row],[parcel_acres]]-Wapato_Inventory[[#This Row],[non_valued_acres]]))</f>
        <v>-1.8325814637483102</v>
      </c>
      <c r="M394">
        <v>0</v>
      </c>
      <c r="N394">
        <v>0</v>
      </c>
      <c r="O394">
        <v>0</v>
      </c>
      <c r="P394">
        <v>27904.037</v>
      </c>
      <c r="Q394">
        <v>74398</v>
      </c>
      <c r="R394" s="3">
        <f>(Wapato_Inventory[[#This Row],[ln_acres]]*Wapato_Inventory[[#This Row],[coeff]])+Wapato_Inventory[[#This Row],[const]]</f>
        <v>23261.579030052992</v>
      </c>
      <c r="S394" t="s">
        <v>66</v>
      </c>
      <c r="T394">
        <v>1</v>
      </c>
      <c r="U394" t="s">
        <v>71</v>
      </c>
      <c r="V394" t="s">
        <v>68</v>
      </c>
      <c r="W394">
        <v>0</v>
      </c>
      <c r="X394">
        <v>0</v>
      </c>
      <c r="Y394">
        <v>52</v>
      </c>
      <c r="Z394">
        <v>88</v>
      </c>
      <c r="AA394">
        <v>90</v>
      </c>
      <c r="AB394">
        <v>1500</v>
      </c>
      <c r="AC394">
        <v>1092</v>
      </c>
      <c r="AD394">
        <v>1092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5</v>
      </c>
      <c r="AQ394">
        <v>0</v>
      </c>
      <c r="AR394">
        <v>0</v>
      </c>
      <c r="AS394" t="s">
        <v>59</v>
      </c>
      <c r="AT394">
        <v>1</v>
      </c>
      <c r="AU394" t="s">
        <v>64</v>
      </c>
      <c r="AV394" t="s">
        <v>61</v>
      </c>
      <c r="AW394">
        <v>0</v>
      </c>
      <c r="AX394">
        <v>3</v>
      </c>
      <c r="AY394">
        <v>0</v>
      </c>
      <c r="AZ394">
        <v>0</v>
      </c>
      <c r="BA394">
        <v>100</v>
      </c>
      <c r="BB394">
        <v>100</v>
      </c>
      <c r="BC394">
        <v>100</v>
      </c>
      <c r="BD394">
        <v>100</v>
      </c>
      <c r="BE394">
        <v>1</v>
      </c>
      <c r="BF394">
        <v>15000</v>
      </c>
      <c r="BG394">
        <v>1000</v>
      </c>
      <c r="BH394" s="7">
        <f>ROUND(Wapato_Inventory[[#This Row],[detatched_value]]*Lookups!$B$22*Lookups!$H$48,-2)</f>
        <v>0</v>
      </c>
      <c r="BI394" s="7">
        <f>ROUND(((Wapato_Inventory[[#This Row],[land_extract]]*Lookups!$B$3) +(Lookups!$B$2*0.5))*Lookups!$H$48,-2)</f>
        <v>53300</v>
      </c>
      <c r="BJ394" s="7">
        <f>IF(Wapato_Inventory[[#This Row],[bldg_style]]="",0,Lookups!$B$2*0.5)</f>
        <v>53765.27</v>
      </c>
      <c r="BK394" s="7">
        <f>_xlfn.IFNA(VLOOKUP(Wapato_Inventory[[#This Row],[quality]],Lookups!$H$2:$J$14,3,FALSE),0)</f>
        <v>28034</v>
      </c>
      <c r="BL394" s="7">
        <f>_xlfn.IFNA(VLOOKUP(Wapato_Inventory[[#This Row],[condition]],Lookups!$H$17:$J$24,3,FALSE),0)</f>
        <v>52231</v>
      </c>
      <c r="BM394" s="7">
        <f>Wapato_Inventory[[#This Row],[Age]]*Lookups!$B$16</f>
        <v>-32619.461600000002</v>
      </c>
      <c r="BN394" s="7">
        <f>Wapato_Inventory[[#This Row],[Main Floor]]*Lookups!$B$17</f>
        <v>45646.406988000002</v>
      </c>
      <c r="BO394" s="7">
        <f>Wapato_Inventory[[#This Row],[Upper Floor]]*Lookups!$B$18</f>
        <v>0</v>
      </c>
      <c r="BP394" s="7">
        <f>Wapato_Inventory[[#This Row],[Fin BSMT]]*Lookups!$B$19</f>
        <v>0</v>
      </c>
      <c r="BQ394" s="7">
        <f>(Wapato_Inventory[[#This Row],[att_gar]]+Wapato_Inventory[[#This Row],[blt_gar]])*Lookups!$B$20</f>
        <v>0</v>
      </c>
      <c r="BR394" s="7">
        <f>Wapato_Inventory[[#This Row],[Patio]]*Lookups!$B$21</f>
        <v>0</v>
      </c>
      <c r="BS394" s="7">
        <f>SUM(Wapato_Inventory[[#This Row],[intercept]:[patio_value]])*Wapato_Inventory[[#This Row],[res_pct]]</f>
        <v>147057.21538799998</v>
      </c>
      <c r="BT394" s="7">
        <f>Wapato_Inventory[[#This Row],[land_value]]</f>
        <v>53300</v>
      </c>
      <c r="BU394" s="2">
        <f>_xlfn.IFNA(VLOOKUP(Wapato_Inventory[[#This Row],[quality]],Lookups!$A$28:$C$37,3,FALSE),1)</f>
        <v>0.96265813922927435</v>
      </c>
      <c r="BV394" s="2">
        <f>_xlfn.IFNA(VLOOKUP(Wapato_Inventory[[#This Row],[condition]],Lookups!$A$41:$C$48,3,FALSE),1)</f>
        <v>0.9832333997567807</v>
      </c>
      <c r="BW394" s="2">
        <f>IF(Wapato_Inventory[[#This Row],[decade]]="",1,_xlfn.IFNA(VLOOKUP(Wapato_Inventory[[#This Row],[decade]],Lookups!$F$28:$H$45,3,FALSE),1))</f>
        <v>0.94742695999815718</v>
      </c>
      <c r="BX394" s="2">
        <f>_xlfn.IFNA(VLOOKUP(Wapato_Inventory[[#This Row],[living_area_range]],Lookups!$K$28:$M$37,3,FALSE),1)</f>
        <v>1.0061411172456287</v>
      </c>
      <c r="BY394" s="2">
        <f>AVERAGE(Wapato_Inventory[[#This Row],[qual_adj]:[range_adj]])</f>
        <v>0.97486490405746018</v>
      </c>
      <c r="BZ394" s="7">
        <f>(Wapato_Inventory[[#This Row],[sum_land]]-IF(Wapato_Inventory[[#This Row],[no_utilities]]=1,12000,0))/IF(Wapato_Inventory[[#This Row],[unbuildable]]=1,2,1)</f>
        <v>53300</v>
      </c>
      <c r="CA394" s="7">
        <f>Wapato_Inventory[[#This Row],[pre_res]]*Wapato_Inventory[[#This Row],[overall_adj]]</f>
        <v>143360.91817017985</v>
      </c>
      <c r="CB394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394" s="3">
        <f>IF(ROUND(Wapato_Inventory[[#This Row],[adj_res]]*Lookups!$H$48,-2)&lt;Wapato_Inventory[[#This Row],[min_res]],Wapato_Inventory[[#This Row],[min_res]],ROUND(Wapato_Inventory[[#This Row],[adj_res]]*Lookups!$H$48,-2))</f>
        <v>136200</v>
      </c>
      <c r="CD394" s="3">
        <f>ROUND(Wapato_Inventory[[#This Row],[det_value]]*Lookups!$H$48,-2)</f>
        <v>0</v>
      </c>
      <c r="CE394" s="3">
        <f>Wapato_Inventory[[#This Row],[final_res]]+Wapato_Inventory[[#This Row],[final_det]]</f>
        <v>136200</v>
      </c>
      <c r="CF394" s="3">
        <f>Wapato_Inventory[[#This Row],[crop_value]]+Wapato_Inventory[[#This Row],[final_land]]+Wapato_Inventory[[#This Row],[final_imp]]</f>
        <v>186800</v>
      </c>
      <c r="CH394" t="str">
        <f t="shared" si="6"/>
        <v>update valuation set market_land =50600, market_bldg=136200, market_total =186800, market_mdno =405, market_date ='9/10/2023' where link_id = (select link_id from parcel where parcel_year = '2024' and parcel_id = '19111133485');</v>
      </c>
    </row>
    <row r="395" spans="1:86" x14ac:dyDescent="0.25">
      <c r="A395">
        <v>19111133487</v>
      </c>
      <c r="B395">
        <v>0.22</v>
      </c>
      <c r="C395">
        <v>9392</v>
      </c>
      <c r="D395" t="s">
        <v>144</v>
      </c>
      <c r="E395" t="s">
        <v>54</v>
      </c>
      <c r="F395" t="s">
        <v>54</v>
      </c>
      <c r="G395">
        <v>3</v>
      </c>
      <c r="H395" t="s">
        <v>55</v>
      </c>
      <c r="I395">
        <v>200200</v>
      </c>
      <c r="J395">
        <v>35100</v>
      </c>
      <c r="K395">
        <v>0.22</v>
      </c>
      <c r="L395">
        <f>IF(Wapato_Inventory[[#This Row],[parcel_acres]]-Wapato_Inventory[[#This Row],[non_valued_acres]] =0,0,LN(Wapato_Inventory[[#This Row],[parcel_acres]]-Wapato_Inventory[[#This Row],[non_valued_acres]]))</f>
        <v>-1.5141277326297755</v>
      </c>
      <c r="M395">
        <v>0</v>
      </c>
      <c r="N395">
        <v>0</v>
      </c>
      <c r="O395">
        <v>0</v>
      </c>
      <c r="P395">
        <v>27904.037</v>
      </c>
      <c r="Q395">
        <v>74398</v>
      </c>
      <c r="R395" s="3">
        <f>(Wapato_Inventory[[#This Row],[ln_acres]]*Wapato_Inventory[[#This Row],[coeff]])+Wapato_Inventory[[#This Row],[const]]</f>
        <v>32147.723725972639</v>
      </c>
      <c r="S395" t="s">
        <v>66</v>
      </c>
      <c r="T395">
        <v>1</v>
      </c>
      <c r="U395" t="s">
        <v>67</v>
      </c>
      <c r="V395" t="s">
        <v>69</v>
      </c>
      <c r="W395">
        <v>0</v>
      </c>
      <c r="X395">
        <v>0</v>
      </c>
      <c r="Y395">
        <v>55</v>
      </c>
      <c r="Z395">
        <v>98</v>
      </c>
      <c r="AA395">
        <v>100</v>
      </c>
      <c r="AB395">
        <v>1500</v>
      </c>
      <c r="AC395">
        <v>1395</v>
      </c>
      <c r="AD395">
        <v>1395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504</v>
      </c>
      <c r="AN395">
        <v>553</v>
      </c>
      <c r="AO395">
        <v>0</v>
      </c>
      <c r="AP395">
        <v>8</v>
      </c>
      <c r="AQ395">
        <v>0</v>
      </c>
      <c r="AR395">
        <v>0</v>
      </c>
      <c r="AS395" t="s">
        <v>59</v>
      </c>
      <c r="AT395">
        <v>1</v>
      </c>
      <c r="AU395" t="s">
        <v>64</v>
      </c>
      <c r="AV395" t="s">
        <v>61</v>
      </c>
      <c r="AW395">
        <v>1</v>
      </c>
      <c r="AX395">
        <v>3</v>
      </c>
      <c r="AY395">
        <v>0</v>
      </c>
      <c r="AZ395">
        <v>2200</v>
      </c>
      <c r="BA395">
        <v>100</v>
      </c>
      <c r="BB395">
        <v>100</v>
      </c>
      <c r="BC395">
        <v>100</v>
      </c>
      <c r="BD395">
        <v>100</v>
      </c>
      <c r="BE395">
        <v>1</v>
      </c>
      <c r="BF395">
        <v>15000</v>
      </c>
      <c r="BG395">
        <v>1000</v>
      </c>
      <c r="BH395" s="7">
        <f>ROUND(Wapato_Inventory[[#This Row],[detatched_value]]*Lookups!$B$22*Lookups!$H$48,-2)</f>
        <v>2000</v>
      </c>
      <c r="BI395" s="7">
        <f>ROUND(((Wapato_Inventory[[#This Row],[land_extract]]*Lookups!$B$3) +(Lookups!$B$2*0.5))*Lookups!$H$48,-2)</f>
        <v>54200</v>
      </c>
      <c r="BJ395" s="7">
        <f>IF(Wapato_Inventory[[#This Row],[bldg_style]]="",0,Lookups!$B$2*0.5)</f>
        <v>53765.27</v>
      </c>
      <c r="BK395" s="7">
        <f>_xlfn.IFNA(VLOOKUP(Wapato_Inventory[[#This Row],[quality]],Lookups!$H$2:$J$14,3,FALSE),0)</f>
        <v>50405</v>
      </c>
      <c r="BL395" s="7">
        <f>_xlfn.IFNA(VLOOKUP(Wapato_Inventory[[#This Row],[condition]],Lookups!$H$17:$J$24,3,FALSE),0)</f>
        <v>74543</v>
      </c>
      <c r="BM395" s="7">
        <f>Wapato_Inventory[[#This Row],[Age]]*Lookups!$B$16</f>
        <v>-36326.2186</v>
      </c>
      <c r="BN395" s="7">
        <f>Wapato_Inventory[[#This Row],[Main Floor]]*Lookups!$B$17</f>
        <v>58312.030905</v>
      </c>
      <c r="BO395" s="7">
        <f>Wapato_Inventory[[#This Row],[Upper Floor]]*Lookups!$B$18</f>
        <v>0</v>
      </c>
      <c r="BP395" s="7">
        <f>Wapato_Inventory[[#This Row],[Fin BSMT]]*Lookups!$B$19</f>
        <v>0</v>
      </c>
      <c r="BQ395" s="7">
        <f>(Wapato_Inventory[[#This Row],[att_gar]]+Wapato_Inventory[[#This Row],[blt_gar]])*Lookups!$B$20</f>
        <v>0</v>
      </c>
      <c r="BR395" s="7">
        <f>Wapato_Inventory[[#This Row],[Patio]]*Lookups!$B$21</f>
        <v>21835.285416000002</v>
      </c>
      <c r="BS395" s="7">
        <f>SUM(Wapato_Inventory[[#This Row],[intercept]:[patio_value]])*Wapato_Inventory[[#This Row],[res_pct]]</f>
        <v>222534.36772099999</v>
      </c>
      <c r="BT395" s="7">
        <f>Wapato_Inventory[[#This Row],[land_value]]</f>
        <v>54200</v>
      </c>
      <c r="BU395" s="2">
        <f>_xlfn.IFNA(VLOOKUP(Wapato_Inventory[[#This Row],[quality]],Lookups!$A$28:$C$37,3,FALSE),1)</f>
        <v>0.97993206410140754</v>
      </c>
      <c r="BV395" s="2">
        <f>_xlfn.IFNA(VLOOKUP(Wapato_Inventory[[#This Row],[condition]],Lookups!$A$41:$C$48,3,FALSE),1)</f>
        <v>0.98442438223270734</v>
      </c>
      <c r="BW395" s="2">
        <f>IF(Wapato_Inventory[[#This Row],[decade]]="",1,_xlfn.IFNA(VLOOKUP(Wapato_Inventory[[#This Row],[decade]],Lookups!$F$28:$H$45,3,FALSE),1))</f>
        <v>1.0114203040664467</v>
      </c>
      <c r="BX395" s="2">
        <f>_xlfn.IFNA(VLOOKUP(Wapato_Inventory[[#This Row],[living_area_range]],Lookups!$K$28:$M$37,3,FALSE),1)</f>
        <v>1.0061411172456287</v>
      </c>
      <c r="BY395" s="2">
        <f>AVERAGE(Wapato_Inventory[[#This Row],[qual_adj]:[range_adj]])</f>
        <v>0.99547946691154765</v>
      </c>
      <c r="BZ395" s="7">
        <f>(Wapato_Inventory[[#This Row],[sum_land]]-IF(Wapato_Inventory[[#This Row],[no_utilities]]=1,12000,0))/IF(Wapato_Inventory[[#This Row],[unbuildable]]=1,2,1)</f>
        <v>54200</v>
      </c>
      <c r="CA395" s="7">
        <f>Wapato_Inventory[[#This Row],[pre_res]]*Wapato_Inventory[[#This Row],[overall_adj]]</f>
        <v>221528.39374839939</v>
      </c>
      <c r="CB395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395" s="3">
        <f>IF(ROUND(Wapato_Inventory[[#This Row],[adj_res]]*Lookups!$H$48,-2)&lt;Wapato_Inventory[[#This Row],[min_res]],Wapato_Inventory[[#This Row],[min_res]],ROUND(Wapato_Inventory[[#This Row],[adj_res]]*Lookups!$H$48,-2))</f>
        <v>210500</v>
      </c>
      <c r="CD395" s="3">
        <f>ROUND(Wapato_Inventory[[#This Row],[det_value]]*Lookups!$H$48,-2)</f>
        <v>1900</v>
      </c>
      <c r="CE395" s="3">
        <f>Wapato_Inventory[[#This Row],[final_res]]+Wapato_Inventory[[#This Row],[final_det]]</f>
        <v>212400</v>
      </c>
      <c r="CF395" s="3">
        <f>Wapato_Inventory[[#This Row],[crop_value]]+Wapato_Inventory[[#This Row],[final_land]]+Wapato_Inventory[[#This Row],[final_imp]]</f>
        <v>263900</v>
      </c>
      <c r="CH395" t="str">
        <f t="shared" si="6"/>
        <v>update valuation set market_land =51500, market_bldg=212400, market_total =263900, market_mdno =405, market_date ='9/10/2023' where link_id = (select link_id from parcel where parcel_year = '2024' and parcel_id = '19111133487');</v>
      </c>
    </row>
    <row r="396" spans="1:86" x14ac:dyDescent="0.25">
      <c r="A396">
        <v>19111133488</v>
      </c>
      <c r="B396">
        <v>0.35</v>
      </c>
      <c r="C396">
        <v>15246</v>
      </c>
      <c r="D396" t="s">
        <v>144</v>
      </c>
      <c r="E396" t="s">
        <v>54</v>
      </c>
      <c r="F396" t="s">
        <v>54</v>
      </c>
      <c r="G396">
        <v>3</v>
      </c>
      <c r="H396" t="s">
        <v>55</v>
      </c>
      <c r="I396">
        <v>203300</v>
      </c>
      <c r="J396">
        <v>38500</v>
      </c>
      <c r="K396">
        <v>0.35</v>
      </c>
      <c r="L396">
        <f>IF(Wapato_Inventory[[#This Row],[parcel_acres]]-Wapato_Inventory[[#This Row],[non_valued_acres]] =0,0,LN(Wapato_Inventory[[#This Row],[parcel_acres]]-Wapato_Inventory[[#This Row],[non_valued_acres]]))</f>
        <v>-1.0498221244986778</v>
      </c>
      <c r="M396">
        <v>0</v>
      </c>
      <c r="N396">
        <v>0</v>
      </c>
      <c r="O396">
        <v>0</v>
      </c>
      <c r="P396">
        <v>27904.037</v>
      </c>
      <c r="Q396">
        <v>74398</v>
      </c>
      <c r="R396" s="3">
        <f>(Wapato_Inventory[[#This Row],[ln_acres]]*Wapato_Inventory[[#This Row],[coeff]])+Wapato_Inventory[[#This Row],[const]]</f>
        <v>45103.724594570289</v>
      </c>
      <c r="S396" t="s">
        <v>66</v>
      </c>
      <c r="T396">
        <v>1</v>
      </c>
      <c r="U396" t="s">
        <v>75</v>
      </c>
      <c r="V396" t="s">
        <v>69</v>
      </c>
      <c r="W396">
        <v>0</v>
      </c>
      <c r="X396">
        <v>0</v>
      </c>
      <c r="Y396">
        <v>41</v>
      </c>
      <c r="Z396">
        <v>83</v>
      </c>
      <c r="AA396">
        <v>90</v>
      </c>
      <c r="AB396">
        <v>1500</v>
      </c>
      <c r="AC396">
        <v>1296</v>
      </c>
      <c r="AD396">
        <v>1296</v>
      </c>
      <c r="AE396">
        <v>0</v>
      </c>
      <c r="AF396">
        <v>0</v>
      </c>
      <c r="AG396">
        <v>0</v>
      </c>
      <c r="AH396">
        <v>120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24</v>
      </c>
      <c r="AO396">
        <v>0</v>
      </c>
      <c r="AP396">
        <v>7</v>
      </c>
      <c r="AQ396">
        <v>0</v>
      </c>
      <c r="AR396">
        <v>0</v>
      </c>
      <c r="AS396" t="s">
        <v>59</v>
      </c>
      <c r="AT396">
        <v>1</v>
      </c>
      <c r="AU396" t="s">
        <v>64</v>
      </c>
      <c r="AV396" t="s">
        <v>65</v>
      </c>
      <c r="AW396">
        <v>0</v>
      </c>
      <c r="AX396">
        <v>4</v>
      </c>
      <c r="AY396">
        <v>0</v>
      </c>
      <c r="AZ396">
        <v>11300</v>
      </c>
      <c r="BA396">
        <v>100</v>
      </c>
      <c r="BB396">
        <v>100</v>
      </c>
      <c r="BC396">
        <v>100</v>
      </c>
      <c r="BD396">
        <v>100</v>
      </c>
      <c r="BE396">
        <v>1</v>
      </c>
      <c r="BF396">
        <v>15000</v>
      </c>
      <c r="BG396">
        <v>1000</v>
      </c>
      <c r="BH396" s="7">
        <f>ROUND(Wapato_Inventory[[#This Row],[detatched_value]]*Lookups!$B$22*Lookups!$H$48,-2)</f>
        <v>10100</v>
      </c>
      <c r="BI396" s="7">
        <f>ROUND(((Wapato_Inventory[[#This Row],[land_extract]]*Lookups!$B$3) +(Lookups!$B$2*0.5))*Lookups!$H$48,-2)</f>
        <v>55400</v>
      </c>
      <c r="BJ396" s="7">
        <f>IF(Wapato_Inventory[[#This Row],[bldg_style]]="",0,Lookups!$B$2*0.5)</f>
        <v>53765.27</v>
      </c>
      <c r="BK396" s="7">
        <f>_xlfn.IFNA(VLOOKUP(Wapato_Inventory[[#This Row],[quality]],Lookups!$H$2:$J$14,3,FALSE),0)</f>
        <v>48043</v>
      </c>
      <c r="BL396" s="7">
        <f>_xlfn.IFNA(VLOOKUP(Wapato_Inventory[[#This Row],[condition]],Lookups!$H$17:$J$24,3,FALSE),0)</f>
        <v>74543</v>
      </c>
      <c r="BM396" s="7">
        <f>Wapato_Inventory[[#This Row],[Age]]*Lookups!$B$16</f>
        <v>-30766.0831</v>
      </c>
      <c r="BN396" s="7">
        <f>Wapato_Inventory[[#This Row],[Main Floor]]*Lookups!$B$17</f>
        <v>54173.757744000002</v>
      </c>
      <c r="BO396" s="7">
        <f>Wapato_Inventory[[#This Row],[Upper Floor]]*Lookups!$B$18</f>
        <v>0</v>
      </c>
      <c r="BP396" s="7">
        <f>Wapato_Inventory[[#This Row],[Fin BSMT]]*Lookups!$B$19</f>
        <v>0</v>
      </c>
      <c r="BQ396" s="7">
        <f>(Wapato_Inventory[[#This Row],[att_gar]]+Wapato_Inventory[[#This Row],[blt_gar]])*Lookups!$B$20</f>
        <v>0</v>
      </c>
      <c r="BR396" s="7">
        <f>Wapato_Inventory[[#This Row],[Patio]]*Lookups!$B$21</f>
        <v>0</v>
      </c>
      <c r="BS396" s="7">
        <f>SUM(Wapato_Inventory[[#This Row],[intercept]:[patio_value]])*Wapato_Inventory[[#This Row],[res_pct]]</f>
        <v>199758.944644</v>
      </c>
      <c r="BT396" s="7">
        <f>Wapato_Inventory[[#This Row],[land_value]]</f>
        <v>55400</v>
      </c>
      <c r="BU396" s="2">
        <f>_xlfn.IFNA(VLOOKUP(Wapato_Inventory[[#This Row],[quality]],Lookups!$A$28:$C$37,3,FALSE),1)</f>
        <v>0.98196844879778955</v>
      </c>
      <c r="BV396" s="2">
        <f>_xlfn.IFNA(VLOOKUP(Wapato_Inventory[[#This Row],[condition]],Lookups!$A$41:$C$48,3,FALSE),1)</f>
        <v>0.98442438223270734</v>
      </c>
      <c r="BW396" s="2">
        <f>IF(Wapato_Inventory[[#This Row],[decade]]="",1,_xlfn.IFNA(VLOOKUP(Wapato_Inventory[[#This Row],[decade]],Lookups!$F$28:$H$45,3,FALSE),1))</f>
        <v>0.94742695999815718</v>
      </c>
      <c r="BX396" s="2">
        <f>_xlfn.IFNA(VLOOKUP(Wapato_Inventory[[#This Row],[living_area_range]],Lookups!$K$28:$M$37,3,FALSE),1)</f>
        <v>1.0061411172456287</v>
      </c>
      <c r="BY396" s="2">
        <f>AVERAGE(Wapato_Inventory[[#This Row],[qual_adj]:[range_adj]])</f>
        <v>0.97999022706857064</v>
      </c>
      <c r="BZ396" s="7">
        <f>(Wapato_Inventory[[#This Row],[sum_land]]-IF(Wapato_Inventory[[#This Row],[no_utilities]]=1,12000,0))/IF(Wapato_Inventory[[#This Row],[unbuildable]]=1,2,1)</f>
        <v>55400</v>
      </c>
      <c r="CA396" s="7">
        <f>Wapato_Inventory[[#This Row],[pre_res]]*Wapato_Inventory[[#This Row],[overall_adj]]</f>
        <v>195761.8135206516</v>
      </c>
      <c r="CB396" s="3">
        <f>IF(ROUND(Wapato_Inventory[[#This Row],[adj_land]]*Lookups!$H$48,-2)&lt;Wapato_Inventory[[#This Row],[min_land]],Wapato_Inventory[[#This Row],[min_land]],ROUND(Wapato_Inventory[[#This Row],[adj_land]]*Lookups!$H$48,-2))</f>
        <v>52600</v>
      </c>
      <c r="CC396" s="3">
        <f>IF(ROUND(Wapato_Inventory[[#This Row],[adj_res]]*Lookups!$H$48,-2)&lt;Wapato_Inventory[[#This Row],[min_res]],Wapato_Inventory[[#This Row],[min_res]],ROUND(Wapato_Inventory[[#This Row],[adj_res]]*Lookups!$H$48,-2))</f>
        <v>186000</v>
      </c>
      <c r="CD396" s="3">
        <f>ROUND(Wapato_Inventory[[#This Row],[det_value]]*Lookups!$H$48,-2)</f>
        <v>9600</v>
      </c>
      <c r="CE396" s="3">
        <f>Wapato_Inventory[[#This Row],[final_res]]+Wapato_Inventory[[#This Row],[final_det]]</f>
        <v>195600</v>
      </c>
      <c r="CF396" s="3">
        <f>Wapato_Inventory[[#This Row],[crop_value]]+Wapato_Inventory[[#This Row],[final_land]]+Wapato_Inventory[[#This Row],[final_imp]]</f>
        <v>248200</v>
      </c>
      <c r="CH396" t="str">
        <f t="shared" si="6"/>
        <v>update valuation set market_land =52600, market_bldg=195600, market_total =248200, market_mdno =405, market_date ='9/10/2023' where link_id = (select link_id from parcel where parcel_year = '2024' and parcel_id = '19111133488');</v>
      </c>
    </row>
    <row r="397" spans="1:86" x14ac:dyDescent="0.25">
      <c r="A397">
        <v>19111133489</v>
      </c>
      <c r="B397">
        <v>0.11</v>
      </c>
      <c r="C397">
        <v>4590</v>
      </c>
      <c r="D397" t="s">
        <v>144</v>
      </c>
      <c r="E397" t="s">
        <v>54</v>
      </c>
      <c r="F397" t="s">
        <v>54</v>
      </c>
      <c r="G397">
        <v>3</v>
      </c>
      <c r="H397" t="s">
        <v>55</v>
      </c>
      <c r="I397">
        <v>33100</v>
      </c>
      <c r="J397">
        <v>30200</v>
      </c>
      <c r="K397">
        <v>0.11</v>
      </c>
      <c r="L397">
        <f>IF(Wapato_Inventory[[#This Row],[parcel_acres]]-Wapato_Inventory[[#This Row],[non_valued_acres]] =0,0,LN(Wapato_Inventory[[#This Row],[parcel_acres]]-Wapato_Inventory[[#This Row],[non_valued_acres]]))</f>
        <v>-2.2072749131897207</v>
      </c>
      <c r="M397">
        <v>0</v>
      </c>
      <c r="N397">
        <v>0</v>
      </c>
      <c r="O397">
        <v>0</v>
      </c>
      <c r="P397">
        <v>27904.037</v>
      </c>
      <c r="Q397">
        <v>74398</v>
      </c>
      <c r="R397" s="3">
        <f>(Wapato_Inventory[[#This Row],[ln_acres]]*Wapato_Inventory[[#This Row],[coeff]])+Wapato_Inventory[[#This Row],[const]]</f>
        <v>12806.119153182248</v>
      </c>
      <c r="S397" t="s">
        <v>83</v>
      </c>
      <c r="T397">
        <v>1</v>
      </c>
      <c r="U397" t="s">
        <v>86</v>
      </c>
      <c r="V397" t="s">
        <v>73</v>
      </c>
      <c r="W397">
        <v>0</v>
      </c>
      <c r="X397">
        <v>0</v>
      </c>
      <c r="Y397">
        <v>103</v>
      </c>
      <c r="Z397">
        <v>103</v>
      </c>
      <c r="AA397">
        <v>110</v>
      </c>
      <c r="AB397">
        <v>1000</v>
      </c>
      <c r="AC397">
        <v>552</v>
      </c>
      <c r="AD397">
        <v>552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5</v>
      </c>
      <c r="AQ397">
        <v>0</v>
      </c>
      <c r="AR397">
        <v>0</v>
      </c>
      <c r="AS397" t="s">
        <v>157</v>
      </c>
      <c r="AT397">
        <v>1</v>
      </c>
      <c r="AU397" t="s">
        <v>72</v>
      </c>
      <c r="AV397" t="s">
        <v>61</v>
      </c>
      <c r="AW397">
        <v>0</v>
      </c>
      <c r="AX397">
        <v>3</v>
      </c>
      <c r="AY397">
        <v>0</v>
      </c>
      <c r="AZ397">
        <v>0</v>
      </c>
      <c r="BA397">
        <v>100</v>
      </c>
      <c r="BB397">
        <v>100</v>
      </c>
      <c r="BC397">
        <v>100</v>
      </c>
      <c r="BD397">
        <v>100</v>
      </c>
      <c r="BE397">
        <v>1</v>
      </c>
      <c r="BF397">
        <v>15000</v>
      </c>
      <c r="BG397">
        <v>1000</v>
      </c>
      <c r="BH397" s="7">
        <f>ROUND(Wapato_Inventory[[#This Row],[detatched_value]]*Lookups!$B$22*Lookups!$H$48,-2)</f>
        <v>0</v>
      </c>
      <c r="BI397" s="7">
        <f>ROUND(((Wapato_Inventory[[#This Row],[land_extract]]*Lookups!$B$3) +(Lookups!$B$2*0.5))*Lookups!$H$48,-2)</f>
        <v>52300</v>
      </c>
      <c r="BJ397" s="7">
        <f>IF(Wapato_Inventory[[#This Row],[bldg_style]]="",0,Lookups!$B$2*0.5)</f>
        <v>53765.27</v>
      </c>
      <c r="BK397" s="7">
        <f>_xlfn.IFNA(VLOOKUP(Wapato_Inventory[[#This Row],[quality]],Lookups!$H$2:$J$14,3,FALSE),0)</f>
        <v>0</v>
      </c>
      <c r="BL397" s="7">
        <f>_xlfn.IFNA(VLOOKUP(Wapato_Inventory[[#This Row],[condition]],Lookups!$H$17:$J$24,3,FALSE),0)</f>
        <v>16276</v>
      </c>
      <c r="BM397" s="7">
        <f>Wapato_Inventory[[#This Row],[Age]]*Lookups!$B$16</f>
        <v>-38179.597099999999</v>
      </c>
      <c r="BN397" s="7">
        <f>Wapato_Inventory[[#This Row],[Main Floor]]*Lookups!$B$17</f>
        <v>23074.007927999999</v>
      </c>
      <c r="BO397" s="7">
        <f>Wapato_Inventory[[#This Row],[Upper Floor]]*Lookups!$B$18</f>
        <v>0</v>
      </c>
      <c r="BP397" s="7">
        <f>Wapato_Inventory[[#This Row],[Fin BSMT]]*Lookups!$B$19</f>
        <v>0</v>
      </c>
      <c r="BQ397" s="7">
        <f>(Wapato_Inventory[[#This Row],[att_gar]]+Wapato_Inventory[[#This Row],[blt_gar]])*Lookups!$B$20</f>
        <v>0</v>
      </c>
      <c r="BR397" s="7">
        <f>Wapato_Inventory[[#This Row],[Patio]]*Lookups!$B$21</f>
        <v>0</v>
      </c>
      <c r="BS397" s="7">
        <f>SUM(Wapato_Inventory[[#This Row],[intercept]:[patio_value]])*Wapato_Inventory[[#This Row],[res_pct]]</f>
        <v>54935.68082799999</v>
      </c>
      <c r="BT397" s="7">
        <f>Wapato_Inventory[[#This Row],[land_value]]</f>
        <v>52300</v>
      </c>
      <c r="BU397" s="2">
        <f>_xlfn.IFNA(VLOOKUP(Wapato_Inventory[[#This Row],[quality]],Lookups!$A$28:$C$37,3,FALSE),1)</f>
        <v>1.0000010866511106</v>
      </c>
      <c r="BV397" s="2">
        <f>_xlfn.IFNA(VLOOKUP(Wapato_Inventory[[#This Row],[condition]],Lookups!$A$41:$C$48,3,FALSE),1)</f>
        <v>0.93399385491337139</v>
      </c>
      <c r="BW397" s="2">
        <f>IF(Wapato_Inventory[[#This Row],[decade]]="",1,_xlfn.IFNA(VLOOKUP(Wapato_Inventory[[#This Row],[decade]],Lookups!$F$28:$H$45,3,FALSE),1))</f>
        <v>0.93664589651353292</v>
      </c>
      <c r="BX397" s="2">
        <f>_xlfn.IFNA(VLOOKUP(Wapato_Inventory[[#This Row],[living_area_range]],Lookups!$K$28:$M$37,3,FALSE),1)</f>
        <v>0.99022994770196116</v>
      </c>
      <c r="BY397" s="2">
        <f>AVERAGE(Wapato_Inventory[[#This Row],[qual_adj]:[range_adj]])</f>
        <v>0.965217696444994</v>
      </c>
      <c r="BZ397" s="7">
        <f>(Wapato_Inventory[[#This Row],[sum_land]]-IF(Wapato_Inventory[[#This Row],[no_utilities]]=1,12000,0))/IF(Wapato_Inventory[[#This Row],[unbuildable]]=1,2,1)</f>
        <v>52300</v>
      </c>
      <c r="CA397" s="7">
        <f>Wapato_Inventory[[#This Row],[pre_res]]*Wapato_Inventory[[#This Row],[overall_adj]]</f>
        <v>53024.891301439573</v>
      </c>
      <c r="CB397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397" s="3">
        <f>IF(ROUND(Wapato_Inventory[[#This Row],[adj_res]]*Lookups!$H$48,-2)&lt;Wapato_Inventory[[#This Row],[min_res]],Wapato_Inventory[[#This Row],[min_res]],ROUND(Wapato_Inventory[[#This Row],[adj_res]]*Lookups!$H$48,-2))</f>
        <v>50400</v>
      </c>
      <c r="CD397" s="3">
        <f>ROUND(Wapato_Inventory[[#This Row],[det_value]]*Lookups!$H$48,-2)</f>
        <v>0</v>
      </c>
      <c r="CE397" s="3">
        <f>Wapato_Inventory[[#This Row],[final_res]]+Wapato_Inventory[[#This Row],[final_det]]</f>
        <v>50400</v>
      </c>
      <c r="CF397" s="3">
        <f>Wapato_Inventory[[#This Row],[crop_value]]+Wapato_Inventory[[#This Row],[final_land]]+Wapato_Inventory[[#This Row],[final_imp]]</f>
        <v>100100</v>
      </c>
      <c r="CH397" t="str">
        <f t="shared" si="6"/>
        <v>update valuation set market_land =49700, market_bldg=50400, market_total =100100, market_mdno =405, market_date ='9/10/2023' where link_id = (select link_id from parcel where parcel_year = '2024' and parcel_id = '19111133489');</v>
      </c>
    </row>
    <row r="398" spans="1:86" x14ac:dyDescent="0.25">
      <c r="A398">
        <v>19111133490</v>
      </c>
      <c r="B398">
        <v>0.2</v>
      </c>
      <c r="C398" t="s">
        <v>144</v>
      </c>
      <c r="D398" t="s">
        <v>144</v>
      </c>
      <c r="E398" t="s">
        <v>54</v>
      </c>
      <c r="F398" t="s">
        <v>54</v>
      </c>
      <c r="G398">
        <v>3</v>
      </c>
      <c r="H398" t="s">
        <v>55</v>
      </c>
      <c r="I398">
        <v>246900</v>
      </c>
      <c r="J398">
        <v>34400</v>
      </c>
      <c r="K398">
        <v>0.2</v>
      </c>
      <c r="L398">
        <f>IF(Wapato_Inventory[[#This Row],[parcel_acres]]-Wapato_Inventory[[#This Row],[non_valued_acres]] =0,0,LN(Wapato_Inventory[[#This Row],[parcel_acres]]-Wapato_Inventory[[#This Row],[non_valued_acres]]))</f>
        <v>-1.6094379124341003</v>
      </c>
      <c r="M398">
        <v>0</v>
      </c>
      <c r="N398">
        <v>0</v>
      </c>
      <c r="O398">
        <v>0</v>
      </c>
      <c r="P398">
        <v>27904.037</v>
      </c>
      <c r="Q398">
        <v>74398</v>
      </c>
      <c r="R398" s="3">
        <f>(Wapato_Inventory[[#This Row],[ln_acres]]*Wapato_Inventory[[#This Row],[coeff]])+Wapato_Inventory[[#This Row],[const]]</f>
        <v>29488.184942236105</v>
      </c>
      <c r="S398" t="s">
        <v>66</v>
      </c>
      <c r="T398">
        <v>1</v>
      </c>
      <c r="U398" t="s">
        <v>75</v>
      </c>
      <c r="V398" t="s">
        <v>69</v>
      </c>
      <c r="W398">
        <v>0</v>
      </c>
      <c r="X398">
        <v>0</v>
      </c>
      <c r="Y398">
        <v>55</v>
      </c>
      <c r="Z398">
        <v>98</v>
      </c>
      <c r="AA398">
        <v>100</v>
      </c>
      <c r="AB398">
        <v>2000</v>
      </c>
      <c r="AC398">
        <v>1920</v>
      </c>
      <c r="AD398">
        <v>1344</v>
      </c>
      <c r="AE398">
        <v>576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384</v>
      </c>
      <c r="AL398">
        <v>92</v>
      </c>
      <c r="AM398">
        <v>200</v>
      </c>
      <c r="AN398">
        <v>0</v>
      </c>
      <c r="AO398">
        <v>0</v>
      </c>
      <c r="AP398">
        <v>8</v>
      </c>
      <c r="AQ398">
        <v>0</v>
      </c>
      <c r="AR398">
        <v>0</v>
      </c>
      <c r="AS398" t="s">
        <v>59</v>
      </c>
      <c r="AT398">
        <v>1</v>
      </c>
      <c r="AU398" t="s">
        <v>72</v>
      </c>
      <c r="AV398" t="s">
        <v>61</v>
      </c>
      <c r="AW398">
        <v>0</v>
      </c>
      <c r="AX398">
        <v>2</v>
      </c>
      <c r="AY398">
        <v>0</v>
      </c>
      <c r="AZ398">
        <v>29600</v>
      </c>
      <c r="BA398">
        <v>100</v>
      </c>
      <c r="BB398">
        <v>100</v>
      </c>
      <c r="BC398">
        <v>100</v>
      </c>
      <c r="BD398">
        <v>100</v>
      </c>
      <c r="BE398">
        <v>1</v>
      </c>
      <c r="BF398">
        <v>15000</v>
      </c>
      <c r="BG398">
        <v>1000</v>
      </c>
      <c r="BH398" s="7">
        <f>ROUND(Wapato_Inventory[[#This Row],[detatched_value]]*Lookups!$B$22*Lookups!$H$48,-2)</f>
        <v>26400</v>
      </c>
      <c r="BI398" s="7">
        <f>ROUND(((Wapato_Inventory[[#This Row],[land_extract]]*Lookups!$B$3) +(Lookups!$B$2*0.5))*Lookups!$H$48,-2)</f>
        <v>53900</v>
      </c>
      <c r="BJ398" s="7">
        <f>IF(Wapato_Inventory[[#This Row],[bldg_style]]="",0,Lookups!$B$2*0.5)</f>
        <v>53765.27</v>
      </c>
      <c r="BK398" s="7">
        <f>_xlfn.IFNA(VLOOKUP(Wapato_Inventory[[#This Row],[quality]],Lookups!$H$2:$J$14,3,FALSE),0)</f>
        <v>48043</v>
      </c>
      <c r="BL398" s="7">
        <f>_xlfn.IFNA(VLOOKUP(Wapato_Inventory[[#This Row],[condition]],Lookups!$H$17:$J$24,3,FALSE),0)</f>
        <v>74543</v>
      </c>
      <c r="BM398" s="7">
        <f>Wapato_Inventory[[#This Row],[Age]]*Lookups!$B$16</f>
        <v>-36326.2186</v>
      </c>
      <c r="BN398" s="7">
        <f>Wapato_Inventory[[#This Row],[Main Floor]]*Lookups!$B$17</f>
        <v>56180.193216</v>
      </c>
      <c r="BO398" s="7">
        <f>Wapato_Inventory[[#This Row],[Upper Floor]]*Lookups!$B$18</f>
        <v>28570.256064000001</v>
      </c>
      <c r="BP398" s="7">
        <f>Wapato_Inventory[[#This Row],[Fin BSMT]]*Lookups!$B$19</f>
        <v>0</v>
      </c>
      <c r="BQ398" s="7">
        <f>(Wapato_Inventory[[#This Row],[att_gar]]+Wapato_Inventory[[#This Row],[blt_gar]])*Lookups!$B$20</f>
        <v>0</v>
      </c>
      <c r="BR398" s="7">
        <f>Wapato_Inventory[[#This Row],[Patio]]*Lookups!$B$21</f>
        <v>8664.7957999999999</v>
      </c>
      <c r="BS398" s="7">
        <f>SUM(Wapato_Inventory[[#This Row],[intercept]:[patio_value]])*Wapato_Inventory[[#This Row],[res_pct]]</f>
        <v>233440.29647999999</v>
      </c>
      <c r="BT398" s="7">
        <f>Wapato_Inventory[[#This Row],[land_value]]</f>
        <v>53900</v>
      </c>
      <c r="BU398" s="2">
        <f>_xlfn.IFNA(VLOOKUP(Wapato_Inventory[[#This Row],[quality]],Lookups!$A$28:$C$37,3,FALSE),1)</f>
        <v>0.98196844879778955</v>
      </c>
      <c r="BV398" s="2">
        <f>_xlfn.IFNA(VLOOKUP(Wapato_Inventory[[#This Row],[condition]],Lookups!$A$41:$C$48,3,FALSE),1)</f>
        <v>0.98442438223270734</v>
      </c>
      <c r="BW398" s="2">
        <f>IF(Wapato_Inventory[[#This Row],[decade]]="",1,_xlfn.IFNA(VLOOKUP(Wapato_Inventory[[#This Row],[decade]],Lookups!$F$28:$H$45,3,FALSE),1))</f>
        <v>1.0114203040664467</v>
      </c>
      <c r="BX398" s="2">
        <f>_xlfn.IFNA(VLOOKUP(Wapato_Inventory[[#This Row],[living_area_range]],Lookups!$K$28:$M$37,3,FALSE),1)</f>
        <v>0.99330894324714125</v>
      </c>
      <c r="BY398" s="2">
        <f>AVERAGE(Wapato_Inventory[[#This Row],[qual_adj]:[range_adj]])</f>
        <v>0.9927805195860212</v>
      </c>
      <c r="BZ398" s="7">
        <f>(Wapato_Inventory[[#This Row],[sum_land]]-IF(Wapato_Inventory[[#This Row],[no_utilities]]=1,12000,0))/IF(Wapato_Inventory[[#This Row],[unbuildable]]=1,2,1)</f>
        <v>53900</v>
      </c>
      <c r="CA398" s="7">
        <f>Wapato_Inventory[[#This Row],[pre_res]]*Wapato_Inventory[[#This Row],[overall_adj]]</f>
        <v>231754.97883172924</v>
      </c>
      <c r="CB398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398" s="3">
        <f>IF(ROUND(Wapato_Inventory[[#This Row],[adj_res]]*Lookups!$H$48,-2)&lt;Wapato_Inventory[[#This Row],[min_res]],Wapato_Inventory[[#This Row],[min_res]],ROUND(Wapato_Inventory[[#This Row],[adj_res]]*Lookups!$H$48,-2))</f>
        <v>220200</v>
      </c>
      <c r="CD398" s="3">
        <f>ROUND(Wapato_Inventory[[#This Row],[det_value]]*Lookups!$H$48,-2)</f>
        <v>25100</v>
      </c>
      <c r="CE398" s="3">
        <f>Wapato_Inventory[[#This Row],[final_res]]+Wapato_Inventory[[#This Row],[final_det]]</f>
        <v>245300</v>
      </c>
      <c r="CF398" s="3">
        <f>Wapato_Inventory[[#This Row],[crop_value]]+Wapato_Inventory[[#This Row],[final_land]]+Wapato_Inventory[[#This Row],[final_imp]]</f>
        <v>296500</v>
      </c>
      <c r="CH398" t="str">
        <f t="shared" si="6"/>
        <v>update valuation set market_land =51200, market_bldg=245300, market_total =296500, market_mdno =405, market_date ='9/10/2023' where link_id = (select link_id from parcel where parcel_year = '2024' and parcel_id = '19111133490');</v>
      </c>
    </row>
    <row r="399" spans="1:86" x14ac:dyDescent="0.25">
      <c r="A399">
        <v>19111133491</v>
      </c>
      <c r="B399">
        <v>0.28000000000000003</v>
      </c>
      <c r="C399">
        <v>12087</v>
      </c>
      <c r="D399" t="s">
        <v>144</v>
      </c>
      <c r="E399" t="s">
        <v>54</v>
      </c>
      <c r="F399" t="s">
        <v>54</v>
      </c>
      <c r="G399">
        <v>3</v>
      </c>
      <c r="H399" t="s">
        <v>55</v>
      </c>
      <c r="I399">
        <v>96700</v>
      </c>
      <c r="J399">
        <v>36800</v>
      </c>
      <c r="K399">
        <v>0.28000000000000003</v>
      </c>
      <c r="L399">
        <f>IF(Wapato_Inventory[[#This Row],[parcel_acres]]-Wapato_Inventory[[#This Row],[non_valued_acres]] =0,0,LN(Wapato_Inventory[[#This Row],[parcel_acres]]-Wapato_Inventory[[#This Row],[non_valued_acres]]))</f>
        <v>-1.2729656758128873</v>
      </c>
      <c r="M399">
        <v>0</v>
      </c>
      <c r="N399">
        <v>0</v>
      </c>
      <c r="O399">
        <v>0</v>
      </c>
      <c r="P399">
        <v>27904.037</v>
      </c>
      <c r="Q399">
        <v>74398</v>
      </c>
      <c r="R399" s="3">
        <f>(Wapato_Inventory[[#This Row],[ln_acres]]*Wapato_Inventory[[#This Row],[coeff]])+Wapato_Inventory[[#This Row],[const]]</f>
        <v>38877.118682387183</v>
      </c>
      <c r="S399" t="s">
        <v>66</v>
      </c>
      <c r="T399">
        <v>1</v>
      </c>
      <c r="U399" t="s">
        <v>71</v>
      </c>
      <c r="V399" t="s">
        <v>68</v>
      </c>
      <c r="W399">
        <v>0</v>
      </c>
      <c r="X399">
        <v>0</v>
      </c>
      <c r="Y399">
        <v>55</v>
      </c>
      <c r="Z399">
        <v>98</v>
      </c>
      <c r="AA399">
        <v>100</v>
      </c>
      <c r="AB399">
        <v>1000</v>
      </c>
      <c r="AC399">
        <v>810</v>
      </c>
      <c r="AD399">
        <v>810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5</v>
      </c>
      <c r="AQ399">
        <v>0</v>
      </c>
      <c r="AR399">
        <v>0</v>
      </c>
      <c r="AS399" t="s">
        <v>59</v>
      </c>
      <c r="AT399">
        <v>1</v>
      </c>
      <c r="AU399" t="s">
        <v>72</v>
      </c>
      <c r="AV399" t="s">
        <v>61</v>
      </c>
      <c r="AW399">
        <v>0</v>
      </c>
      <c r="AX399">
        <v>2</v>
      </c>
      <c r="AY399">
        <v>0</v>
      </c>
      <c r="AZ399">
        <v>0</v>
      </c>
      <c r="BA399">
        <v>100</v>
      </c>
      <c r="BB399">
        <v>100</v>
      </c>
      <c r="BC399">
        <v>100</v>
      </c>
      <c r="BD399">
        <v>100</v>
      </c>
      <c r="BE399">
        <v>1</v>
      </c>
      <c r="BF399">
        <v>15000</v>
      </c>
      <c r="BG399">
        <v>1000</v>
      </c>
      <c r="BH399" s="7">
        <f>ROUND(Wapato_Inventory[[#This Row],[detatched_value]]*Lookups!$B$22*Lookups!$H$48,-2)</f>
        <v>0</v>
      </c>
      <c r="BI399" s="7">
        <f>ROUND(((Wapato_Inventory[[#This Row],[land_extract]]*Lookups!$B$3) +(Lookups!$B$2*0.5))*Lookups!$H$48,-2)</f>
        <v>54800</v>
      </c>
      <c r="BJ399" s="7">
        <f>IF(Wapato_Inventory[[#This Row],[bldg_style]]="",0,Lookups!$B$2*0.5)</f>
        <v>53765.27</v>
      </c>
      <c r="BK399" s="7">
        <f>_xlfn.IFNA(VLOOKUP(Wapato_Inventory[[#This Row],[quality]],Lookups!$H$2:$J$14,3,FALSE),0)</f>
        <v>28034</v>
      </c>
      <c r="BL399" s="7">
        <f>_xlfn.IFNA(VLOOKUP(Wapato_Inventory[[#This Row],[condition]],Lookups!$H$17:$J$24,3,FALSE),0)</f>
        <v>52231</v>
      </c>
      <c r="BM399" s="7">
        <f>Wapato_Inventory[[#This Row],[Age]]*Lookups!$B$16</f>
        <v>-36326.2186</v>
      </c>
      <c r="BN399" s="7">
        <f>Wapato_Inventory[[#This Row],[Main Floor]]*Lookups!$B$17</f>
        <v>33858.598590000001</v>
      </c>
      <c r="BO399" s="7">
        <f>Wapato_Inventory[[#This Row],[Upper Floor]]*Lookups!$B$18</f>
        <v>0</v>
      </c>
      <c r="BP399" s="7">
        <f>Wapato_Inventory[[#This Row],[Fin BSMT]]*Lookups!$B$19</f>
        <v>0</v>
      </c>
      <c r="BQ399" s="7">
        <f>(Wapato_Inventory[[#This Row],[att_gar]]+Wapato_Inventory[[#This Row],[blt_gar]])*Lookups!$B$20</f>
        <v>0</v>
      </c>
      <c r="BR399" s="7">
        <f>Wapato_Inventory[[#This Row],[Patio]]*Lookups!$B$21</f>
        <v>0</v>
      </c>
      <c r="BS399" s="7">
        <f>SUM(Wapato_Inventory[[#This Row],[intercept]:[patio_value]])*Wapato_Inventory[[#This Row],[res_pct]]</f>
        <v>131562.64999000001</v>
      </c>
      <c r="BT399" s="7">
        <f>Wapato_Inventory[[#This Row],[land_value]]</f>
        <v>54800</v>
      </c>
      <c r="BU399" s="2">
        <f>_xlfn.IFNA(VLOOKUP(Wapato_Inventory[[#This Row],[quality]],Lookups!$A$28:$C$37,3,FALSE),1)</f>
        <v>0.96265813922927435</v>
      </c>
      <c r="BV399" s="2">
        <f>_xlfn.IFNA(VLOOKUP(Wapato_Inventory[[#This Row],[condition]],Lookups!$A$41:$C$48,3,FALSE),1)</f>
        <v>0.9832333997567807</v>
      </c>
      <c r="BW399" s="2">
        <f>IF(Wapato_Inventory[[#This Row],[decade]]="",1,_xlfn.IFNA(VLOOKUP(Wapato_Inventory[[#This Row],[decade]],Lookups!$F$28:$H$45,3,FALSE),1))</f>
        <v>1.0114203040664467</v>
      </c>
      <c r="BX399" s="2">
        <f>_xlfn.IFNA(VLOOKUP(Wapato_Inventory[[#This Row],[living_area_range]],Lookups!$K$28:$M$37,3,FALSE),1)</f>
        <v>0.99022994770196116</v>
      </c>
      <c r="BY399" s="2">
        <f>AVERAGE(Wapato_Inventory[[#This Row],[qual_adj]:[range_adj]])</f>
        <v>0.98688544768861564</v>
      </c>
      <c r="BZ399" s="7">
        <f>(Wapato_Inventory[[#This Row],[sum_land]]-IF(Wapato_Inventory[[#This Row],[no_utilities]]=1,12000,0))/IF(Wapato_Inventory[[#This Row],[unbuildable]]=1,2,1)</f>
        <v>54800</v>
      </c>
      <c r="CA399" s="7">
        <f>Wapato_Inventory[[#This Row],[pre_res]]*Wapato_Inventory[[#This Row],[overall_adj]]</f>
        <v>129837.2647344818</v>
      </c>
      <c r="CB399" s="3">
        <f>IF(ROUND(Wapato_Inventory[[#This Row],[adj_land]]*Lookups!$H$48,-2)&lt;Wapato_Inventory[[#This Row],[min_land]],Wapato_Inventory[[#This Row],[min_land]],ROUND(Wapato_Inventory[[#This Row],[adj_land]]*Lookups!$H$48,-2))</f>
        <v>52100</v>
      </c>
      <c r="CC399" s="3">
        <f>IF(ROUND(Wapato_Inventory[[#This Row],[adj_res]]*Lookups!$H$48,-2)&lt;Wapato_Inventory[[#This Row],[min_res]],Wapato_Inventory[[#This Row],[min_res]],ROUND(Wapato_Inventory[[#This Row],[adj_res]]*Lookups!$H$48,-2))</f>
        <v>123300</v>
      </c>
      <c r="CD399" s="3">
        <f>ROUND(Wapato_Inventory[[#This Row],[det_value]]*Lookups!$H$48,-2)</f>
        <v>0</v>
      </c>
      <c r="CE399" s="3">
        <f>Wapato_Inventory[[#This Row],[final_res]]+Wapato_Inventory[[#This Row],[final_det]]</f>
        <v>123300</v>
      </c>
      <c r="CF399" s="3">
        <f>Wapato_Inventory[[#This Row],[crop_value]]+Wapato_Inventory[[#This Row],[final_land]]+Wapato_Inventory[[#This Row],[final_imp]]</f>
        <v>175400</v>
      </c>
      <c r="CH399" t="str">
        <f t="shared" si="6"/>
        <v>update valuation set market_land =52100, market_bldg=123300, market_total =175400, market_mdno =405, market_date ='9/10/2023' where link_id = (select link_id from parcel where parcel_year = '2024' and parcel_id = '19111133491');</v>
      </c>
    </row>
    <row r="400" spans="1:86" x14ac:dyDescent="0.25">
      <c r="A400">
        <v>19111133493</v>
      </c>
      <c r="B400">
        <v>0.18</v>
      </c>
      <c r="C400">
        <v>7650</v>
      </c>
      <c r="D400" t="s">
        <v>144</v>
      </c>
      <c r="E400" t="s">
        <v>54</v>
      </c>
      <c r="F400" t="s">
        <v>54</v>
      </c>
      <c r="G400">
        <v>3</v>
      </c>
      <c r="H400" t="s">
        <v>55</v>
      </c>
      <c r="I400">
        <v>105900</v>
      </c>
      <c r="J400">
        <v>33700</v>
      </c>
      <c r="K400">
        <v>0.18</v>
      </c>
      <c r="L400">
        <f>IF(Wapato_Inventory[[#This Row],[parcel_acres]]-Wapato_Inventory[[#This Row],[non_valued_acres]] =0,0,LN(Wapato_Inventory[[#This Row],[parcel_acres]]-Wapato_Inventory[[#This Row],[non_valued_acres]]))</f>
        <v>-1.7147984280919266</v>
      </c>
      <c r="M400">
        <v>0</v>
      </c>
      <c r="N400">
        <v>0</v>
      </c>
      <c r="O400">
        <v>0</v>
      </c>
      <c r="P400">
        <v>27904.037</v>
      </c>
      <c r="Q400">
        <v>74398</v>
      </c>
      <c r="R400" s="3">
        <f>(Wapato_Inventory[[#This Row],[ln_acres]]*Wapato_Inventory[[#This Row],[coeff]])+Wapato_Inventory[[#This Row],[const]]</f>
        <v>26548.20121498104</v>
      </c>
      <c r="S400" t="s">
        <v>66</v>
      </c>
      <c r="T400">
        <v>1</v>
      </c>
      <c r="U400" t="s">
        <v>71</v>
      </c>
      <c r="V400" t="s">
        <v>68</v>
      </c>
      <c r="W400">
        <v>0</v>
      </c>
      <c r="X400">
        <v>0</v>
      </c>
      <c r="Y400">
        <v>51</v>
      </c>
      <c r="Z400">
        <v>83</v>
      </c>
      <c r="AA400">
        <v>90</v>
      </c>
      <c r="AB400">
        <v>1000</v>
      </c>
      <c r="AC400">
        <v>864</v>
      </c>
      <c r="AD400">
        <v>864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5</v>
      </c>
      <c r="AQ400">
        <v>0</v>
      </c>
      <c r="AR400">
        <v>0</v>
      </c>
      <c r="AS400" t="s">
        <v>59</v>
      </c>
      <c r="AT400">
        <v>1</v>
      </c>
      <c r="AU400" t="s">
        <v>72</v>
      </c>
      <c r="AV400" t="s">
        <v>61</v>
      </c>
      <c r="AW400">
        <v>0</v>
      </c>
      <c r="AX400">
        <v>3</v>
      </c>
      <c r="AY400">
        <v>0</v>
      </c>
      <c r="AZ400">
        <v>0</v>
      </c>
      <c r="BA400">
        <v>100</v>
      </c>
      <c r="BB400">
        <v>100</v>
      </c>
      <c r="BC400">
        <v>100</v>
      </c>
      <c r="BD400">
        <v>100</v>
      </c>
      <c r="BE400">
        <v>1</v>
      </c>
      <c r="BF400">
        <v>15000</v>
      </c>
      <c r="BG400">
        <v>1000</v>
      </c>
      <c r="BH400" s="7">
        <f>ROUND(Wapato_Inventory[[#This Row],[detatched_value]]*Lookups!$B$22*Lookups!$H$48,-2)</f>
        <v>0</v>
      </c>
      <c r="BI400" s="7">
        <f>ROUND(((Wapato_Inventory[[#This Row],[land_extract]]*Lookups!$B$3) +(Lookups!$B$2*0.5))*Lookups!$H$48,-2)</f>
        <v>53600</v>
      </c>
      <c r="BJ400" s="7">
        <f>IF(Wapato_Inventory[[#This Row],[bldg_style]]="",0,Lookups!$B$2*0.5)</f>
        <v>53765.27</v>
      </c>
      <c r="BK400" s="7">
        <f>_xlfn.IFNA(VLOOKUP(Wapato_Inventory[[#This Row],[quality]],Lookups!$H$2:$J$14,3,FALSE),0)</f>
        <v>28034</v>
      </c>
      <c r="BL400" s="7">
        <f>_xlfn.IFNA(VLOOKUP(Wapato_Inventory[[#This Row],[condition]],Lookups!$H$17:$J$24,3,FALSE),0)</f>
        <v>52231</v>
      </c>
      <c r="BM400" s="7">
        <f>Wapato_Inventory[[#This Row],[Age]]*Lookups!$B$16</f>
        <v>-30766.0831</v>
      </c>
      <c r="BN400" s="7">
        <f>Wapato_Inventory[[#This Row],[Main Floor]]*Lookups!$B$17</f>
        <v>36115.838495999997</v>
      </c>
      <c r="BO400" s="7">
        <f>Wapato_Inventory[[#This Row],[Upper Floor]]*Lookups!$B$18</f>
        <v>0</v>
      </c>
      <c r="BP400" s="7">
        <f>Wapato_Inventory[[#This Row],[Fin BSMT]]*Lookups!$B$19</f>
        <v>0</v>
      </c>
      <c r="BQ400" s="7">
        <f>(Wapato_Inventory[[#This Row],[att_gar]]+Wapato_Inventory[[#This Row],[blt_gar]])*Lookups!$B$20</f>
        <v>0</v>
      </c>
      <c r="BR400" s="7">
        <f>Wapato_Inventory[[#This Row],[Patio]]*Lookups!$B$21</f>
        <v>0</v>
      </c>
      <c r="BS400" s="7">
        <f>SUM(Wapato_Inventory[[#This Row],[intercept]:[patio_value]])*Wapato_Inventory[[#This Row],[res_pct]]</f>
        <v>139380.02539599998</v>
      </c>
      <c r="BT400" s="7">
        <f>Wapato_Inventory[[#This Row],[land_value]]</f>
        <v>53600</v>
      </c>
      <c r="BU400" s="2">
        <f>_xlfn.IFNA(VLOOKUP(Wapato_Inventory[[#This Row],[quality]],Lookups!$A$28:$C$37,3,FALSE),1)</f>
        <v>0.96265813922927435</v>
      </c>
      <c r="BV400" s="2">
        <f>_xlfn.IFNA(VLOOKUP(Wapato_Inventory[[#This Row],[condition]],Lookups!$A$41:$C$48,3,FALSE),1)</f>
        <v>0.9832333997567807</v>
      </c>
      <c r="BW400" s="2">
        <f>IF(Wapato_Inventory[[#This Row],[decade]]="",1,_xlfn.IFNA(VLOOKUP(Wapato_Inventory[[#This Row],[decade]],Lookups!$F$28:$H$45,3,FALSE),1))</f>
        <v>0.94742695999815718</v>
      </c>
      <c r="BX400" s="2">
        <f>_xlfn.IFNA(VLOOKUP(Wapato_Inventory[[#This Row],[living_area_range]],Lookups!$K$28:$M$37,3,FALSE),1)</f>
        <v>0.99022994770196116</v>
      </c>
      <c r="BY400" s="2">
        <f>AVERAGE(Wapato_Inventory[[#This Row],[qual_adj]:[range_adj]])</f>
        <v>0.97088711167154329</v>
      </c>
      <c r="BZ400" s="7">
        <f>(Wapato_Inventory[[#This Row],[sum_land]]-IF(Wapato_Inventory[[#This Row],[no_utilities]]=1,12000,0))/IF(Wapato_Inventory[[#This Row],[unbuildable]]=1,2,1)</f>
        <v>53600</v>
      </c>
      <c r="CA400" s="7">
        <f>Wapato_Inventory[[#This Row],[pre_res]]*Wapato_Inventory[[#This Row],[overall_adj]]</f>
        <v>135322.27028142876</v>
      </c>
      <c r="CB400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00" s="3">
        <f>IF(ROUND(Wapato_Inventory[[#This Row],[adj_res]]*Lookups!$H$48,-2)&lt;Wapato_Inventory[[#This Row],[min_res]],Wapato_Inventory[[#This Row],[min_res]],ROUND(Wapato_Inventory[[#This Row],[adj_res]]*Lookups!$H$48,-2))</f>
        <v>128600</v>
      </c>
      <c r="CD400" s="3">
        <f>ROUND(Wapato_Inventory[[#This Row],[det_value]]*Lookups!$H$48,-2)</f>
        <v>0</v>
      </c>
      <c r="CE400" s="3">
        <f>Wapato_Inventory[[#This Row],[final_res]]+Wapato_Inventory[[#This Row],[final_det]]</f>
        <v>128600</v>
      </c>
      <c r="CF400" s="3">
        <f>Wapato_Inventory[[#This Row],[crop_value]]+Wapato_Inventory[[#This Row],[final_land]]+Wapato_Inventory[[#This Row],[final_imp]]</f>
        <v>179500</v>
      </c>
      <c r="CH400" t="str">
        <f t="shared" si="6"/>
        <v>update valuation set market_land =50900, market_bldg=128600, market_total =179500, market_mdno =405, market_date ='9/10/2023' where link_id = (select link_id from parcel where parcel_year = '2024' and parcel_id = '19111133493');</v>
      </c>
    </row>
    <row r="401" spans="1:86" x14ac:dyDescent="0.25">
      <c r="A401">
        <v>19111133494</v>
      </c>
      <c r="B401">
        <v>0.6</v>
      </c>
      <c r="C401">
        <v>26009</v>
      </c>
      <c r="D401" t="s">
        <v>144</v>
      </c>
      <c r="E401" t="s">
        <v>54</v>
      </c>
      <c r="F401" t="s">
        <v>54</v>
      </c>
      <c r="G401">
        <v>3</v>
      </c>
      <c r="H401" t="s">
        <v>55</v>
      </c>
      <c r="I401">
        <v>176700</v>
      </c>
      <c r="J401">
        <v>42200</v>
      </c>
      <c r="K401">
        <v>0.6</v>
      </c>
      <c r="L401">
        <f>IF(Wapato_Inventory[[#This Row],[parcel_acres]]-Wapato_Inventory[[#This Row],[non_valued_acres]] =0,0,LN(Wapato_Inventory[[#This Row],[parcel_acres]]-Wapato_Inventory[[#This Row],[non_valued_acres]]))</f>
        <v>-0.51082562376599072</v>
      </c>
      <c r="M401">
        <v>0</v>
      </c>
      <c r="N401">
        <v>0</v>
      </c>
      <c r="O401">
        <v>0</v>
      </c>
      <c r="P401">
        <v>27904.037</v>
      </c>
      <c r="Q401">
        <v>74398</v>
      </c>
      <c r="R401" s="3">
        <f>(Wapato_Inventory[[#This Row],[ln_acres]]*Wapato_Inventory[[#This Row],[coeff]])+Wapato_Inventory[[#This Row],[const]]</f>
        <v>60143.902893885715</v>
      </c>
      <c r="S401" t="s">
        <v>66</v>
      </c>
      <c r="T401">
        <v>1</v>
      </c>
      <c r="U401" t="s">
        <v>71</v>
      </c>
      <c r="V401" t="s">
        <v>68</v>
      </c>
      <c r="W401">
        <v>0</v>
      </c>
      <c r="X401">
        <v>0</v>
      </c>
      <c r="Y401">
        <v>55</v>
      </c>
      <c r="Z401">
        <v>98</v>
      </c>
      <c r="AA401">
        <v>100</v>
      </c>
      <c r="AB401">
        <v>1500</v>
      </c>
      <c r="AC401">
        <v>1026</v>
      </c>
      <c r="AD401">
        <v>1026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540</v>
      </c>
      <c r="AN401">
        <v>0</v>
      </c>
      <c r="AO401">
        <v>540</v>
      </c>
      <c r="AP401">
        <v>5</v>
      </c>
      <c r="AQ401">
        <v>0</v>
      </c>
      <c r="AR401">
        <v>0</v>
      </c>
      <c r="AS401" t="s">
        <v>59</v>
      </c>
      <c r="AT401">
        <v>1</v>
      </c>
      <c r="AU401" t="s">
        <v>76</v>
      </c>
      <c r="AV401" t="s">
        <v>61</v>
      </c>
      <c r="AW401">
        <v>0</v>
      </c>
      <c r="AX401">
        <v>3</v>
      </c>
      <c r="AY401">
        <v>0</v>
      </c>
      <c r="AZ401">
        <v>39700</v>
      </c>
      <c r="BA401">
        <v>100</v>
      </c>
      <c r="BB401">
        <v>100</v>
      </c>
      <c r="BC401">
        <v>100</v>
      </c>
      <c r="BD401">
        <v>100</v>
      </c>
      <c r="BE401">
        <v>1</v>
      </c>
      <c r="BF401">
        <v>15000</v>
      </c>
      <c r="BG401">
        <v>1000</v>
      </c>
      <c r="BH401" s="7">
        <f>ROUND(Wapato_Inventory[[#This Row],[detatched_value]]*Lookups!$B$22*Lookups!$H$48,-2)</f>
        <v>35500</v>
      </c>
      <c r="BI401" s="7">
        <f>ROUND(((Wapato_Inventory[[#This Row],[land_extract]]*Lookups!$B$3) +(Lookups!$B$2*0.5))*Lookups!$H$48,-2)</f>
        <v>56900</v>
      </c>
      <c r="BJ401" s="7">
        <f>IF(Wapato_Inventory[[#This Row],[bldg_style]]="",0,Lookups!$B$2*0.5)</f>
        <v>53765.27</v>
      </c>
      <c r="BK401" s="7">
        <f>_xlfn.IFNA(VLOOKUP(Wapato_Inventory[[#This Row],[quality]],Lookups!$H$2:$J$14,3,FALSE),0)</f>
        <v>28034</v>
      </c>
      <c r="BL401" s="7">
        <f>_xlfn.IFNA(VLOOKUP(Wapato_Inventory[[#This Row],[condition]],Lookups!$H$17:$J$24,3,FALSE),0)</f>
        <v>52231</v>
      </c>
      <c r="BM401" s="7">
        <f>Wapato_Inventory[[#This Row],[Age]]*Lookups!$B$16</f>
        <v>-36326.2186</v>
      </c>
      <c r="BN401" s="7">
        <f>Wapato_Inventory[[#This Row],[Main Floor]]*Lookups!$B$17</f>
        <v>42887.558213999997</v>
      </c>
      <c r="BO401" s="7">
        <f>Wapato_Inventory[[#This Row],[Upper Floor]]*Lookups!$B$18</f>
        <v>0</v>
      </c>
      <c r="BP401" s="7">
        <f>Wapato_Inventory[[#This Row],[Fin BSMT]]*Lookups!$B$19</f>
        <v>0</v>
      </c>
      <c r="BQ401" s="7">
        <f>(Wapato_Inventory[[#This Row],[att_gar]]+Wapato_Inventory[[#This Row],[blt_gar]])*Lookups!$B$20</f>
        <v>0</v>
      </c>
      <c r="BR401" s="7">
        <f>Wapato_Inventory[[#This Row],[Patio]]*Lookups!$B$21</f>
        <v>23394.948660000002</v>
      </c>
      <c r="BS401" s="7">
        <f>SUM(Wapato_Inventory[[#This Row],[intercept]:[patio_value]])*Wapato_Inventory[[#This Row],[res_pct]]</f>
        <v>163986.55827399998</v>
      </c>
      <c r="BT401" s="7">
        <f>Wapato_Inventory[[#This Row],[land_value]]</f>
        <v>56900</v>
      </c>
      <c r="BU401" s="2">
        <f>_xlfn.IFNA(VLOOKUP(Wapato_Inventory[[#This Row],[quality]],Lookups!$A$28:$C$37,3,FALSE),1)</f>
        <v>0.96265813922927435</v>
      </c>
      <c r="BV401" s="2">
        <f>_xlfn.IFNA(VLOOKUP(Wapato_Inventory[[#This Row],[condition]],Lookups!$A$41:$C$48,3,FALSE),1)</f>
        <v>0.9832333997567807</v>
      </c>
      <c r="BW401" s="2">
        <f>IF(Wapato_Inventory[[#This Row],[decade]]="",1,_xlfn.IFNA(VLOOKUP(Wapato_Inventory[[#This Row],[decade]],Lookups!$F$28:$H$45,3,FALSE),1))</f>
        <v>1.0114203040664467</v>
      </c>
      <c r="BX401" s="2">
        <f>_xlfn.IFNA(VLOOKUP(Wapato_Inventory[[#This Row],[living_area_range]],Lookups!$K$28:$M$37,3,FALSE),1)</f>
        <v>1.0061411172456287</v>
      </c>
      <c r="BY401" s="2">
        <f>AVERAGE(Wapato_Inventory[[#This Row],[qual_adj]:[range_adj]])</f>
        <v>0.99086324007453253</v>
      </c>
      <c r="BZ401" s="7">
        <f>(Wapato_Inventory[[#This Row],[sum_land]]-IF(Wapato_Inventory[[#This Row],[no_utilities]]=1,12000,0))/IF(Wapato_Inventory[[#This Row],[unbuildable]]=1,2,1)</f>
        <v>56900</v>
      </c>
      <c r="CA401" s="7">
        <f>Wapato_Inventory[[#This Row],[pre_res]]*Wapato_Inventory[[#This Row],[overall_adj]]</f>
        <v>162488.25246004676</v>
      </c>
      <c r="CB401" s="3">
        <f>IF(ROUND(Wapato_Inventory[[#This Row],[adj_land]]*Lookups!$H$48,-2)&lt;Wapato_Inventory[[#This Row],[min_land]],Wapato_Inventory[[#This Row],[min_land]],ROUND(Wapato_Inventory[[#This Row],[adj_land]]*Lookups!$H$48,-2))</f>
        <v>54100</v>
      </c>
      <c r="CC401" s="3">
        <f>IF(ROUND(Wapato_Inventory[[#This Row],[adj_res]]*Lookups!$H$48,-2)&lt;Wapato_Inventory[[#This Row],[min_res]],Wapato_Inventory[[#This Row],[min_res]],ROUND(Wapato_Inventory[[#This Row],[adj_res]]*Lookups!$H$48,-2))</f>
        <v>154400</v>
      </c>
      <c r="CD401" s="3">
        <f>ROUND(Wapato_Inventory[[#This Row],[det_value]]*Lookups!$H$48,-2)</f>
        <v>33700</v>
      </c>
      <c r="CE401" s="3">
        <f>Wapato_Inventory[[#This Row],[final_res]]+Wapato_Inventory[[#This Row],[final_det]]</f>
        <v>188100</v>
      </c>
      <c r="CF401" s="3">
        <f>Wapato_Inventory[[#This Row],[crop_value]]+Wapato_Inventory[[#This Row],[final_land]]+Wapato_Inventory[[#This Row],[final_imp]]</f>
        <v>242200</v>
      </c>
      <c r="CH401" t="str">
        <f t="shared" si="6"/>
        <v>update valuation set market_land =54100, market_bldg=188100, market_total =242200, market_mdno =405, market_date ='9/10/2023' where link_id = (select link_id from parcel where parcel_year = '2024' and parcel_id = '19111133494');</v>
      </c>
    </row>
    <row r="402" spans="1:86" x14ac:dyDescent="0.25">
      <c r="A402">
        <v>19111133496</v>
      </c>
      <c r="B402">
        <v>0.18</v>
      </c>
      <c r="C402">
        <v>7652</v>
      </c>
      <c r="D402" t="s">
        <v>144</v>
      </c>
      <c r="E402" t="s">
        <v>54</v>
      </c>
      <c r="F402" t="s">
        <v>54</v>
      </c>
      <c r="G402">
        <v>3</v>
      </c>
      <c r="H402" t="s">
        <v>55</v>
      </c>
      <c r="I402">
        <v>84500</v>
      </c>
      <c r="J402">
        <v>33700</v>
      </c>
      <c r="K402">
        <v>0.18</v>
      </c>
      <c r="L402">
        <f>IF(Wapato_Inventory[[#This Row],[parcel_acres]]-Wapato_Inventory[[#This Row],[non_valued_acres]] =0,0,LN(Wapato_Inventory[[#This Row],[parcel_acres]]-Wapato_Inventory[[#This Row],[non_valued_acres]]))</f>
        <v>-1.7147984280919266</v>
      </c>
      <c r="M402">
        <v>0</v>
      </c>
      <c r="N402">
        <v>0</v>
      </c>
      <c r="O402">
        <v>0</v>
      </c>
      <c r="P402">
        <v>27904.037</v>
      </c>
      <c r="Q402">
        <v>74398</v>
      </c>
      <c r="R402" s="3">
        <f>(Wapato_Inventory[[#This Row],[ln_acres]]*Wapato_Inventory[[#This Row],[coeff]])+Wapato_Inventory[[#This Row],[const]]</f>
        <v>26548.20121498104</v>
      </c>
      <c r="S402" t="s">
        <v>66</v>
      </c>
      <c r="T402">
        <v>1</v>
      </c>
      <c r="U402" t="s">
        <v>71</v>
      </c>
      <c r="V402" t="s">
        <v>73</v>
      </c>
      <c r="W402">
        <v>0</v>
      </c>
      <c r="X402">
        <v>0</v>
      </c>
      <c r="Y402">
        <v>53</v>
      </c>
      <c r="Z402">
        <v>93</v>
      </c>
      <c r="AA402">
        <v>100</v>
      </c>
      <c r="AB402">
        <v>1000</v>
      </c>
      <c r="AC402">
        <v>958</v>
      </c>
      <c r="AD402">
        <v>958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5</v>
      </c>
      <c r="AQ402">
        <v>0</v>
      </c>
      <c r="AR402">
        <v>0</v>
      </c>
      <c r="AS402" t="s">
        <v>59</v>
      </c>
      <c r="AT402">
        <v>0</v>
      </c>
      <c r="AU402" t="s">
        <v>80</v>
      </c>
      <c r="AV402" t="s">
        <v>61</v>
      </c>
      <c r="AW402">
        <v>0</v>
      </c>
      <c r="AX402">
        <v>3</v>
      </c>
      <c r="AY402">
        <v>0</v>
      </c>
      <c r="AZ402">
        <v>0</v>
      </c>
      <c r="BA402">
        <v>100</v>
      </c>
      <c r="BB402">
        <v>100</v>
      </c>
      <c r="BC402">
        <v>100</v>
      </c>
      <c r="BD402">
        <v>100</v>
      </c>
      <c r="BE402">
        <v>1</v>
      </c>
      <c r="BF402">
        <v>15000</v>
      </c>
      <c r="BG402">
        <v>1000</v>
      </c>
      <c r="BH402" s="7">
        <f>ROUND(Wapato_Inventory[[#This Row],[detatched_value]]*Lookups!$B$22*Lookups!$H$48,-2)</f>
        <v>0</v>
      </c>
      <c r="BI402" s="7">
        <f>ROUND(((Wapato_Inventory[[#This Row],[land_extract]]*Lookups!$B$3) +(Lookups!$B$2*0.5))*Lookups!$H$48,-2)</f>
        <v>53600</v>
      </c>
      <c r="BJ402" s="7">
        <f>IF(Wapato_Inventory[[#This Row],[bldg_style]]="",0,Lookups!$B$2*0.5)</f>
        <v>53765.27</v>
      </c>
      <c r="BK402" s="7">
        <f>_xlfn.IFNA(VLOOKUP(Wapato_Inventory[[#This Row],[quality]],Lookups!$H$2:$J$14,3,FALSE),0)</f>
        <v>28034</v>
      </c>
      <c r="BL402" s="7">
        <f>_xlfn.IFNA(VLOOKUP(Wapato_Inventory[[#This Row],[condition]],Lookups!$H$17:$J$24,3,FALSE),0)</f>
        <v>16276</v>
      </c>
      <c r="BM402" s="7">
        <f>Wapato_Inventory[[#This Row],[Age]]*Lookups!$B$16</f>
        <v>-34472.840100000001</v>
      </c>
      <c r="BN402" s="7">
        <f>Wapato_Inventory[[#This Row],[Main Floor]]*Lookups!$B$17</f>
        <v>40045.107962000002</v>
      </c>
      <c r="BO402" s="7">
        <f>Wapato_Inventory[[#This Row],[Upper Floor]]*Lookups!$B$18</f>
        <v>0</v>
      </c>
      <c r="BP402" s="7">
        <f>Wapato_Inventory[[#This Row],[Fin BSMT]]*Lookups!$B$19</f>
        <v>0</v>
      </c>
      <c r="BQ402" s="7">
        <f>(Wapato_Inventory[[#This Row],[att_gar]]+Wapato_Inventory[[#This Row],[blt_gar]])*Lookups!$B$20</f>
        <v>0</v>
      </c>
      <c r="BR402" s="7">
        <f>Wapato_Inventory[[#This Row],[Patio]]*Lookups!$B$21</f>
        <v>0</v>
      </c>
      <c r="BS402" s="7">
        <f>SUM(Wapato_Inventory[[#This Row],[intercept]:[patio_value]])*Wapato_Inventory[[#This Row],[res_pct]]</f>
        <v>103647.537862</v>
      </c>
      <c r="BT402" s="7">
        <f>Wapato_Inventory[[#This Row],[land_value]]</f>
        <v>53600</v>
      </c>
      <c r="BU402" s="2">
        <f>_xlfn.IFNA(VLOOKUP(Wapato_Inventory[[#This Row],[quality]],Lookups!$A$28:$C$37,3,FALSE),1)</f>
        <v>0.96265813922927435</v>
      </c>
      <c r="BV402" s="2">
        <f>_xlfn.IFNA(VLOOKUP(Wapato_Inventory[[#This Row],[condition]],Lookups!$A$41:$C$48,3,FALSE),1)</f>
        <v>0.93399385491337139</v>
      </c>
      <c r="BW402" s="2">
        <f>IF(Wapato_Inventory[[#This Row],[decade]]="",1,_xlfn.IFNA(VLOOKUP(Wapato_Inventory[[#This Row],[decade]],Lookups!$F$28:$H$45,3,FALSE),1))</f>
        <v>1.0114203040664467</v>
      </c>
      <c r="BX402" s="2">
        <f>_xlfn.IFNA(VLOOKUP(Wapato_Inventory[[#This Row],[living_area_range]],Lookups!$K$28:$M$37,3,FALSE),1)</f>
        <v>0.99022994770196116</v>
      </c>
      <c r="BY402" s="2">
        <f>AVERAGE(Wapato_Inventory[[#This Row],[qual_adj]:[range_adj]])</f>
        <v>0.97457556147776347</v>
      </c>
      <c r="BZ402" s="7">
        <f>(Wapato_Inventory[[#This Row],[sum_land]]-IF(Wapato_Inventory[[#This Row],[no_utilities]]=1,12000,0))/IF(Wapato_Inventory[[#This Row],[unbuildable]]=1,2,1)</f>
        <v>53600</v>
      </c>
      <c r="CA402" s="7">
        <f>Wapato_Inventory[[#This Row],[pre_res]]*Wapato_Inventory[[#This Row],[overall_adj]]</f>
        <v>101012.3574076464</v>
      </c>
      <c r="CB402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02" s="3">
        <f>IF(ROUND(Wapato_Inventory[[#This Row],[adj_res]]*Lookups!$H$48,-2)&lt;Wapato_Inventory[[#This Row],[min_res]],Wapato_Inventory[[#This Row],[min_res]],ROUND(Wapato_Inventory[[#This Row],[adj_res]]*Lookups!$H$48,-2))</f>
        <v>96000</v>
      </c>
      <c r="CD402" s="3">
        <f>ROUND(Wapato_Inventory[[#This Row],[det_value]]*Lookups!$H$48,-2)</f>
        <v>0</v>
      </c>
      <c r="CE402" s="3">
        <f>Wapato_Inventory[[#This Row],[final_res]]+Wapato_Inventory[[#This Row],[final_det]]</f>
        <v>96000</v>
      </c>
      <c r="CF402" s="3">
        <f>Wapato_Inventory[[#This Row],[crop_value]]+Wapato_Inventory[[#This Row],[final_land]]+Wapato_Inventory[[#This Row],[final_imp]]</f>
        <v>146900</v>
      </c>
      <c r="CH402" t="str">
        <f t="shared" si="6"/>
        <v>update valuation set market_land =50900, market_bldg=96000, market_total =146900, market_mdno =405, market_date ='9/10/2023' where link_id = (select link_id from parcel where parcel_year = '2024' and parcel_id = '19111133496');</v>
      </c>
    </row>
    <row r="403" spans="1:86" x14ac:dyDescent="0.25">
      <c r="A403">
        <v>19111133500</v>
      </c>
      <c r="B403">
        <v>0.18</v>
      </c>
      <c r="C403">
        <v>7662</v>
      </c>
      <c r="D403" t="s">
        <v>144</v>
      </c>
      <c r="E403" t="s">
        <v>54</v>
      </c>
      <c r="F403" t="s">
        <v>54</v>
      </c>
      <c r="G403">
        <v>3</v>
      </c>
      <c r="H403" t="s">
        <v>55</v>
      </c>
      <c r="I403">
        <v>33900</v>
      </c>
      <c r="J403">
        <v>33700</v>
      </c>
      <c r="K403">
        <v>0.18</v>
      </c>
      <c r="L403">
        <f>IF(Wapato_Inventory[[#This Row],[parcel_acres]]-Wapato_Inventory[[#This Row],[non_valued_acres]] =0,0,LN(Wapato_Inventory[[#This Row],[parcel_acres]]-Wapato_Inventory[[#This Row],[non_valued_acres]]))</f>
        <v>-1.7147984280919266</v>
      </c>
      <c r="M403">
        <v>0</v>
      </c>
      <c r="N403">
        <v>0</v>
      </c>
      <c r="O403">
        <v>0</v>
      </c>
      <c r="P403">
        <v>27904.037</v>
      </c>
      <c r="Q403">
        <v>74398</v>
      </c>
      <c r="R403" s="3">
        <f>(Wapato_Inventory[[#This Row],[ln_acres]]*Wapato_Inventory[[#This Row],[coeff]])+Wapato_Inventory[[#This Row],[const]]</f>
        <v>26548.20121498104</v>
      </c>
      <c r="S403" t="s">
        <v>83</v>
      </c>
      <c r="T403">
        <v>1</v>
      </c>
      <c r="U403" t="s">
        <v>86</v>
      </c>
      <c r="V403" t="s">
        <v>84</v>
      </c>
      <c r="W403">
        <v>0</v>
      </c>
      <c r="X403">
        <v>0</v>
      </c>
      <c r="Y403">
        <v>98</v>
      </c>
      <c r="Z403">
        <v>98</v>
      </c>
      <c r="AA403">
        <v>100</v>
      </c>
      <c r="AB403">
        <v>1000</v>
      </c>
      <c r="AC403">
        <v>780</v>
      </c>
      <c r="AD403">
        <v>780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80</v>
      </c>
      <c r="AM403">
        <v>0</v>
      </c>
      <c r="AN403">
        <v>0</v>
      </c>
      <c r="AO403">
        <v>0</v>
      </c>
      <c r="AP403">
        <v>5</v>
      </c>
      <c r="AQ403">
        <v>0</v>
      </c>
      <c r="AR403">
        <v>0</v>
      </c>
      <c r="AS403" t="s">
        <v>59</v>
      </c>
      <c r="AT403">
        <v>0</v>
      </c>
      <c r="AU403" t="s">
        <v>80</v>
      </c>
      <c r="AV403" t="s">
        <v>65</v>
      </c>
      <c r="AW403">
        <v>0</v>
      </c>
      <c r="AX403">
        <v>2</v>
      </c>
      <c r="AY403">
        <v>0</v>
      </c>
      <c r="AZ403">
        <v>0</v>
      </c>
      <c r="BA403">
        <v>100</v>
      </c>
      <c r="BB403">
        <v>100</v>
      </c>
      <c r="BC403">
        <v>100</v>
      </c>
      <c r="BD403">
        <v>100</v>
      </c>
      <c r="BE403">
        <v>1</v>
      </c>
      <c r="BF403">
        <v>15000</v>
      </c>
      <c r="BG403">
        <v>1000</v>
      </c>
      <c r="BH403" s="7">
        <f>ROUND(Wapato_Inventory[[#This Row],[detatched_value]]*Lookups!$B$22*Lookups!$H$48,-2)</f>
        <v>0</v>
      </c>
      <c r="BI403" s="7">
        <f>ROUND(((Wapato_Inventory[[#This Row],[land_extract]]*Lookups!$B$3) +(Lookups!$B$2*0.5))*Lookups!$H$48,-2)</f>
        <v>53600</v>
      </c>
      <c r="BJ403" s="7">
        <f>IF(Wapato_Inventory[[#This Row],[bldg_style]]="",0,Lookups!$B$2*0.5)</f>
        <v>53765.27</v>
      </c>
      <c r="BK403" s="7">
        <f>_xlfn.IFNA(VLOOKUP(Wapato_Inventory[[#This Row],[quality]],Lookups!$H$2:$J$14,3,FALSE),0)</f>
        <v>0</v>
      </c>
      <c r="BL403" s="7">
        <f>_xlfn.IFNA(VLOOKUP(Wapato_Inventory[[#This Row],[condition]],Lookups!$H$17:$J$24,3,FALSE),0)</f>
        <v>0</v>
      </c>
      <c r="BM403" s="7">
        <f>Wapato_Inventory[[#This Row],[Age]]*Lookups!$B$16</f>
        <v>-36326.2186</v>
      </c>
      <c r="BN403" s="7">
        <f>Wapato_Inventory[[#This Row],[Main Floor]]*Lookups!$B$17</f>
        <v>32604.576420000001</v>
      </c>
      <c r="BO403" s="7">
        <f>Wapato_Inventory[[#This Row],[Upper Floor]]*Lookups!$B$18</f>
        <v>0</v>
      </c>
      <c r="BP403" s="7">
        <f>Wapato_Inventory[[#This Row],[Fin BSMT]]*Lookups!$B$19</f>
        <v>0</v>
      </c>
      <c r="BQ403" s="7">
        <f>(Wapato_Inventory[[#This Row],[att_gar]]+Wapato_Inventory[[#This Row],[blt_gar]])*Lookups!$B$20</f>
        <v>0</v>
      </c>
      <c r="BR403" s="7">
        <f>Wapato_Inventory[[#This Row],[Patio]]*Lookups!$B$21</f>
        <v>0</v>
      </c>
      <c r="BS403" s="7">
        <f>SUM(Wapato_Inventory[[#This Row],[intercept]:[patio_value]])*Wapato_Inventory[[#This Row],[res_pct]]</f>
        <v>50043.627819999994</v>
      </c>
      <c r="BT403" s="7">
        <f>Wapato_Inventory[[#This Row],[land_value]]</f>
        <v>53600</v>
      </c>
      <c r="BU403" s="2">
        <f>_xlfn.IFNA(VLOOKUP(Wapato_Inventory[[#This Row],[quality]],Lookups!$A$28:$C$37,3,FALSE),1)</f>
        <v>1.0000010866511106</v>
      </c>
      <c r="BV403" s="2">
        <f>_xlfn.IFNA(VLOOKUP(Wapato_Inventory[[#This Row],[condition]],Lookups!$A$41:$C$48,3,FALSE),1)</f>
        <v>1.0000035546274355</v>
      </c>
      <c r="BW403" s="2">
        <f>IF(Wapato_Inventory[[#This Row],[decade]]="",1,_xlfn.IFNA(VLOOKUP(Wapato_Inventory[[#This Row],[decade]],Lookups!$F$28:$H$45,3,FALSE),1))</f>
        <v>1.0114203040664467</v>
      </c>
      <c r="BX403" s="2">
        <f>_xlfn.IFNA(VLOOKUP(Wapato_Inventory[[#This Row],[living_area_range]],Lookups!$K$28:$M$37,3,FALSE),1)</f>
        <v>0.99022994770196116</v>
      </c>
      <c r="BY403" s="2">
        <f>AVERAGE(Wapato_Inventory[[#This Row],[qual_adj]:[range_adj]])</f>
        <v>1.0004137232617385</v>
      </c>
      <c r="BZ403" s="7">
        <f>(Wapato_Inventory[[#This Row],[sum_land]]-IF(Wapato_Inventory[[#This Row],[no_utilities]]=1,12000,0))/IF(Wapato_Inventory[[#This Row],[unbuildable]]=1,2,1)</f>
        <v>53600</v>
      </c>
      <c r="CA403" s="7">
        <f>Wapato_Inventory[[#This Row],[pre_res]]*Wapato_Inventory[[#This Row],[overall_adj]]</f>
        <v>50064.332032930914</v>
      </c>
      <c r="CB403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03" s="3">
        <f>IF(ROUND(Wapato_Inventory[[#This Row],[adj_res]]*Lookups!$H$48,-2)&lt;Wapato_Inventory[[#This Row],[min_res]],Wapato_Inventory[[#This Row],[min_res]],ROUND(Wapato_Inventory[[#This Row],[adj_res]]*Lookups!$H$48,-2))</f>
        <v>47600</v>
      </c>
      <c r="CD403" s="3">
        <f>ROUND(Wapato_Inventory[[#This Row],[det_value]]*Lookups!$H$48,-2)</f>
        <v>0</v>
      </c>
      <c r="CE403" s="3">
        <f>Wapato_Inventory[[#This Row],[final_res]]+Wapato_Inventory[[#This Row],[final_det]]</f>
        <v>47600</v>
      </c>
      <c r="CF403" s="3">
        <f>Wapato_Inventory[[#This Row],[crop_value]]+Wapato_Inventory[[#This Row],[final_land]]+Wapato_Inventory[[#This Row],[final_imp]]</f>
        <v>98500</v>
      </c>
      <c r="CH403" t="str">
        <f t="shared" si="6"/>
        <v>update valuation set market_land =50900, market_bldg=47600, market_total =98500, market_mdno =405, market_date ='9/10/2023' where link_id = (select link_id from parcel where parcel_year = '2024' and parcel_id = '19111133500');</v>
      </c>
    </row>
    <row r="404" spans="1:86" x14ac:dyDescent="0.25">
      <c r="A404">
        <v>19111133501</v>
      </c>
      <c r="B404">
        <v>0.18</v>
      </c>
      <c r="C404">
        <v>7675</v>
      </c>
      <c r="D404" t="s">
        <v>144</v>
      </c>
      <c r="E404" t="s">
        <v>54</v>
      </c>
      <c r="F404" t="s">
        <v>54</v>
      </c>
      <c r="G404">
        <v>3</v>
      </c>
      <c r="H404" t="s">
        <v>55</v>
      </c>
      <c r="I404">
        <v>119000</v>
      </c>
      <c r="J404">
        <v>33700</v>
      </c>
      <c r="K404">
        <v>0.18</v>
      </c>
      <c r="L404">
        <f>IF(Wapato_Inventory[[#This Row],[parcel_acres]]-Wapato_Inventory[[#This Row],[non_valued_acres]] =0,0,LN(Wapato_Inventory[[#This Row],[parcel_acres]]-Wapato_Inventory[[#This Row],[non_valued_acres]]))</f>
        <v>-1.7147984280919266</v>
      </c>
      <c r="M404">
        <v>0</v>
      </c>
      <c r="N404">
        <v>0</v>
      </c>
      <c r="O404">
        <v>0</v>
      </c>
      <c r="P404">
        <v>27904.037</v>
      </c>
      <c r="Q404">
        <v>74398</v>
      </c>
      <c r="R404" s="3">
        <f>(Wapato_Inventory[[#This Row],[ln_acres]]*Wapato_Inventory[[#This Row],[coeff]])+Wapato_Inventory[[#This Row],[const]]</f>
        <v>26548.20121498104</v>
      </c>
      <c r="S404" t="s">
        <v>66</v>
      </c>
      <c r="T404">
        <v>1</v>
      </c>
      <c r="U404" t="s">
        <v>71</v>
      </c>
      <c r="V404" t="s">
        <v>68</v>
      </c>
      <c r="W404">
        <v>0</v>
      </c>
      <c r="X404">
        <v>0</v>
      </c>
      <c r="Y404">
        <v>51</v>
      </c>
      <c r="Z404">
        <v>83</v>
      </c>
      <c r="AA404">
        <v>90</v>
      </c>
      <c r="AB404">
        <v>1500</v>
      </c>
      <c r="AC404">
        <v>1128</v>
      </c>
      <c r="AD404">
        <v>1128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7</v>
      </c>
      <c r="AQ404">
        <v>0</v>
      </c>
      <c r="AR404">
        <v>0</v>
      </c>
      <c r="AS404" t="s">
        <v>59</v>
      </c>
      <c r="AT404">
        <v>1</v>
      </c>
      <c r="AU404" t="s">
        <v>64</v>
      </c>
      <c r="AV404" t="s">
        <v>65</v>
      </c>
      <c r="AW404">
        <v>0</v>
      </c>
      <c r="AX404">
        <v>3</v>
      </c>
      <c r="AY404">
        <v>0</v>
      </c>
      <c r="AZ404">
        <v>0</v>
      </c>
      <c r="BA404">
        <v>100</v>
      </c>
      <c r="BB404">
        <v>100</v>
      </c>
      <c r="BC404">
        <v>100</v>
      </c>
      <c r="BD404">
        <v>100</v>
      </c>
      <c r="BE404">
        <v>1</v>
      </c>
      <c r="BF404">
        <v>15000</v>
      </c>
      <c r="BG404">
        <v>1000</v>
      </c>
      <c r="BH404" s="7">
        <f>ROUND(Wapato_Inventory[[#This Row],[detatched_value]]*Lookups!$B$22*Lookups!$H$48,-2)</f>
        <v>0</v>
      </c>
      <c r="BI404" s="7">
        <f>ROUND(((Wapato_Inventory[[#This Row],[land_extract]]*Lookups!$B$3) +(Lookups!$B$2*0.5))*Lookups!$H$48,-2)</f>
        <v>53600</v>
      </c>
      <c r="BJ404" s="7">
        <f>IF(Wapato_Inventory[[#This Row],[bldg_style]]="",0,Lookups!$B$2*0.5)</f>
        <v>53765.27</v>
      </c>
      <c r="BK404" s="7">
        <f>_xlfn.IFNA(VLOOKUP(Wapato_Inventory[[#This Row],[quality]],Lookups!$H$2:$J$14,3,FALSE),0)</f>
        <v>28034</v>
      </c>
      <c r="BL404" s="7">
        <f>_xlfn.IFNA(VLOOKUP(Wapato_Inventory[[#This Row],[condition]],Lookups!$H$17:$J$24,3,FALSE),0)</f>
        <v>52231</v>
      </c>
      <c r="BM404" s="7">
        <f>Wapato_Inventory[[#This Row],[Age]]*Lookups!$B$16</f>
        <v>-30766.0831</v>
      </c>
      <c r="BN404" s="7">
        <f>Wapato_Inventory[[#This Row],[Main Floor]]*Lookups!$B$17</f>
        <v>47151.233591999997</v>
      </c>
      <c r="BO404" s="7">
        <f>Wapato_Inventory[[#This Row],[Upper Floor]]*Lookups!$B$18</f>
        <v>0</v>
      </c>
      <c r="BP404" s="7">
        <f>Wapato_Inventory[[#This Row],[Fin BSMT]]*Lookups!$B$19</f>
        <v>0</v>
      </c>
      <c r="BQ404" s="7">
        <f>(Wapato_Inventory[[#This Row],[att_gar]]+Wapato_Inventory[[#This Row],[blt_gar]])*Lookups!$B$20</f>
        <v>0</v>
      </c>
      <c r="BR404" s="7">
        <f>Wapato_Inventory[[#This Row],[Patio]]*Lookups!$B$21</f>
        <v>0</v>
      </c>
      <c r="BS404" s="7">
        <f>SUM(Wapato_Inventory[[#This Row],[intercept]:[patio_value]])*Wapato_Inventory[[#This Row],[res_pct]]</f>
        <v>150415.42049199998</v>
      </c>
      <c r="BT404" s="7">
        <f>Wapato_Inventory[[#This Row],[land_value]]</f>
        <v>53600</v>
      </c>
      <c r="BU404" s="2">
        <f>_xlfn.IFNA(VLOOKUP(Wapato_Inventory[[#This Row],[quality]],Lookups!$A$28:$C$37,3,FALSE),1)</f>
        <v>0.96265813922927435</v>
      </c>
      <c r="BV404" s="2">
        <f>_xlfn.IFNA(VLOOKUP(Wapato_Inventory[[#This Row],[condition]],Lookups!$A$41:$C$48,3,FALSE),1)</f>
        <v>0.9832333997567807</v>
      </c>
      <c r="BW404" s="2">
        <f>IF(Wapato_Inventory[[#This Row],[decade]]="",1,_xlfn.IFNA(VLOOKUP(Wapato_Inventory[[#This Row],[decade]],Lookups!$F$28:$H$45,3,FALSE),1))</f>
        <v>0.94742695999815718</v>
      </c>
      <c r="BX404" s="2">
        <f>_xlfn.IFNA(VLOOKUP(Wapato_Inventory[[#This Row],[living_area_range]],Lookups!$K$28:$M$37,3,FALSE),1)</f>
        <v>1.0061411172456287</v>
      </c>
      <c r="BY404" s="2">
        <f>AVERAGE(Wapato_Inventory[[#This Row],[qual_adj]:[range_adj]])</f>
        <v>0.97486490405746018</v>
      </c>
      <c r="BZ404" s="7">
        <f>(Wapato_Inventory[[#This Row],[sum_land]]-IF(Wapato_Inventory[[#This Row],[no_utilities]]=1,12000,0))/IF(Wapato_Inventory[[#This Row],[unbuildable]]=1,2,1)</f>
        <v>53600</v>
      </c>
      <c r="CA404" s="7">
        <f>Wapato_Inventory[[#This Row],[pre_res]]*Wapato_Inventory[[#This Row],[overall_adj]]</f>
        <v>146634.71446669608</v>
      </c>
      <c r="CB404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04" s="3">
        <f>IF(ROUND(Wapato_Inventory[[#This Row],[adj_res]]*Lookups!$H$48,-2)&lt;Wapato_Inventory[[#This Row],[min_res]],Wapato_Inventory[[#This Row],[min_res]],ROUND(Wapato_Inventory[[#This Row],[adj_res]]*Lookups!$H$48,-2))</f>
        <v>139300</v>
      </c>
      <c r="CD404" s="3">
        <f>ROUND(Wapato_Inventory[[#This Row],[det_value]]*Lookups!$H$48,-2)</f>
        <v>0</v>
      </c>
      <c r="CE404" s="3">
        <f>Wapato_Inventory[[#This Row],[final_res]]+Wapato_Inventory[[#This Row],[final_det]]</f>
        <v>139300</v>
      </c>
      <c r="CF404" s="3">
        <f>Wapato_Inventory[[#This Row],[crop_value]]+Wapato_Inventory[[#This Row],[final_land]]+Wapato_Inventory[[#This Row],[final_imp]]</f>
        <v>190200</v>
      </c>
      <c r="CH404" t="str">
        <f t="shared" si="6"/>
        <v>update valuation set market_land =50900, market_bldg=139300, market_total =190200, market_mdno =405, market_date ='9/10/2023' where link_id = (select link_id from parcel where parcel_year = '2024' and parcel_id = '19111133501');</v>
      </c>
    </row>
    <row r="405" spans="1:86" x14ac:dyDescent="0.25">
      <c r="A405">
        <v>19111133502</v>
      </c>
      <c r="B405">
        <v>0.18</v>
      </c>
      <c r="C405">
        <v>7690</v>
      </c>
      <c r="D405" t="s">
        <v>144</v>
      </c>
      <c r="E405" t="s">
        <v>54</v>
      </c>
      <c r="F405" t="s">
        <v>54</v>
      </c>
      <c r="G405">
        <v>3</v>
      </c>
      <c r="H405" t="s">
        <v>55</v>
      </c>
      <c r="I405">
        <v>144100</v>
      </c>
      <c r="J405">
        <v>33700</v>
      </c>
      <c r="K405">
        <v>0.18</v>
      </c>
      <c r="L405">
        <f>IF(Wapato_Inventory[[#This Row],[parcel_acres]]-Wapato_Inventory[[#This Row],[non_valued_acres]] =0,0,LN(Wapato_Inventory[[#This Row],[parcel_acres]]-Wapato_Inventory[[#This Row],[non_valued_acres]]))</f>
        <v>-1.7147984280919266</v>
      </c>
      <c r="M405">
        <v>0</v>
      </c>
      <c r="N405">
        <v>0</v>
      </c>
      <c r="O405">
        <v>0</v>
      </c>
      <c r="P405">
        <v>27904.037</v>
      </c>
      <c r="Q405">
        <v>74398</v>
      </c>
      <c r="R405" s="3">
        <f>(Wapato_Inventory[[#This Row],[ln_acres]]*Wapato_Inventory[[#This Row],[coeff]])+Wapato_Inventory[[#This Row],[const]]</f>
        <v>26548.20121498104</v>
      </c>
      <c r="S405" t="s">
        <v>66</v>
      </c>
      <c r="T405">
        <v>1</v>
      </c>
      <c r="U405" t="s">
        <v>67</v>
      </c>
      <c r="V405" t="s">
        <v>68</v>
      </c>
      <c r="W405">
        <v>0</v>
      </c>
      <c r="X405">
        <v>0</v>
      </c>
      <c r="Y405">
        <v>55</v>
      </c>
      <c r="Z405">
        <v>98</v>
      </c>
      <c r="AA405">
        <v>100</v>
      </c>
      <c r="AB405">
        <v>1500</v>
      </c>
      <c r="AC405">
        <v>1264</v>
      </c>
      <c r="AD405">
        <v>1144</v>
      </c>
      <c r="AE405">
        <v>0</v>
      </c>
      <c r="AF405">
        <v>120</v>
      </c>
      <c r="AG405">
        <v>0</v>
      </c>
      <c r="AH405">
        <v>150</v>
      </c>
      <c r="AI405">
        <v>0</v>
      </c>
      <c r="AJ405">
        <v>0</v>
      </c>
      <c r="AK405">
        <v>234</v>
      </c>
      <c r="AL405">
        <v>0</v>
      </c>
      <c r="AM405">
        <v>0</v>
      </c>
      <c r="AN405">
        <v>0</v>
      </c>
      <c r="AO405">
        <v>0</v>
      </c>
      <c r="AP405">
        <v>8</v>
      </c>
      <c r="AQ405">
        <v>1</v>
      </c>
      <c r="AR405">
        <v>0</v>
      </c>
      <c r="AS405" t="s">
        <v>59</v>
      </c>
      <c r="AT405">
        <v>1</v>
      </c>
      <c r="AU405" t="s">
        <v>72</v>
      </c>
      <c r="AV405" t="s">
        <v>61</v>
      </c>
      <c r="AW405">
        <v>0</v>
      </c>
      <c r="AX405">
        <v>3</v>
      </c>
      <c r="AY405">
        <v>0</v>
      </c>
      <c r="AZ405">
        <v>3300</v>
      </c>
      <c r="BA405">
        <v>100</v>
      </c>
      <c r="BB405">
        <v>100</v>
      </c>
      <c r="BC405">
        <v>100</v>
      </c>
      <c r="BD405">
        <v>100</v>
      </c>
      <c r="BE405">
        <v>1</v>
      </c>
      <c r="BF405">
        <v>15000</v>
      </c>
      <c r="BG405">
        <v>1000</v>
      </c>
      <c r="BH405" s="7">
        <f>ROUND(Wapato_Inventory[[#This Row],[detatched_value]]*Lookups!$B$22*Lookups!$H$48,-2)</f>
        <v>2900</v>
      </c>
      <c r="BI405" s="7">
        <f>ROUND(((Wapato_Inventory[[#This Row],[land_extract]]*Lookups!$B$3) +(Lookups!$B$2*0.5))*Lookups!$H$48,-2)</f>
        <v>53600</v>
      </c>
      <c r="BJ405" s="7">
        <f>IF(Wapato_Inventory[[#This Row],[bldg_style]]="",0,Lookups!$B$2*0.5)</f>
        <v>53765.27</v>
      </c>
      <c r="BK405" s="7">
        <f>_xlfn.IFNA(VLOOKUP(Wapato_Inventory[[#This Row],[quality]],Lookups!$H$2:$J$14,3,FALSE),0)</f>
        <v>50405</v>
      </c>
      <c r="BL405" s="7">
        <f>_xlfn.IFNA(VLOOKUP(Wapato_Inventory[[#This Row],[condition]],Lookups!$H$17:$J$24,3,FALSE),0)</f>
        <v>52231</v>
      </c>
      <c r="BM405" s="7">
        <f>Wapato_Inventory[[#This Row],[Age]]*Lookups!$B$16</f>
        <v>-36326.2186</v>
      </c>
      <c r="BN405" s="7">
        <f>Wapato_Inventory[[#This Row],[Main Floor]]*Lookups!$B$17</f>
        <v>47820.045416000001</v>
      </c>
      <c r="BO405" s="7">
        <f>Wapato_Inventory[[#This Row],[Upper Floor]]*Lookups!$B$18</f>
        <v>0</v>
      </c>
      <c r="BP405" s="7">
        <f>Wapato_Inventory[[#This Row],[Fin BSMT]]*Lookups!$B$19</f>
        <v>0</v>
      </c>
      <c r="BQ405" s="7">
        <f>(Wapato_Inventory[[#This Row],[att_gar]]+Wapato_Inventory[[#This Row],[blt_gar]])*Lookups!$B$20</f>
        <v>0</v>
      </c>
      <c r="BR405" s="7">
        <f>Wapato_Inventory[[#This Row],[Patio]]*Lookups!$B$21</f>
        <v>0</v>
      </c>
      <c r="BS405" s="7">
        <f>SUM(Wapato_Inventory[[#This Row],[intercept]:[patio_value]])*Wapato_Inventory[[#This Row],[res_pct]]</f>
        <v>167895.096816</v>
      </c>
      <c r="BT405" s="7">
        <f>Wapato_Inventory[[#This Row],[land_value]]</f>
        <v>53600</v>
      </c>
      <c r="BU405" s="2">
        <f>_xlfn.IFNA(VLOOKUP(Wapato_Inventory[[#This Row],[quality]],Lookups!$A$28:$C$37,3,FALSE),1)</f>
        <v>0.97993206410140754</v>
      </c>
      <c r="BV405" s="2">
        <f>_xlfn.IFNA(VLOOKUP(Wapato_Inventory[[#This Row],[condition]],Lookups!$A$41:$C$48,3,FALSE),1)</f>
        <v>0.9832333997567807</v>
      </c>
      <c r="BW405" s="2">
        <f>IF(Wapato_Inventory[[#This Row],[decade]]="",1,_xlfn.IFNA(VLOOKUP(Wapato_Inventory[[#This Row],[decade]],Lookups!$F$28:$H$45,3,FALSE),1))</f>
        <v>1.0114203040664467</v>
      </c>
      <c r="BX405" s="2">
        <f>_xlfn.IFNA(VLOOKUP(Wapato_Inventory[[#This Row],[living_area_range]],Lookups!$K$28:$M$37,3,FALSE),1)</f>
        <v>1.0061411172456287</v>
      </c>
      <c r="BY405" s="2">
        <f>AVERAGE(Wapato_Inventory[[#This Row],[qual_adj]:[range_adj]])</f>
        <v>0.99518172129256599</v>
      </c>
      <c r="BZ405" s="7">
        <f>(Wapato_Inventory[[#This Row],[sum_land]]-IF(Wapato_Inventory[[#This Row],[no_utilities]]=1,12000,0))/IF(Wapato_Inventory[[#This Row],[unbuildable]]=1,2,1)</f>
        <v>53600</v>
      </c>
      <c r="CA405" s="7">
        <f>Wapato_Inventory[[#This Row],[pre_res]]*Wapato_Inventory[[#This Row],[overall_adj]]</f>
        <v>167086.13144592891</v>
      </c>
      <c r="CB405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05" s="3">
        <f>IF(ROUND(Wapato_Inventory[[#This Row],[adj_res]]*Lookups!$H$48,-2)&lt;Wapato_Inventory[[#This Row],[min_res]],Wapato_Inventory[[#This Row],[min_res]],ROUND(Wapato_Inventory[[#This Row],[adj_res]]*Lookups!$H$48,-2))</f>
        <v>158700</v>
      </c>
      <c r="CD405" s="3">
        <f>ROUND(Wapato_Inventory[[#This Row],[det_value]]*Lookups!$H$48,-2)</f>
        <v>2800</v>
      </c>
      <c r="CE405" s="3">
        <f>Wapato_Inventory[[#This Row],[final_res]]+Wapato_Inventory[[#This Row],[final_det]]</f>
        <v>161500</v>
      </c>
      <c r="CF405" s="3">
        <f>Wapato_Inventory[[#This Row],[crop_value]]+Wapato_Inventory[[#This Row],[final_land]]+Wapato_Inventory[[#This Row],[final_imp]]</f>
        <v>212400</v>
      </c>
      <c r="CH405" t="str">
        <f t="shared" si="6"/>
        <v>update valuation set market_land =50900, market_bldg=161500, market_total =212400, market_mdno =405, market_date ='9/10/2023' where link_id = (select link_id from parcel where parcel_year = '2024' and parcel_id = '19111133502');</v>
      </c>
    </row>
    <row r="406" spans="1:86" x14ac:dyDescent="0.25">
      <c r="A406">
        <v>19111133504</v>
      </c>
      <c r="B406">
        <v>0.18</v>
      </c>
      <c r="C406">
        <v>7720</v>
      </c>
      <c r="D406" t="s">
        <v>144</v>
      </c>
      <c r="E406" t="s">
        <v>54</v>
      </c>
      <c r="F406" t="s">
        <v>54</v>
      </c>
      <c r="G406">
        <v>3</v>
      </c>
      <c r="H406" t="s">
        <v>55</v>
      </c>
      <c r="I406">
        <v>56200</v>
      </c>
      <c r="J406">
        <v>33700</v>
      </c>
      <c r="K406">
        <v>0.18</v>
      </c>
      <c r="L406">
        <f>IF(Wapato_Inventory[[#This Row],[parcel_acres]]-Wapato_Inventory[[#This Row],[non_valued_acres]] =0,0,LN(Wapato_Inventory[[#This Row],[parcel_acres]]-Wapato_Inventory[[#This Row],[non_valued_acres]]))</f>
        <v>-1.7147984280919266</v>
      </c>
      <c r="M406">
        <v>0</v>
      </c>
      <c r="N406">
        <v>0</v>
      </c>
      <c r="O406">
        <v>0</v>
      </c>
      <c r="P406">
        <v>27904.037</v>
      </c>
      <c r="Q406">
        <v>74398</v>
      </c>
      <c r="R406" s="3">
        <f>(Wapato_Inventory[[#This Row],[ln_acres]]*Wapato_Inventory[[#This Row],[coeff]])+Wapato_Inventory[[#This Row],[const]]</f>
        <v>26548.20121498104</v>
      </c>
      <c r="S406" t="s">
        <v>66</v>
      </c>
      <c r="T406">
        <v>1</v>
      </c>
      <c r="U406" t="s">
        <v>71</v>
      </c>
      <c r="V406" t="s">
        <v>73</v>
      </c>
      <c r="W406">
        <v>0</v>
      </c>
      <c r="X406">
        <v>0</v>
      </c>
      <c r="Y406">
        <v>55</v>
      </c>
      <c r="Z406">
        <v>98</v>
      </c>
      <c r="AA406">
        <v>100</v>
      </c>
      <c r="AB406">
        <v>1000</v>
      </c>
      <c r="AC406">
        <v>624</v>
      </c>
      <c r="AD406">
        <v>624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160</v>
      </c>
      <c r="AO406">
        <v>0</v>
      </c>
      <c r="AP406">
        <v>5</v>
      </c>
      <c r="AQ406">
        <v>1</v>
      </c>
      <c r="AR406">
        <v>0</v>
      </c>
      <c r="AS406" t="s">
        <v>59</v>
      </c>
      <c r="AT406">
        <v>0</v>
      </c>
      <c r="AU406" t="s">
        <v>80</v>
      </c>
      <c r="AV406" t="s">
        <v>77</v>
      </c>
      <c r="AW406">
        <v>0</v>
      </c>
      <c r="AX406">
        <v>2</v>
      </c>
      <c r="AY406">
        <v>0</v>
      </c>
      <c r="AZ406">
        <v>0</v>
      </c>
      <c r="BA406">
        <v>100</v>
      </c>
      <c r="BB406">
        <v>100</v>
      </c>
      <c r="BC406">
        <v>100</v>
      </c>
      <c r="BD406">
        <v>100</v>
      </c>
      <c r="BE406">
        <v>1</v>
      </c>
      <c r="BF406">
        <v>15000</v>
      </c>
      <c r="BG406">
        <v>1000</v>
      </c>
      <c r="BH406" s="7">
        <f>ROUND(Wapato_Inventory[[#This Row],[detatched_value]]*Lookups!$B$22*Lookups!$H$48,-2)</f>
        <v>0</v>
      </c>
      <c r="BI406" s="7">
        <f>ROUND(((Wapato_Inventory[[#This Row],[land_extract]]*Lookups!$B$3) +(Lookups!$B$2*0.5))*Lookups!$H$48,-2)</f>
        <v>53600</v>
      </c>
      <c r="BJ406" s="7">
        <f>IF(Wapato_Inventory[[#This Row],[bldg_style]]="",0,Lookups!$B$2*0.5)</f>
        <v>53765.27</v>
      </c>
      <c r="BK406" s="7">
        <f>_xlfn.IFNA(VLOOKUP(Wapato_Inventory[[#This Row],[quality]],Lookups!$H$2:$J$14,3,FALSE),0)</f>
        <v>28034</v>
      </c>
      <c r="BL406" s="7">
        <f>_xlfn.IFNA(VLOOKUP(Wapato_Inventory[[#This Row],[condition]],Lookups!$H$17:$J$24,3,FALSE),0)</f>
        <v>16276</v>
      </c>
      <c r="BM406" s="7">
        <f>Wapato_Inventory[[#This Row],[Age]]*Lookups!$B$16</f>
        <v>-36326.2186</v>
      </c>
      <c r="BN406" s="7">
        <f>Wapato_Inventory[[#This Row],[Main Floor]]*Lookups!$B$17</f>
        <v>26083.661135999999</v>
      </c>
      <c r="BO406" s="7">
        <f>Wapato_Inventory[[#This Row],[Upper Floor]]*Lookups!$B$18</f>
        <v>0</v>
      </c>
      <c r="BP406" s="7">
        <f>Wapato_Inventory[[#This Row],[Fin BSMT]]*Lookups!$B$19</f>
        <v>0</v>
      </c>
      <c r="BQ406" s="7">
        <f>(Wapato_Inventory[[#This Row],[att_gar]]+Wapato_Inventory[[#This Row],[blt_gar]])*Lookups!$B$20</f>
        <v>0</v>
      </c>
      <c r="BR406" s="7">
        <f>Wapato_Inventory[[#This Row],[Patio]]*Lookups!$B$21</f>
        <v>0</v>
      </c>
      <c r="BS406" s="7">
        <f>SUM(Wapato_Inventory[[#This Row],[intercept]:[patio_value]])*Wapato_Inventory[[#This Row],[res_pct]]</f>
        <v>87832.712535999992</v>
      </c>
      <c r="BT406" s="7">
        <f>Wapato_Inventory[[#This Row],[land_value]]</f>
        <v>53600</v>
      </c>
      <c r="BU406" s="2">
        <f>_xlfn.IFNA(VLOOKUP(Wapato_Inventory[[#This Row],[quality]],Lookups!$A$28:$C$37,3,FALSE),1)</f>
        <v>0.96265813922927435</v>
      </c>
      <c r="BV406" s="2">
        <f>_xlfn.IFNA(VLOOKUP(Wapato_Inventory[[#This Row],[condition]],Lookups!$A$41:$C$48,3,FALSE),1)</f>
        <v>0.93399385491337139</v>
      </c>
      <c r="BW406" s="2">
        <f>IF(Wapato_Inventory[[#This Row],[decade]]="",1,_xlfn.IFNA(VLOOKUP(Wapato_Inventory[[#This Row],[decade]],Lookups!$F$28:$H$45,3,FALSE),1))</f>
        <v>1.0114203040664467</v>
      </c>
      <c r="BX406" s="2">
        <f>_xlfn.IFNA(VLOOKUP(Wapato_Inventory[[#This Row],[living_area_range]],Lookups!$K$28:$M$37,3,FALSE),1)</f>
        <v>0.99022994770196116</v>
      </c>
      <c r="BY406" s="2">
        <f>AVERAGE(Wapato_Inventory[[#This Row],[qual_adj]:[range_adj]])</f>
        <v>0.97457556147776347</v>
      </c>
      <c r="BZ406" s="7">
        <f>(Wapato_Inventory[[#This Row],[sum_land]]-IF(Wapato_Inventory[[#This Row],[no_utilities]]=1,12000,0))/IF(Wapato_Inventory[[#This Row],[unbuildable]]=1,2,1)</f>
        <v>53600</v>
      </c>
      <c r="CA406" s="7">
        <f>Wapato_Inventory[[#This Row],[pre_res]]*Wapato_Inventory[[#This Row],[overall_adj]]</f>
        <v>85599.615135887187</v>
      </c>
      <c r="CB406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06" s="3">
        <f>IF(ROUND(Wapato_Inventory[[#This Row],[adj_res]]*Lookups!$H$48,-2)&lt;Wapato_Inventory[[#This Row],[min_res]],Wapato_Inventory[[#This Row],[min_res]],ROUND(Wapato_Inventory[[#This Row],[adj_res]]*Lookups!$H$48,-2))</f>
        <v>81300</v>
      </c>
      <c r="CD406" s="3">
        <f>ROUND(Wapato_Inventory[[#This Row],[det_value]]*Lookups!$H$48,-2)</f>
        <v>0</v>
      </c>
      <c r="CE406" s="3">
        <f>Wapato_Inventory[[#This Row],[final_res]]+Wapato_Inventory[[#This Row],[final_det]]</f>
        <v>81300</v>
      </c>
      <c r="CF406" s="3">
        <f>Wapato_Inventory[[#This Row],[crop_value]]+Wapato_Inventory[[#This Row],[final_land]]+Wapato_Inventory[[#This Row],[final_imp]]</f>
        <v>132200</v>
      </c>
      <c r="CH406" t="str">
        <f t="shared" si="6"/>
        <v>update valuation set market_land =50900, market_bldg=81300, market_total =132200, market_mdno =405, market_date ='9/10/2023' where link_id = (select link_id from parcel where parcel_year = '2024' and parcel_id = '19111133504');</v>
      </c>
    </row>
    <row r="407" spans="1:86" x14ac:dyDescent="0.25">
      <c r="A407">
        <v>19111133505</v>
      </c>
      <c r="B407">
        <v>0.18</v>
      </c>
      <c r="C407">
        <v>7735</v>
      </c>
      <c r="D407" t="s">
        <v>144</v>
      </c>
      <c r="E407" t="s">
        <v>54</v>
      </c>
      <c r="F407" t="s">
        <v>54</v>
      </c>
      <c r="G407">
        <v>3</v>
      </c>
      <c r="H407" t="s">
        <v>55</v>
      </c>
      <c r="I407">
        <v>67600</v>
      </c>
      <c r="J407">
        <v>33700</v>
      </c>
      <c r="K407">
        <v>0.18</v>
      </c>
      <c r="L407">
        <f>IF(Wapato_Inventory[[#This Row],[parcel_acres]]-Wapato_Inventory[[#This Row],[non_valued_acres]] =0,0,LN(Wapato_Inventory[[#This Row],[parcel_acres]]-Wapato_Inventory[[#This Row],[non_valued_acres]]))</f>
        <v>-1.7147984280919266</v>
      </c>
      <c r="M407">
        <v>0</v>
      </c>
      <c r="N407">
        <v>0</v>
      </c>
      <c r="O407">
        <v>0</v>
      </c>
      <c r="P407">
        <v>27904.037</v>
      </c>
      <c r="Q407">
        <v>74398</v>
      </c>
      <c r="R407" s="3">
        <f>(Wapato_Inventory[[#This Row],[ln_acres]]*Wapato_Inventory[[#This Row],[coeff]])+Wapato_Inventory[[#This Row],[const]]</f>
        <v>26548.20121498104</v>
      </c>
      <c r="S407" t="s">
        <v>83</v>
      </c>
      <c r="T407">
        <v>1</v>
      </c>
      <c r="U407" t="s">
        <v>78</v>
      </c>
      <c r="V407" t="s">
        <v>73</v>
      </c>
      <c r="W407">
        <v>0</v>
      </c>
      <c r="X407">
        <v>0</v>
      </c>
      <c r="Y407">
        <v>53</v>
      </c>
      <c r="Z407">
        <v>98</v>
      </c>
      <c r="AA407">
        <v>100</v>
      </c>
      <c r="AB407">
        <v>1000</v>
      </c>
      <c r="AC407">
        <v>776</v>
      </c>
      <c r="AD407">
        <v>776</v>
      </c>
      <c r="AE407">
        <v>0</v>
      </c>
      <c r="AF407">
        <v>0</v>
      </c>
      <c r="AG407">
        <v>0</v>
      </c>
      <c r="AH407">
        <v>180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5</v>
      </c>
      <c r="AQ407">
        <v>0</v>
      </c>
      <c r="AR407">
        <v>0</v>
      </c>
      <c r="AS407" t="s">
        <v>59</v>
      </c>
      <c r="AT407">
        <v>0</v>
      </c>
      <c r="AU407" t="s">
        <v>80</v>
      </c>
      <c r="AV407" t="s">
        <v>65</v>
      </c>
      <c r="AW407">
        <v>0</v>
      </c>
      <c r="AX407">
        <v>2</v>
      </c>
      <c r="AY407">
        <v>0</v>
      </c>
      <c r="AZ407">
        <v>0</v>
      </c>
      <c r="BA407">
        <v>100</v>
      </c>
      <c r="BB407">
        <v>100</v>
      </c>
      <c r="BC407">
        <v>100</v>
      </c>
      <c r="BD407">
        <v>100</v>
      </c>
      <c r="BE407">
        <v>1</v>
      </c>
      <c r="BF407">
        <v>15000</v>
      </c>
      <c r="BG407">
        <v>1000</v>
      </c>
      <c r="BH407" s="7">
        <f>ROUND(Wapato_Inventory[[#This Row],[detatched_value]]*Lookups!$B$22*Lookups!$H$48,-2)</f>
        <v>0</v>
      </c>
      <c r="BI407" s="7">
        <f>ROUND(((Wapato_Inventory[[#This Row],[land_extract]]*Lookups!$B$3) +(Lookups!$B$2*0.5))*Lookups!$H$48,-2)</f>
        <v>53600</v>
      </c>
      <c r="BJ407" s="7">
        <f>IF(Wapato_Inventory[[#This Row],[bldg_style]]="",0,Lookups!$B$2*0.5)</f>
        <v>53765.27</v>
      </c>
      <c r="BK407" s="7">
        <f>_xlfn.IFNA(VLOOKUP(Wapato_Inventory[[#This Row],[quality]],Lookups!$H$2:$J$14,3,FALSE),0)</f>
        <v>23424</v>
      </c>
      <c r="BL407" s="7">
        <f>_xlfn.IFNA(VLOOKUP(Wapato_Inventory[[#This Row],[condition]],Lookups!$H$17:$J$24,3,FALSE),0)</f>
        <v>16276</v>
      </c>
      <c r="BM407" s="7">
        <f>Wapato_Inventory[[#This Row],[Age]]*Lookups!$B$16</f>
        <v>-36326.2186</v>
      </c>
      <c r="BN407" s="7">
        <f>Wapato_Inventory[[#This Row],[Main Floor]]*Lookups!$B$17</f>
        <v>32437.373464</v>
      </c>
      <c r="BO407" s="7">
        <f>Wapato_Inventory[[#This Row],[Upper Floor]]*Lookups!$B$18</f>
        <v>0</v>
      </c>
      <c r="BP407" s="7">
        <f>Wapato_Inventory[[#This Row],[Fin BSMT]]*Lookups!$B$19</f>
        <v>0</v>
      </c>
      <c r="BQ407" s="7">
        <f>(Wapato_Inventory[[#This Row],[att_gar]]+Wapato_Inventory[[#This Row],[blt_gar]])*Lookups!$B$20</f>
        <v>0</v>
      </c>
      <c r="BR407" s="7">
        <f>Wapato_Inventory[[#This Row],[Patio]]*Lookups!$B$21</f>
        <v>0</v>
      </c>
      <c r="BS407" s="7">
        <f>SUM(Wapato_Inventory[[#This Row],[intercept]:[patio_value]])*Wapato_Inventory[[#This Row],[res_pct]]</f>
        <v>89576.424863999986</v>
      </c>
      <c r="BT407" s="7">
        <f>Wapato_Inventory[[#This Row],[land_value]]</f>
        <v>53600</v>
      </c>
      <c r="BU407" s="2">
        <f>_xlfn.IFNA(VLOOKUP(Wapato_Inventory[[#This Row],[quality]],Lookups!$A$28:$C$37,3,FALSE),1)</f>
        <v>1.0091195562373767</v>
      </c>
      <c r="BV407" s="2">
        <f>_xlfn.IFNA(VLOOKUP(Wapato_Inventory[[#This Row],[condition]],Lookups!$A$41:$C$48,3,FALSE),1)</f>
        <v>0.93399385491337139</v>
      </c>
      <c r="BW407" s="2">
        <f>IF(Wapato_Inventory[[#This Row],[decade]]="",1,_xlfn.IFNA(VLOOKUP(Wapato_Inventory[[#This Row],[decade]],Lookups!$F$28:$H$45,3,FALSE),1))</f>
        <v>1.0114203040664467</v>
      </c>
      <c r="BX407" s="2">
        <f>_xlfn.IFNA(VLOOKUP(Wapato_Inventory[[#This Row],[living_area_range]],Lookups!$K$28:$M$37,3,FALSE),1)</f>
        <v>0.99022994770196116</v>
      </c>
      <c r="BY407" s="2">
        <f>AVERAGE(Wapato_Inventory[[#This Row],[qual_adj]:[range_adj]])</f>
        <v>0.9861909157297889</v>
      </c>
      <c r="BZ407" s="7">
        <f>(Wapato_Inventory[[#This Row],[sum_land]]-IF(Wapato_Inventory[[#This Row],[no_utilities]]=1,12000,0))/IF(Wapato_Inventory[[#This Row],[unbuildable]]=1,2,1)</f>
        <v>53600</v>
      </c>
      <c r="CA407" s="7">
        <f>Wapato_Inventory[[#This Row],[pre_res]]*Wapato_Inventory[[#This Row],[overall_adj]]</f>
        <v>88339.456464428775</v>
      </c>
      <c r="CB407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07" s="3">
        <f>IF(ROUND(Wapato_Inventory[[#This Row],[adj_res]]*Lookups!$H$48,-2)&lt;Wapato_Inventory[[#This Row],[min_res]],Wapato_Inventory[[#This Row],[min_res]],ROUND(Wapato_Inventory[[#This Row],[adj_res]]*Lookups!$H$48,-2))</f>
        <v>83900</v>
      </c>
      <c r="CD407" s="3">
        <f>ROUND(Wapato_Inventory[[#This Row],[det_value]]*Lookups!$H$48,-2)</f>
        <v>0</v>
      </c>
      <c r="CE407" s="3">
        <f>Wapato_Inventory[[#This Row],[final_res]]+Wapato_Inventory[[#This Row],[final_det]]</f>
        <v>83900</v>
      </c>
      <c r="CF407" s="3">
        <f>Wapato_Inventory[[#This Row],[crop_value]]+Wapato_Inventory[[#This Row],[final_land]]+Wapato_Inventory[[#This Row],[final_imp]]</f>
        <v>134800</v>
      </c>
      <c r="CH407" t="str">
        <f t="shared" si="6"/>
        <v>update valuation set market_land =50900, market_bldg=83900, market_total =134800, market_mdno =405, market_date ='9/10/2023' where link_id = (select link_id from parcel where parcel_year = '2024' and parcel_id = '19111133505');</v>
      </c>
    </row>
    <row r="408" spans="1:86" x14ac:dyDescent="0.25">
      <c r="A408">
        <v>19111133506</v>
      </c>
      <c r="B408">
        <v>0.18</v>
      </c>
      <c r="C408">
        <v>7750</v>
      </c>
      <c r="D408" t="s">
        <v>144</v>
      </c>
      <c r="E408" t="s">
        <v>54</v>
      </c>
      <c r="F408" t="s">
        <v>54</v>
      </c>
      <c r="G408">
        <v>3</v>
      </c>
      <c r="H408" t="s">
        <v>55</v>
      </c>
      <c r="I408">
        <v>117900</v>
      </c>
      <c r="J408">
        <v>33700</v>
      </c>
      <c r="K408">
        <v>0.18</v>
      </c>
      <c r="L408">
        <f>IF(Wapato_Inventory[[#This Row],[parcel_acres]]-Wapato_Inventory[[#This Row],[non_valued_acres]] =0,0,LN(Wapato_Inventory[[#This Row],[parcel_acres]]-Wapato_Inventory[[#This Row],[non_valued_acres]]))</f>
        <v>-1.7147984280919266</v>
      </c>
      <c r="M408">
        <v>0</v>
      </c>
      <c r="N408">
        <v>0</v>
      </c>
      <c r="O408">
        <v>0</v>
      </c>
      <c r="P408">
        <v>27904.037</v>
      </c>
      <c r="Q408">
        <v>74398</v>
      </c>
      <c r="R408" s="3">
        <f>(Wapato_Inventory[[#This Row],[ln_acres]]*Wapato_Inventory[[#This Row],[coeff]])+Wapato_Inventory[[#This Row],[const]]</f>
        <v>26548.20121498104</v>
      </c>
      <c r="S408" t="s">
        <v>66</v>
      </c>
      <c r="T408">
        <v>1</v>
      </c>
      <c r="U408" t="s">
        <v>71</v>
      </c>
      <c r="V408" t="s">
        <v>68</v>
      </c>
      <c r="W408">
        <v>0</v>
      </c>
      <c r="X408">
        <v>0</v>
      </c>
      <c r="Y408">
        <v>55</v>
      </c>
      <c r="Z408">
        <v>98</v>
      </c>
      <c r="AA408">
        <v>100</v>
      </c>
      <c r="AB408">
        <v>1500</v>
      </c>
      <c r="AC408">
        <v>1200</v>
      </c>
      <c r="AD408">
        <v>1200</v>
      </c>
      <c r="AE408">
        <v>0</v>
      </c>
      <c r="AF408">
        <v>0</v>
      </c>
      <c r="AG408">
        <v>0</v>
      </c>
      <c r="AH408">
        <v>216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192</v>
      </c>
      <c r="AO408">
        <v>0</v>
      </c>
      <c r="AP408">
        <v>5</v>
      </c>
      <c r="AQ408">
        <v>0</v>
      </c>
      <c r="AR408">
        <v>0</v>
      </c>
      <c r="AS408" t="s">
        <v>59</v>
      </c>
      <c r="AT408">
        <v>1</v>
      </c>
      <c r="AU408" t="s">
        <v>64</v>
      </c>
      <c r="AV408" t="s">
        <v>65</v>
      </c>
      <c r="AW408">
        <v>0</v>
      </c>
      <c r="AX408">
        <v>3</v>
      </c>
      <c r="AY408">
        <v>0</v>
      </c>
      <c r="AZ408">
        <v>0</v>
      </c>
      <c r="BA408">
        <v>100</v>
      </c>
      <c r="BB408">
        <v>100</v>
      </c>
      <c r="BC408">
        <v>100</v>
      </c>
      <c r="BD408">
        <v>100</v>
      </c>
      <c r="BE408">
        <v>1</v>
      </c>
      <c r="BF408">
        <v>15000</v>
      </c>
      <c r="BG408">
        <v>1000</v>
      </c>
      <c r="BH408" s="7">
        <f>ROUND(Wapato_Inventory[[#This Row],[detatched_value]]*Lookups!$B$22*Lookups!$H$48,-2)</f>
        <v>0</v>
      </c>
      <c r="BI408" s="7">
        <f>ROUND(((Wapato_Inventory[[#This Row],[land_extract]]*Lookups!$B$3) +(Lookups!$B$2*0.5))*Lookups!$H$48,-2)</f>
        <v>53600</v>
      </c>
      <c r="BJ408" s="7">
        <f>IF(Wapato_Inventory[[#This Row],[bldg_style]]="",0,Lookups!$B$2*0.5)</f>
        <v>53765.27</v>
      </c>
      <c r="BK408" s="7">
        <f>_xlfn.IFNA(VLOOKUP(Wapato_Inventory[[#This Row],[quality]],Lookups!$H$2:$J$14,3,FALSE),0)</f>
        <v>28034</v>
      </c>
      <c r="BL408" s="7">
        <f>_xlfn.IFNA(VLOOKUP(Wapato_Inventory[[#This Row],[condition]],Lookups!$H$17:$J$24,3,FALSE),0)</f>
        <v>52231</v>
      </c>
      <c r="BM408" s="7">
        <f>Wapato_Inventory[[#This Row],[Age]]*Lookups!$B$16</f>
        <v>-36326.2186</v>
      </c>
      <c r="BN408" s="7">
        <f>Wapato_Inventory[[#This Row],[Main Floor]]*Lookups!$B$17</f>
        <v>50160.8868</v>
      </c>
      <c r="BO408" s="7">
        <f>Wapato_Inventory[[#This Row],[Upper Floor]]*Lookups!$B$18</f>
        <v>0</v>
      </c>
      <c r="BP408" s="7">
        <f>Wapato_Inventory[[#This Row],[Fin BSMT]]*Lookups!$B$19</f>
        <v>0</v>
      </c>
      <c r="BQ408" s="7">
        <f>(Wapato_Inventory[[#This Row],[att_gar]]+Wapato_Inventory[[#This Row],[blt_gar]])*Lookups!$B$20</f>
        <v>0</v>
      </c>
      <c r="BR408" s="7">
        <f>Wapato_Inventory[[#This Row],[Patio]]*Lookups!$B$21</f>
        <v>0</v>
      </c>
      <c r="BS408" s="7">
        <f>SUM(Wapato_Inventory[[#This Row],[intercept]:[patio_value]])*Wapato_Inventory[[#This Row],[res_pct]]</f>
        <v>147864.9382</v>
      </c>
      <c r="BT408" s="7">
        <f>Wapato_Inventory[[#This Row],[land_value]]</f>
        <v>53600</v>
      </c>
      <c r="BU408" s="2">
        <f>_xlfn.IFNA(VLOOKUP(Wapato_Inventory[[#This Row],[quality]],Lookups!$A$28:$C$37,3,FALSE),1)</f>
        <v>0.96265813922927435</v>
      </c>
      <c r="BV408" s="2">
        <f>_xlfn.IFNA(VLOOKUP(Wapato_Inventory[[#This Row],[condition]],Lookups!$A$41:$C$48,3,FALSE),1)</f>
        <v>0.9832333997567807</v>
      </c>
      <c r="BW408" s="2">
        <f>IF(Wapato_Inventory[[#This Row],[decade]]="",1,_xlfn.IFNA(VLOOKUP(Wapato_Inventory[[#This Row],[decade]],Lookups!$F$28:$H$45,3,FALSE),1))</f>
        <v>1.0114203040664467</v>
      </c>
      <c r="BX408" s="2">
        <f>_xlfn.IFNA(VLOOKUP(Wapato_Inventory[[#This Row],[living_area_range]],Lookups!$K$28:$M$37,3,FALSE),1)</f>
        <v>1.0061411172456287</v>
      </c>
      <c r="BY408" s="2">
        <f>AVERAGE(Wapato_Inventory[[#This Row],[qual_adj]:[range_adj]])</f>
        <v>0.99086324007453253</v>
      </c>
      <c r="BZ408" s="7">
        <f>(Wapato_Inventory[[#This Row],[sum_land]]-IF(Wapato_Inventory[[#This Row],[no_utilities]]=1,12000,0))/IF(Wapato_Inventory[[#This Row],[unbuildable]]=1,2,1)</f>
        <v>53600</v>
      </c>
      <c r="CA408" s="7">
        <f>Wapato_Inventory[[#This Row],[pre_res]]*Wapato_Inventory[[#This Row],[overall_adj]]</f>
        <v>146513.93175827252</v>
      </c>
      <c r="CB408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08" s="3">
        <f>IF(ROUND(Wapato_Inventory[[#This Row],[adj_res]]*Lookups!$H$48,-2)&lt;Wapato_Inventory[[#This Row],[min_res]],Wapato_Inventory[[#This Row],[min_res]],ROUND(Wapato_Inventory[[#This Row],[adj_res]]*Lookups!$H$48,-2))</f>
        <v>139200</v>
      </c>
      <c r="CD408" s="3">
        <f>ROUND(Wapato_Inventory[[#This Row],[det_value]]*Lookups!$H$48,-2)</f>
        <v>0</v>
      </c>
      <c r="CE408" s="3">
        <f>Wapato_Inventory[[#This Row],[final_res]]+Wapato_Inventory[[#This Row],[final_det]]</f>
        <v>139200</v>
      </c>
      <c r="CF408" s="3">
        <f>Wapato_Inventory[[#This Row],[crop_value]]+Wapato_Inventory[[#This Row],[final_land]]+Wapato_Inventory[[#This Row],[final_imp]]</f>
        <v>190100</v>
      </c>
      <c r="CH408" t="str">
        <f t="shared" si="6"/>
        <v>update valuation set market_land =50900, market_bldg=139200, market_total =190100, market_mdno =405, market_date ='9/10/2023' where link_id = (select link_id from parcel where parcel_year = '2024' and parcel_id = '19111133506');</v>
      </c>
    </row>
    <row r="409" spans="1:86" x14ac:dyDescent="0.25">
      <c r="A409">
        <v>19111133509</v>
      </c>
      <c r="B409">
        <v>0.18</v>
      </c>
      <c r="C409">
        <v>7650</v>
      </c>
      <c r="D409" t="s">
        <v>144</v>
      </c>
      <c r="E409" t="s">
        <v>54</v>
      </c>
      <c r="F409" t="s">
        <v>54</v>
      </c>
      <c r="G409">
        <v>3</v>
      </c>
      <c r="H409" t="s">
        <v>55</v>
      </c>
      <c r="I409">
        <v>189300</v>
      </c>
      <c r="J409">
        <v>33700</v>
      </c>
      <c r="K409">
        <v>0.18</v>
      </c>
      <c r="L409">
        <f>IF(Wapato_Inventory[[#This Row],[parcel_acres]]-Wapato_Inventory[[#This Row],[non_valued_acres]] =0,0,LN(Wapato_Inventory[[#This Row],[parcel_acres]]-Wapato_Inventory[[#This Row],[non_valued_acres]]))</f>
        <v>-1.7147984280919266</v>
      </c>
      <c r="M409">
        <v>0</v>
      </c>
      <c r="N409">
        <v>0</v>
      </c>
      <c r="O409">
        <v>0</v>
      </c>
      <c r="P409">
        <v>27904.037</v>
      </c>
      <c r="Q409">
        <v>74398</v>
      </c>
      <c r="R409" s="3">
        <f>(Wapato_Inventory[[#This Row],[ln_acres]]*Wapato_Inventory[[#This Row],[coeff]])+Wapato_Inventory[[#This Row],[const]]</f>
        <v>26548.20121498104</v>
      </c>
      <c r="S409" t="s">
        <v>56</v>
      </c>
      <c r="T409">
        <v>2</v>
      </c>
      <c r="U409" t="s">
        <v>67</v>
      </c>
      <c r="V409" t="s">
        <v>68</v>
      </c>
      <c r="W409">
        <v>0</v>
      </c>
      <c r="X409">
        <v>0</v>
      </c>
      <c r="Y409">
        <v>57</v>
      </c>
      <c r="Z409">
        <v>103</v>
      </c>
      <c r="AA409">
        <v>110</v>
      </c>
      <c r="AB409">
        <v>2500</v>
      </c>
      <c r="AC409">
        <v>2356</v>
      </c>
      <c r="AD409">
        <v>1395</v>
      </c>
      <c r="AE409">
        <v>961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186</v>
      </c>
      <c r="AO409">
        <v>0</v>
      </c>
      <c r="AP409">
        <v>8</v>
      </c>
      <c r="AQ409">
        <v>0</v>
      </c>
      <c r="AR409">
        <v>0</v>
      </c>
      <c r="AS409" t="s">
        <v>59</v>
      </c>
      <c r="AT409">
        <v>1</v>
      </c>
      <c r="AU409" t="s">
        <v>64</v>
      </c>
      <c r="AV409" t="s">
        <v>65</v>
      </c>
      <c r="AW409">
        <v>1</v>
      </c>
      <c r="AX409">
        <v>5</v>
      </c>
      <c r="AY409">
        <v>0</v>
      </c>
      <c r="AZ409">
        <v>0</v>
      </c>
      <c r="BA409">
        <v>100</v>
      </c>
      <c r="BB409">
        <v>100</v>
      </c>
      <c r="BC409">
        <v>100</v>
      </c>
      <c r="BD409">
        <v>100</v>
      </c>
      <c r="BE409">
        <v>1</v>
      </c>
      <c r="BF409">
        <v>15000</v>
      </c>
      <c r="BG409">
        <v>1000</v>
      </c>
      <c r="BH409" s="7">
        <f>ROUND(Wapato_Inventory[[#This Row],[detatched_value]]*Lookups!$B$22*Lookups!$H$48,-2)</f>
        <v>0</v>
      </c>
      <c r="BI409" s="7">
        <f>ROUND(((Wapato_Inventory[[#This Row],[land_extract]]*Lookups!$B$3) +(Lookups!$B$2*0.5))*Lookups!$H$48,-2)</f>
        <v>53600</v>
      </c>
      <c r="BJ409" s="7">
        <f>IF(Wapato_Inventory[[#This Row],[bldg_style]]="",0,Lookups!$B$2*0.5)</f>
        <v>53765.27</v>
      </c>
      <c r="BK409" s="7">
        <f>_xlfn.IFNA(VLOOKUP(Wapato_Inventory[[#This Row],[quality]],Lookups!$H$2:$J$14,3,FALSE),0)</f>
        <v>50405</v>
      </c>
      <c r="BL409" s="7">
        <f>_xlfn.IFNA(VLOOKUP(Wapato_Inventory[[#This Row],[condition]],Lookups!$H$17:$J$24,3,FALSE),0)</f>
        <v>52231</v>
      </c>
      <c r="BM409" s="7">
        <f>Wapato_Inventory[[#This Row],[Age]]*Lookups!$B$16</f>
        <v>-38179.597099999999</v>
      </c>
      <c r="BN409" s="7">
        <f>Wapato_Inventory[[#This Row],[Main Floor]]*Lookups!$B$17</f>
        <v>58312.030905</v>
      </c>
      <c r="BO409" s="7">
        <f>Wapato_Inventory[[#This Row],[Upper Floor]]*Lookups!$B$18</f>
        <v>47666.694579000003</v>
      </c>
      <c r="BP409" s="7">
        <f>Wapato_Inventory[[#This Row],[Fin BSMT]]*Lookups!$B$19</f>
        <v>0</v>
      </c>
      <c r="BQ409" s="7">
        <f>(Wapato_Inventory[[#This Row],[att_gar]]+Wapato_Inventory[[#This Row],[blt_gar]])*Lookups!$B$20</f>
        <v>0</v>
      </c>
      <c r="BR409" s="7">
        <f>Wapato_Inventory[[#This Row],[Patio]]*Lookups!$B$21</f>
        <v>0</v>
      </c>
      <c r="BS409" s="7">
        <f>SUM(Wapato_Inventory[[#This Row],[intercept]:[patio_value]])*Wapato_Inventory[[#This Row],[res_pct]]</f>
        <v>224200.398384</v>
      </c>
      <c r="BT409" s="7">
        <f>Wapato_Inventory[[#This Row],[land_value]]</f>
        <v>53600</v>
      </c>
      <c r="BU409" s="2">
        <f>_xlfn.IFNA(VLOOKUP(Wapato_Inventory[[#This Row],[quality]],Lookups!$A$28:$C$37,3,FALSE),1)</f>
        <v>0.97993206410140754</v>
      </c>
      <c r="BV409" s="2">
        <f>_xlfn.IFNA(VLOOKUP(Wapato_Inventory[[#This Row],[condition]],Lookups!$A$41:$C$48,3,FALSE),1)</f>
        <v>0.9832333997567807</v>
      </c>
      <c r="BW409" s="2">
        <f>IF(Wapato_Inventory[[#This Row],[decade]]="",1,_xlfn.IFNA(VLOOKUP(Wapato_Inventory[[#This Row],[decade]],Lookups!$F$28:$H$45,3,FALSE),1))</f>
        <v>0.93664589651353292</v>
      </c>
      <c r="BX409" s="2">
        <f>_xlfn.IFNA(VLOOKUP(Wapato_Inventory[[#This Row],[living_area_range]],Lookups!$K$28:$M$37,3,FALSE),1)</f>
        <v>0.90813907160181651</v>
      </c>
      <c r="BY409" s="2">
        <f>AVERAGE(Wapato_Inventory[[#This Row],[qual_adj]:[range_adj]])</f>
        <v>0.95198760799338444</v>
      </c>
      <c r="BZ409" s="7">
        <f>(Wapato_Inventory[[#This Row],[sum_land]]-IF(Wapato_Inventory[[#This Row],[no_utilities]]=1,12000,0))/IF(Wapato_Inventory[[#This Row],[unbuildable]]=1,2,1)</f>
        <v>53600</v>
      </c>
      <c r="CA409" s="7">
        <f>Wapato_Inventory[[#This Row],[pre_res]]*Wapato_Inventory[[#This Row],[overall_adj]]</f>
        <v>213436.00096874801</v>
      </c>
      <c r="CB409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09" s="3">
        <f>IF(ROUND(Wapato_Inventory[[#This Row],[adj_res]]*Lookups!$H$48,-2)&lt;Wapato_Inventory[[#This Row],[min_res]],Wapato_Inventory[[#This Row],[min_res]],ROUND(Wapato_Inventory[[#This Row],[adj_res]]*Lookups!$H$48,-2))</f>
        <v>202800</v>
      </c>
      <c r="CD409" s="3">
        <f>ROUND(Wapato_Inventory[[#This Row],[det_value]]*Lookups!$H$48,-2)</f>
        <v>0</v>
      </c>
      <c r="CE409" s="3">
        <f>Wapato_Inventory[[#This Row],[final_res]]+Wapato_Inventory[[#This Row],[final_det]]</f>
        <v>202800</v>
      </c>
      <c r="CF409" s="3">
        <f>Wapato_Inventory[[#This Row],[crop_value]]+Wapato_Inventory[[#This Row],[final_land]]+Wapato_Inventory[[#This Row],[final_imp]]</f>
        <v>253700</v>
      </c>
      <c r="CH409" t="str">
        <f t="shared" si="6"/>
        <v>update valuation set market_land =50900, market_bldg=202800, market_total =253700, market_mdno =405, market_date ='9/10/2023' where link_id = (select link_id from parcel where parcel_year = '2024' and parcel_id = '19111133509');</v>
      </c>
    </row>
    <row r="410" spans="1:86" x14ac:dyDescent="0.25">
      <c r="A410">
        <v>19111133510</v>
      </c>
      <c r="B410">
        <v>0.15</v>
      </c>
      <c r="C410">
        <v>6426</v>
      </c>
      <c r="D410" t="s">
        <v>144</v>
      </c>
      <c r="E410" t="s">
        <v>54</v>
      </c>
      <c r="F410" t="s">
        <v>54</v>
      </c>
      <c r="G410">
        <v>3</v>
      </c>
      <c r="H410" t="s">
        <v>55</v>
      </c>
      <c r="I410">
        <v>91600</v>
      </c>
      <c r="J410">
        <v>32300</v>
      </c>
      <c r="K410">
        <v>0.15</v>
      </c>
      <c r="L410">
        <f>IF(Wapato_Inventory[[#This Row],[parcel_acres]]-Wapato_Inventory[[#This Row],[non_valued_acres]] =0,0,LN(Wapato_Inventory[[#This Row],[parcel_acres]]-Wapato_Inventory[[#This Row],[non_valued_acres]]))</f>
        <v>-1.8971199848858813</v>
      </c>
      <c r="M410">
        <v>0</v>
      </c>
      <c r="N410">
        <v>0</v>
      </c>
      <c r="O410">
        <v>0</v>
      </c>
      <c r="P410">
        <v>27904.037</v>
      </c>
      <c r="Q410">
        <v>74398</v>
      </c>
      <c r="R410" s="3">
        <f>(Wapato_Inventory[[#This Row],[ln_acres]]*Wapato_Inventory[[#This Row],[coeff]])+Wapato_Inventory[[#This Row],[const]]</f>
        <v>21460.693748304926</v>
      </c>
      <c r="S410" t="s">
        <v>66</v>
      </c>
      <c r="T410">
        <v>1</v>
      </c>
      <c r="U410" t="s">
        <v>78</v>
      </c>
      <c r="V410" t="s">
        <v>68</v>
      </c>
      <c r="W410">
        <v>0</v>
      </c>
      <c r="X410">
        <v>0</v>
      </c>
      <c r="Y410">
        <v>57</v>
      </c>
      <c r="Z410">
        <v>103</v>
      </c>
      <c r="AA410">
        <v>110</v>
      </c>
      <c r="AB410">
        <v>1000</v>
      </c>
      <c r="AC410">
        <v>820</v>
      </c>
      <c r="AD410">
        <v>820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5</v>
      </c>
      <c r="AQ410">
        <v>0</v>
      </c>
      <c r="AR410">
        <v>0</v>
      </c>
      <c r="AS410" t="s">
        <v>59</v>
      </c>
      <c r="AT410">
        <v>1</v>
      </c>
      <c r="AU410" t="s">
        <v>72</v>
      </c>
      <c r="AV410" t="s">
        <v>65</v>
      </c>
      <c r="AW410">
        <v>0</v>
      </c>
      <c r="AX410">
        <v>2</v>
      </c>
      <c r="AY410">
        <v>0</v>
      </c>
      <c r="AZ410">
        <v>0</v>
      </c>
      <c r="BA410">
        <v>100</v>
      </c>
      <c r="BB410">
        <v>100</v>
      </c>
      <c r="BC410">
        <v>100</v>
      </c>
      <c r="BD410">
        <v>100</v>
      </c>
      <c r="BE410">
        <v>1</v>
      </c>
      <c r="BF410">
        <v>15000</v>
      </c>
      <c r="BG410">
        <v>1000</v>
      </c>
      <c r="BH410" s="7">
        <f>ROUND(Wapato_Inventory[[#This Row],[detatched_value]]*Lookups!$B$22*Lookups!$H$48,-2)</f>
        <v>0</v>
      </c>
      <c r="BI410" s="7">
        <f>ROUND(((Wapato_Inventory[[#This Row],[land_extract]]*Lookups!$B$3) +(Lookups!$B$2*0.5))*Lookups!$H$48,-2)</f>
        <v>53100</v>
      </c>
      <c r="BJ410" s="7">
        <f>IF(Wapato_Inventory[[#This Row],[bldg_style]]="",0,Lookups!$B$2*0.5)</f>
        <v>53765.27</v>
      </c>
      <c r="BK410" s="7">
        <f>_xlfn.IFNA(VLOOKUP(Wapato_Inventory[[#This Row],[quality]],Lookups!$H$2:$J$14,3,FALSE),0)</f>
        <v>23424</v>
      </c>
      <c r="BL410" s="7">
        <f>_xlfn.IFNA(VLOOKUP(Wapato_Inventory[[#This Row],[condition]],Lookups!$H$17:$J$24,3,FALSE),0)</f>
        <v>52231</v>
      </c>
      <c r="BM410" s="7">
        <f>Wapato_Inventory[[#This Row],[Age]]*Lookups!$B$16</f>
        <v>-38179.597099999999</v>
      </c>
      <c r="BN410" s="7">
        <f>Wapato_Inventory[[#This Row],[Main Floor]]*Lookups!$B$17</f>
        <v>34276.60598</v>
      </c>
      <c r="BO410" s="7">
        <f>Wapato_Inventory[[#This Row],[Upper Floor]]*Lookups!$B$18</f>
        <v>0</v>
      </c>
      <c r="BP410" s="7">
        <f>Wapato_Inventory[[#This Row],[Fin BSMT]]*Lookups!$B$19</f>
        <v>0</v>
      </c>
      <c r="BQ410" s="7">
        <f>(Wapato_Inventory[[#This Row],[att_gar]]+Wapato_Inventory[[#This Row],[blt_gar]])*Lookups!$B$20</f>
        <v>0</v>
      </c>
      <c r="BR410" s="7">
        <f>Wapato_Inventory[[#This Row],[Patio]]*Lookups!$B$21</f>
        <v>0</v>
      </c>
      <c r="BS410" s="7">
        <f>SUM(Wapato_Inventory[[#This Row],[intercept]:[patio_value]])*Wapato_Inventory[[#This Row],[res_pct]]</f>
        <v>125517.27888</v>
      </c>
      <c r="BT410" s="7">
        <f>Wapato_Inventory[[#This Row],[land_value]]</f>
        <v>53100</v>
      </c>
      <c r="BU410" s="2">
        <f>_xlfn.IFNA(VLOOKUP(Wapato_Inventory[[#This Row],[quality]],Lookups!$A$28:$C$37,3,FALSE),1)</f>
        <v>1.0091195562373767</v>
      </c>
      <c r="BV410" s="2">
        <f>_xlfn.IFNA(VLOOKUP(Wapato_Inventory[[#This Row],[condition]],Lookups!$A$41:$C$48,3,FALSE),1)</f>
        <v>0.9832333997567807</v>
      </c>
      <c r="BW410" s="2">
        <f>IF(Wapato_Inventory[[#This Row],[decade]]="",1,_xlfn.IFNA(VLOOKUP(Wapato_Inventory[[#This Row],[decade]],Lookups!$F$28:$H$45,3,FALSE),1))</f>
        <v>0.93664589651353292</v>
      </c>
      <c r="BX410" s="2">
        <f>_xlfn.IFNA(VLOOKUP(Wapato_Inventory[[#This Row],[living_area_range]],Lookups!$K$28:$M$37,3,FALSE),1)</f>
        <v>0.99022994770196116</v>
      </c>
      <c r="BY410" s="2">
        <f>AVERAGE(Wapato_Inventory[[#This Row],[qual_adj]:[range_adj]])</f>
        <v>0.97980720005241284</v>
      </c>
      <c r="BZ410" s="7">
        <f>(Wapato_Inventory[[#This Row],[sum_land]]-IF(Wapato_Inventory[[#This Row],[no_utilities]]=1,12000,0))/IF(Wapato_Inventory[[#This Row],[unbuildable]]=1,2,1)</f>
        <v>53100</v>
      </c>
      <c r="CA410" s="7">
        <f>Wapato_Inventory[[#This Row],[pre_res]]*Wapato_Inventory[[#This Row],[overall_adj]]</f>
        <v>122982.73357761065</v>
      </c>
      <c r="CB41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410" s="3">
        <f>IF(ROUND(Wapato_Inventory[[#This Row],[adj_res]]*Lookups!$H$48,-2)&lt;Wapato_Inventory[[#This Row],[min_res]],Wapato_Inventory[[#This Row],[min_res]],ROUND(Wapato_Inventory[[#This Row],[adj_res]]*Lookups!$H$48,-2))</f>
        <v>116800</v>
      </c>
      <c r="CD410" s="3">
        <f>ROUND(Wapato_Inventory[[#This Row],[det_value]]*Lookups!$H$48,-2)</f>
        <v>0</v>
      </c>
      <c r="CE410" s="3">
        <f>Wapato_Inventory[[#This Row],[final_res]]+Wapato_Inventory[[#This Row],[final_det]]</f>
        <v>116800</v>
      </c>
      <c r="CF410" s="3">
        <f>Wapato_Inventory[[#This Row],[crop_value]]+Wapato_Inventory[[#This Row],[final_land]]+Wapato_Inventory[[#This Row],[final_imp]]</f>
        <v>167200</v>
      </c>
      <c r="CH410" t="str">
        <f t="shared" si="6"/>
        <v>update valuation set market_land =50400, market_bldg=116800, market_total =167200, market_mdno =405, market_date ='9/10/2023' where link_id = (select link_id from parcel where parcel_year = '2024' and parcel_id = '19111133510');</v>
      </c>
    </row>
    <row r="411" spans="1:86" x14ac:dyDescent="0.25">
      <c r="A411">
        <v>19111133511</v>
      </c>
      <c r="B411">
        <v>0.2</v>
      </c>
      <c r="C411">
        <v>8874</v>
      </c>
      <c r="D411" t="s">
        <v>144</v>
      </c>
      <c r="E411" t="s">
        <v>54</v>
      </c>
      <c r="F411" t="s">
        <v>54</v>
      </c>
      <c r="G411">
        <v>3</v>
      </c>
      <c r="H411" t="s">
        <v>55</v>
      </c>
      <c r="I411">
        <v>214700</v>
      </c>
      <c r="J411">
        <v>34400</v>
      </c>
      <c r="K411">
        <v>0.2</v>
      </c>
      <c r="L411">
        <f>IF(Wapato_Inventory[[#This Row],[parcel_acres]]-Wapato_Inventory[[#This Row],[non_valued_acres]] =0,0,LN(Wapato_Inventory[[#This Row],[parcel_acres]]-Wapato_Inventory[[#This Row],[non_valued_acres]]))</f>
        <v>-1.6094379124341003</v>
      </c>
      <c r="M411">
        <v>0</v>
      </c>
      <c r="N411">
        <v>0</v>
      </c>
      <c r="O411">
        <v>0</v>
      </c>
      <c r="P411">
        <v>27904.037</v>
      </c>
      <c r="Q411">
        <v>74398</v>
      </c>
      <c r="R411" s="3">
        <f>(Wapato_Inventory[[#This Row],[ln_acres]]*Wapato_Inventory[[#This Row],[coeff]])+Wapato_Inventory[[#This Row],[const]]</f>
        <v>29488.184942236105</v>
      </c>
      <c r="S411" t="s">
        <v>66</v>
      </c>
      <c r="T411">
        <v>1</v>
      </c>
      <c r="U411" t="s">
        <v>78</v>
      </c>
      <c r="V411" t="s">
        <v>68</v>
      </c>
      <c r="W411">
        <v>0</v>
      </c>
      <c r="X411">
        <v>0</v>
      </c>
      <c r="Y411">
        <v>57</v>
      </c>
      <c r="Z411">
        <v>103</v>
      </c>
      <c r="AA411">
        <v>110</v>
      </c>
      <c r="AB411">
        <v>1000</v>
      </c>
      <c r="AC411">
        <v>960</v>
      </c>
      <c r="AD411">
        <v>960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288</v>
      </c>
      <c r="AL411">
        <v>0</v>
      </c>
      <c r="AM411">
        <v>0</v>
      </c>
      <c r="AN411">
        <v>0</v>
      </c>
      <c r="AO411">
        <v>32</v>
      </c>
      <c r="AP411">
        <v>5</v>
      </c>
      <c r="AQ411">
        <v>0</v>
      </c>
      <c r="AR411">
        <v>0</v>
      </c>
      <c r="AS411" t="s">
        <v>59</v>
      </c>
      <c r="AT411">
        <v>1</v>
      </c>
      <c r="AU411" t="s">
        <v>72</v>
      </c>
      <c r="AV411" t="s">
        <v>61</v>
      </c>
      <c r="AW411">
        <v>0</v>
      </c>
      <c r="AX411">
        <v>2</v>
      </c>
      <c r="AY411">
        <v>0</v>
      </c>
      <c r="AZ411">
        <v>61400</v>
      </c>
      <c r="BA411">
        <v>100</v>
      </c>
      <c r="BB411">
        <v>100</v>
      </c>
      <c r="BC411">
        <v>100</v>
      </c>
      <c r="BD411">
        <v>100</v>
      </c>
      <c r="BE411">
        <v>1</v>
      </c>
      <c r="BF411">
        <v>15000</v>
      </c>
      <c r="BG411">
        <v>1000</v>
      </c>
      <c r="BH411" s="7">
        <f>ROUND(Wapato_Inventory[[#This Row],[detatched_value]]*Lookups!$B$22*Lookups!$H$48,-2)</f>
        <v>54800</v>
      </c>
      <c r="BI411" s="7">
        <f>ROUND(((Wapato_Inventory[[#This Row],[land_extract]]*Lookups!$B$3) +(Lookups!$B$2*0.5))*Lookups!$H$48,-2)</f>
        <v>53900</v>
      </c>
      <c r="BJ411" s="7">
        <f>IF(Wapato_Inventory[[#This Row],[bldg_style]]="",0,Lookups!$B$2*0.5)</f>
        <v>53765.27</v>
      </c>
      <c r="BK411" s="7">
        <f>_xlfn.IFNA(VLOOKUP(Wapato_Inventory[[#This Row],[quality]],Lookups!$H$2:$J$14,3,FALSE),0)</f>
        <v>23424</v>
      </c>
      <c r="BL411" s="7">
        <f>_xlfn.IFNA(VLOOKUP(Wapato_Inventory[[#This Row],[condition]],Lookups!$H$17:$J$24,3,FALSE),0)</f>
        <v>52231</v>
      </c>
      <c r="BM411" s="7">
        <f>Wapato_Inventory[[#This Row],[Age]]*Lookups!$B$16</f>
        <v>-38179.597099999999</v>
      </c>
      <c r="BN411" s="7">
        <f>Wapato_Inventory[[#This Row],[Main Floor]]*Lookups!$B$17</f>
        <v>40128.709439999999</v>
      </c>
      <c r="BO411" s="7">
        <f>Wapato_Inventory[[#This Row],[Upper Floor]]*Lookups!$B$18</f>
        <v>0</v>
      </c>
      <c r="BP411" s="7">
        <f>Wapato_Inventory[[#This Row],[Fin BSMT]]*Lookups!$B$19</f>
        <v>0</v>
      </c>
      <c r="BQ411" s="7">
        <f>(Wapato_Inventory[[#This Row],[att_gar]]+Wapato_Inventory[[#This Row],[blt_gar]])*Lookups!$B$20</f>
        <v>0</v>
      </c>
      <c r="BR411" s="7">
        <f>Wapato_Inventory[[#This Row],[Patio]]*Lookups!$B$21</f>
        <v>0</v>
      </c>
      <c r="BS411" s="7">
        <f>SUM(Wapato_Inventory[[#This Row],[intercept]:[patio_value]])*Wapato_Inventory[[#This Row],[res_pct]]</f>
        <v>131369.38233999998</v>
      </c>
      <c r="BT411" s="7">
        <f>Wapato_Inventory[[#This Row],[land_value]]</f>
        <v>53900</v>
      </c>
      <c r="BU411" s="2">
        <f>_xlfn.IFNA(VLOOKUP(Wapato_Inventory[[#This Row],[quality]],Lookups!$A$28:$C$37,3,FALSE),1)</f>
        <v>1.0091195562373767</v>
      </c>
      <c r="BV411" s="2">
        <f>_xlfn.IFNA(VLOOKUP(Wapato_Inventory[[#This Row],[condition]],Lookups!$A$41:$C$48,3,FALSE),1)</f>
        <v>0.9832333997567807</v>
      </c>
      <c r="BW411" s="2">
        <f>IF(Wapato_Inventory[[#This Row],[decade]]="",1,_xlfn.IFNA(VLOOKUP(Wapato_Inventory[[#This Row],[decade]],Lookups!$F$28:$H$45,3,FALSE),1))</f>
        <v>0.93664589651353292</v>
      </c>
      <c r="BX411" s="2">
        <f>_xlfn.IFNA(VLOOKUP(Wapato_Inventory[[#This Row],[living_area_range]],Lookups!$K$28:$M$37,3,FALSE),1)</f>
        <v>0.99022994770196116</v>
      </c>
      <c r="BY411" s="2">
        <f>AVERAGE(Wapato_Inventory[[#This Row],[qual_adj]:[range_adj]])</f>
        <v>0.97980720005241284</v>
      </c>
      <c r="BZ411" s="7">
        <f>(Wapato_Inventory[[#This Row],[sum_land]]-IF(Wapato_Inventory[[#This Row],[no_utilities]]=1,12000,0))/IF(Wapato_Inventory[[#This Row],[unbuildable]]=1,2,1)</f>
        <v>53900</v>
      </c>
      <c r="CA411" s="7">
        <f>Wapato_Inventory[[#This Row],[pre_res]]*Wapato_Inventory[[#This Row],[overall_adj]]</f>
        <v>128716.66668317028</v>
      </c>
      <c r="CB411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411" s="3">
        <f>IF(ROUND(Wapato_Inventory[[#This Row],[adj_res]]*Lookups!$H$48,-2)&lt;Wapato_Inventory[[#This Row],[min_res]],Wapato_Inventory[[#This Row],[min_res]],ROUND(Wapato_Inventory[[#This Row],[adj_res]]*Lookups!$H$48,-2))</f>
        <v>122300</v>
      </c>
      <c r="CD411" s="3">
        <f>ROUND(Wapato_Inventory[[#This Row],[det_value]]*Lookups!$H$48,-2)</f>
        <v>52100</v>
      </c>
      <c r="CE411" s="3">
        <f>Wapato_Inventory[[#This Row],[final_res]]+Wapato_Inventory[[#This Row],[final_det]]</f>
        <v>174400</v>
      </c>
      <c r="CF411" s="3">
        <f>Wapato_Inventory[[#This Row],[crop_value]]+Wapato_Inventory[[#This Row],[final_land]]+Wapato_Inventory[[#This Row],[final_imp]]</f>
        <v>225600</v>
      </c>
      <c r="CH411" t="str">
        <f t="shared" si="6"/>
        <v>update valuation set market_land =51200, market_bldg=174400, market_total =225600, market_mdno =405, market_date ='9/10/2023' where link_id = (select link_id from parcel where parcel_year = '2024' and parcel_id = '19111133511');</v>
      </c>
    </row>
    <row r="412" spans="1:86" x14ac:dyDescent="0.25">
      <c r="A412">
        <v>19111133513</v>
      </c>
      <c r="B412">
        <v>0.18</v>
      </c>
      <c r="C412">
        <v>7650</v>
      </c>
      <c r="D412" t="s">
        <v>144</v>
      </c>
      <c r="E412" t="s">
        <v>54</v>
      </c>
      <c r="F412" t="s">
        <v>54</v>
      </c>
      <c r="G412">
        <v>3</v>
      </c>
      <c r="H412" t="s">
        <v>55</v>
      </c>
      <c r="I412">
        <v>119700</v>
      </c>
      <c r="J412">
        <v>33700</v>
      </c>
      <c r="K412">
        <v>0.18</v>
      </c>
      <c r="L412">
        <f>IF(Wapato_Inventory[[#This Row],[parcel_acres]]-Wapato_Inventory[[#This Row],[non_valued_acres]] =0,0,LN(Wapato_Inventory[[#This Row],[parcel_acres]]-Wapato_Inventory[[#This Row],[non_valued_acres]]))</f>
        <v>-1.7147984280919266</v>
      </c>
      <c r="M412">
        <v>0</v>
      </c>
      <c r="N412">
        <v>0</v>
      </c>
      <c r="O412">
        <v>0</v>
      </c>
      <c r="P412">
        <v>27904.037</v>
      </c>
      <c r="Q412">
        <v>74398</v>
      </c>
      <c r="R412" s="3">
        <f>(Wapato_Inventory[[#This Row],[ln_acres]]*Wapato_Inventory[[#This Row],[coeff]])+Wapato_Inventory[[#This Row],[const]]</f>
        <v>26548.20121498104</v>
      </c>
      <c r="S412" t="s">
        <v>66</v>
      </c>
      <c r="T412">
        <v>1</v>
      </c>
      <c r="U412" t="s">
        <v>71</v>
      </c>
      <c r="V412" t="s">
        <v>68</v>
      </c>
      <c r="W412">
        <v>0</v>
      </c>
      <c r="X412">
        <v>0</v>
      </c>
      <c r="Y412">
        <v>57</v>
      </c>
      <c r="Z412">
        <v>103</v>
      </c>
      <c r="AA412">
        <v>110</v>
      </c>
      <c r="AB412">
        <v>1500</v>
      </c>
      <c r="AC412">
        <v>1440</v>
      </c>
      <c r="AD412">
        <v>1440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5</v>
      </c>
      <c r="AQ412">
        <v>0</v>
      </c>
      <c r="AR412">
        <v>0</v>
      </c>
      <c r="AS412" t="s">
        <v>59</v>
      </c>
      <c r="AT412">
        <v>1</v>
      </c>
      <c r="AU412" t="s">
        <v>72</v>
      </c>
      <c r="AV412" t="s">
        <v>65</v>
      </c>
      <c r="AW412">
        <v>0</v>
      </c>
      <c r="AX412">
        <v>2</v>
      </c>
      <c r="AY412">
        <v>0</v>
      </c>
      <c r="AZ412">
        <v>0</v>
      </c>
      <c r="BA412">
        <v>100</v>
      </c>
      <c r="BB412">
        <v>100</v>
      </c>
      <c r="BC412">
        <v>100</v>
      </c>
      <c r="BD412">
        <v>100</v>
      </c>
      <c r="BE412">
        <v>1</v>
      </c>
      <c r="BF412">
        <v>15000</v>
      </c>
      <c r="BG412">
        <v>1000</v>
      </c>
      <c r="BH412" s="7">
        <f>ROUND(Wapato_Inventory[[#This Row],[detatched_value]]*Lookups!$B$22*Lookups!$H$48,-2)</f>
        <v>0</v>
      </c>
      <c r="BI412" s="7">
        <f>ROUND(((Wapato_Inventory[[#This Row],[land_extract]]*Lookups!$B$3) +(Lookups!$B$2*0.5))*Lookups!$H$48,-2)</f>
        <v>53600</v>
      </c>
      <c r="BJ412" s="7">
        <f>IF(Wapato_Inventory[[#This Row],[bldg_style]]="",0,Lookups!$B$2*0.5)</f>
        <v>53765.27</v>
      </c>
      <c r="BK412" s="7">
        <f>_xlfn.IFNA(VLOOKUP(Wapato_Inventory[[#This Row],[quality]],Lookups!$H$2:$J$14,3,FALSE),0)</f>
        <v>28034</v>
      </c>
      <c r="BL412" s="7">
        <f>_xlfn.IFNA(VLOOKUP(Wapato_Inventory[[#This Row],[condition]],Lookups!$H$17:$J$24,3,FALSE),0)</f>
        <v>52231</v>
      </c>
      <c r="BM412" s="7">
        <f>Wapato_Inventory[[#This Row],[Age]]*Lookups!$B$16</f>
        <v>-38179.597099999999</v>
      </c>
      <c r="BN412" s="7">
        <f>Wapato_Inventory[[#This Row],[Main Floor]]*Lookups!$B$17</f>
        <v>60193.064160000002</v>
      </c>
      <c r="BO412" s="7">
        <f>Wapato_Inventory[[#This Row],[Upper Floor]]*Lookups!$B$18</f>
        <v>0</v>
      </c>
      <c r="BP412" s="7">
        <f>Wapato_Inventory[[#This Row],[Fin BSMT]]*Lookups!$B$19</f>
        <v>0</v>
      </c>
      <c r="BQ412" s="7">
        <f>(Wapato_Inventory[[#This Row],[att_gar]]+Wapato_Inventory[[#This Row],[blt_gar]])*Lookups!$B$20</f>
        <v>0</v>
      </c>
      <c r="BR412" s="7">
        <f>Wapato_Inventory[[#This Row],[Patio]]*Lookups!$B$21</f>
        <v>0</v>
      </c>
      <c r="BS412" s="7">
        <f>SUM(Wapato_Inventory[[#This Row],[intercept]:[patio_value]])*Wapato_Inventory[[#This Row],[res_pct]]</f>
        <v>156043.73705999998</v>
      </c>
      <c r="BT412" s="7">
        <f>Wapato_Inventory[[#This Row],[land_value]]</f>
        <v>53600</v>
      </c>
      <c r="BU412" s="2">
        <f>_xlfn.IFNA(VLOOKUP(Wapato_Inventory[[#This Row],[quality]],Lookups!$A$28:$C$37,3,FALSE),1)</f>
        <v>0.96265813922927435</v>
      </c>
      <c r="BV412" s="2">
        <f>_xlfn.IFNA(VLOOKUP(Wapato_Inventory[[#This Row],[condition]],Lookups!$A$41:$C$48,3,FALSE),1)</f>
        <v>0.9832333997567807</v>
      </c>
      <c r="BW412" s="2">
        <f>IF(Wapato_Inventory[[#This Row],[decade]]="",1,_xlfn.IFNA(VLOOKUP(Wapato_Inventory[[#This Row],[decade]],Lookups!$F$28:$H$45,3,FALSE),1))</f>
        <v>0.93664589651353292</v>
      </c>
      <c r="BX412" s="2">
        <f>_xlfn.IFNA(VLOOKUP(Wapato_Inventory[[#This Row],[living_area_range]],Lookups!$K$28:$M$37,3,FALSE),1)</f>
        <v>1.0061411172456287</v>
      </c>
      <c r="BY412" s="2">
        <f>AVERAGE(Wapato_Inventory[[#This Row],[qual_adj]:[range_adj]])</f>
        <v>0.97216963818630409</v>
      </c>
      <c r="BZ412" s="7">
        <f>(Wapato_Inventory[[#This Row],[sum_land]]-IF(Wapato_Inventory[[#This Row],[no_utilities]]=1,12000,0))/IF(Wapato_Inventory[[#This Row],[unbuildable]]=1,2,1)</f>
        <v>53600</v>
      </c>
      <c r="CA412" s="7">
        <f>Wapato_Inventory[[#This Row],[pre_res]]*Wapato_Inventory[[#This Row],[overall_adj]]</f>
        <v>151700.98339885895</v>
      </c>
      <c r="CB412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12" s="3">
        <f>IF(ROUND(Wapato_Inventory[[#This Row],[adj_res]]*Lookups!$H$48,-2)&lt;Wapato_Inventory[[#This Row],[min_res]],Wapato_Inventory[[#This Row],[min_res]],ROUND(Wapato_Inventory[[#This Row],[adj_res]]*Lookups!$H$48,-2))</f>
        <v>144100</v>
      </c>
      <c r="CD412" s="3">
        <f>ROUND(Wapato_Inventory[[#This Row],[det_value]]*Lookups!$H$48,-2)</f>
        <v>0</v>
      </c>
      <c r="CE412" s="3">
        <f>Wapato_Inventory[[#This Row],[final_res]]+Wapato_Inventory[[#This Row],[final_det]]</f>
        <v>144100</v>
      </c>
      <c r="CF412" s="3">
        <f>Wapato_Inventory[[#This Row],[crop_value]]+Wapato_Inventory[[#This Row],[final_land]]+Wapato_Inventory[[#This Row],[final_imp]]</f>
        <v>195000</v>
      </c>
      <c r="CH412" t="str">
        <f t="shared" si="6"/>
        <v>update valuation set market_land =50900, market_bldg=144100, market_total =195000, market_mdno =405, market_date ='9/10/2023' where link_id = (select link_id from parcel where parcel_year = '2024' and parcel_id = '19111133513');</v>
      </c>
    </row>
    <row r="413" spans="1:86" x14ac:dyDescent="0.25">
      <c r="A413">
        <v>19111133514</v>
      </c>
      <c r="B413">
        <v>0.18</v>
      </c>
      <c r="C413">
        <v>7650</v>
      </c>
      <c r="D413" t="s">
        <v>144</v>
      </c>
      <c r="E413" t="s">
        <v>54</v>
      </c>
      <c r="F413" t="s">
        <v>54</v>
      </c>
      <c r="G413">
        <v>3</v>
      </c>
      <c r="H413" t="s">
        <v>55</v>
      </c>
      <c r="I413">
        <v>255200</v>
      </c>
      <c r="J413">
        <v>33700</v>
      </c>
      <c r="K413">
        <v>0.18</v>
      </c>
      <c r="L413">
        <f>IF(Wapato_Inventory[[#This Row],[parcel_acres]]-Wapato_Inventory[[#This Row],[non_valued_acres]] =0,0,LN(Wapato_Inventory[[#This Row],[parcel_acres]]-Wapato_Inventory[[#This Row],[non_valued_acres]]))</f>
        <v>-1.7147984280919266</v>
      </c>
      <c r="M413">
        <v>0</v>
      </c>
      <c r="N413">
        <v>0</v>
      </c>
      <c r="O413">
        <v>0</v>
      </c>
      <c r="P413">
        <v>27904.037</v>
      </c>
      <c r="Q413">
        <v>74398</v>
      </c>
      <c r="R413" s="3">
        <f>(Wapato_Inventory[[#This Row],[ln_acres]]*Wapato_Inventory[[#This Row],[coeff]])+Wapato_Inventory[[#This Row],[const]]</f>
        <v>26548.20121498104</v>
      </c>
      <c r="S413" t="s">
        <v>59</v>
      </c>
      <c r="T413">
        <v>1</v>
      </c>
      <c r="U413" t="s">
        <v>67</v>
      </c>
      <c r="V413" t="s">
        <v>58</v>
      </c>
      <c r="W413">
        <v>0</v>
      </c>
      <c r="X413">
        <v>0</v>
      </c>
      <c r="Y413">
        <v>11</v>
      </c>
      <c r="Z413">
        <v>11</v>
      </c>
      <c r="AA413">
        <v>20</v>
      </c>
      <c r="AB413">
        <v>2000</v>
      </c>
      <c r="AC413">
        <v>1680</v>
      </c>
      <c r="AD413">
        <v>1680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192</v>
      </c>
      <c r="AO413">
        <v>240</v>
      </c>
      <c r="AP413">
        <v>8</v>
      </c>
      <c r="AQ413">
        <v>0</v>
      </c>
      <c r="AR413">
        <v>0</v>
      </c>
      <c r="AS413" t="s">
        <v>59</v>
      </c>
      <c r="AT413">
        <v>1</v>
      </c>
      <c r="AU413" t="s">
        <v>76</v>
      </c>
      <c r="AV413" t="s">
        <v>61</v>
      </c>
      <c r="AW413">
        <v>0</v>
      </c>
      <c r="AX413">
        <v>4</v>
      </c>
      <c r="AY413">
        <v>0</v>
      </c>
      <c r="AZ413">
        <v>0</v>
      </c>
      <c r="BA413">
        <v>100</v>
      </c>
      <c r="BB413">
        <v>100</v>
      </c>
      <c r="BC413">
        <v>100</v>
      </c>
      <c r="BD413">
        <v>100</v>
      </c>
      <c r="BE413">
        <v>1</v>
      </c>
      <c r="BF413">
        <v>15000</v>
      </c>
      <c r="BG413">
        <v>1000</v>
      </c>
      <c r="BH413" s="7">
        <f>ROUND(Wapato_Inventory[[#This Row],[detatched_value]]*Lookups!$B$22*Lookups!$H$48,-2)</f>
        <v>0</v>
      </c>
      <c r="BI413" s="7">
        <f>ROUND(((Wapato_Inventory[[#This Row],[land_extract]]*Lookups!$B$3) +(Lookups!$B$2*0.5))*Lookups!$H$48,-2)</f>
        <v>53600</v>
      </c>
      <c r="BJ413" s="7">
        <f>IF(Wapato_Inventory[[#This Row],[bldg_style]]="",0,Lookups!$B$2*0.5)</f>
        <v>53765.27</v>
      </c>
      <c r="BK413" s="7">
        <f>_xlfn.IFNA(VLOOKUP(Wapato_Inventory[[#This Row],[quality]],Lookups!$H$2:$J$14,3,FALSE),0)</f>
        <v>50405</v>
      </c>
      <c r="BL413" s="7">
        <f>_xlfn.IFNA(VLOOKUP(Wapato_Inventory[[#This Row],[condition]],Lookups!$H$17:$J$24,3,FALSE),0)</f>
        <v>122095</v>
      </c>
      <c r="BM413" s="7">
        <f>Wapato_Inventory[[#This Row],[Age]]*Lookups!$B$16</f>
        <v>-4077.4327000000003</v>
      </c>
      <c r="BN413" s="7">
        <f>Wapato_Inventory[[#This Row],[Main Floor]]*Lookups!$B$17</f>
        <v>70225.241519999996</v>
      </c>
      <c r="BO413" s="7">
        <f>Wapato_Inventory[[#This Row],[Upper Floor]]*Lookups!$B$18</f>
        <v>0</v>
      </c>
      <c r="BP413" s="7">
        <f>Wapato_Inventory[[#This Row],[Fin BSMT]]*Lookups!$B$19</f>
        <v>0</v>
      </c>
      <c r="BQ413" s="7">
        <f>(Wapato_Inventory[[#This Row],[att_gar]]+Wapato_Inventory[[#This Row],[blt_gar]])*Lookups!$B$20</f>
        <v>0</v>
      </c>
      <c r="BR413" s="7">
        <f>Wapato_Inventory[[#This Row],[Patio]]*Lookups!$B$21</f>
        <v>0</v>
      </c>
      <c r="BS413" s="7">
        <f>SUM(Wapato_Inventory[[#This Row],[intercept]:[patio_value]])*Wapato_Inventory[[#This Row],[res_pct]]</f>
        <v>292413.07882</v>
      </c>
      <c r="BT413" s="7">
        <f>Wapato_Inventory[[#This Row],[land_value]]</f>
        <v>53600</v>
      </c>
      <c r="BU413" s="2">
        <f>_xlfn.IFNA(VLOOKUP(Wapato_Inventory[[#This Row],[quality]],Lookups!$A$28:$C$37,3,FALSE),1)</f>
        <v>0.97993206410140754</v>
      </c>
      <c r="BV413" s="2">
        <f>_xlfn.IFNA(VLOOKUP(Wapato_Inventory[[#This Row],[condition]],Lookups!$A$41:$C$48,3,FALSE),1)</f>
        <v>1.00041560026225</v>
      </c>
      <c r="BW413" s="2">
        <f>IF(Wapato_Inventory[[#This Row],[decade]]="",1,_xlfn.IFNA(VLOOKUP(Wapato_Inventory[[#This Row],[decade]],Lookups!$F$28:$H$45,3,FALSE),1))</f>
        <v>1.0658609603367226</v>
      </c>
      <c r="BX413" s="2">
        <f>_xlfn.IFNA(VLOOKUP(Wapato_Inventory[[#This Row],[living_area_range]],Lookups!$K$28:$M$37,3,FALSE),1)</f>
        <v>0.99330894324714125</v>
      </c>
      <c r="BY413" s="2">
        <f>AVERAGE(Wapato_Inventory[[#This Row],[qual_adj]:[range_adj]])</f>
        <v>1.0098793919868805</v>
      </c>
      <c r="BZ413" s="7">
        <f>(Wapato_Inventory[[#This Row],[sum_land]]-IF(Wapato_Inventory[[#This Row],[no_utilities]]=1,12000,0))/IF(Wapato_Inventory[[#This Row],[unbuildable]]=1,2,1)</f>
        <v>53600</v>
      </c>
      <c r="CA413" s="7">
        <f>Wapato_Inventory[[#This Row],[pre_res]]*Wapato_Inventory[[#This Row],[overall_adj]]</f>
        <v>295301.94224775338</v>
      </c>
      <c r="CB413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13" s="3">
        <f>IF(ROUND(Wapato_Inventory[[#This Row],[adj_res]]*Lookups!$H$48,-2)&lt;Wapato_Inventory[[#This Row],[min_res]],Wapato_Inventory[[#This Row],[min_res]],ROUND(Wapato_Inventory[[#This Row],[adj_res]]*Lookups!$H$48,-2))</f>
        <v>280500</v>
      </c>
      <c r="CD413" s="3">
        <f>ROUND(Wapato_Inventory[[#This Row],[det_value]]*Lookups!$H$48,-2)</f>
        <v>0</v>
      </c>
      <c r="CE413" s="3">
        <f>Wapato_Inventory[[#This Row],[final_res]]+Wapato_Inventory[[#This Row],[final_det]]</f>
        <v>280500</v>
      </c>
      <c r="CF413" s="3">
        <f>Wapato_Inventory[[#This Row],[crop_value]]+Wapato_Inventory[[#This Row],[final_land]]+Wapato_Inventory[[#This Row],[final_imp]]</f>
        <v>331400</v>
      </c>
      <c r="CH413" t="str">
        <f t="shared" si="6"/>
        <v>update valuation set market_land =50900, market_bldg=280500, market_total =331400, market_mdno =405, market_date ='9/10/2023' where link_id = (select link_id from parcel where parcel_year = '2024' and parcel_id = '19111133514');</v>
      </c>
    </row>
    <row r="414" spans="1:86" x14ac:dyDescent="0.25">
      <c r="A414">
        <v>19111133515</v>
      </c>
      <c r="B414">
        <v>0.18</v>
      </c>
      <c r="C414">
        <v>7650</v>
      </c>
      <c r="D414" t="s">
        <v>144</v>
      </c>
      <c r="E414" t="s">
        <v>54</v>
      </c>
      <c r="F414" t="s">
        <v>54</v>
      </c>
      <c r="G414">
        <v>3</v>
      </c>
      <c r="H414" t="s">
        <v>55</v>
      </c>
      <c r="I414">
        <v>274300</v>
      </c>
      <c r="J414">
        <v>33700</v>
      </c>
      <c r="K414">
        <v>0.18</v>
      </c>
      <c r="L414">
        <f>IF(Wapato_Inventory[[#This Row],[parcel_acres]]-Wapato_Inventory[[#This Row],[non_valued_acres]] =0,0,LN(Wapato_Inventory[[#This Row],[parcel_acres]]-Wapato_Inventory[[#This Row],[non_valued_acres]]))</f>
        <v>-1.7147984280919266</v>
      </c>
      <c r="M414">
        <v>0</v>
      </c>
      <c r="N414">
        <v>0</v>
      </c>
      <c r="O414">
        <v>0</v>
      </c>
      <c r="P414">
        <v>27904.037</v>
      </c>
      <c r="Q414">
        <v>74398</v>
      </c>
      <c r="R414" s="3">
        <f>(Wapato_Inventory[[#This Row],[ln_acres]]*Wapato_Inventory[[#This Row],[coeff]])+Wapato_Inventory[[#This Row],[const]]</f>
        <v>26548.20121498104</v>
      </c>
      <c r="S414" t="s">
        <v>56</v>
      </c>
      <c r="T414">
        <v>1</v>
      </c>
      <c r="U414" t="s">
        <v>67</v>
      </c>
      <c r="V414" t="s">
        <v>58</v>
      </c>
      <c r="W414">
        <v>0</v>
      </c>
      <c r="X414">
        <v>0</v>
      </c>
      <c r="Y414">
        <v>3</v>
      </c>
      <c r="Z414">
        <v>3</v>
      </c>
      <c r="AA414">
        <v>10</v>
      </c>
      <c r="AB414">
        <v>1500</v>
      </c>
      <c r="AC414">
        <v>1344</v>
      </c>
      <c r="AD414">
        <v>1344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16</v>
      </c>
      <c r="AN414">
        <v>240</v>
      </c>
      <c r="AO414">
        <v>0</v>
      </c>
      <c r="AP414">
        <v>9</v>
      </c>
      <c r="AQ414">
        <v>0</v>
      </c>
      <c r="AR414">
        <v>0</v>
      </c>
      <c r="AS414" t="s">
        <v>59</v>
      </c>
      <c r="AT414">
        <v>1</v>
      </c>
      <c r="AU414" t="s">
        <v>60</v>
      </c>
      <c r="AV414" t="s">
        <v>61</v>
      </c>
      <c r="AW414">
        <v>1</v>
      </c>
      <c r="AX414" t="s">
        <v>144</v>
      </c>
      <c r="AY414">
        <v>0</v>
      </c>
      <c r="AZ414">
        <v>0</v>
      </c>
      <c r="BA414">
        <v>100</v>
      </c>
      <c r="BB414">
        <v>100</v>
      </c>
      <c r="BC414">
        <v>100</v>
      </c>
      <c r="BD414">
        <v>100</v>
      </c>
      <c r="BE414">
        <v>1</v>
      </c>
      <c r="BF414">
        <v>15000</v>
      </c>
      <c r="BG414">
        <v>1000</v>
      </c>
      <c r="BH414" s="7">
        <f>ROUND(Wapato_Inventory[[#This Row],[detatched_value]]*Lookups!$B$22*Lookups!$H$48,-2)</f>
        <v>0</v>
      </c>
      <c r="BI414" s="7">
        <f>ROUND(((Wapato_Inventory[[#This Row],[land_extract]]*Lookups!$B$3) +(Lookups!$B$2*0.5))*Lookups!$H$48,-2)</f>
        <v>53600</v>
      </c>
      <c r="BJ414" s="7">
        <f>IF(Wapato_Inventory[[#This Row],[bldg_style]]="",0,Lookups!$B$2*0.5)</f>
        <v>53765.27</v>
      </c>
      <c r="BK414" s="7">
        <f>_xlfn.IFNA(VLOOKUP(Wapato_Inventory[[#This Row],[quality]],Lookups!$H$2:$J$14,3,FALSE),0)</f>
        <v>50405</v>
      </c>
      <c r="BL414" s="7">
        <f>_xlfn.IFNA(VLOOKUP(Wapato_Inventory[[#This Row],[condition]],Lookups!$H$17:$J$24,3,FALSE),0)</f>
        <v>122095</v>
      </c>
      <c r="BM414" s="7">
        <f>Wapato_Inventory[[#This Row],[Age]]*Lookups!$B$16</f>
        <v>-1112.0271</v>
      </c>
      <c r="BN414" s="7">
        <f>Wapato_Inventory[[#This Row],[Main Floor]]*Lookups!$B$17</f>
        <v>56180.193216</v>
      </c>
      <c r="BO414" s="7">
        <f>Wapato_Inventory[[#This Row],[Upper Floor]]*Lookups!$B$18</f>
        <v>0</v>
      </c>
      <c r="BP414" s="7">
        <f>Wapato_Inventory[[#This Row],[Fin BSMT]]*Lookups!$B$19</f>
        <v>0</v>
      </c>
      <c r="BQ414" s="7">
        <f>(Wapato_Inventory[[#This Row],[att_gar]]+Wapato_Inventory[[#This Row],[blt_gar]])*Lookups!$B$20</f>
        <v>0</v>
      </c>
      <c r="BR414" s="7">
        <f>Wapato_Inventory[[#This Row],[Patio]]*Lookups!$B$21</f>
        <v>693.18366400000002</v>
      </c>
      <c r="BS414" s="7">
        <f>SUM(Wapato_Inventory[[#This Row],[intercept]:[patio_value]])*Wapato_Inventory[[#This Row],[res_pct]]</f>
        <v>282026.61978000001</v>
      </c>
      <c r="BT414" s="7">
        <f>Wapato_Inventory[[#This Row],[land_value]]</f>
        <v>53600</v>
      </c>
      <c r="BU414" s="2">
        <f>_xlfn.IFNA(VLOOKUP(Wapato_Inventory[[#This Row],[quality]],Lookups!$A$28:$C$37,3,FALSE),1)</f>
        <v>0.97993206410140754</v>
      </c>
      <c r="BV414" s="2">
        <f>_xlfn.IFNA(VLOOKUP(Wapato_Inventory[[#This Row],[condition]],Lookups!$A$41:$C$48,3,FALSE),1)</f>
        <v>1.00041560026225</v>
      </c>
      <c r="BW414" s="2">
        <f>IF(Wapato_Inventory[[#This Row],[decade]]="",1,_xlfn.IFNA(VLOOKUP(Wapato_Inventory[[#This Row],[decade]],Lookups!$F$28:$H$45,3,FALSE),1))</f>
        <v>1.0321018519633791</v>
      </c>
      <c r="BX414" s="2">
        <f>_xlfn.IFNA(VLOOKUP(Wapato_Inventory[[#This Row],[living_area_range]],Lookups!$K$28:$M$37,3,FALSE),1)</f>
        <v>1.0061411172456287</v>
      </c>
      <c r="BY414" s="2">
        <f>AVERAGE(Wapato_Inventory[[#This Row],[qual_adj]:[range_adj]])</f>
        <v>1.0046476583931663</v>
      </c>
      <c r="BZ414" s="7">
        <f>(Wapato_Inventory[[#This Row],[sum_land]]-IF(Wapato_Inventory[[#This Row],[no_utilities]]=1,12000,0))/IF(Wapato_Inventory[[#This Row],[unbuildable]]=1,2,1)</f>
        <v>53600</v>
      </c>
      <c r="CA414" s="7">
        <f>Wapato_Inventory[[#This Row],[pre_res]]*Wapato_Inventory[[#This Row],[overall_adj]]</f>
        <v>283337.38316651684</v>
      </c>
      <c r="CB414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14" s="3">
        <f>IF(ROUND(Wapato_Inventory[[#This Row],[adj_res]]*Lookups!$H$48,-2)&lt;Wapato_Inventory[[#This Row],[min_res]],Wapato_Inventory[[#This Row],[min_res]],ROUND(Wapato_Inventory[[#This Row],[adj_res]]*Lookups!$H$48,-2))</f>
        <v>269200</v>
      </c>
      <c r="CD414" s="3">
        <f>ROUND(Wapato_Inventory[[#This Row],[det_value]]*Lookups!$H$48,-2)</f>
        <v>0</v>
      </c>
      <c r="CE414" s="3">
        <f>Wapato_Inventory[[#This Row],[final_res]]+Wapato_Inventory[[#This Row],[final_det]]</f>
        <v>269200</v>
      </c>
      <c r="CF414" s="3">
        <f>Wapato_Inventory[[#This Row],[crop_value]]+Wapato_Inventory[[#This Row],[final_land]]+Wapato_Inventory[[#This Row],[final_imp]]</f>
        <v>320100</v>
      </c>
      <c r="CH414" t="str">
        <f t="shared" si="6"/>
        <v>update valuation set market_land =50900, market_bldg=269200, market_total =320100, market_mdno =405, market_date ='9/10/2023' where link_id = (select link_id from parcel where parcel_year = '2024' and parcel_id = '19111133515');</v>
      </c>
    </row>
    <row r="415" spans="1:86" x14ac:dyDescent="0.25">
      <c r="A415">
        <v>19111133516</v>
      </c>
      <c r="B415">
        <v>0.18</v>
      </c>
      <c r="C415">
        <v>7650</v>
      </c>
      <c r="D415" t="s">
        <v>144</v>
      </c>
      <c r="E415" t="s">
        <v>54</v>
      </c>
      <c r="F415" t="s">
        <v>54</v>
      </c>
      <c r="G415">
        <v>3</v>
      </c>
      <c r="H415" t="s">
        <v>55</v>
      </c>
      <c r="I415">
        <v>305000</v>
      </c>
      <c r="J415">
        <v>33700</v>
      </c>
      <c r="K415">
        <v>0.18</v>
      </c>
      <c r="L415">
        <f>IF(Wapato_Inventory[[#This Row],[parcel_acres]]-Wapato_Inventory[[#This Row],[non_valued_acres]] =0,0,LN(Wapato_Inventory[[#This Row],[parcel_acres]]-Wapato_Inventory[[#This Row],[non_valued_acres]]))</f>
        <v>-1.7147984280919266</v>
      </c>
      <c r="M415">
        <v>0</v>
      </c>
      <c r="N415">
        <v>0</v>
      </c>
      <c r="O415">
        <v>0</v>
      </c>
      <c r="P415">
        <v>27904.037</v>
      </c>
      <c r="Q415">
        <v>74398</v>
      </c>
      <c r="R415" s="3">
        <f>(Wapato_Inventory[[#This Row],[ln_acres]]*Wapato_Inventory[[#This Row],[coeff]])+Wapato_Inventory[[#This Row],[const]]</f>
        <v>26548.20121498104</v>
      </c>
      <c r="S415" t="s">
        <v>56</v>
      </c>
      <c r="T415">
        <v>1</v>
      </c>
      <c r="U415" t="s">
        <v>65</v>
      </c>
      <c r="V415" t="s">
        <v>58</v>
      </c>
      <c r="W415">
        <v>0</v>
      </c>
      <c r="X415">
        <v>0</v>
      </c>
      <c r="Y415">
        <v>3</v>
      </c>
      <c r="Z415">
        <v>3</v>
      </c>
      <c r="AA415">
        <v>10</v>
      </c>
      <c r="AB415">
        <v>1500</v>
      </c>
      <c r="AC415">
        <v>1344</v>
      </c>
      <c r="AD415">
        <v>1344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16</v>
      </c>
      <c r="AN415">
        <v>168</v>
      </c>
      <c r="AO415">
        <v>0</v>
      </c>
      <c r="AP415">
        <v>9</v>
      </c>
      <c r="AQ415">
        <v>0</v>
      </c>
      <c r="AR415">
        <v>0</v>
      </c>
      <c r="AS415" t="s">
        <v>59</v>
      </c>
      <c r="AT415">
        <v>1</v>
      </c>
      <c r="AU415" t="s">
        <v>60</v>
      </c>
      <c r="AV415" t="s">
        <v>61</v>
      </c>
      <c r="AW415">
        <v>1</v>
      </c>
      <c r="AX415">
        <v>3</v>
      </c>
      <c r="AY415">
        <v>0</v>
      </c>
      <c r="AZ415">
        <v>0</v>
      </c>
      <c r="BA415">
        <v>100</v>
      </c>
      <c r="BB415">
        <v>100</v>
      </c>
      <c r="BC415">
        <v>100</v>
      </c>
      <c r="BD415">
        <v>100</v>
      </c>
      <c r="BE415">
        <v>1</v>
      </c>
      <c r="BF415">
        <v>15000</v>
      </c>
      <c r="BG415">
        <v>1000</v>
      </c>
      <c r="BH415" s="7">
        <f>ROUND(Wapato_Inventory[[#This Row],[detatched_value]]*Lookups!$B$22*Lookups!$H$48,-2)</f>
        <v>0</v>
      </c>
      <c r="BI415" s="7">
        <f>ROUND(((Wapato_Inventory[[#This Row],[land_extract]]*Lookups!$B$3) +(Lookups!$B$2*0.5))*Lookups!$H$48,-2)</f>
        <v>53600</v>
      </c>
      <c r="BJ415" s="7">
        <f>IF(Wapato_Inventory[[#This Row],[bldg_style]]="",0,Lookups!$B$2*0.5)</f>
        <v>53765.27</v>
      </c>
      <c r="BK415" s="7">
        <f>_xlfn.IFNA(VLOOKUP(Wapato_Inventory[[#This Row],[quality]],Lookups!$H$2:$J$14,3,FALSE),0)</f>
        <v>92307</v>
      </c>
      <c r="BL415" s="7">
        <f>_xlfn.IFNA(VLOOKUP(Wapato_Inventory[[#This Row],[condition]],Lookups!$H$17:$J$24,3,FALSE),0)</f>
        <v>122095</v>
      </c>
      <c r="BM415" s="7">
        <f>Wapato_Inventory[[#This Row],[Age]]*Lookups!$B$16</f>
        <v>-1112.0271</v>
      </c>
      <c r="BN415" s="7">
        <f>Wapato_Inventory[[#This Row],[Main Floor]]*Lookups!$B$17</f>
        <v>56180.193216</v>
      </c>
      <c r="BO415" s="7">
        <f>Wapato_Inventory[[#This Row],[Upper Floor]]*Lookups!$B$18</f>
        <v>0</v>
      </c>
      <c r="BP415" s="7">
        <f>Wapato_Inventory[[#This Row],[Fin BSMT]]*Lookups!$B$19</f>
        <v>0</v>
      </c>
      <c r="BQ415" s="7">
        <f>(Wapato_Inventory[[#This Row],[att_gar]]+Wapato_Inventory[[#This Row],[blt_gar]])*Lookups!$B$20</f>
        <v>0</v>
      </c>
      <c r="BR415" s="7">
        <f>Wapato_Inventory[[#This Row],[Patio]]*Lookups!$B$21</f>
        <v>693.18366400000002</v>
      </c>
      <c r="BS415" s="7">
        <f>SUM(Wapato_Inventory[[#This Row],[intercept]:[patio_value]])*Wapato_Inventory[[#This Row],[res_pct]]</f>
        <v>323928.61978000001</v>
      </c>
      <c r="BT415" s="7">
        <f>Wapato_Inventory[[#This Row],[land_value]]</f>
        <v>53600</v>
      </c>
      <c r="BU415" s="2">
        <f>_xlfn.IFNA(VLOOKUP(Wapato_Inventory[[#This Row],[quality]],Lookups!$A$28:$C$37,3,FALSE),1)</f>
        <v>1.0013727718490204</v>
      </c>
      <c r="BV415" s="2">
        <f>_xlfn.IFNA(VLOOKUP(Wapato_Inventory[[#This Row],[condition]],Lookups!$A$41:$C$48,3,FALSE),1)</f>
        <v>1.00041560026225</v>
      </c>
      <c r="BW415" s="2">
        <f>IF(Wapato_Inventory[[#This Row],[decade]]="",1,_xlfn.IFNA(VLOOKUP(Wapato_Inventory[[#This Row],[decade]],Lookups!$F$28:$H$45,3,FALSE),1))</f>
        <v>1.0321018519633791</v>
      </c>
      <c r="BX415" s="2">
        <f>_xlfn.IFNA(VLOOKUP(Wapato_Inventory[[#This Row],[living_area_range]],Lookups!$K$28:$M$37,3,FALSE),1)</f>
        <v>1.0061411172456287</v>
      </c>
      <c r="BY415" s="2">
        <f>AVERAGE(Wapato_Inventory[[#This Row],[qual_adj]:[range_adj]])</f>
        <v>1.0100078353300694</v>
      </c>
      <c r="BZ415" s="7">
        <f>(Wapato_Inventory[[#This Row],[sum_land]]-IF(Wapato_Inventory[[#This Row],[no_utilities]]=1,12000,0))/IF(Wapato_Inventory[[#This Row],[unbuildable]]=1,2,1)</f>
        <v>53600</v>
      </c>
      <c r="CA415" s="7">
        <f>Wapato_Inventory[[#This Row],[pre_res]]*Wapato_Inventory[[#This Row],[overall_adj]]</f>
        <v>327170.44406545494</v>
      </c>
      <c r="CB415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15" s="3">
        <f>IF(ROUND(Wapato_Inventory[[#This Row],[adj_res]]*Lookups!$H$48,-2)&lt;Wapato_Inventory[[#This Row],[min_res]],Wapato_Inventory[[#This Row],[min_res]],ROUND(Wapato_Inventory[[#This Row],[adj_res]]*Lookups!$H$48,-2))</f>
        <v>310800</v>
      </c>
      <c r="CD415" s="3">
        <f>ROUND(Wapato_Inventory[[#This Row],[det_value]]*Lookups!$H$48,-2)</f>
        <v>0</v>
      </c>
      <c r="CE415" s="3">
        <f>Wapato_Inventory[[#This Row],[final_res]]+Wapato_Inventory[[#This Row],[final_det]]</f>
        <v>310800</v>
      </c>
      <c r="CF415" s="3">
        <f>Wapato_Inventory[[#This Row],[crop_value]]+Wapato_Inventory[[#This Row],[final_land]]+Wapato_Inventory[[#This Row],[final_imp]]</f>
        <v>361700</v>
      </c>
      <c r="CH415" t="str">
        <f t="shared" si="6"/>
        <v>update valuation set market_land =50900, market_bldg=310800, market_total =361700, market_mdno =405, market_date ='9/10/2023' where link_id = (select link_id from parcel where parcel_year = '2024' and parcel_id = '19111133516');</v>
      </c>
    </row>
    <row r="416" spans="1:86" x14ac:dyDescent="0.25">
      <c r="A416">
        <v>19111133517</v>
      </c>
      <c r="B416">
        <v>0.18</v>
      </c>
      <c r="C416">
        <v>7650</v>
      </c>
      <c r="D416" t="s">
        <v>144</v>
      </c>
      <c r="E416" t="s">
        <v>54</v>
      </c>
      <c r="F416" t="s">
        <v>54</v>
      </c>
      <c r="G416">
        <v>3</v>
      </c>
      <c r="H416" t="s">
        <v>55</v>
      </c>
      <c r="I416">
        <v>97700</v>
      </c>
      <c r="J416">
        <v>33700</v>
      </c>
      <c r="K416">
        <v>0.18</v>
      </c>
      <c r="L416">
        <f>IF(Wapato_Inventory[[#This Row],[parcel_acres]]-Wapato_Inventory[[#This Row],[non_valued_acres]] =0,0,LN(Wapato_Inventory[[#This Row],[parcel_acres]]-Wapato_Inventory[[#This Row],[non_valued_acres]]))</f>
        <v>-1.7147984280919266</v>
      </c>
      <c r="M416">
        <v>0</v>
      </c>
      <c r="N416">
        <v>0</v>
      </c>
      <c r="O416">
        <v>0</v>
      </c>
      <c r="P416">
        <v>27904.037</v>
      </c>
      <c r="Q416">
        <v>74398</v>
      </c>
      <c r="R416" s="3">
        <f>(Wapato_Inventory[[#This Row],[ln_acres]]*Wapato_Inventory[[#This Row],[coeff]])+Wapato_Inventory[[#This Row],[const]]</f>
        <v>26548.20121498104</v>
      </c>
      <c r="S416" t="s">
        <v>66</v>
      </c>
      <c r="T416">
        <v>1</v>
      </c>
      <c r="U416" t="s">
        <v>75</v>
      </c>
      <c r="V416" t="s">
        <v>68</v>
      </c>
      <c r="W416">
        <v>0</v>
      </c>
      <c r="X416">
        <v>0</v>
      </c>
      <c r="Y416">
        <v>57</v>
      </c>
      <c r="Z416">
        <v>103</v>
      </c>
      <c r="AA416">
        <v>110</v>
      </c>
      <c r="AB416">
        <v>1000</v>
      </c>
      <c r="AC416">
        <v>888</v>
      </c>
      <c r="AD416">
        <v>888</v>
      </c>
      <c r="AE416">
        <v>0</v>
      </c>
      <c r="AF416">
        <v>0</v>
      </c>
      <c r="AG416">
        <v>0</v>
      </c>
      <c r="AH416">
        <v>100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100</v>
      </c>
      <c r="AO416">
        <v>0</v>
      </c>
      <c r="AP416">
        <v>5</v>
      </c>
      <c r="AQ416">
        <v>0</v>
      </c>
      <c r="AR416">
        <v>0</v>
      </c>
      <c r="AS416" t="s">
        <v>59</v>
      </c>
      <c r="AT416">
        <v>0</v>
      </c>
      <c r="AU416" t="s">
        <v>80</v>
      </c>
      <c r="AV416" t="s">
        <v>65</v>
      </c>
      <c r="AW416">
        <v>0</v>
      </c>
      <c r="AX416">
        <v>2</v>
      </c>
      <c r="AY416">
        <v>0</v>
      </c>
      <c r="AZ416">
        <v>0</v>
      </c>
      <c r="BA416">
        <v>100</v>
      </c>
      <c r="BB416">
        <v>100</v>
      </c>
      <c r="BC416">
        <v>100</v>
      </c>
      <c r="BD416">
        <v>100</v>
      </c>
      <c r="BE416">
        <v>1</v>
      </c>
      <c r="BF416">
        <v>15000</v>
      </c>
      <c r="BG416">
        <v>1000</v>
      </c>
      <c r="BH416" s="7">
        <f>ROUND(Wapato_Inventory[[#This Row],[detatched_value]]*Lookups!$B$22*Lookups!$H$48,-2)</f>
        <v>0</v>
      </c>
      <c r="BI416" s="7">
        <f>ROUND(((Wapato_Inventory[[#This Row],[land_extract]]*Lookups!$B$3) +(Lookups!$B$2*0.5))*Lookups!$H$48,-2)</f>
        <v>53600</v>
      </c>
      <c r="BJ416" s="7">
        <f>IF(Wapato_Inventory[[#This Row],[bldg_style]]="",0,Lookups!$B$2*0.5)</f>
        <v>53765.27</v>
      </c>
      <c r="BK416" s="7">
        <f>_xlfn.IFNA(VLOOKUP(Wapato_Inventory[[#This Row],[quality]],Lookups!$H$2:$J$14,3,FALSE),0)</f>
        <v>48043</v>
      </c>
      <c r="BL416" s="7">
        <f>_xlfn.IFNA(VLOOKUP(Wapato_Inventory[[#This Row],[condition]],Lookups!$H$17:$J$24,3,FALSE),0)</f>
        <v>52231</v>
      </c>
      <c r="BM416" s="7">
        <f>Wapato_Inventory[[#This Row],[Age]]*Lookups!$B$16</f>
        <v>-38179.597099999999</v>
      </c>
      <c r="BN416" s="7">
        <f>Wapato_Inventory[[#This Row],[Main Floor]]*Lookups!$B$17</f>
        <v>37119.056232000003</v>
      </c>
      <c r="BO416" s="7">
        <f>Wapato_Inventory[[#This Row],[Upper Floor]]*Lookups!$B$18</f>
        <v>0</v>
      </c>
      <c r="BP416" s="7">
        <f>Wapato_Inventory[[#This Row],[Fin BSMT]]*Lookups!$B$19</f>
        <v>0</v>
      </c>
      <c r="BQ416" s="7">
        <f>(Wapato_Inventory[[#This Row],[att_gar]]+Wapato_Inventory[[#This Row],[blt_gar]])*Lookups!$B$20</f>
        <v>0</v>
      </c>
      <c r="BR416" s="7">
        <f>Wapato_Inventory[[#This Row],[Patio]]*Lookups!$B$21</f>
        <v>0</v>
      </c>
      <c r="BS416" s="7">
        <f>SUM(Wapato_Inventory[[#This Row],[intercept]:[patio_value]])*Wapato_Inventory[[#This Row],[res_pct]]</f>
        <v>152978.72913200001</v>
      </c>
      <c r="BT416" s="7">
        <f>Wapato_Inventory[[#This Row],[land_value]]</f>
        <v>53600</v>
      </c>
      <c r="BU416" s="2">
        <f>_xlfn.IFNA(VLOOKUP(Wapato_Inventory[[#This Row],[quality]],Lookups!$A$28:$C$37,3,FALSE),1)</f>
        <v>0.98196844879778955</v>
      </c>
      <c r="BV416" s="2">
        <f>_xlfn.IFNA(VLOOKUP(Wapato_Inventory[[#This Row],[condition]],Lookups!$A$41:$C$48,3,FALSE),1)</f>
        <v>0.9832333997567807</v>
      </c>
      <c r="BW416" s="2">
        <f>IF(Wapato_Inventory[[#This Row],[decade]]="",1,_xlfn.IFNA(VLOOKUP(Wapato_Inventory[[#This Row],[decade]],Lookups!$F$28:$H$45,3,FALSE),1))</f>
        <v>0.93664589651353292</v>
      </c>
      <c r="BX416" s="2">
        <f>_xlfn.IFNA(VLOOKUP(Wapato_Inventory[[#This Row],[living_area_range]],Lookups!$K$28:$M$37,3,FALSE),1)</f>
        <v>0.99022994770196116</v>
      </c>
      <c r="BY416" s="2">
        <f>AVERAGE(Wapato_Inventory[[#This Row],[qual_adj]:[range_adj]])</f>
        <v>0.97301942319251611</v>
      </c>
      <c r="BZ416" s="7">
        <f>(Wapato_Inventory[[#This Row],[sum_land]]-IF(Wapato_Inventory[[#This Row],[no_utilities]]=1,12000,0))/IF(Wapato_Inventory[[#This Row],[unbuildable]]=1,2,1)</f>
        <v>53600</v>
      </c>
      <c r="CA416" s="7">
        <f>Wapato_Inventory[[#This Row],[pre_res]]*Wapato_Inventory[[#This Row],[overall_adj]]</f>
        <v>148851.27478074279</v>
      </c>
      <c r="CB416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16" s="3">
        <f>IF(ROUND(Wapato_Inventory[[#This Row],[adj_res]]*Lookups!$H$48,-2)&lt;Wapato_Inventory[[#This Row],[min_res]],Wapato_Inventory[[#This Row],[min_res]],ROUND(Wapato_Inventory[[#This Row],[adj_res]]*Lookups!$H$48,-2))</f>
        <v>141400</v>
      </c>
      <c r="CD416" s="3">
        <f>ROUND(Wapato_Inventory[[#This Row],[det_value]]*Lookups!$H$48,-2)</f>
        <v>0</v>
      </c>
      <c r="CE416" s="3">
        <f>Wapato_Inventory[[#This Row],[final_res]]+Wapato_Inventory[[#This Row],[final_det]]</f>
        <v>141400</v>
      </c>
      <c r="CF416" s="3">
        <f>Wapato_Inventory[[#This Row],[crop_value]]+Wapato_Inventory[[#This Row],[final_land]]+Wapato_Inventory[[#This Row],[final_imp]]</f>
        <v>192300</v>
      </c>
      <c r="CH416" t="str">
        <f t="shared" si="6"/>
        <v>update valuation set market_land =50900, market_bldg=141400, market_total =192300, market_mdno =405, market_date ='9/10/2023' where link_id = (select link_id from parcel where parcel_year = '2024' and parcel_id = '19111133517');</v>
      </c>
    </row>
    <row r="417" spans="1:86" x14ac:dyDescent="0.25">
      <c r="A417">
        <v>19111133518</v>
      </c>
      <c r="B417">
        <v>0.18</v>
      </c>
      <c r="C417">
        <v>7650</v>
      </c>
      <c r="D417" t="s">
        <v>144</v>
      </c>
      <c r="E417" t="s">
        <v>54</v>
      </c>
      <c r="F417" t="s">
        <v>54</v>
      </c>
      <c r="G417">
        <v>3</v>
      </c>
      <c r="H417" t="s">
        <v>55</v>
      </c>
      <c r="I417">
        <v>85100</v>
      </c>
      <c r="J417">
        <v>33700</v>
      </c>
      <c r="K417">
        <v>0.18</v>
      </c>
      <c r="L417">
        <f>IF(Wapato_Inventory[[#This Row],[parcel_acres]]-Wapato_Inventory[[#This Row],[non_valued_acres]] =0,0,LN(Wapato_Inventory[[#This Row],[parcel_acres]]-Wapato_Inventory[[#This Row],[non_valued_acres]]))</f>
        <v>-1.7147984280919266</v>
      </c>
      <c r="M417">
        <v>0</v>
      </c>
      <c r="N417">
        <v>0</v>
      </c>
      <c r="O417">
        <v>0</v>
      </c>
      <c r="P417">
        <v>27904.037</v>
      </c>
      <c r="Q417">
        <v>74398</v>
      </c>
      <c r="R417" s="3">
        <f>(Wapato_Inventory[[#This Row],[ln_acres]]*Wapato_Inventory[[#This Row],[coeff]])+Wapato_Inventory[[#This Row],[const]]</f>
        <v>26548.20121498104</v>
      </c>
      <c r="S417" t="s">
        <v>66</v>
      </c>
      <c r="T417">
        <v>1</v>
      </c>
      <c r="U417" t="s">
        <v>71</v>
      </c>
      <c r="V417" t="s">
        <v>68</v>
      </c>
      <c r="W417">
        <v>0</v>
      </c>
      <c r="X417">
        <v>0</v>
      </c>
      <c r="Y417">
        <v>57</v>
      </c>
      <c r="Z417">
        <v>103</v>
      </c>
      <c r="AA417">
        <v>110</v>
      </c>
      <c r="AB417">
        <v>1000</v>
      </c>
      <c r="AC417">
        <v>682</v>
      </c>
      <c r="AD417">
        <v>682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5</v>
      </c>
      <c r="AQ417">
        <v>0</v>
      </c>
      <c r="AR417">
        <v>0</v>
      </c>
      <c r="AS417" t="s">
        <v>59</v>
      </c>
      <c r="AT417">
        <v>1</v>
      </c>
      <c r="AU417" t="s">
        <v>64</v>
      </c>
      <c r="AV417" t="s">
        <v>65</v>
      </c>
      <c r="AW417">
        <v>0</v>
      </c>
      <c r="AX417">
        <v>2</v>
      </c>
      <c r="AY417">
        <v>0</v>
      </c>
      <c r="AZ417">
        <v>0</v>
      </c>
      <c r="BA417">
        <v>100</v>
      </c>
      <c r="BB417">
        <v>100</v>
      </c>
      <c r="BC417">
        <v>100</v>
      </c>
      <c r="BD417">
        <v>100</v>
      </c>
      <c r="BE417">
        <v>1</v>
      </c>
      <c r="BF417">
        <v>15000</v>
      </c>
      <c r="BG417">
        <v>1000</v>
      </c>
      <c r="BH417" s="7">
        <f>ROUND(Wapato_Inventory[[#This Row],[detatched_value]]*Lookups!$B$22*Lookups!$H$48,-2)</f>
        <v>0</v>
      </c>
      <c r="BI417" s="7">
        <f>ROUND(((Wapato_Inventory[[#This Row],[land_extract]]*Lookups!$B$3) +(Lookups!$B$2*0.5))*Lookups!$H$48,-2)</f>
        <v>53600</v>
      </c>
      <c r="BJ417" s="7">
        <f>IF(Wapato_Inventory[[#This Row],[bldg_style]]="",0,Lookups!$B$2*0.5)</f>
        <v>53765.27</v>
      </c>
      <c r="BK417" s="7">
        <f>_xlfn.IFNA(VLOOKUP(Wapato_Inventory[[#This Row],[quality]],Lookups!$H$2:$J$14,3,FALSE),0)</f>
        <v>28034</v>
      </c>
      <c r="BL417" s="7">
        <f>_xlfn.IFNA(VLOOKUP(Wapato_Inventory[[#This Row],[condition]],Lookups!$H$17:$J$24,3,FALSE),0)</f>
        <v>52231</v>
      </c>
      <c r="BM417" s="7">
        <f>Wapato_Inventory[[#This Row],[Age]]*Lookups!$B$16</f>
        <v>-38179.597099999999</v>
      </c>
      <c r="BN417" s="7">
        <f>Wapato_Inventory[[#This Row],[Main Floor]]*Lookups!$B$17</f>
        <v>28508.103997999999</v>
      </c>
      <c r="BO417" s="7">
        <f>Wapato_Inventory[[#This Row],[Upper Floor]]*Lookups!$B$18</f>
        <v>0</v>
      </c>
      <c r="BP417" s="7">
        <f>Wapato_Inventory[[#This Row],[Fin BSMT]]*Lookups!$B$19</f>
        <v>0</v>
      </c>
      <c r="BQ417" s="7">
        <f>(Wapato_Inventory[[#This Row],[att_gar]]+Wapato_Inventory[[#This Row],[blt_gar]])*Lookups!$B$20</f>
        <v>0</v>
      </c>
      <c r="BR417" s="7">
        <f>Wapato_Inventory[[#This Row],[Patio]]*Lookups!$B$21</f>
        <v>0</v>
      </c>
      <c r="BS417" s="7">
        <f>SUM(Wapato_Inventory[[#This Row],[intercept]:[patio_value]])*Wapato_Inventory[[#This Row],[res_pct]]</f>
        <v>124358.77689799998</v>
      </c>
      <c r="BT417" s="7">
        <f>Wapato_Inventory[[#This Row],[land_value]]</f>
        <v>53600</v>
      </c>
      <c r="BU417" s="2">
        <f>_xlfn.IFNA(VLOOKUP(Wapato_Inventory[[#This Row],[quality]],Lookups!$A$28:$C$37,3,FALSE),1)</f>
        <v>0.96265813922927435</v>
      </c>
      <c r="BV417" s="2">
        <f>_xlfn.IFNA(VLOOKUP(Wapato_Inventory[[#This Row],[condition]],Lookups!$A$41:$C$48,3,FALSE),1)</f>
        <v>0.9832333997567807</v>
      </c>
      <c r="BW417" s="2">
        <f>IF(Wapato_Inventory[[#This Row],[decade]]="",1,_xlfn.IFNA(VLOOKUP(Wapato_Inventory[[#This Row],[decade]],Lookups!$F$28:$H$45,3,FALSE),1))</f>
        <v>0.93664589651353292</v>
      </c>
      <c r="BX417" s="2">
        <f>_xlfn.IFNA(VLOOKUP(Wapato_Inventory[[#This Row],[living_area_range]],Lookups!$K$28:$M$37,3,FALSE),1)</f>
        <v>0.99022994770196116</v>
      </c>
      <c r="BY417" s="2">
        <f>AVERAGE(Wapato_Inventory[[#This Row],[qual_adj]:[range_adj]])</f>
        <v>0.9681918458003872</v>
      </c>
      <c r="BZ417" s="7">
        <f>(Wapato_Inventory[[#This Row],[sum_land]]-IF(Wapato_Inventory[[#This Row],[no_utilities]]=1,12000,0))/IF(Wapato_Inventory[[#This Row],[unbuildable]]=1,2,1)</f>
        <v>53600</v>
      </c>
      <c r="CA417" s="7">
        <f>Wapato_Inventory[[#This Row],[pre_res]]*Wapato_Inventory[[#This Row],[overall_adj]]</f>
        <v>120403.15374635316</v>
      </c>
      <c r="CB417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17" s="3">
        <f>IF(ROUND(Wapato_Inventory[[#This Row],[adj_res]]*Lookups!$H$48,-2)&lt;Wapato_Inventory[[#This Row],[min_res]],Wapato_Inventory[[#This Row],[min_res]],ROUND(Wapato_Inventory[[#This Row],[adj_res]]*Lookups!$H$48,-2))</f>
        <v>114400</v>
      </c>
      <c r="CD417" s="3">
        <f>ROUND(Wapato_Inventory[[#This Row],[det_value]]*Lookups!$H$48,-2)</f>
        <v>0</v>
      </c>
      <c r="CE417" s="3">
        <f>Wapato_Inventory[[#This Row],[final_res]]+Wapato_Inventory[[#This Row],[final_det]]</f>
        <v>114400</v>
      </c>
      <c r="CF417" s="3">
        <f>Wapato_Inventory[[#This Row],[crop_value]]+Wapato_Inventory[[#This Row],[final_land]]+Wapato_Inventory[[#This Row],[final_imp]]</f>
        <v>165300</v>
      </c>
      <c r="CH417" t="str">
        <f t="shared" si="6"/>
        <v>update valuation set market_land =50900, market_bldg=114400, market_total =165300, market_mdno =405, market_date ='9/10/2023' where link_id = (select link_id from parcel where parcel_year = '2024' and parcel_id = '19111133518');</v>
      </c>
    </row>
    <row r="418" spans="1:86" x14ac:dyDescent="0.25">
      <c r="A418">
        <v>19111133519</v>
      </c>
      <c r="B418">
        <v>0.28000000000000003</v>
      </c>
      <c r="C418">
        <v>12133</v>
      </c>
      <c r="D418" t="s">
        <v>144</v>
      </c>
      <c r="E418" t="s">
        <v>54</v>
      </c>
      <c r="F418" t="s">
        <v>54</v>
      </c>
      <c r="G418">
        <v>3</v>
      </c>
      <c r="H418" t="s">
        <v>55</v>
      </c>
      <c r="I418">
        <v>356700</v>
      </c>
      <c r="J418">
        <v>36800</v>
      </c>
      <c r="K418">
        <v>0.28000000000000003</v>
      </c>
      <c r="L418">
        <f>IF(Wapato_Inventory[[#This Row],[parcel_acres]]-Wapato_Inventory[[#This Row],[non_valued_acres]] =0,0,LN(Wapato_Inventory[[#This Row],[parcel_acres]]-Wapato_Inventory[[#This Row],[non_valued_acres]]))</f>
        <v>-1.2729656758128873</v>
      </c>
      <c r="M418">
        <v>0</v>
      </c>
      <c r="N418">
        <v>0</v>
      </c>
      <c r="O418">
        <v>0</v>
      </c>
      <c r="P418">
        <v>27904.037</v>
      </c>
      <c r="Q418">
        <v>74398</v>
      </c>
      <c r="R418" s="3">
        <f>(Wapato_Inventory[[#This Row],[ln_acres]]*Wapato_Inventory[[#This Row],[coeff]])+Wapato_Inventory[[#This Row],[const]]</f>
        <v>38877.118682387183</v>
      </c>
      <c r="S418" t="s">
        <v>59</v>
      </c>
      <c r="T418">
        <v>1</v>
      </c>
      <c r="U418" t="s">
        <v>65</v>
      </c>
      <c r="V418" t="s">
        <v>58</v>
      </c>
      <c r="W418">
        <v>0</v>
      </c>
      <c r="X418">
        <v>0</v>
      </c>
      <c r="Y418">
        <v>11</v>
      </c>
      <c r="Z418">
        <v>11</v>
      </c>
      <c r="AA418">
        <v>20</v>
      </c>
      <c r="AB418">
        <v>2000</v>
      </c>
      <c r="AC418">
        <v>1762</v>
      </c>
      <c r="AD418">
        <v>1762</v>
      </c>
      <c r="AE418">
        <v>0</v>
      </c>
      <c r="AF418">
        <v>0</v>
      </c>
      <c r="AG418">
        <v>0</v>
      </c>
      <c r="AH418">
        <v>0</v>
      </c>
      <c r="AI418">
        <v>576</v>
      </c>
      <c r="AJ418">
        <v>0</v>
      </c>
      <c r="AK418">
        <v>0</v>
      </c>
      <c r="AL418">
        <v>0</v>
      </c>
      <c r="AM418">
        <v>0</v>
      </c>
      <c r="AN418">
        <v>364</v>
      </c>
      <c r="AO418">
        <v>0</v>
      </c>
      <c r="AP418">
        <v>8</v>
      </c>
      <c r="AQ418">
        <v>0</v>
      </c>
      <c r="AR418">
        <v>0</v>
      </c>
      <c r="AS418" t="s">
        <v>59</v>
      </c>
      <c r="AT418">
        <v>1</v>
      </c>
      <c r="AU418" t="s">
        <v>60</v>
      </c>
      <c r="AV418" t="s">
        <v>61</v>
      </c>
      <c r="AW418">
        <v>1</v>
      </c>
      <c r="AX418">
        <v>3</v>
      </c>
      <c r="AY418">
        <v>0</v>
      </c>
      <c r="AZ418">
        <v>0</v>
      </c>
      <c r="BA418">
        <v>100</v>
      </c>
      <c r="BB418">
        <v>100</v>
      </c>
      <c r="BC418">
        <v>100</v>
      </c>
      <c r="BD418">
        <v>100</v>
      </c>
      <c r="BE418">
        <v>1</v>
      </c>
      <c r="BF418">
        <v>15000</v>
      </c>
      <c r="BG418">
        <v>1000</v>
      </c>
      <c r="BH418" s="7">
        <f>ROUND(Wapato_Inventory[[#This Row],[detatched_value]]*Lookups!$B$22*Lookups!$H$48,-2)</f>
        <v>0</v>
      </c>
      <c r="BI418" s="7">
        <f>ROUND(((Wapato_Inventory[[#This Row],[land_extract]]*Lookups!$B$3) +(Lookups!$B$2*0.5))*Lookups!$H$48,-2)</f>
        <v>54800</v>
      </c>
      <c r="BJ418" s="7">
        <f>IF(Wapato_Inventory[[#This Row],[bldg_style]]="",0,Lookups!$B$2*0.5)</f>
        <v>53765.27</v>
      </c>
      <c r="BK418" s="7">
        <f>_xlfn.IFNA(VLOOKUP(Wapato_Inventory[[#This Row],[quality]],Lookups!$H$2:$J$14,3,FALSE),0)</f>
        <v>92307</v>
      </c>
      <c r="BL418" s="7">
        <f>_xlfn.IFNA(VLOOKUP(Wapato_Inventory[[#This Row],[condition]],Lookups!$H$17:$J$24,3,FALSE),0)</f>
        <v>122095</v>
      </c>
      <c r="BM418" s="7">
        <f>Wapato_Inventory[[#This Row],[Age]]*Lookups!$B$16</f>
        <v>-4077.4327000000003</v>
      </c>
      <c r="BN418" s="7">
        <f>Wapato_Inventory[[#This Row],[Main Floor]]*Lookups!$B$17</f>
        <v>73652.902117999998</v>
      </c>
      <c r="BO418" s="7">
        <f>Wapato_Inventory[[#This Row],[Upper Floor]]*Lookups!$B$18</f>
        <v>0</v>
      </c>
      <c r="BP418" s="7">
        <f>Wapato_Inventory[[#This Row],[Fin BSMT]]*Lookups!$B$19</f>
        <v>0</v>
      </c>
      <c r="BQ418" s="7">
        <f>(Wapato_Inventory[[#This Row],[att_gar]]+Wapato_Inventory[[#This Row],[blt_gar]])*Lookups!$B$20</f>
        <v>21317.041152000002</v>
      </c>
      <c r="BR418" s="7">
        <f>Wapato_Inventory[[#This Row],[Patio]]*Lookups!$B$21</f>
        <v>0</v>
      </c>
      <c r="BS418" s="7">
        <f>SUM(Wapato_Inventory[[#This Row],[intercept]:[patio_value]])*Wapato_Inventory[[#This Row],[res_pct]]</f>
        <v>359059.78057</v>
      </c>
      <c r="BT418" s="7">
        <f>Wapato_Inventory[[#This Row],[land_value]]</f>
        <v>54800</v>
      </c>
      <c r="BU418" s="2">
        <f>_xlfn.IFNA(VLOOKUP(Wapato_Inventory[[#This Row],[quality]],Lookups!$A$28:$C$37,3,FALSE),1)</f>
        <v>1.0013727718490204</v>
      </c>
      <c r="BV418" s="2">
        <f>_xlfn.IFNA(VLOOKUP(Wapato_Inventory[[#This Row],[condition]],Lookups!$A$41:$C$48,3,FALSE),1)</f>
        <v>1.00041560026225</v>
      </c>
      <c r="BW418" s="2">
        <f>IF(Wapato_Inventory[[#This Row],[decade]]="",1,_xlfn.IFNA(VLOOKUP(Wapato_Inventory[[#This Row],[decade]],Lookups!$F$28:$H$45,3,FALSE),1))</f>
        <v>1.0658609603367226</v>
      </c>
      <c r="BX418" s="2">
        <f>_xlfn.IFNA(VLOOKUP(Wapato_Inventory[[#This Row],[living_area_range]],Lookups!$K$28:$M$37,3,FALSE),1)</f>
        <v>0.99330894324714125</v>
      </c>
      <c r="BY418" s="2">
        <f>AVERAGE(Wapato_Inventory[[#This Row],[qual_adj]:[range_adj]])</f>
        <v>1.0152395689237836</v>
      </c>
      <c r="BZ418" s="7">
        <f>(Wapato_Inventory[[#This Row],[sum_land]]-IF(Wapato_Inventory[[#This Row],[no_utilities]]=1,12000,0))/IF(Wapato_Inventory[[#This Row],[unbuildable]]=1,2,1)</f>
        <v>54800</v>
      </c>
      <c r="CA418" s="7">
        <f>Wapato_Inventory[[#This Row],[pre_res]]*Wapato_Inventory[[#This Row],[overall_adj]]</f>
        <v>364531.69684375514</v>
      </c>
      <c r="CB418" s="3">
        <f>IF(ROUND(Wapato_Inventory[[#This Row],[adj_land]]*Lookups!$H$48,-2)&lt;Wapato_Inventory[[#This Row],[min_land]],Wapato_Inventory[[#This Row],[min_land]],ROUND(Wapato_Inventory[[#This Row],[adj_land]]*Lookups!$H$48,-2))</f>
        <v>52100</v>
      </c>
      <c r="CC418" s="3">
        <f>IF(ROUND(Wapato_Inventory[[#This Row],[adj_res]]*Lookups!$H$48,-2)&lt;Wapato_Inventory[[#This Row],[min_res]],Wapato_Inventory[[#This Row],[min_res]],ROUND(Wapato_Inventory[[#This Row],[adj_res]]*Lookups!$H$48,-2))</f>
        <v>346300</v>
      </c>
      <c r="CD418" s="3">
        <f>ROUND(Wapato_Inventory[[#This Row],[det_value]]*Lookups!$H$48,-2)</f>
        <v>0</v>
      </c>
      <c r="CE418" s="3">
        <f>Wapato_Inventory[[#This Row],[final_res]]+Wapato_Inventory[[#This Row],[final_det]]</f>
        <v>346300</v>
      </c>
      <c r="CF418" s="3">
        <f>Wapato_Inventory[[#This Row],[crop_value]]+Wapato_Inventory[[#This Row],[final_land]]+Wapato_Inventory[[#This Row],[final_imp]]</f>
        <v>398400</v>
      </c>
      <c r="CH418" t="str">
        <f t="shared" si="6"/>
        <v>update valuation set market_land =52100, market_bldg=346300, market_total =398400, market_mdno =405, market_date ='9/10/2023' where link_id = (select link_id from parcel where parcel_year = '2024' and parcel_id = '19111133519');</v>
      </c>
    </row>
    <row r="419" spans="1:86" x14ac:dyDescent="0.25">
      <c r="A419">
        <v>19111133521</v>
      </c>
      <c r="B419">
        <v>0.25</v>
      </c>
      <c r="C419" t="s">
        <v>144</v>
      </c>
      <c r="D419" t="s">
        <v>144</v>
      </c>
      <c r="E419" t="s">
        <v>54</v>
      </c>
      <c r="F419" t="s">
        <v>54</v>
      </c>
      <c r="G419">
        <v>3</v>
      </c>
      <c r="H419" t="s">
        <v>55</v>
      </c>
      <c r="I419">
        <v>163000</v>
      </c>
      <c r="J419">
        <v>36000</v>
      </c>
      <c r="K419">
        <v>0.25</v>
      </c>
      <c r="L419">
        <f>IF(Wapato_Inventory[[#This Row],[parcel_acres]]-Wapato_Inventory[[#This Row],[non_valued_acres]] =0,0,LN(Wapato_Inventory[[#This Row],[parcel_acres]]-Wapato_Inventory[[#This Row],[non_valued_acres]]))</f>
        <v>-1.3862943611198906</v>
      </c>
      <c r="M419">
        <v>0</v>
      </c>
      <c r="N419">
        <v>0</v>
      </c>
      <c r="O419">
        <v>0</v>
      </c>
      <c r="P419">
        <v>27904.037</v>
      </c>
      <c r="Q419">
        <v>74398</v>
      </c>
      <c r="R419" s="3">
        <f>(Wapato_Inventory[[#This Row],[ln_acres]]*Wapato_Inventory[[#This Row],[coeff]])+Wapato_Inventory[[#This Row],[const]]</f>
        <v>35714.790854419211</v>
      </c>
      <c r="S419" t="s">
        <v>62</v>
      </c>
      <c r="T419">
        <v>1</v>
      </c>
      <c r="U419" t="s">
        <v>67</v>
      </c>
      <c r="V419" t="s">
        <v>68</v>
      </c>
      <c r="W419">
        <v>0</v>
      </c>
      <c r="X419">
        <v>0</v>
      </c>
      <c r="Y419">
        <v>46</v>
      </c>
      <c r="Z419">
        <v>53</v>
      </c>
      <c r="AA419">
        <v>60</v>
      </c>
      <c r="AB419">
        <v>1500</v>
      </c>
      <c r="AC419">
        <v>1296</v>
      </c>
      <c r="AD419">
        <v>1296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96</v>
      </c>
      <c r="AO419">
        <v>0</v>
      </c>
      <c r="AP419">
        <v>7</v>
      </c>
      <c r="AQ419">
        <v>0</v>
      </c>
      <c r="AR419">
        <v>0</v>
      </c>
      <c r="AS419" t="s">
        <v>59</v>
      </c>
      <c r="AT419">
        <v>1</v>
      </c>
      <c r="AU419" t="s">
        <v>72</v>
      </c>
      <c r="AV419" t="s">
        <v>61</v>
      </c>
      <c r="AW419">
        <v>0</v>
      </c>
      <c r="AX419">
        <v>3</v>
      </c>
      <c r="AY419">
        <v>0</v>
      </c>
      <c r="AZ419">
        <v>0</v>
      </c>
      <c r="BA419">
        <v>100</v>
      </c>
      <c r="BB419">
        <v>100</v>
      </c>
      <c r="BC419">
        <v>100</v>
      </c>
      <c r="BD419">
        <v>100</v>
      </c>
      <c r="BE419">
        <v>1</v>
      </c>
      <c r="BF419">
        <v>15000</v>
      </c>
      <c r="BG419">
        <v>1000</v>
      </c>
      <c r="BH419" s="7">
        <f>ROUND(Wapato_Inventory[[#This Row],[detatched_value]]*Lookups!$B$22*Lookups!$H$48,-2)</f>
        <v>0</v>
      </c>
      <c r="BI419" s="7">
        <f>ROUND(((Wapato_Inventory[[#This Row],[land_extract]]*Lookups!$B$3) +(Lookups!$B$2*0.5))*Lookups!$H$48,-2)</f>
        <v>54500</v>
      </c>
      <c r="BJ419" s="7">
        <f>IF(Wapato_Inventory[[#This Row],[bldg_style]]="",0,Lookups!$B$2*0.5)</f>
        <v>53765.27</v>
      </c>
      <c r="BK419" s="7">
        <f>_xlfn.IFNA(VLOOKUP(Wapato_Inventory[[#This Row],[quality]],Lookups!$H$2:$J$14,3,FALSE),0)</f>
        <v>50405</v>
      </c>
      <c r="BL419" s="7">
        <f>_xlfn.IFNA(VLOOKUP(Wapato_Inventory[[#This Row],[condition]],Lookups!$H$17:$J$24,3,FALSE),0)</f>
        <v>52231</v>
      </c>
      <c r="BM419" s="7">
        <f>Wapato_Inventory[[#This Row],[Age]]*Lookups!$B$16</f>
        <v>-19645.812099999999</v>
      </c>
      <c r="BN419" s="7">
        <f>Wapato_Inventory[[#This Row],[Main Floor]]*Lookups!$B$17</f>
        <v>54173.757744000002</v>
      </c>
      <c r="BO419" s="7">
        <f>Wapato_Inventory[[#This Row],[Upper Floor]]*Lookups!$B$18</f>
        <v>0</v>
      </c>
      <c r="BP419" s="7">
        <f>Wapato_Inventory[[#This Row],[Fin BSMT]]*Lookups!$B$19</f>
        <v>0</v>
      </c>
      <c r="BQ419" s="7">
        <f>(Wapato_Inventory[[#This Row],[att_gar]]+Wapato_Inventory[[#This Row],[blt_gar]])*Lookups!$B$20</f>
        <v>0</v>
      </c>
      <c r="BR419" s="7">
        <f>Wapato_Inventory[[#This Row],[Patio]]*Lookups!$B$21</f>
        <v>0</v>
      </c>
      <c r="BS419" s="7">
        <f>SUM(Wapato_Inventory[[#This Row],[intercept]:[patio_value]])*Wapato_Inventory[[#This Row],[res_pct]]</f>
        <v>190929.21564399998</v>
      </c>
      <c r="BT419" s="7">
        <f>Wapato_Inventory[[#This Row],[land_value]]</f>
        <v>54500</v>
      </c>
      <c r="BU419" s="2">
        <f>_xlfn.IFNA(VLOOKUP(Wapato_Inventory[[#This Row],[quality]],Lookups!$A$28:$C$37,3,FALSE),1)</f>
        <v>0.97993206410140754</v>
      </c>
      <c r="BV419" s="2">
        <f>_xlfn.IFNA(VLOOKUP(Wapato_Inventory[[#This Row],[condition]],Lookups!$A$41:$C$48,3,FALSE),1)</f>
        <v>0.9832333997567807</v>
      </c>
      <c r="BW419" s="2">
        <f>IF(Wapato_Inventory[[#This Row],[decade]]="",1,_xlfn.IFNA(VLOOKUP(Wapato_Inventory[[#This Row],[decade]],Lookups!$F$28:$H$45,3,FALSE),1))</f>
        <v>1.035341704162583</v>
      </c>
      <c r="BX419" s="2">
        <f>_xlfn.IFNA(VLOOKUP(Wapato_Inventory[[#This Row],[living_area_range]],Lookups!$K$28:$M$37,3,FALSE),1)</f>
        <v>1.0061411172456287</v>
      </c>
      <c r="BY419" s="2">
        <f>AVERAGE(Wapato_Inventory[[#This Row],[qual_adj]:[range_adj]])</f>
        <v>1.0011620713166001</v>
      </c>
      <c r="BZ419" s="7">
        <f>(Wapato_Inventory[[#This Row],[sum_land]]-IF(Wapato_Inventory[[#This Row],[no_utilities]]=1,12000,0))/IF(Wapato_Inventory[[#This Row],[unbuildable]]=1,2,1)</f>
        <v>54500</v>
      </c>
      <c r="CA419" s="7">
        <f>Wapato_Inventory[[#This Row],[pre_res]]*Wapato_Inventory[[#This Row],[overall_adj]]</f>
        <v>191151.08900900083</v>
      </c>
      <c r="CB419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19" s="3">
        <f>IF(ROUND(Wapato_Inventory[[#This Row],[adj_res]]*Lookups!$H$48,-2)&lt;Wapato_Inventory[[#This Row],[min_res]],Wapato_Inventory[[#This Row],[min_res]],ROUND(Wapato_Inventory[[#This Row],[adj_res]]*Lookups!$H$48,-2))</f>
        <v>181600</v>
      </c>
      <c r="CD419" s="3">
        <f>ROUND(Wapato_Inventory[[#This Row],[det_value]]*Lookups!$H$48,-2)</f>
        <v>0</v>
      </c>
      <c r="CE419" s="3">
        <f>Wapato_Inventory[[#This Row],[final_res]]+Wapato_Inventory[[#This Row],[final_det]]</f>
        <v>181600</v>
      </c>
      <c r="CF419" s="3">
        <f>Wapato_Inventory[[#This Row],[crop_value]]+Wapato_Inventory[[#This Row],[final_land]]+Wapato_Inventory[[#This Row],[final_imp]]</f>
        <v>233400</v>
      </c>
      <c r="CH419" t="str">
        <f t="shared" si="6"/>
        <v>update valuation set market_land =51800, market_bldg=181600, market_total =233400, market_mdno =405, market_date ='9/10/2023' where link_id = (select link_id from parcel where parcel_year = '2024' and parcel_id = '19111133521');</v>
      </c>
    </row>
    <row r="420" spans="1:86" x14ac:dyDescent="0.25">
      <c r="A420">
        <v>19111133522</v>
      </c>
      <c r="B420">
        <v>0.25</v>
      </c>
      <c r="C420">
        <v>10800</v>
      </c>
      <c r="D420" t="s">
        <v>144</v>
      </c>
      <c r="E420" t="s">
        <v>54</v>
      </c>
      <c r="F420" t="s">
        <v>54</v>
      </c>
      <c r="G420">
        <v>3</v>
      </c>
      <c r="H420" t="s">
        <v>55</v>
      </c>
      <c r="I420">
        <v>111900</v>
      </c>
      <c r="J420">
        <v>36000</v>
      </c>
      <c r="K420">
        <v>0.25</v>
      </c>
      <c r="L420">
        <f>IF(Wapato_Inventory[[#This Row],[parcel_acres]]-Wapato_Inventory[[#This Row],[non_valued_acres]] =0,0,LN(Wapato_Inventory[[#This Row],[parcel_acres]]-Wapato_Inventory[[#This Row],[non_valued_acres]]))</f>
        <v>-1.3862943611198906</v>
      </c>
      <c r="M420">
        <v>0</v>
      </c>
      <c r="N420">
        <v>0</v>
      </c>
      <c r="O420">
        <v>0</v>
      </c>
      <c r="P420">
        <v>27904.037</v>
      </c>
      <c r="Q420">
        <v>74398</v>
      </c>
      <c r="R420" s="3">
        <f>(Wapato_Inventory[[#This Row],[ln_acres]]*Wapato_Inventory[[#This Row],[coeff]])+Wapato_Inventory[[#This Row],[const]]</f>
        <v>35714.790854419211</v>
      </c>
      <c r="S420" t="s">
        <v>62</v>
      </c>
      <c r="T420">
        <v>1</v>
      </c>
      <c r="U420" t="s">
        <v>71</v>
      </c>
      <c r="V420" t="s">
        <v>73</v>
      </c>
      <c r="W420">
        <v>0</v>
      </c>
      <c r="X420">
        <v>0</v>
      </c>
      <c r="Y420">
        <v>45</v>
      </c>
      <c r="Z420">
        <v>50</v>
      </c>
      <c r="AA420">
        <v>50</v>
      </c>
      <c r="AB420">
        <v>1500</v>
      </c>
      <c r="AC420">
        <v>1296</v>
      </c>
      <c r="AD420">
        <v>1296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96</v>
      </c>
      <c r="AO420">
        <v>0</v>
      </c>
      <c r="AP420">
        <v>5</v>
      </c>
      <c r="AQ420">
        <v>0</v>
      </c>
      <c r="AR420">
        <v>0</v>
      </c>
      <c r="AS420" t="s">
        <v>59</v>
      </c>
      <c r="AT420">
        <v>1</v>
      </c>
      <c r="AU420" t="s">
        <v>72</v>
      </c>
      <c r="AV420" t="s">
        <v>61</v>
      </c>
      <c r="AW420">
        <v>0</v>
      </c>
      <c r="AX420">
        <v>3</v>
      </c>
      <c r="AY420">
        <v>0</v>
      </c>
      <c r="AZ420">
        <v>0</v>
      </c>
      <c r="BA420">
        <v>100</v>
      </c>
      <c r="BB420">
        <v>100</v>
      </c>
      <c r="BC420">
        <v>100</v>
      </c>
      <c r="BD420">
        <v>100</v>
      </c>
      <c r="BE420">
        <v>1</v>
      </c>
      <c r="BF420">
        <v>15000</v>
      </c>
      <c r="BG420">
        <v>1000</v>
      </c>
      <c r="BH420" s="7">
        <f>ROUND(Wapato_Inventory[[#This Row],[detatched_value]]*Lookups!$B$22*Lookups!$H$48,-2)</f>
        <v>0</v>
      </c>
      <c r="BI420" s="7">
        <f>ROUND(((Wapato_Inventory[[#This Row],[land_extract]]*Lookups!$B$3) +(Lookups!$B$2*0.5))*Lookups!$H$48,-2)</f>
        <v>54500</v>
      </c>
      <c r="BJ420" s="7">
        <f>IF(Wapato_Inventory[[#This Row],[bldg_style]]="",0,Lookups!$B$2*0.5)</f>
        <v>53765.27</v>
      </c>
      <c r="BK420" s="7">
        <f>_xlfn.IFNA(VLOOKUP(Wapato_Inventory[[#This Row],[quality]],Lookups!$H$2:$J$14,3,FALSE),0)</f>
        <v>28034</v>
      </c>
      <c r="BL420" s="7">
        <f>_xlfn.IFNA(VLOOKUP(Wapato_Inventory[[#This Row],[condition]],Lookups!$H$17:$J$24,3,FALSE),0)</f>
        <v>16276</v>
      </c>
      <c r="BM420" s="7">
        <f>Wapato_Inventory[[#This Row],[Age]]*Lookups!$B$16</f>
        <v>-18533.785</v>
      </c>
      <c r="BN420" s="7">
        <f>Wapato_Inventory[[#This Row],[Main Floor]]*Lookups!$B$17</f>
        <v>54173.757744000002</v>
      </c>
      <c r="BO420" s="7">
        <f>Wapato_Inventory[[#This Row],[Upper Floor]]*Lookups!$B$18</f>
        <v>0</v>
      </c>
      <c r="BP420" s="7">
        <f>Wapato_Inventory[[#This Row],[Fin BSMT]]*Lookups!$B$19</f>
        <v>0</v>
      </c>
      <c r="BQ420" s="7">
        <f>(Wapato_Inventory[[#This Row],[att_gar]]+Wapato_Inventory[[#This Row],[blt_gar]])*Lookups!$B$20</f>
        <v>0</v>
      </c>
      <c r="BR420" s="7">
        <f>Wapato_Inventory[[#This Row],[Patio]]*Lookups!$B$21</f>
        <v>0</v>
      </c>
      <c r="BS420" s="7">
        <f>SUM(Wapato_Inventory[[#This Row],[intercept]:[patio_value]])*Wapato_Inventory[[#This Row],[res_pct]]</f>
        <v>133715.24274399999</v>
      </c>
      <c r="BT420" s="7">
        <f>Wapato_Inventory[[#This Row],[land_value]]</f>
        <v>54500</v>
      </c>
      <c r="BU420" s="2">
        <f>_xlfn.IFNA(VLOOKUP(Wapato_Inventory[[#This Row],[quality]],Lookups!$A$28:$C$37,3,FALSE),1)</f>
        <v>0.96265813922927435</v>
      </c>
      <c r="BV420" s="2">
        <f>_xlfn.IFNA(VLOOKUP(Wapato_Inventory[[#This Row],[condition]],Lookups!$A$41:$C$48,3,FALSE),1)</f>
        <v>0.93399385491337139</v>
      </c>
      <c r="BW420" s="2">
        <f>IF(Wapato_Inventory[[#This Row],[decade]]="",1,_xlfn.IFNA(VLOOKUP(Wapato_Inventory[[#This Row],[decade]],Lookups!$F$28:$H$45,3,FALSE),1))</f>
        <v>0.96240333884358298</v>
      </c>
      <c r="BX420" s="2">
        <f>_xlfn.IFNA(VLOOKUP(Wapato_Inventory[[#This Row],[living_area_range]],Lookups!$K$28:$M$37,3,FALSE),1)</f>
        <v>1.0061411172456287</v>
      </c>
      <c r="BY420" s="2">
        <f>AVERAGE(Wapato_Inventory[[#This Row],[qual_adj]:[range_adj]])</f>
        <v>0.96629911255796441</v>
      </c>
      <c r="BZ420" s="7">
        <f>(Wapato_Inventory[[#This Row],[sum_land]]-IF(Wapato_Inventory[[#This Row],[no_utilities]]=1,12000,0))/IF(Wapato_Inventory[[#This Row],[unbuildable]]=1,2,1)</f>
        <v>54500</v>
      </c>
      <c r="CA420" s="7">
        <f>Wapato_Inventory[[#This Row],[pre_res]]*Wapato_Inventory[[#This Row],[overall_adj]]</f>
        <v>129208.92039899998</v>
      </c>
      <c r="CB420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20" s="3">
        <f>IF(ROUND(Wapato_Inventory[[#This Row],[adj_res]]*Lookups!$H$48,-2)&lt;Wapato_Inventory[[#This Row],[min_res]],Wapato_Inventory[[#This Row],[min_res]],ROUND(Wapato_Inventory[[#This Row],[adj_res]]*Lookups!$H$48,-2))</f>
        <v>122700</v>
      </c>
      <c r="CD420" s="3">
        <f>ROUND(Wapato_Inventory[[#This Row],[det_value]]*Lookups!$H$48,-2)</f>
        <v>0</v>
      </c>
      <c r="CE420" s="3">
        <f>Wapato_Inventory[[#This Row],[final_res]]+Wapato_Inventory[[#This Row],[final_det]]</f>
        <v>122700</v>
      </c>
      <c r="CF420" s="3">
        <f>Wapato_Inventory[[#This Row],[crop_value]]+Wapato_Inventory[[#This Row],[final_land]]+Wapato_Inventory[[#This Row],[final_imp]]</f>
        <v>174500</v>
      </c>
      <c r="CH420" t="str">
        <f t="shared" si="6"/>
        <v>update valuation set market_land =51800, market_bldg=122700, market_total =174500, market_mdno =405, market_date ='9/10/2023' where link_id = (select link_id from parcel where parcel_year = '2024' and parcel_id = '19111133522');</v>
      </c>
    </row>
    <row r="421" spans="1:86" x14ac:dyDescent="0.25">
      <c r="A421">
        <v>19111133523</v>
      </c>
      <c r="B421">
        <v>0.25</v>
      </c>
      <c r="C421">
        <v>10800</v>
      </c>
      <c r="D421" t="s">
        <v>144</v>
      </c>
      <c r="E421" t="s">
        <v>54</v>
      </c>
      <c r="F421" t="s">
        <v>54</v>
      </c>
      <c r="G421">
        <v>3</v>
      </c>
      <c r="H421" t="s">
        <v>55</v>
      </c>
      <c r="I421">
        <v>139600</v>
      </c>
      <c r="J421">
        <v>36000</v>
      </c>
      <c r="K421">
        <v>0.25</v>
      </c>
      <c r="L421">
        <f>IF(Wapato_Inventory[[#This Row],[parcel_acres]]-Wapato_Inventory[[#This Row],[non_valued_acres]] =0,0,LN(Wapato_Inventory[[#This Row],[parcel_acres]]-Wapato_Inventory[[#This Row],[non_valued_acres]]))</f>
        <v>-1.3862943611198906</v>
      </c>
      <c r="M421">
        <v>0</v>
      </c>
      <c r="N421">
        <v>0</v>
      </c>
      <c r="O421">
        <v>0</v>
      </c>
      <c r="P421">
        <v>27904.037</v>
      </c>
      <c r="Q421">
        <v>74398</v>
      </c>
      <c r="R421" s="3">
        <f>(Wapato_Inventory[[#This Row],[ln_acres]]*Wapato_Inventory[[#This Row],[coeff]])+Wapato_Inventory[[#This Row],[const]]</f>
        <v>35714.790854419211</v>
      </c>
      <c r="S421" t="s">
        <v>66</v>
      </c>
      <c r="T421">
        <v>1</v>
      </c>
      <c r="U421" t="s">
        <v>71</v>
      </c>
      <c r="V421" t="s">
        <v>68</v>
      </c>
      <c r="W421">
        <v>0</v>
      </c>
      <c r="X421">
        <v>0</v>
      </c>
      <c r="Y421">
        <v>45</v>
      </c>
      <c r="Z421">
        <v>50</v>
      </c>
      <c r="AA421">
        <v>50</v>
      </c>
      <c r="AB421">
        <v>1500</v>
      </c>
      <c r="AC421">
        <v>1296</v>
      </c>
      <c r="AD421">
        <v>1296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96</v>
      </c>
      <c r="AO421">
        <v>280</v>
      </c>
      <c r="AP421">
        <v>5</v>
      </c>
      <c r="AQ421">
        <v>0</v>
      </c>
      <c r="AR421">
        <v>0</v>
      </c>
      <c r="AS421" t="s">
        <v>59</v>
      </c>
      <c r="AT421">
        <v>1</v>
      </c>
      <c r="AU421" t="s">
        <v>76</v>
      </c>
      <c r="AV421" t="s">
        <v>61</v>
      </c>
      <c r="AW421">
        <v>0</v>
      </c>
      <c r="AX421">
        <v>3</v>
      </c>
      <c r="AY421">
        <v>0</v>
      </c>
      <c r="AZ421">
        <v>0</v>
      </c>
      <c r="BA421">
        <v>100</v>
      </c>
      <c r="BB421">
        <v>100</v>
      </c>
      <c r="BC421">
        <v>100</v>
      </c>
      <c r="BD421">
        <v>100</v>
      </c>
      <c r="BE421">
        <v>1</v>
      </c>
      <c r="BF421">
        <v>15000</v>
      </c>
      <c r="BG421">
        <v>1000</v>
      </c>
      <c r="BH421" s="7">
        <f>ROUND(Wapato_Inventory[[#This Row],[detatched_value]]*Lookups!$B$22*Lookups!$H$48,-2)</f>
        <v>0</v>
      </c>
      <c r="BI421" s="7">
        <f>ROUND(((Wapato_Inventory[[#This Row],[land_extract]]*Lookups!$B$3) +(Lookups!$B$2*0.5))*Lookups!$H$48,-2)</f>
        <v>54500</v>
      </c>
      <c r="BJ421" s="7">
        <f>IF(Wapato_Inventory[[#This Row],[bldg_style]]="",0,Lookups!$B$2*0.5)</f>
        <v>53765.27</v>
      </c>
      <c r="BK421" s="7">
        <f>_xlfn.IFNA(VLOOKUP(Wapato_Inventory[[#This Row],[quality]],Lookups!$H$2:$J$14,3,FALSE),0)</f>
        <v>28034</v>
      </c>
      <c r="BL421" s="7">
        <f>_xlfn.IFNA(VLOOKUP(Wapato_Inventory[[#This Row],[condition]],Lookups!$H$17:$J$24,3,FALSE),0)</f>
        <v>52231</v>
      </c>
      <c r="BM421" s="7">
        <f>Wapato_Inventory[[#This Row],[Age]]*Lookups!$B$16</f>
        <v>-18533.785</v>
      </c>
      <c r="BN421" s="7">
        <f>Wapato_Inventory[[#This Row],[Main Floor]]*Lookups!$B$17</f>
        <v>54173.757744000002</v>
      </c>
      <c r="BO421" s="7">
        <f>Wapato_Inventory[[#This Row],[Upper Floor]]*Lookups!$B$18</f>
        <v>0</v>
      </c>
      <c r="BP421" s="7">
        <f>Wapato_Inventory[[#This Row],[Fin BSMT]]*Lookups!$B$19</f>
        <v>0</v>
      </c>
      <c r="BQ421" s="7">
        <f>(Wapato_Inventory[[#This Row],[att_gar]]+Wapato_Inventory[[#This Row],[blt_gar]])*Lookups!$B$20</f>
        <v>0</v>
      </c>
      <c r="BR421" s="7">
        <f>Wapato_Inventory[[#This Row],[Patio]]*Lookups!$B$21</f>
        <v>0</v>
      </c>
      <c r="BS421" s="7">
        <f>SUM(Wapato_Inventory[[#This Row],[intercept]:[patio_value]])*Wapato_Inventory[[#This Row],[res_pct]]</f>
        <v>169670.24274399999</v>
      </c>
      <c r="BT421" s="7">
        <f>Wapato_Inventory[[#This Row],[land_value]]</f>
        <v>54500</v>
      </c>
      <c r="BU421" s="2">
        <f>_xlfn.IFNA(VLOOKUP(Wapato_Inventory[[#This Row],[quality]],Lookups!$A$28:$C$37,3,FALSE),1)</f>
        <v>0.96265813922927435</v>
      </c>
      <c r="BV421" s="2">
        <f>_xlfn.IFNA(VLOOKUP(Wapato_Inventory[[#This Row],[condition]],Lookups!$A$41:$C$48,3,FALSE),1)</f>
        <v>0.9832333997567807</v>
      </c>
      <c r="BW421" s="2">
        <f>IF(Wapato_Inventory[[#This Row],[decade]]="",1,_xlfn.IFNA(VLOOKUP(Wapato_Inventory[[#This Row],[decade]],Lookups!$F$28:$H$45,3,FALSE),1))</f>
        <v>0.96240333884358298</v>
      </c>
      <c r="BX421" s="2">
        <f>_xlfn.IFNA(VLOOKUP(Wapato_Inventory[[#This Row],[living_area_range]],Lookups!$K$28:$M$37,3,FALSE),1)</f>
        <v>1.0061411172456287</v>
      </c>
      <c r="BY421" s="2">
        <f>AVERAGE(Wapato_Inventory[[#This Row],[qual_adj]:[range_adj]])</f>
        <v>0.97860899876881668</v>
      </c>
      <c r="BZ421" s="7">
        <f>(Wapato_Inventory[[#This Row],[sum_land]]-IF(Wapato_Inventory[[#This Row],[no_utilities]]=1,12000,0))/IF(Wapato_Inventory[[#This Row],[unbuildable]]=1,2,1)</f>
        <v>54500</v>
      </c>
      <c r="CA421" s="7">
        <f>Wapato_Inventory[[#This Row],[pre_res]]*Wapato_Inventory[[#This Row],[overall_adj]]</f>
        <v>166040.82637256791</v>
      </c>
      <c r="CB421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21" s="3">
        <f>IF(ROUND(Wapato_Inventory[[#This Row],[adj_res]]*Lookups!$H$48,-2)&lt;Wapato_Inventory[[#This Row],[min_res]],Wapato_Inventory[[#This Row],[min_res]],ROUND(Wapato_Inventory[[#This Row],[adj_res]]*Lookups!$H$48,-2))</f>
        <v>157700</v>
      </c>
      <c r="CD421" s="3">
        <f>ROUND(Wapato_Inventory[[#This Row],[det_value]]*Lookups!$H$48,-2)</f>
        <v>0</v>
      </c>
      <c r="CE421" s="3">
        <f>Wapato_Inventory[[#This Row],[final_res]]+Wapato_Inventory[[#This Row],[final_det]]</f>
        <v>157700</v>
      </c>
      <c r="CF421" s="3">
        <f>Wapato_Inventory[[#This Row],[crop_value]]+Wapato_Inventory[[#This Row],[final_land]]+Wapato_Inventory[[#This Row],[final_imp]]</f>
        <v>209500</v>
      </c>
      <c r="CH421" t="str">
        <f t="shared" si="6"/>
        <v>update valuation set market_land =51800, market_bldg=157700, market_total =209500, market_mdno =405, market_date ='9/10/2023' where link_id = (select link_id from parcel where parcel_year = '2024' and parcel_id = '19111133523');</v>
      </c>
    </row>
    <row r="422" spans="1:86" x14ac:dyDescent="0.25">
      <c r="A422">
        <v>19111133524</v>
      </c>
      <c r="B422">
        <v>0.25</v>
      </c>
      <c r="C422" t="s">
        <v>144</v>
      </c>
      <c r="D422" t="s">
        <v>144</v>
      </c>
      <c r="E422" t="s">
        <v>54</v>
      </c>
      <c r="F422" t="s">
        <v>54</v>
      </c>
      <c r="G422">
        <v>3</v>
      </c>
      <c r="H422" t="s">
        <v>55</v>
      </c>
      <c r="I422">
        <v>222700</v>
      </c>
      <c r="J422">
        <v>36000</v>
      </c>
      <c r="K422">
        <v>0.25</v>
      </c>
      <c r="L422">
        <f>IF(Wapato_Inventory[[#This Row],[parcel_acres]]-Wapato_Inventory[[#This Row],[non_valued_acres]] =0,0,LN(Wapato_Inventory[[#This Row],[parcel_acres]]-Wapato_Inventory[[#This Row],[non_valued_acres]]))</f>
        <v>-1.3862943611198906</v>
      </c>
      <c r="M422">
        <v>0</v>
      </c>
      <c r="N422">
        <v>0</v>
      </c>
      <c r="O422">
        <v>0</v>
      </c>
      <c r="P422">
        <v>27904.037</v>
      </c>
      <c r="Q422">
        <v>74398</v>
      </c>
      <c r="R422" s="3">
        <f>(Wapato_Inventory[[#This Row],[ln_acres]]*Wapato_Inventory[[#This Row],[coeff]])+Wapato_Inventory[[#This Row],[const]]</f>
        <v>35714.790854419211</v>
      </c>
      <c r="S422" t="s">
        <v>62</v>
      </c>
      <c r="T422">
        <v>1</v>
      </c>
      <c r="U422" t="s">
        <v>67</v>
      </c>
      <c r="V422" t="s">
        <v>69</v>
      </c>
      <c r="W422">
        <v>0</v>
      </c>
      <c r="X422">
        <v>0</v>
      </c>
      <c r="Y422">
        <v>45</v>
      </c>
      <c r="Z422">
        <v>50</v>
      </c>
      <c r="AA422">
        <v>50</v>
      </c>
      <c r="AB422">
        <v>1500</v>
      </c>
      <c r="AC422">
        <v>1370</v>
      </c>
      <c r="AD422">
        <v>1370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170</v>
      </c>
      <c r="AL422">
        <v>280</v>
      </c>
      <c r="AM422">
        <v>0</v>
      </c>
      <c r="AN422">
        <v>60</v>
      </c>
      <c r="AO422">
        <v>0</v>
      </c>
      <c r="AP422">
        <v>5</v>
      </c>
      <c r="AQ422">
        <v>0</v>
      </c>
      <c r="AR422">
        <v>1</v>
      </c>
      <c r="AS422" t="s">
        <v>59</v>
      </c>
      <c r="AT422">
        <v>1</v>
      </c>
      <c r="AU422" t="s">
        <v>72</v>
      </c>
      <c r="AV422" t="s">
        <v>61</v>
      </c>
      <c r="AW422">
        <v>0</v>
      </c>
      <c r="AX422">
        <v>3</v>
      </c>
      <c r="AY422">
        <v>0</v>
      </c>
      <c r="AZ422">
        <v>0</v>
      </c>
      <c r="BA422">
        <v>100</v>
      </c>
      <c r="BB422">
        <v>100</v>
      </c>
      <c r="BC422">
        <v>100</v>
      </c>
      <c r="BD422">
        <v>100</v>
      </c>
      <c r="BE422">
        <v>1</v>
      </c>
      <c r="BF422">
        <v>15000</v>
      </c>
      <c r="BG422">
        <v>1000</v>
      </c>
      <c r="BH422" s="7">
        <f>ROUND(Wapato_Inventory[[#This Row],[detatched_value]]*Lookups!$B$22*Lookups!$H$48,-2)</f>
        <v>0</v>
      </c>
      <c r="BI422" s="7">
        <f>ROUND(((Wapato_Inventory[[#This Row],[land_extract]]*Lookups!$B$3) +(Lookups!$B$2*0.5))*Lookups!$H$48,-2)</f>
        <v>54500</v>
      </c>
      <c r="BJ422" s="7">
        <f>IF(Wapato_Inventory[[#This Row],[bldg_style]]="",0,Lookups!$B$2*0.5)</f>
        <v>53765.27</v>
      </c>
      <c r="BK422" s="7">
        <f>_xlfn.IFNA(VLOOKUP(Wapato_Inventory[[#This Row],[quality]],Lookups!$H$2:$J$14,3,FALSE),0)</f>
        <v>50405</v>
      </c>
      <c r="BL422" s="7">
        <f>_xlfn.IFNA(VLOOKUP(Wapato_Inventory[[#This Row],[condition]],Lookups!$H$17:$J$24,3,FALSE),0)</f>
        <v>74543</v>
      </c>
      <c r="BM422" s="7">
        <f>Wapato_Inventory[[#This Row],[Age]]*Lookups!$B$16</f>
        <v>-18533.785</v>
      </c>
      <c r="BN422" s="7">
        <f>Wapato_Inventory[[#This Row],[Main Floor]]*Lookups!$B$17</f>
        <v>57267.012430000002</v>
      </c>
      <c r="BO422" s="7">
        <f>Wapato_Inventory[[#This Row],[Upper Floor]]*Lookups!$B$18</f>
        <v>0</v>
      </c>
      <c r="BP422" s="7">
        <f>Wapato_Inventory[[#This Row],[Fin BSMT]]*Lookups!$B$19</f>
        <v>0</v>
      </c>
      <c r="BQ422" s="7">
        <f>(Wapato_Inventory[[#This Row],[att_gar]]+Wapato_Inventory[[#This Row],[blt_gar]])*Lookups!$B$20</f>
        <v>0</v>
      </c>
      <c r="BR422" s="7">
        <f>Wapato_Inventory[[#This Row],[Patio]]*Lookups!$B$21</f>
        <v>0</v>
      </c>
      <c r="BS422" s="7">
        <f>SUM(Wapato_Inventory[[#This Row],[intercept]:[patio_value]])*Wapato_Inventory[[#This Row],[res_pct]]</f>
        <v>217446.49742999999</v>
      </c>
      <c r="BT422" s="7">
        <f>Wapato_Inventory[[#This Row],[land_value]]</f>
        <v>54500</v>
      </c>
      <c r="BU422" s="2">
        <f>_xlfn.IFNA(VLOOKUP(Wapato_Inventory[[#This Row],[quality]],Lookups!$A$28:$C$37,3,FALSE),1)</f>
        <v>0.97993206410140754</v>
      </c>
      <c r="BV422" s="2">
        <f>_xlfn.IFNA(VLOOKUP(Wapato_Inventory[[#This Row],[condition]],Lookups!$A$41:$C$48,3,FALSE),1)</f>
        <v>0.98442438223270734</v>
      </c>
      <c r="BW422" s="2">
        <f>IF(Wapato_Inventory[[#This Row],[decade]]="",1,_xlfn.IFNA(VLOOKUP(Wapato_Inventory[[#This Row],[decade]],Lookups!$F$28:$H$45,3,FALSE),1))</f>
        <v>0.96240333884358298</v>
      </c>
      <c r="BX422" s="2">
        <f>_xlfn.IFNA(VLOOKUP(Wapato_Inventory[[#This Row],[living_area_range]],Lookups!$K$28:$M$37,3,FALSE),1)</f>
        <v>1.0061411172456287</v>
      </c>
      <c r="BY422" s="2">
        <f>AVERAGE(Wapato_Inventory[[#This Row],[qual_adj]:[range_adj]])</f>
        <v>0.9832252256058317</v>
      </c>
      <c r="BZ422" s="7">
        <f>(Wapato_Inventory[[#This Row],[sum_land]]-IF(Wapato_Inventory[[#This Row],[no_utilities]]=1,12000,0))/IF(Wapato_Inventory[[#This Row],[unbuildable]]=1,2,1)</f>
        <v>54500</v>
      </c>
      <c r="CA422" s="7">
        <f>Wapato_Inventory[[#This Row],[pre_res]]*Wapato_Inventory[[#This Row],[overall_adj]]</f>
        <v>213798.88149280965</v>
      </c>
      <c r="CB422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22" s="3">
        <f>IF(ROUND(Wapato_Inventory[[#This Row],[adj_res]]*Lookups!$H$48,-2)&lt;Wapato_Inventory[[#This Row],[min_res]],Wapato_Inventory[[#This Row],[min_res]],ROUND(Wapato_Inventory[[#This Row],[adj_res]]*Lookups!$H$48,-2))</f>
        <v>203100</v>
      </c>
      <c r="CD422" s="3">
        <f>ROUND(Wapato_Inventory[[#This Row],[det_value]]*Lookups!$H$48,-2)</f>
        <v>0</v>
      </c>
      <c r="CE422" s="3">
        <f>Wapato_Inventory[[#This Row],[final_res]]+Wapato_Inventory[[#This Row],[final_det]]</f>
        <v>203100</v>
      </c>
      <c r="CF422" s="3">
        <f>Wapato_Inventory[[#This Row],[crop_value]]+Wapato_Inventory[[#This Row],[final_land]]+Wapato_Inventory[[#This Row],[final_imp]]</f>
        <v>254900</v>
      </c>
      <c r="CH422" t="str">
        <f t="shared" si="6"/>
        <v>update valuation set market_land =51800, market_bldg=203100, market_total =254900, market_mdno =405, market_date ='9/10/2023' where link_id = (select link_id from parcel where parcel_year = '2024' and parcel_id = '19111133524');</v>
      </c>
    </row>
    <row r="423" spans="1:86" x14ac:dyDescent="0.25">
      <c r="A423">
        <v>19111133527</v>
      </c>
      <c r="B423">
        <v>0.19</v>
      </c>
      <c r="C423">
        <v>8331</v>
      </c>
      <c r="D423" t="s">
        <v>144</v>
      </c>
      <c r="E423" t="s">
        <v>54</v>
      </c>
      <c r="F423" t="s">
        <v>54</v>
      </c>
      <c r="G423">
        <v>3</v>
      </c>
      <c r="H423" t="s">
        <v>55</v>
      </c>
      <c r="I423">
        <v>210200</v>
      </c>
      <c r="J423">
        <v>34100</v>
      </c>
      <c r="K423">
        <v>0.19</v>
      </c>
      <c r="L423">
        <f>IF(Wapato_Inventory[[#This Row],[parcel_acres]]-Wapato_Inventory[[#This Row],[non_valued_acres]] =0,0,LN(Wapato_Inventory[[#This Row],[parcel_acres]]-Wapato_Inventory[[#This Row],[non_valued_acres]]))</f>
        <v>-1.6607312068216509</v>
      </c>
      <c r="M423">
        <v>0</v>
      </c>
      <c r="N423">
        <v>0</v>
      </c>
      <c r="O423">
        <v>0</v>
      </c>
      <c r="P423">
        <v>27904.037</v>
      </c>
      <c r="Q423">
        <v>74398</v>
      </c>
      <c r="R423" s="3">
        <f>(Wapato_Inventory[[#This Row],[ln_acres]]*Wapato_Inventory[[#This Row],[coeff]])+Wapato_Inventory[[#This Row],[const]]</f>
        <v>28056.894957794</v>
      </c>
      <c r="S423" t="s">
        <v>62</v>
      </c>
      <c r="T423">
        <v>1</v>
      </c>
      <c r="U423" t="s">
        <v>75</v>
      </c>
      <c r="V423" t="s">
        <v>68</v>
      </c>
      <c r="W423">
        <v>0</v>
      </c>
      <c r="X423">
        <v>0</v>
      </c>
      <c r="Y423">
        <v>44</v>
      </c>
      <c r="Z423">
        <v>49</v>
      </c>
      <c r="AA423">
        <v>50</v>
      </c>
      <c r="AB423">
        <v>1500</v>
      </c>
      <c r="AC423">
        <v>1340</v>
      </c>
      <c r="AD423">
        <v>1340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272</v>
      </c>
      <c r="AN423">
        <v>288</v>
      </c>
      <c r="AO423">
        <v>176</v>
      </c>
      <c r="AP423">
        <v>5</v>
      </c>
      <c r="AQ423">
        <v>1</v>
      </c>
      <c r="AR423">
        <v>0</v>
      </c>
      <c r="AS423" t="s">
        <v>59</v>
      </c>
      <c r="AT423">
        <v>1</v>
      </c>
      <c r="AU423" t="s">
        <v>60</v>
      </c>
      <c r="AV423" t="s">
        <v>61</v>
      </c>
      <c r="AW423">
        <v>1</v>
      </c>
      <c r="AX423">
        <v>3</v>
      </c>
      <c r="AY423">
        <v>0</v>
      </c>
      <c r="AZ423">
        <v>0</v>
      </c>
      <c r="BA423">
        <v>100</v>
      </c>
      <c r="BB423">
        <v>100</v>
      </c>
      <c r="BC423">
        <v>100</v>
      </c>
      <c r="BD423">
        <v>100</v>
      </c>
      <c r="BE423">
        <v>1</v>
      </c>
      <c r="BF423">
        <v>15000</v>
      </c>
      <c r="BG423">
        <v>1000</v>
      </c>
      <c r="BH423" s="7">
        <f>ROUND(Wapato_Inventory[[#This Row],[detatched_value]]*Lookups!$B$22*Lookups!$H$48,-2)</f>
        <v>0</v>
      </c>
      <c r="BI423" s="7">
        <f>ROUND(((Wapato_Inventory[[#This Row],[land_extract]]*Lookups!$B$3) +(Lookups!$B$2*0.5))*Lookups!$H$48,-2)</f>
        <v>53800</v>
      </c>
      <c r="BJ423" s="7">
        <f>IF(Wapato_Inventory[[#This Row],[bldg_style]]="",0,Lookups!$B$2*0.5)</f>
        <v>53765.27</v>
      </c>
      <c r="BK423" s="7">
        <f>_xlfn.IFNA(VLOOKUP(Wapato_Inventory[[#This Row],[quality]],Lookups!$H$2:$J$14,3,FALSE),0)</f>
        <v>48043</v>
      </c>
      <c r="BL423" s="7">
        <f>_xlfn.IFNA(VLOOKUP(Wapato_Inventory[[#This Row],[condition]],Lookups!$H$17:$J$24,3,FALSE),0)</f>
        <v>52231</v>
      </c>
      <c r="BM423" s="7">
        <f>Wapato_Inventory[[#This Row],[Age]]*Lookups!$B$16</f>
        <v>-18163.1093</v>
      </c>
      <c r="BN423" s="7">
        <f>Wapato_Inventory[[#This Row],[Main Floor]]*Lookups!$B$17</f>
        <v>56012.990259999999</v>
      </c>
      <c r="BO423" s="7">
        <f>Wapato_Inventory[[#This Row],[Upper Floor]]*Lookups!$B$18</f>
        <v>0</v>
      </c>
      <c r="BP423" s="7">
        <f>Wapato_Inventory[[#This Row],[Fin BSMT]]*Lookups!$B$19</f>
        <v>0</v>
      </c>
      <c r="BQ423" s="7">
        <f>(Wapato_Inventory[[#This Row],[att_gar]]+Wapato_Inventory[[#This Row],[blt_gar]])*Lookups!$B$20</f>
        <v>0</v>
      </c>
      <c r="BR423" s="7">
        <f>Wapato_Inventory[[#This Row],[Patio]]*Lookups!$B$21</f>
        <v>11784.122288</v>
      </c>
      <c r="BS423" s="7">
        <f>SUM(Wapato_Inventory[[#This Row],[intercept]:[patio_value]])*Wapato_Inventory[[#This Row],[res_pct]]</f>
        <v>203673.27324799998</v>
      </c>
      <c r="BT423" s="7">
        <f>Wapato_Inventory[[#This Row],[land_value]]</f>
        <v>53800</v>
      </c>
      <c r="BU423" s="2">
        <f>_xlfn.IFNA(VLOOKUP(Wapato_Inventory[[#This Row],[quality]],Lookups!$A$28:$C$37,3,FALSE),1)</f>
        <v>0.98196844879778955</v>
      </c>
      <c r="BV423" s="2">
        <f>_xlfn.IFNA(VLOOKUP(Wapato_Inventory[[#This Row],[condition]],Lookups!$A$41:$C$48,3,FALSE),1)</f>
        <v>0.9832333997567807</v>
      </c>
      <c r="BW423" s="2">
        <f>IF(Wapato_Inventory[[#This Row],[decade]]="",1,_xlfn.IFNA(VLOOKUP(Wapato_Inventory[[#This Row],[decade]],Lookups!$F$28:$H$45,3,FALSE),1))</f>
        <v>0.96240333884358298</v>
      </c>
      <c r="BX423" s="2">
        <f>_xlfn.IFNA(VLOOKUP(Wapato_Inventory[[#This Row],[living_area_range]],Lookups!$K$28:$M$37,3,FALSE),1)</f>
        <v>1.0061411172456287</v>
      </c>
      <c r="BY423" s="2">
        <f>AVERAGE(Wapato_Inventory[[#This Row],[qual_adj]:[range_adj]])</f>
        <v>0.98343657616094549</v>
      </c>
      <c r="BZ423" s="7">
        <f>(Wapato_Inventory[[#This Row],[sum_land]]-IF(Wapato_Inventory[[#This Row],[no_utilities]]=1,12000,0))/IF(Wapato_Inventory[[#This Row],[unbuildable]]=1,2,1)</f>
        <v>53800</v>
      </c>
      <c r="CA423" s="7">
        <f>Wapato_Inventory[[#This Row],[pre_res]]*Wapato_Inventory[[#This Row],[overall_adj]]</f>
        <v>200299.74649850579</v>
      </c>
      <c r="CB423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423" s="3">
        <f>IF(ROUND(Wapato_Inventory[[#This Row],[adj_res]]*Lookups!$H$48,-2)&lt;Wapato_Inventory[[#This Row],[min_res]],Wapato_Inventory[[#This Row],[min_res]],ROUND(Wapato_Inventory[[#This Row],[adj_res]]*Lookups!$H$48,-2))</f>
        <v>190300</v>
      </c>
      <c r="CD423" s="3">
        <f>ROUND(Wapato_Inventory[[#This Row],[det_value]]*Lookups!$H$48,-2)</f>
        <v>0</v>
      </c>
      <c r="CE423" s="3">
        <f>Wapato_Inventory[[#This Row],[final_res]]+Wapato_Inventory[[#This Row],[final_det]]</f>
        <v>190300</v>
      </c>
      <c r="CF423" s="3">
        <f>Wapato_Inventory[[#This Row],[crop_value]]+Wapato_Inventory[[#This Row],[final_land]]+Wapato_Inventory[[#This Row],[final_imp]]</f>
        <v>241400</v>
      </c>
      <c r="CH423" t="str">
        <f t="shared" si="6"/>
        <v>update valuation set market_land =51100, market_bldg=190300, market_total =241400, market_mdno =405, market_date ='9/10/2023' where link_id = (select link_id from parcel where parcel_year = '2024' and parcel_id = '19111133527');</v>
      </c>
    </row>
    <row r="424" spans="1:86" x14ac:dyDescent="0.25">
      <c r="A424">
        <v>19111133528</v>
      </c>
      <c r="B424">
        <v>0.19</v>
      </c>
      <c r="C424">
        <v>8282</v>
      </c>
      <c r="D424" t="s">
        <v>144</v>
      </c>
      <c r="E424" t="s">
        <v>54</v>
      </c>
      <c r="F424" t="s">
        <v>54</v>
      </c>
      <c r="G424">
        <v>3</v>
      </c>
      <c r="H424" t="s">
        <v>55</v>
      </c>
      <c r="I424">
        <v>181700</v>
      </c>
      <c r="J424">
        <v>34100</v>
      </c>
      <c r="K424">
        <v>0.19</v>
      </c>
      <c r="L424">
        <f>IF(Wapato_Inventory[[#This Row],[parcel_acres]]-Wapato_Inventory[[#This Row],[non_valued_acres]] =0,0,LN(Wapato_Inventory[[#This Row],[parcel_acres]]-Wapato_Inventory[[#This Row],[non_valued_acres]]))</f>
        <v>-1.6607312068216509</v>
      </c>
      <c r="M424">
        <v>0</v>
      </c>
      <c r="N424">
        <v>0</v>
      </c>
      <c r="O424">
        <v>0</v>
      </c>
      <c r="P424">
        <v>27904.037</v>
      </c>
      <c r="Q424">
        <v>74398</v>
      </c>
      <c r="R424" s="3">
        <f>(Wapato_Inventory[[#This Row],[ln_acres]]*Wapato_Inventory[[#This Row],[coeff]])+Wapato_Inventory[[#This Row],[const]]</f>
        <v>28056.894957794</v>
      </c>
      <c r="S424" t="s">
        <v>62</v>
      </c>
      <c r="T424">
        <v>1</v>
      </c>
      <c r="U424" t="s">
        <v>67</v>
      </c>
      <c r="V424" t="s">
        <v>68</v>
      </c>
      <c r="W424">
        <v>0</v>
      </c>
      <c r="X424">
        <v>0</v>
      </c>
      <c r="Y424">
        <v>44</v>
      </c>
      <c r="Z424">
        <v>49</v>
      </c>
      <c r="AA424">
        <v>50</v>
      </c>
      <c r="AB424">
        <v>1500</v>
      </c>
      <c r="AC424">
        <v>1461</v>
      </c>
      <c r="AD424">
        <v>1461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169</v>
      </c>
      <c r="AM424">
        <v>0</v>
      </c>
      <c r="AN424">
        <v>0</v>
      </c>
      <c r="AO424">
        <v>0</v>
      </c>
      <c r="AP424">
        <v>9</v>
      </c>
      <c r="AQ424">
        <v>1</v>
      </c>
      <c r="AR424">
        <v>0</v>
      </c>
      <c r="AS424" t="s">
        <v>59</v>
      </c>
      <c r="AT424">
        <v>1</v>
      </c>
      <c r="AU424" t="s">
        <v>64</v>
      </c>
      <c r="AV424" t="s">
        <v>65</v>
      </c>
      <c r="AW424">
        <v>0</v>
      </c>
      <c r="AX424">
        <v>4</v>
      </c>
      <c r="AY424">
        <v>0</v>
      </c>
      <c r="AZ424">
        <v>0</v>
      </c>
      <c r="BA424">
        <v>100</v>
      </c>
      <c r="BB424">
        <v>100</v>
      </c>
      <c r="BC424">
        <v>100</v>
      </c>
      <c r="BD424">
        <v>100</v>
      </c>
      <c r="BE424">
        <v>1</v>
      </c>
      <c r="BF424">
        <v>15000</v>
      </c>
      <c r="BG424">
        <v>1000</v>
      </c>
      <c r="BH424" s="7">
        <f>ROUND(Wapato_Inventory[[#This Row],[detatched_value]]*Lookups!$B$22*Lookups!$H$48,-2)</f>
        <v>0</v>
      </c>
      <c r="BI424" s="7">
        <f>ROUND(((Wapato_Inventory[[#This Row],[land_extract]]*Lookups!$B$3) +(Lookups!$B$2*0.5))*Lookups!$H$48,-2)</f>
        <v>53800</v>
      </c>
      <c r="BJ424" s="7">
        <f>IF(Wapato_Inventory[[#This Row],[bldg_style]]="",0,Lookups!$B$2*0.5)</f>
        <v>53765.27</v>
      </c>
      <c r="BK424" s="7">
        <f>_xlfn.IFNA(VLOOKUP(Wapato_Inventory[[#This Row],[quality]],Lookups!$H$2:$J$14,3,FALSE),0)</f>
        <v>50405</v>
      </c>
      <c r="BL424" s="7">
        <f>_xlfn.IFNA(VLOOKUP(Wapato_Inventory[[#This Row],[condition]],Lookups!$H$17:$J$24,3,FALSE),0)</f>
        <v>52231</v>
      </c>
      <c r="BM424" s="7">
        <f>Wapato_Inventory[[#This Row],[Age]]*Lookups!$B$16</f>
        <v>-18163.1093</v>
      </c>
      <c r="BN424" s="7">
        <f>Wapato_Inventory[[#This Row],[Main Floor]]*Lookups!$B$17</f>
        <v>61070.879678999998</v>
      </c>
      <c r="BO424" s="7">
        <f>Wapato_Inventory[[#This Row],[Upper Floor]]*Lookups!$B$18</f>
        <v>0</v>
      </c>
      <c r="BP424" s="7">
        <f>Wapato_Inventory[[#This Row],[Fin BSMT]]*Lookups!$B$19</f>
        <v>0</v>
      </c>
      <c r="BQ424" s="7">
        <f>(Wapato_Inventory[[#This Row],[att_gar]]+Wapato_Inventory[[#This Row],[blt_gar]])*Lookups!$B$20</f>
        <v>0</v>
      </c>
      <c r="BR424" s="7">
        <f>Wapato_Inventory[[#This Row],[Patio]]*Lookups!$B$21</f>
        <v>0</v>
      </c>
      <c r="BS424" s="7">
        <f>SUM(Wapato_Inventory[[#This Row],[intercept]:[patio_value]])*Wapato_Inventory[[#This Row],[res_pct]]</f>
        <v>199309.04037899998</v>
      </c>
      <c r="BT424" s="7">
        <f>Wapato_Inventory[[#This Row],[land_value]]</f>
        <v>53800</v>
      </c>
      <c r="BU424" s="2">
        <f>_xlfn.IFNA(VLOOKUP(Wapato_Inventory[[#This Row],[quality]],Lookups!$A$28:$C$37,3,FALSE),1)</f>
        <v>0.97993206410140754</v>
      </c>
      <c r="BV424" s="2">
        <f>_xlfn.IFNA(VLOOKUP(Wapato_Inventory[[#This Row],[condition]],Lookups!$A$41:$C$48,3,FALSE),1)</f>
        <v>0.9832333997567807</v>
      </c>
      <c r="BW424" s="2">
        <f>IF(Wapato_Inventory[[#This Row],[decade]]="",1,_xlfn.IFNA(VLOOKUP(Wapato_Inventory[[#This Row],[decade]],Lookups!$F$28:$H$45,3,FALSE),1))</f>
        <v>0.96240333884358298</v>
      </c>
      <c r="BX424" s="2">
        <f>_xlfn.IFNA(VLOOKUP(Wapato_Inventory[[#This Row],[living_area_range]],Lookups!$K$28:$M$37,3,FALSE),1)</f>
        <v>1.0061411172456287</v>
      </c>
      <c r="BY424" s="2">
        <f>AVERAGE(Wapato_Inventory[[#This Row],[qual_adj]:[range_adj]])</f>
        <v>0.98292747998685004</v>
      </c>
      <c r="BZ424" s="7">
        <f>(Wapato_Inventory[[#This Row],[sum_land]]-IF(Wapato_Inventory[[#This Row],[no_utilities]]=1,12000,0))/IF(Wapato_Inventory[[#This Row],[unbuildable]]=1,2,1)</f>
        <v>53800</v>
      </c>
      <c r="CA424" s="7">
        <f>Wapato_Inventory[[#This Row],[pre_res]]*Wapato_Inventory[[#This Row],[overall_adj]]</f>
        <v>195906.33279832778</v>
      </c>
      <c r="CB424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424" s="3">
        <f>IF(ROUND(Wapato_Inventory[[#This Row],[adj_res]]*Lookups!$H$48,-2)&lt;Wapato_Inventory[[#This Row],[min_res]],Wapato_Inventory[[#This Row],[min_res]],ROUND(Wapato_Inventory[[#This Row],[adj_res]]*Lookups!$H$48,-2))</f>
        <v>186100</v>
      </c>
      <c r="CD424" s="3">
        <f>ROUND(Wapato_Inventory[[#This Row],[det_value]]*Lookups!$H$48,-2)</f>
        <v>0</v>
      </c>
      <c r="CE424" s="3">
        <f>Wapato_Inventory[[#This Row],[final_res]]+Wapato_Inventory[[#This Row],[final_det]]</f>
        <v>186100</v>
      </c>
      <c r="CF424" s="3">
        <f>Wapato_Inventory[[#This Row],[crop_value]]+Wapato_Inventory[[#This Row],[final_land]]+Wapato_Inventory[[#This Row],[final_imp]]</f>
        <v>237200</v>
      </c>
      <c r="CH424" t="str">
        <f t="shared" si="6"/>
        <v>update valuation set market_land =51100, market_bldg=186100, market_total =237200, market_mdno =405, market_date ='9/10/2023' where link_id = (select link_id from parcel where parcel_year = '2024' and parcel_id = '19111133528');</v>
      </c>
    </row>
    <row r="425" spans="1:86" x14ac:dyDescent="0.25">
      <c r="A425">
        <v>19111133529</v>
      </c>
      <c r="B425">
        <v>0.18</v>
      </c>
      <c r="C425">
        <v>7804</v>
      </c>
      <c r="D425" t="s">
        <v>144</v>
      </c>
      <c r="E425" t="s">
        <v>54</v>
      </c>
      <c r="F425" t="s">
        <v>54</v>
      </c>
      <c r="G425">
        <v>3</v>
      </c>
      <c r="H425" t="s">
        <v>55</v>
      </c>
      <c r="I425">
        <v>206600</v>
      </c>
      <c r="J425">
        <v>33700</v>
      </c>
      <c r="K425">
        <v>0.18</v>
      </c>
      <c r="L425">
        <f>IF(Wapato_Inventory[[#This Row],[parcel_acres]]-Wapato_Inventory[[#This Row],[non_valued_acres]] =0,0,LN(Wapato_Inventory[[#This Row],[parcel_acres]]-Wapato_Inventory[[#This Row],[non_valued_acres]]))</f>
        <v>-1.7147984280919266</v>
      </c>
      <c r="M425">
        <v>0</v>
      </c>
      <c r="N425">
        <v>0</v>
      </c>
      <c r="O425">
        <v>0</v>
      </c>
      <c r="P425">
        <v>27904.037</v>
      </c>
      <c r="Q425">
        <v>74398</v>
      </c>
      <c r="R425" s="3">
        <f>(Wapato_Inventory[[#This Row],[ln_acres]]*Wapato_Inventory[[#This Row],[coeff]])+Wapato_Inventory[[#This Row],[const]]</f>
        <v>26548.20121498104</v>
      </c>
      <c r="S425" t="s">
        <v>62</v>
      </c>
      <c r="T425">
        <v>1</v>
      </c>
      <c r="U425" t="s">
        <v>67</v>
      </c>
      <c r="V425" t="s">
        <v>68</v>
      </c>
      <c r="W425">
        <v>0</v>
      </c>
      <c r="X425">
        <v>0</v>
      </c>
      <c r="Y425">
        <v>44</v>
      </c>
      <c r="Z425">
        <v>49</v>
      </c>
      <c r="AA425">
        <v>50</v>
      </c>
      <c r="AB425">
        <v>2000</v>
      </c>
      <c r="AC425">
        <v>1944</v>
      </c>
      <c r="AD425">
        <v>1944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216</v>
      </c>
      <c r="AN425">
        <v>360</v>
      </c>
      <c r="AO425">
        <v>0</v>
      </c>
      <c r="AP425">
        <v>7</v>
      </c>
      <c r="AQ425">
        <v>1</v>
      </c>
      <c r="AR425">
        <v>0</v>
      </c>
      <c r="AS425" t="s">
        <v>59</v>
      </c>
      <c r="AT425">
        <v>1</v>
      </c>
      <c r="AU425" t="s">
        <v>64</v>
      </c>
      <c r="AV425" t="s">
        <v>65</v>
      </c>
      <c r="AW425">
        <v>1</v>
      </c>
      <c r="AX425">
        <v>3</v>
      </c>
      <c r="AY425">
        <v>0</v>
      </c>
      <c r="AZ425">
        <v>0</v>
      </c>
      <c r="BA425">
        <v>100</v>
      </c>
      <c r="BB425">
        <v>100</v>
      </c>
      <c r="BC425">
        <v>100</v>
      </c>
      <c r="BD425">
        <v>100</v>
      </c>
      <c r="BE425">
        <v>1</v>
      </c>
      <c r="BF425">
        <v>15000</v>
      </c>
      <c r="BG425">
        <v>1000</v>
      </c>
      <c r="BH425" s="7">
        <f>ROUND(Wapato_Inventory[[#This Row],[detatched_value]]*Lookups!$B$22*Lookups!$H$48,-2)</f>
        <v>0</v>
      </c>
      <c r="BI425" s="7">
        <f>ROUND(((Wapato_Inventory[[#This Row],[land_extract]]*Lookups!$B$3) +(Lookups!$B$2*0.5))*Lookups!$H$48,-2)</f>
        <v>53600</v>
      </c>
      <c r="BJ425" s="7">
        <f>IF(Wapato_Inventory[[#This Row],[bldg_style]]="",0,Lookups!$B$2*0.5)</f>
        <v>53765.27</v>
      </c>
      <c r="BK425" s="7">
        <f>_xlfn.IFNA(VLOOKUP(Wapato_Inventory[[#This Row],[quality]],Lookups!$H$2:$J$14,3,FALSE),0)</f>
        <v>50405</v>
      </c>
      <c r="BL425" s="7">
        <f>_xlfn.IFNA(VLOOKUP(Wapato_Inventory[[#This Row],[condition]],Lookups!$H$17:$J$24,3,FALSE),0)</f>
        <v>52231</v>
      </c>
      <c r="BM425" s="7">
        <f>Wapato_Inventory[[#This Row],[Age]]*Lookups!$B$16</f>
        <v>-18163.1093</v>
      </c>
      <c r="BN425" s="7">
        <f>Wapato_Inventory[[#This Row],[Main Floor]]*Lookups!$B$17</f>
        <v>81260.636616000003</v>
      </c>
      <c r="BO425" s="7">
        <f>Wapato_Inventory[[#This Row],[Upper Floor]]*Lookups!$B$18</f>
        <v>0</v>
      </c>
      <c r="BP425" s="7">
        <f>Wapato_Inventory[[#This Row],[Fin BSMT]]*Lookups!$B$19</f>
        <v>0</v>
      </c>
      <c r="BQ425" s="7">
        <f>(Wapato_Inventory[[#This Row],[att_gar]]+Wapato_Inventory[[#This Row],[blt_gar]])*Lookups!$B$20</f>
        <v>0</v>
      </c>
      <c r="BR425" s="7">
        <f>Wapato_Inventory[[#This Row],[Patio]]*Lookups!$B$21</f>
        <v>9357.979464</v>
      </c>
      <c r="BS425" s="7">
        <f>SUM(Wapato_Inventory[[#This Row],[intercept]:[patio_value]])*Wapato_Inventory[[#This Row],[res_pct]]</f>
        <v>228856.77677999999</v>
      </c>
      <c r="BT425" s="7">
        <f>Wapato_Inventory[[#This Row],[land_value]]</f>
        <v>53600</v>
      </c>
      <c r="BU425" s="2">
        <f>_xlfn.IFNA(VLOOKUP(Wapato_Inventory[[#This Row],[quality]],Lookups!$A$28:$C$37,3,FALSE),1)</f>
        <v>0.97993206410140754</v>
      </c>
      <c r="BV425" s="2">
        <f>_xlfn.IFNA(VLOOKUP(Wapato_Inventory[[#This Row],[condition]],Lookups!$A$41:$C$48,3,FALSE),1)</f>
        <v>0.9832333997567807</v>
      </c>
      <c r="BW425" s="2">
        <f>IF(Wapato_Inventory[[#This Row],[decade]]="",1,_xlfn.IFNA(VLOOKUP(Wapato_Inventory[[#This Row],[decade]],Lookups!$F$28:$H$45,3,FALSE),1))</f>
        <v>0.96240333884358298</v>
      </c>
      <c r="BX425" s="2">
        <f>_xlfn.IFNA(VLOOKUP(Wapato_Inventory[[#This Row],[living_area_range]],Lookups!$K$28:$M$37,3,FALSE),1)</f>
        <v>0.99330894324714125</v>
      </c>
      <c r="BY425" s="2">
        <f>AVERAGE(Wapato_Inventory[[#This Row],[qual_adj]:[range_adj]])</f>
        <v>0.97971943648722815</v>
      </c>
      <c r="BZ425" s="7">
        <f>(Wapato_Inventory[[#This Row],[sum_land]]-IF(Wapato_Inventory[[#This Row],[no_utilities]]=1,12000,0))/IF(Wapato_Inventory[[#This Row],[unbuildable]]=1,2,1)</f>
        <v>53600</v>
      </c>
      <c r="CA425" s="7">
        <f>Wapato_Inventory[[#This Row],[pre_res]]*Wapato_Inventory[[#This Row],[overall_adj]]</f>
        <v>224215.43238318493</v>
      </c>
      <c r="CB425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25" s="3">
        <f>IF(ROUND(Wapato_Inventory[[#This Row],[adj_res]]*Lookups!$H$48,-2)&lt;Wapato_Inventory[[#This Row],[min_res]],Wapato_Inventory[[#This Row],[min_res]],ROUND(Wapato_Inventory[[#This Row],[adj_res]]*Lookups!$H$48,-2))</f>
        <v>213000</v>
      </c>
      <c r="CD425" s="3">
        <f>ROUND(Wapato_Inventory[[#This Row],[det_value]]*Lookups!$H$48,-2)</f>
        <v>0</v>
      </c>
      <c r="CE425" s="3">
        <f>Wapato_Inventory[[#This Row],[final_res]]+Wapato_Inventory[[#This Row],[final_det]]</f>
        <v>213000</v>
      </c>
      <c r="CF425" s="3">
        <f>Wapato_Inventory[[#This Row],[crop_value]]+Wapato_Inventory[[#This Row],[final_land]]+Wapato_Inventory[[#This Row],[final_imp]]</f>
        <v>263900</v>
      </c>
      <c r="CH425" t="str">
        <f t="shared" si="6"/>
        <v>update valuation set market_land =50900, market_bldg=213000, market_total =263900, market_mdno =405, market_date ='9/10/2023' where link_id = (select link_id from parcel where parcel_year = '2024' and parcel_id = '19111133529');</v>
      </c>
    </row>
    <row r="426" spans="1:86" x14ac:dyDescent="0.25">
      <c r="A426">
        <v>19111133530</v>
      </c>
      <c r="B426">
        <v>0.19</v>
      </c>
      <c r="C426">
        <v>8238</v>
      </c>
      <c r="D426" t="s">
        <v>144</v>
      </c>
      <c r="E426" t="s">
        <v>54</v>
      </c>
      <c r="F426" t="s">
        <v>54</v>
      </c>
      <c r="G426">
        <v>3</v>
      </c>
      <c r="H426" t="s">
        <v>55</v>
      </c>
      <c r="I426">
        <v>187600</v>
      </c>
      <c r="J426">
        <v>34100</v>
      </c>
      <c r="K426">
        <v>0.19</v>
      </c>
      <c r="L426">
        <f>IF(Wapato_Inventory[[#This Row],[parcel_acres]]-Wapato_Inventory[[#This Row],[non_valued_acres]] =0,0,LN(Wapato_Inventory[[#This Row],[parcel_acres]]-Wapato_Inventory[[#This Row],[non_valued_acres]]))</f>
        <v>-1.6607312068216509</v>
      </c>
      <c r="M426">
        <v>0</v>
      </c>
      <c r="N426">
        <v>0</v>
      </c>
      <c r="O426">
        <v>0</v>
      </c>
      <c r="P426">
        <v>27904.037</v>
      </c>
      <c r="Q426">
        <v>74398</v>
      </c>
      <c r="R426" s="3">
        <f>(Wapato_Inventory[[#This Row],[ln_acres]]*Wapato_Inventory[[#This Row],[coeff]])+Wapato_Inventory[[#This Row],[const]]</f>
        <v>28056.894957794</v>
      </c>
      <c r="S426" t="s">
        <v>62</v>
      </c>
      <c r="T426">
        <v>1</v>
      </c>
      <c r="U426" t="s">
        <v>75</v>
      </c>
      <c r="V426" t="s">
        <v>68</v>
      </c>
      <c r="W426">
        <v>0</v>
      </c>
      <c r="X426">
        <v>0</v>
      </c>
      <c r="Y426">
        <v>44</v>
      </c>
      <c r="Z426">
        <v>49</v>
      </c>
      <c r="AA426">
        <v>50</v>
      </c>
      <c r="AB426">
        <v>1500</v>
      </c>
      <c r="AC426">
        <v>1404</v>
      </c>
      <c r="AD426">
        <v>1404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50</v>
      </c>
      <c r="AN426">
        <v>0</v>
      </c>
      <c r="AO426">
        <v>0</v>
      </c>
      <c r="AP426">
        <v>7</v>
      </c>
      <c r="AQ426">
        <v>0</v>
      </c>
      <c r="AR426">
        <v>0</v>
      </c>
      <c r="AS426" t="s">
        <v>59</v>
      </c>
      <c r="AT426">
        <v>1</v>
      </c>
      <c r="AU426" t="s">
        <v>64</v>
      </c>
      <c r="AV426" t="s">
        <v>61</v>
      </c>
      <c r="AW426">
        <v>0</v>
      </c>
      <c r="AX426">
        <v>3</v>
      </c>
      <c r="AY426">
        <v>0</v>
      </c>
      <c r="AZ426">
        <v>0</v>
      </c>
      <c r="BA426">
        <v>100</v>
      </c>
      <c r="BB426">
        <v>100</v>
      </c>
      <c r="BC426">
        <v>100</v>
      </c>
      <c r="BD426">
        <v>100</v>
      </c>
      <c r="BE426">
        <v>1</v>
      </c>
      <c r="BF426">
        <v>15000</v>
      </c>
      <c r="BG426">
        <v>1000</v>
      </c>
      <c r="BH426" s="7">
        <f>ROUND(Wapato_Inventory[[#This Row],[detatched_value]]*Lookups!$B$22*Lookups!$H$48,-2)</f>
        <v>0</v>
      </c>
      <c r="BI426" s="7">
        <f>ROUND(((Wapato_Inventory[[#This Row],[land_extract]]*Lookups!$B$3) +(Lookups!$B$2*0.5))*Lookups!$H$48,-2)</f>
        <v>53800</v>
      </c>
      <c r="BJ426" s="7">
        <f>IF(Wapato_Inventory[[#This Row],[bldg_style]]="",0,Lookups!$B$2*0.5)</f>
        <v>53765.27</v>
      </c>
      <c r="BK426" s="7">
        <f>_xlfn.IFNA(VLOOKUP(Wapato_Inventory[[#This Row],[quality]],Lookups!$H$2:$J$14,3,FALSE),0)</f>
        <v>48043</v>
      </c>
      <c r="BL426" s="7">
        <f>_xlfn.IFNA(VLOOKUP(Wapato_Inventory[[#This Row],[condition]],Lookups!$H$17:$J$24,3,FALSE),0)</f>
        <v>52231</v>
      </c>
      <c r="BM426" s="7">
        <f>Wapato_Inventory[[#This Row],[Age]]*Lookups!$B$16</f>
        <v>-18163.1093</v>
      </c>
      <c r="BN426" s="7">
        <f>Wapato_Inventory[[#This Row],[Main Floor]]*Lookups!$B$17</f>
        <v>58688.237556</v>
      </c>
      <c r="BO426" s="7">
        <f>Wapato_Inventory[[#This Row],[Upper Floor]]*Lookups!$B$18</f>
        <v>0</v>
      </c>
      <c r="BP426" s="7">
        <f>Wapato_Inventory[[#This Row],[Fin BSMT]]*Lookups!$B$19</f>
        <v>0</v>
      </c>
      <c r="BQ426" s="7">
        <f>(Wapato_Inventory[[#This Row],[att_gar]]+Wapato_Inventory[[#This Row],[blt_gar]])*Lookups!$B$20</f>
        <v>0</v>
      </c>
      <c r="BR426" s="7">
        <f>Wapato_Inventory[[#This Row],[Patio]]*Lookups!$B$21</f>
        <v>2166.19895</v>
      </c>
      <c r="BS426" s="7">
        <f>SUM(Wapato_Inventory[[#This Row],[intercept]:[patio_value]])*Wapato_Inventory[[#This Row],[res_pct]]</f>
        <v>196730.59720599998</v>
      </c>
      <c r="BT426" s="7">
        <f>Wapato_Inventory[[#This Row],[land_value]]</f>
        <v>53800</v>
      </c>
      <c r="BU426" s="2">
        <f>_xlfn.IFNA(VLOOKUP(Wapato_Inventory[[#This Row],[quality]],Lookups!$A$28:$C$37,3,FALSE),1)</f>
        <v>0.98196844879778955</v>
      </c>
      <c r="BV426" s="2">
        <f>_xlfn.IFNA(VLOOKUP(Wapato_Inventory[[#This Row],[condition]],Lookups!$A$41:$C$48,3,FALSE),1)</f>
        <v>0.9832333997567807</v>
      </c>
      <c r="BW426" s="2">
        <f>IF(Wapato_Inventory[[#This Row],[decade]]="",1,_xlfn.IFNA(VLOOKUP(Wapato_Inventory[[#This Row],[decade]],Lookups!$F$28:$H$45,3,FALSE),1))</f>
        <v>0.96240333884358298</v>
      </c>
      <c r="BX426" s="2">
        <f>_xlfn.IFNA(VLOOKUP(Wapato_Inventory[[#This Row],[living_area_range]],Lookups!$K$28:$M$37,3,FALSE),1)</f>
        <v>1.0061411172456287</v>
      </c>
      <c r="BY426" s="2">
        <f>AVERAGE(Wapato_Inventory[[#This Row],[qual_adj]:[range_adj]])</f>
        <v>0.98343657616094549</v>
      </c>
      <c r="BZ426" s="7">
        <f>(Wapato_Inventory[[#This Row],[sum_land]]-IF(Wapato_Inventory[[#This Row],[no_utilities]]=1,12000,0))/IF(Wapato_Inventory[[#This Row],[unbuildable]]=1,2,1)</f>
        <v>53800</v>
      </c>
      <c r="CA426" s="7">
        <f>Wapato_Inventory[[#This Row],[pre_res]]*Wapato_Inventory[[#This Row],[overall_adj]]</f>
        <v>193472.06494236668</v>
      </c>
      <c r="CB426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426" s="3">
        <f>IF(ROUND(Wapato_Inventory[[#This Row],[adj_res]]*Lookups!$H$48,-2)&lt;Wapato_Inventory[[#This Row],[min_res]],Wapato_Inventory[[#This Row],[min_res]],ROUND(Wapato_Inventory[[#This Row],[adj_res]]*Lookups!$H$48,-2))</f>
        <v>183800</v>
      </c>
      <c r="CD426" s="3">
        <f>ROUND(Wapato_Inventory[[#This Row],[det_value]]*Lookups!$H$48,-2)</f>
        <v>0</v>
      </c>
      <c r="CE426" s="3">
        <f>Wapato_Inventory[[#This Row],[final_res]]+Wapato_Inventory[[#This Row],[final_det]]</f>
        <v>183800</v>
      </c>
      <c r="CF426" s="3">
        <f>Wapato_Inventory[[#This Row],[crop_value]]+Wapato_Inventory[[#This Row],[final_land]]+Wapato_Inventory[[#This Row],[final_imp]]</f>
        <v>234900</v>
      </c>
      <c r="CH426" t="str">
        <f t="shared" si="6"/>
        <v>update valuation set market_land =51100, market_bldg=183800, market_total =234900, market_mdno =405, market_date ='9/10/2023' where link_id = (select link_id from parcel where parcel_year = '2024' and parcel_id = '19111133530');</v>
      </c>
    </row>
    <row r="427" spans="1:86" x14ac:dyDescent="0.25">
      <c r="A427">
        <v>19111133531</v>
      </c>
      <c r="B427">
        <v>0.19</v>
      </c>
      <c r="C427">
        <v>8394</v>
      </c>
      <c r="D427" t="s">
        <v>144</v>
      </c>
      <c r="E427" t="s">
        <v>54</v>
      </c>
      <c r="F427" t="s">
        <v>54</v>
      </c>
      <c r="G427">
        <v>3</v>
      </c>
      <c r="H427" t="s">
        <v>55</v>
      </c>
      <c r="I427">
        <v>212100</v>
      </c>
      <c r="J427">
        <v>34100</v>
      </c>
      <c r="K427">
        <v>0.19</v>
      </c>
      <c r="L427">
        <f>IF(Wapato_Inventory[[#This Row],[parcel_acres]]-Wapato_Inventory[[#This Row],[non_valued_acres]] =0,0,LN(Wapato_Inventory[[#This Row],[parcel_acres]]-Wapato_Inventory[[#This Row],[non_valued_acres]]))</f>
        <v>-1.6607312068216509</v>
      </c>
      <c r="M427">
        <v>0</v>
      </c>
      <c r="N427">
        <v>0</v>
      </c>
      <c r="O427">
        <v>0</v>
      </c>
      <c r="P427">
        <v>27904.037</v>
      </c>
      <c r="Q427">
        <v>74398</v>
      </c>
      <c r="R427" s="3">
        <f>(Wapato_Inventory[[#This Row],[ln_acres]]*Wapato_Inventory[[#This Row],[coeff]])+Wapato_Inventory[[#This Row],[const]]</f>
        <v>28056.894957794</v>
      </c>
      <c r="S427" t="s">
        <v>62</v>
      </c>
      <c r="T427">
        <v>1</v>
      </c>
      <c r="U427" t="s">
        <v>75</v>
      </c>
      <c r="V427" t="s">
        <v>69</v>
      </c>
      <c r="W427">
        <v>0</v>
      </c>
      <c r="X427">
        <v>0</v>
      </c>
      <c r="Y427">
        <v>44</v>
      </c>
      <c r="Z427">
        <v>49</v>
      </c>
      <c r="AA427">
        <v>50</v>
      </c>
      <c r="AB427">
        <v>1500</v>
      </c>
      <c r="AC427">
        <v>1404</v>
      </c>
      <c r="AD427">
        <v>1404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7</v>
      </c>
      <c r="AQ427">
        <v>0</v>
      </c>
      <c r="AR427">
        <v>0</v>
      </c>
      <c r="AS427" t="s">
        <v>59</v>
      </c>
      <c r="AT427">
        <v>1</v>
      </c>
      <c r="AU427" t="s">
        <v>76</v>
      </c>
      <c r="AV427" t="s">
        <v>61</v>
      </c>
      <c r="AW427">
        <v>0</v>
      </c>
      <c r="AX427">
        <v>3</v>
      </c>
      <c r="AY427">
        <v>0</v>
      </c>
      <c r="AZ427">
        <v>0</v>
      </c>
      <c r="BA427">
        <v>100</v>
      </c>
      <c r="BB427">
        <v>100</v>
      </c>
      <c r="BC427">
        <v>100</v>
      </c>
      <c r="BD427">
        <v>100</v>
      </c>
      <c r="BE427">
        <v>1</v>
      </c>
      <c r="BF427">
        <v>15000</v>
      </c>
      <c r="BG427">
        <v>1000</v>
      </c>
      <c r="BH427" s="7">
        <f>ROUND(Wapato_Inventory[[#This Row],[detatched_value]]*Lookups!$B$22*Lookups!$H$48,-2)</f>
        <v>0</v>
      </c>
      <c r="BI427" s="7">
        <f>ROUND(((Wapato_Inventory[[#This Row],[land_extract]]*Lookups!$B$3) +(Lookups!$B$2*0.5))*Lookups!$H$48,-2)</f>
        <v>53800</v>
      </c>
      <c r="BJ427" s="7">
        <f>IF(Wapato_Inventory[[#This Row],[bldg_style]]="",0,Lookups!$B$2*0.5)</f>
        <v>53765.27</v>
      </c>
      <c r="BK427" s="7">
        <f>_xlfn.IFNA(VLOOKUP(Wapato_Inventory[[#This Row],[quality]],Lookups!$H$2:$J$14,3,FALSE),0)</f>
        <v>48043</v>
      </c>
      <c r="BL427" s="7">
        <f>_xlfn.IFNA(VLOOKUP(Wapato_Inventory[[#This Row],[condition]],Lookups!$H$17:$J$24,3,FALSE),0)</f>
        <v>74543</v>
      </c>
      <c r="BM427" s="7">
        <f>Wapato_Inventory[[#This Row],[Age]]*Lookups!$B$16</f>
        <v>-18163.1093</v>
      </c>
      <c r="BN427" s="7">
        <f>Wapato_Inventory[[#This Row],[Main Floor]]*Lookups!$B$17</f>
        <v>58688.237556</v>
      </c>
      <c r="BO427" s="7">
        <f>Wapato_Inventory[[#This Row],[Upper Floor]]*Lookups!$B$18</f>
        <v>0</v>
      </c>
      <c r="BP427" s="7">
        <f>Wapato_Inventory[[#This Row],[Fin BSMT]]*Lookups!$B$19</f>
        <v>0</v>
      </c>
      <c r="BQ427" s="7">
        <f>(Wapato_Inventory[[#This Row],[att_gar]]+Wapato_Inventory[[#This Row],[blt_gar]])*Lookups!$B$20</f>
        <v>0</v>
      </c>
      <c r="BR427" s="7">
        <f>Wapato_Inventory[[#This Row],[Patio]]*Lookups!$B$21</f>
        <v>0</v>
      </c>
      <c r="BS427" s="7">
        <f>SUM(Wapato_Inventory[[#This Row],[intercept]:[patio_value]])*Wapato_Inventory[[#This Row],[res_pct]]</f>
        <v>216876.39825599999</v>
      </c>
      <c r="BT427" s="7">
        <f>Wapato_Inventory[[#This Row],[land_value]]</f>
        <v>53800</v>
      </c>
      <c r="BU427" s="2">
        <f>_xlfn.IFNA(VLOOKUP(Wapato_Inventory[[#This Row],[quality]],Lookups!$A$28:$C$37,3,FALSE),1)</f>
        <v>0.98196844879778955</v>
      </c>
      <c r="BV427" s="2">
        <f>_xlfn.IFNA(VLOOKUP(Wapato_Inventory[[#This Row],[condition]],Lookups!$A$41:$C$48,3,FALSE),1)</f>
        <v>0.98442438223270734</v>
      </c>
      <c r="BW427" s="2">
        <f>IF(Wapato_Inventory[[#This Row],[decade]]="",1,_xlfn.IFNA(VLOOKUP(Wapato_Inventory[[#This Row],[decade]],Lookups!$F$28:$H$45,3,FALSE),1))</f>
        <v>0.96240333884358298</v>
      </c>
      <c r="BX427" s="2">
        <f>_xlfn.IFNA(VLOOKUP(Wapato_Inventory[[#This Row],[living_area_range]],Lookups!$K$28:$M$37,3,FALSE),1)</f>
        <v>1.0061411172456287</v>
      </c>
      <c r="BY427" s="2">
        <f>AVERAGE(Wapato_Inventory[[#This Row],[qual_adj]:[range_adj]])</f>
        <v>0.98373432177992715</v>
      </c>
      <c r="BZ427" s="7">
        <f>(Wapato_Inventory[[#This Row],[sum_land]]-IF(Wapato_Inventory[[#This Row],[no_utilities]]=1,12000,0))/IF(Wapato_Inventory[[#This Row],[unbuildable]]=1,2,1)</f>
        <v>53800</v>
      </c>
      <c r="CA427" s="7">
        <f>Wapato_Inventory[[#This Row],[pre_res]]*Wapato_Inventory[[#This Row],[overall_adj]]</f>
        <v>213348.75654843953</v>
      </c>
      <c r="CB427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427" s="3">
        <f>IF(ROUND(Wapato_Inventory[[#This Row],[adj_res]]*Lookups!$H$48,-2)&lt;Wapato_Inventory[[#This Row],[min_res]],Wapato_Inventory[[#This Row],[min_res]],ROUND(Wapato_Inventory[[#This Row],[adj_res]]*Lookups!$H$48,-2))</f>
        <v>202700</v>
      </c>
      <c r="CD427" s="3">
        <f>ROUND(Wapato_Inventory[[#This Row],[det_value]]*Lookups!$H$48,-2)</f>
        <v>0</v>
      </c>
      <c r="CE427" s="3">
        <f>Wapato_Inventory[[#This Row],[final_res]]+Wapato_Inventory[[#This Row],[final_det]]</f>
        <v>202700</v>
      </c>
      <c r="CF427" s="3">
        <f>Wapato_Inventory[[#This Row],[crop_value]]+Wapato_Inventory[[#This Row],[final_land]]+Wapato_Inventory[[#This Row],[final_imp]]</f>
        <v>253800</v>
      </c>
      <c r="CH427" t="str">
        <f t="shared" si="6"/>
        <v>update valuation set market_land =51100, market_bldg=202700, market_total =253800, market_mdno =405, market_date ='9/10/2023' where link_id = (select link_id from parcel where parcel_year = '2024' and parcel_id = '19111133531');</v>
      </c>
    </row>
    <row r="428" spans="1:86" x14ac:dyDescent="0.25">
      <c r="A428">
        <v>19111133532</v>
      </c>
      <c r="B428">
        <v>0.19</v>
      </c>
      <c r="C428">
        <v>8278</v>
      </c>
      <c r="D428" t="s">
        <v>144</v>
      </c>
      <c r="E428" t="s">
        <v>54</v>
      </c>
      <c r="F428" t="s">
        <v>54</v>
      </c>
      <c r="G428">
        <v>3</v>
      </c>
      <c r="H428" t="s">
        <v>55</v>
      </c>
      <c r="I428">
        <v>227200</v>
      </c>
      <c r="J428">
        <v>34100</v>
      </c>
      <c r="K428">
        <v>0.19</v>
      </c>
      <c r="L428">
        <f>IF(Wapato_Inventory[[#This Row],[parcel_acres]]-Wapato_Inventory[[#This Row],[non_valued_acres]] =0,0,LN(Wapato_Inventory[[#This Row],[parcel_acres]]-Wapato_Inventory[[#This Row],[non_valued_acres]]))</f>
        <v>-1.6607312068216509</v>
      </c>
      <c r="M428">
        <v>0</v>
      </c>
      <c r="N428">
        <v>0</v>
      </c>
      <c r="O428">
        <v>0</v>
      </c>
      <c r="P428">
        <v>27904.037</v>
      </c>
      <c r="Q428">
        <v>74398</v>
      </c>
      <c r="R428" s="3">
        <f>(Wapato_Inventory[[#This Row],[ln_acres]]*Wapato_Inventory[[#This Row],[coeff]])+Wapato_Inventory[[#This Row],[const]]</f>
        <v>28056.894957794</v>
      </c>
      <c r="S428" t="s">
        <v>62</v>
      </c>
      <c r="T428">
        <v>1</v>
      </c>
      <c r="U428" t="s">
        <v>75</v>
      </c>
      <c r="V428" t="s">
        <v>68</v>
      </c>
      <c r="W428">
        <v>0</v>
      </c>
      <c r="X428">
        <v>0</v>
      </c>
      <c r="Y428">
        <v>44</v>
      </c>
      <c r="Z428">
        <v>49</v>
      </c>
      <c r="AA428">
        <v>50</v>
      </c>
      <c r="AB428">
        <v>2000</v>
      </c>
      <c r="AC428">
        <v>1932</v>
      </c>
      <c r="AD428">
        <v>1932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140</v>
      </c>
      <c r="AM428">
        <v>0</v>
      </c>
      <c r="AN428">
        <v>0</v>
      </c>
      <c r="AO428">
        <v>60</v>
      </c>
      <c r="AP428">
        <v>8</v>
      </c>
      <c r="AQ428">
        <v>0</v>
      </c>
      <c r="AR428">
        <v>0</v>
      </c>
      <c r="AS428" t="s">
        <v>59</v>
      </c>
      <c r="AT428">
        <v>1</v>
      </c>
      <c r="AU428" t="s">
        <v>72</v>
      </c>
      <c r="AV428" t="s">
        <v>61</v>
      </c>
      <c r="AW428">
        <v>0</v>
      </c>
      <c r="AX428">
        <v>3</v>
      </c>
      <c r="AY428">
        <v>0</v>
      </c>
      <c r="AZ428">
        <v>16300</v>
      </c>
      <c r="BA428">
        <v>100</v>
      </c>
      <c r="BB428">
        <v>100</v>
      </c>
      <c r="BC428">
        <v>100</v>
      </c>
      <c r="BD428">
        <v>100</v>
      </c>
      <c r="BE428">
        <v>1</v>
      </c>
      <c r="BF428">
        <v>15000</v>
      </c>
      <c r="BG428">
        <v>1000</v>
      </c>
      <c r="BH428" s="7">
        <f>ROUND(Wapato_Inventory[[#This Row],[detatched_value]]*Lookups!$B$22*Lookups!$H$48,-2)</f>
        <v>14600</v>
      </c>
      <c r="BI428" s="7">
        <f>ROUND(((Wapato_Inventory[[#This Row],[land_extract]]*Lookups!$B$3) +(Lookups!$B$2*0.5))*Lookups!$H$48,-2)</f>
        <v>53800</v>
      </c>
      <c r="BJ428" s="7">
        <f>IF(Wapato_Inventory[[#This Row],[bldg_style]]="",0,Lookups!$B$2*0.5)</f>
        <v>53765.27</v>
      </c>
      <c r="BK428" s="7">
        <f>_xlfn.IFNA(VLOOKUP(Wapato_Inventory[[#This Row],[quality]],Lookups!$H$2:$J$14,3,FALSE),0)</f>
        <v>48043</v>
      </c>
      <c r="BL428" s="7">
        <f>_xlfn.IFNA(VLOOKUP(Wapato_Inventory[[#This Row],[condition]],Lookups!$H$17:$J$24,3,FALSE),0)</f>
        <v>52231</v>
      </c>
      <c r="BM428" s="7">
        <f>Wapato_Inventory[[#This Row],[Age]]*Lookups!$B$16</f>
        <v>-18163.1093</v>
      </c>
      <c r="BN428" s="7">
        <f>Wapato_Inventory[[#This Row],[Main Floor]]*Lookups!$B$17</f>
        <v>80759.027747999993</v>
      </c>
      <c r="BO428" s="7">
        <f>Wapato_Inventory[[#This Row],[Upper Floor]]*Lookups!$B$18</f>
        <v>0</v>
      </c>
      <c r="BP428" s="7">
        <f>Wapato_Inventory[[#This Row],[Fin BSMT]]*Lookups!$B$19</f>
        <v>0</v>
      </c>
      <c r="BQ428" s="7">
        <f>(Wapato_Inventory[[#This Row],[att_gar]]+Wapato_Inventory[[#This Row],[blt_gar]])*Lookups!$B$20</f>
        <v>0</v>
      </c>
      <c r="BR428" s="7">
        <f>Wapato_Inventory[[#This Row],[Patio]]*Lookups!$B$21</f>
        <v>0</v>
      </c>
      <c r="BS428" s="7">
        <f>SUM(Wapato_Inventory[[#This Row],[intercept]:[patio_value]])*Wapato_Inventory[[#This Row],[res_pct]]</f>
        <v>216635.18844799997</v>
      </c>
      <c r="BT428" s="7">
        <f>Wapato_Inventory[[#This Row],[land_value]]</f>
        <v>53800</v>
      </c>
      <c r="BU428" s="2">
        <f>_xlfn.IFNA(VLOOKUP(Wapato_Inventory[[#This Row],[quality]],Lookups!$A$28:$C$37,3,FALSE),1)</f>
        <v>0.98196844879778955</v>
      </c>
      <c r="BV428" s="2">
        <f>_xlfn.IFNA(VLOOKUP(Wapato_Inventory[[#This Row],[condition]],Lookups!$A$41:$C$48,3,FALSE),1)</f>
        <v>0.9832333997567807</v>
      </c>
      <c r="BW428" s="2">
        <f>IF(Wapato_Inventory[[#This Row],[decade]]="",1,_xlfn.IFNA(VLOOKUP(Wapato_Inventory[[#This Row],[decade]],Lookups!$F$28:$H$45,3,FALSE),1))</f>
        <v>0.96240333884358298</v>
      </c>
      <c r="BX428" s="2">
        <f>_xlfn.IFNA(VLOOKUP(Wapato_Inventory[[#This Row],[living_area_range]],Lookups!$K$28:$M$37,3,FALSE),1)</f>
        <v>0.99330894324714125</v>
      </c>
      <c r="BY428" s="2">
        <f>AVERAGE(Wapato_Inventory[[#This Row],[qual_adj]:[range_adj]])</f>
        <v>0.98022853266132359</v>
      </c>
      <c r="BZ428" s="7">
        <f>(Wapato_Inventory[[#This Row],[sum_land]]-IF(Wapato_Inventory[[#This Row],[no_utilities]]=1,12000,0))/IF(Wapato_Inventory[[#This Row],[unbuildable]]=1,2,1)</f>
        <v>53800</v>
      </c>
      <c r="CA428" s="7">
        <f>Wapato_Inventory[[#This Row],[pre_res]]*Wapato_Inventory[[#This Row],[overall_adj]]</f>
        <v>212351.99289519232</v>
      </c>
      <c r="CB428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428" s="3">
        <f>IF(ROUND(Wapato_Inventory[[#This Row],[adj_res]]*Lookups!$H$48,-2)&lt;Wapato_Inventory[[#This Row],[min_res]],Wapato_Inventory[[#This Row],[min_res]],ROUND(Wapato_Inventory[[#This Row],[adj_res]]*Lookups!$H$48,-2))</f>
        <v>201700</v>
      </c>
      <c r="CD428" s="3">
        <f>ROUND(Wapato_Inventory[[#This Row],[det_value]]*Lookups!$H$48,-2)</f>
        <v>13900</v>
      </c>
      <c r="CE428" s="3">
        <f>Wapato_Inventory[[#This Row],[final_res]]+Wapato_Inventory[[#This Row],[final_det]]</f>
        <v>215600</v>
      </c>
      <c r="CF428" s="3">
        <f>Wapato_Inventory[[#This Row],[crop_value]]+Wapato_Inventory[[#This Row],[final_land]]+Wapato_Inventory[[#This Row],[final_imp]]</f>
        <v>266700</v>
      </c>
      <c r="CH428" t="str">
        <f t="shared" si="6"/>
        <v>update valuation set market_land =51100, market_bldg=215600, market_total =266700, market_mdno =405, market_date ='9/10/2023' where link_id = (select link_id from parcel where parcel_year = '2024' and parcel_id = '19111133532');</v>
      </c>
    </row>
    <row r="429" spans="1:86" x14ac:dyDescent="0.25">
      <c r="A429">
        <v>19111133533</v>
      </c>
      <c r="B429">
        <v>0.18</v>
      </c>
      <c r="C429">
        <v>7868</v>
      </c>
      <c r="D429" t="s">
        <v>144</v>
      </c>
      <c r="E429" t="s">
        <v>54</v>
      </c>
      <c r="F429" t="s">
        <v>54</v>
      </c>
      <c r="G429">
        <v>3</v>
      </c>
      <c r="H429" t="s">
        <v>55</v>
      </c>
      <c r="I429">
        <v>163400</v>
      </c>
      <c r="J429">
        <v>33700</v>
      </c>
      <c r="K429">
        <v>0.18</v>
      </c>
      <c r="L429">
        <f>IF(Wapato_Inventory[[#This Row],[parcel_acres]]-Wapato_Inventory[[#This Row],[non_valued_acres]] =0,0,LN(Wapato_Inventory[[#This Row],[parcel_acres]]-Wapato_Inventory[[#This Row],[non_valued_acres]]))</f>
        <v>-1.7147984280919266</v>
      </c>
      <c r="M429">
        <v>0</v>
      </c>
      <c r="N429">
        <v>0</v>
      </c>
      <c r="O429">
        <v>0</v>
      </c>
      <c r="P429">
        <v>27904.037</v>
      </c>
      <c r="Q429">
        <v>74398</v>
      </c>
      <c r="R429" s="3">
        <f>(Wapato_Inventory[[#This Row],[ln_acres]]*Wapato_Inventory[[#This Row],[coeff]])+Wapato_Inventory[[#This Row],[const]]</f>
        <v>26548.20121498104</v>
      </c>
      <c r="S429" t="s">
        <v>62</v>
      </c>
      <c r="T429">
        <v>1</v>
      </c>
      <c r="U429" t="s">
        <v>67</v>
      </c>
      <c r="V429" t="s">
        <v>68</v>
      </c>
      <c r="W429">
        <v>0</v>
      </c>
      <c r="X429">
        <v>0</v>
      </c>
      <c r="Y429">
        <v>44</v>
      </c>
      <c r="Z429">
        <v>49</v>
      </c>
      <c r="AA429">
        <v>50</v>
      </c>
      <c r="AB429">
        <v>1500</v>
      </c>
      <c r="AC429">
        <v>1060</v>
      </c>
      <c r="AD429">
        <v>1060</v>
      </c>
      <c r="AE429">
        <v>0</v>
      </c>
      <c r="AF429">
        <v>0</v>
      </c>
      <c r="AG429">
        <v>0</v>
      </c>
      <c r="AH429">
        <v>0</v>
      </c>
      <c r="AI429">
        <v>312</v>
      </c>
      <c r="AJ429">
        <v>0</v>
      </c>
      <c r="AK429">
        <v>0</v>
      </c>
      <c r="AL429">
        <v>0</v>
      </c>
      <c r="AM429">
        <v>48</v>
      </c>
      <c r="AN429">
        <v>80</v>
      </c>
      <c r="AO429">
        <v>0</v>
      </c>
      <c r="AP429">
        <v>5</v>
      </c>
      <c r="AQ429">
        <v>0</v>
      </c>
      <c r="AR429">
        <v>0</v>
      </c>
      <c r="AS429" t="s">
        <v>59</v>
      </c>
      <c r="AT429">
        <v>1</v>
      </c>
      <c r="AU429" t="s">
        <v>64</v>
      </c>
      <c r="AV429" t="s">
        <v>65</v>
      </c>
      <c r="AW429">
        <v>0</v>
      </c>
      <c r="AX429">
        <v>3</v>
      </c>
      <c r="AY429">
        <v>0</v>
      </c>
      <c r="AZ429">
        <v>0</v>
      </c>
      <c r="BA429">
        <v>100</v>
      </c>
      <c r="BB429">
        <v>100</v>
      </c>
      <c r="BC429">
        <v>100</v>
      </c>
      <c r="BD429">
        <v>100</v>
      </c>
      <c r="BE429">
        <v>1</v>
      </c>
      <c r="BF429">
        <v>15000</v>
      </c>
      <c r="BG429">
        <v>1000</v>
      </c>
      <c r="BH429" s="7">
        <f>ROUND(Wapato_Inventory[[#This Row],[detatched_value]]*Lookups!$B$22*Lookups!$H$48,-2)</f>
        <v>0</v>
      </c>
      <c r="BI429" s="7">
        <f>ROUND(((Wapato_Inventory[[#This Row],[land_extract]]*Lookups!$B$3) +(Lookups!$B$2*0.5))*Lookups!$H$48,-2)</f>
        <v>53600</v>
      </c>
      <c r="BJ429" s="7">
        <f>IF(Wapato_Inventory[[#This Row],[bldg_style]]="",0,Lookups!$B$2*0.5)</f>
        <v>53765.27</v>
      </c>
      <c r="BK429" s="7">
        <f>_xlfn.IFNA(VLOOKUP(Wapato_Inventory[[#This Row],[quality]],Lookups!$H$2:$J$14,3,FALSE),0)</f>
        <v>50405</v>
      </c>
      <c r="BL429" s="7">
        <f>_xlfn.IFNA(VLOOKUP(Wapato_Inventory[[#This Row],[condition]],Lookups!$H$17:$J$24,3,FALSE),0)</f>
        <v>52231</v>
      </c>
      <c r="BM429" s="7">
        <f>Wapato_Inventory[[#This Row],[Age]]*Lookups!$B$16</f>
        <v>-18163.1093</v>
      </c>
      <c r="BN429" s="7">
        <f>Wapato_Inventory[[#This Row],[Main Floor]]*Lookups!$B$17</f>
        <v>44308.783340000002</v>
      </c>
      <c r="BO429" s="7">
        <f>Wapato_Inventory[[#This Row],[Upper Floor]]*Lookups!$B$18</f>
        <v>0</v>
      </c>
      <c r="BP429" s="7">
        <f>Wapato_Inventory[[#This Row],[Fin BSMT]]*Lookups!$B$19</f>
        <v>0</v>
      </c>
      <c r="BQ429" s="7">
        <f>(Wapato_Inventory[[#This Row],[att_gar]]+Wapato_Inventory[[#This Row],[blt_gar]])*Lookups!$B$20</f>
        <v>11546.730624</v>
      </c>
      <c r="BR429" s="7">
        <f>Wapato_Inventory[[#This Row],[Patio]]*Lookups!$B$21</f>
        <v>2079.550992</v>
      </c>
      <c r="BS429" s="7">
        <f>SUM(Wapato_Inventory[[#This Row],[intercept]:[patio_value]])*Wapato_Inventory[[#This Row],[res_pct]]</f>
        <v>196173.22565599997</v>
      </c>
      <c r="BT429" s="7">
        <f>Wapato_Inventory[[#This Row],[land_value]]</f>
        <v>53600</v>
      </c>
      <c r="BU429" s="2">
        <f>_xlfn.IFNA(VLOOKUP(Wapato_Inventory[[#This Row],[quality]],Lookups!$A$28:$C$37,3,FALSE),1)</f>
        <v>0.97993206410140754</v>
      </c>
      <c r="BV429" s="2">
        <f>_xlfn.IFNA(VLOOKUP(Wapato_Inventory[[#This Row],[condition]],Lookups!$A$41:$C$48,3,FALSE),1)</f>
        <v>0.9832333997567807</v>
      </c>
      <c r="BW429" s="2">
        <f>IF(Wapato_Inventory[[#This Row],[decade]]="",1,_xlfn.IFNA(VLOOKUP(Wapato_Inventory[[#This Row],[decade]],Lookups!$F$28:$H$45,3,FALSE),1))</f>
        <v>0.96240333884358298</v>
      </c>
      <c r="BX429" s="2">
        <f>_xlfn.IFNA(VLOOKUP(Wapato_Inventory[[#This Row],[living_area_range]],Lookups!$K$28:$M$37,3,FALSE),1)</f>
        <v>1.0061411172456287</v>
      </c>
      <c r="BY429" s="2">
        <f>AVERAGE(Wapato_Inventory[[#This Row],[qual_adj]:[range_adj]])</f>
        <v>0.98292747998685004</v>
      </c>
      <c r="BZ429" s="7">
        <f>(Wapato_Inventory[[#This Row],[sum_land]]-IF(Wapato_Inventory[[#This Row],[no_utilities]]=1,12000,0))/IF(Wapato_Inventory[[#This Row],[unbuildable]]=1,2,1)</f>
        <v>53600</v>
      </c>
      <c r="CA429" s="7">
        <f>Wapato_Inventory[[#This Row],[pre_res]]*Wapato_Inventory[[#This Row],[overall_adj]]</f>
        <v>192824.05433494374</v>
      </c>
      <c r="CB429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29" s="3">
        <f>IF(ROUND(Wapato_Inventory[[#This Row],[adj_res]]*Lookups!$H$48,-2)&lt;Wapato_Inventory[[#This Row],[min_res]],Wapato_Inventory[[#This Row],[min_res]],ROUND(Wapato_Inventory[[#This Row],[adj_res]]*Lookups!$H$48,-2))</f>
        <v>183200</v>
      </c>
      <c r="CD429" s="3">
        <f>ROUND(Wapato_Inventory[[#This Row],[det_value]]*Lookups!$H$48,-2)</f>
        <v>0</v>
      </c>
      <c r="CE429" s="3">
        <f>Wapato_Inventory[[#This Row],[final_res]]+Wapato_Inventory[[#This Row],[final_det]]</f>
        <v>183200</v>
      </c>
      <c r="CF429" s="3">
        <f>Wapato_Inventory[[#This Row],[crop_value]]+Wapato_Inventory[[#This Row],[final_land]]+Wapato_Inventory[[#This Row],[final_imp]]</f>
        <v>234100</v>
      </c>
      <c r="CH429" t="str">
        <f t="shared" si="6"/>
        <v>update valuation set market_land =50900, market_bldg=183200, market_total =234100, market_mdno =405, market_date ='9/10/2023' where link_id = (select link_id from parcel where parcel_year = '2024' and parcel_id = '19111133533');</v>
      </c>
    </row>
    <row r="430" spans="1:86" x14ac:dyDescent="0.25">
      <c r="A430">
        <v>19111133534</v>
      </c>
      <c r="B430">
        <v>0.19</v>
      </c>
      <c r="C430">
        <v>8446</v>
      </c>
      <c r="D430" t="s">
        <v>144</v>
      </c>
      <c r="E430" t="s">
        <v>54</v>
      </c>
      <c r="F430" t="s">
        <v>54</v>
      </c>
      <c r="G430">
        <v>3</v>
      </c>
      <c r="H430" t="s">
        <v>55</v>
      </c>
      <c r="I430">
        <v>173500</v>
      </c>
      <c r="J430">
        <v>34100</v>
      </c>
      <c r="K430">
        <v>0.19</v>
      </c>
      <c r="L430">
        <f>IF(Wapato_Inventory[[#This Row],[parcel_acres]]-Wapato_Inventory[[#This Row],[non_valued_acres]] =0,0,LN(Wapato_Inventory[[#This Row],[parcel_acres]]-Wapato_Inventory[[#This Row],[non_valued_acres]]))</f>
        <v>-1.6607312068216509</v>
      </c>
      <c r="M430">
        <v>0</v>
      </c>
      <c r="N430">
        <v>0</v>
      </c>
      <c r="O430">
        <v>0</v>
      </c>
      <c r="P430">
        <v>27904.037</v>
      </c>
      <c r="Q430">
        <v>74398</v>
      </c>
      <c r="R430" s="3">
        <f>(Wapato_Inventory[[#This Row],[ln_acres]]*Wapato_Inventory[[#This Row],[coeff]])+Wapato_Inventory[[#This Row],[const]]</f>
        <v>28056.894957794</v>
      </c>
      <c r="S430" t="s">
        <v>62</v>
      </c>
      <c r="T430">
        <v>1</v>
      </c>
      <c r="U430" t="s">
        <v>67</v>
      </c>
      <c r="V430" t="s">
        <v>68</v>
      </c>
      <c r="W430">
        <v>0</v>
      </c>
      <c r="X430">
        <v>0</v>
      </c>
      <c r="Y430">
        <v>44</v>
      </c>
      <c r="Z430">
        <v>49</v>
      </c>
      <c r="AA430">
        <v>50</v>
      </c>
      <c r="AB430">
        <v>1500</v>
      </c>
      <c r="AC430">
        <v>1482</v>
      </c>
      <c r="AD430">
        <v>1482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400</v>
      </c>
      <c r="AN430">
        <v>0</v>
      </c>
      <c r="AO430">
        <v>400</v>
      </c>
      <c r="AP430">
        <v>7</v>
      </c>
      <c r="AQ430">
        <v>0</v>
      </c>
      <c r="AR430">
        <v>0</v>
      </c>
      <c r="AS430" t="s">
        <v>59</v>
      </c>
      <c r="AT430">
        <v>1</v>
      </c>
      <c r="AU430" t="s">
        <v>64</v>
      </c>
      <c r="AV430" t="s">
        <v>65</v>
      </c>
      <c r="AW430">
        <v>1</v>
      </c>
      <c r="AX430">
        <v>4</v>
      </c>
      <c r="AY430">
        <v>0</v>
      </c>
      <c r="AZ430">
        <v>0</v>
      </c>
      <c r="BA430">
        <v>100</v>
      </c>
      <c r="BB430">
        <v>100</v>
      </c>
      <c r="BC430">
        <v>100</v>
      </c>
      <c r="BD430">
        <v>100</v>
      </c>
      <c r="BE430">
        <v>1</v>
      </c>
      <c r="BF430">
        <v>15000</v>
      </c>
      <c r="BG430">
        <v>1000</v>
      </c>
      <c r="BH430" s="7">
        <f>ROUND(Wapato_Inventory[[#This Row],[detatched_value]]*Lookups!$B$22*Lookups!$H$48,-2)</f>
        <v>0</v>
      </c>
      <c r="BI430" s="7">
        <f>ROUND(((Wapato_Inventory[[#This Row],[land_extract]]*Lookups!$B$3) +(Lookups!$B$2*0.5))*Lookups!$H$48,-2)</f>
        <v>53800</v>
      </c>
      <c r="BJ430" s="7">
        <f>IF(Wapato_Inventory[[#This Row],[bldg_style]]="",0,Lookups!$B$2*0.5)</f>
        <v>53765.27</v>
      </c>
      <c r="BK430" s="7">
        <f>_xlfn.IFNA(VLOOKUP(Wapato_Inventory[[#This Row],[quality]],Lookups!$H$2:$J$14,3,FALSE),0)</f>
        <v>50405</v>
      </c>
      <c r="BL430" s="7">
        <f>_xlfn.IFNA(VLOOKUP(Wapato_Inventory[[#This Row],[condition]],Lookups!$H$17:$J$24,3,FALSE),0)</f>
        <v>52231</v>
      </c>
      <c r="BM430" s="7">
        <f>Wapato_Inventory[[#This Row],[Age]]*Lookups!$B$16</f>
        <v>-18163.1093</v>
      </c>
      <c r="BN430" s="7">
        <f>Wapato_Inventory[[#This Row],[Main Floor]]*Lookups!$B$17</f>
        <v>61948.695198000001</v>
      </c>
      <c r="BO430" s="7">
        <f>Wapato_Inventory[[#This Row],[Upper Floor]]*Lookups!$B$18</f>
        <v>0</v>
      </c>
      <c r="BP430" s="7">
        <f>Wapato_Inventory[[#This Row],[Fin BSMT]]*Lookups!$B$19</f>
        <v>0</v>
      </c>
      <c r="BQ430" s="7">
        <f>(Wapato_Inventory[[#This Row],[att_gar]]+Wapato_Inventory[[#This Row],[blt_gar]])*Lookups!$B$20</f>
        <v>0</v>
      </c>
      <c r="BR430" s="7">
        <f>Wapato_Inventory[[#This Row],[Patio]]*Lookups!$B$21</f>
        <v>17329.5916</v>
      </c>
      <c r="BS430" s="7">
        <f>SUM(Wapato_Inventory[[#This Row],[intercept]:[patio_value]])*Wapato_Inventory[[#This Row],[res_pct]]</f>
        <v>217516.44749799999</v>
      </c>
      <c r="BT430" s="7">
        <f>Wapato_Inventory[[#This Row],[land_value]]</f>
        <v>53800</v>
      </c>
      <c r="BU430" s="2">
        <f>_xlfn.IFNA(VLOOKUP(Wapato_Inventory[[#This Row],[quality]],Lookups!$A$28:$C$37,3,FALSE),1)</f>
        <v>0.97993206410140754</v>
      </c>
      <c r="BV430" s="2">
        <f>_xlfn.IFNA(VLOOKUP(Wapato_Inventory[[#This Row],[condition]],Lookups!$A$41:$C$48,3,FALSE),1)</f>
        <v>0.9832333997567807</v>
      </c>
      <c r="BW430" s="2">
        <f>IF(Wapato_Inventory[[#This Row],[decade]]="",1,_xlfn.IFNA(VLOOKUP(Wapato_Inventory[[#This Row],[decade]],Lookups!$F$28:$H$45,3,FALSE),1))</f>
        <v>0.96240333884358298</v>
      </c>
      <c r="BX430" s="2">
        <f>_xlfn.IFNA(VLOOKUP(Wapato_Inventory[[#This Row],[living_area_range]],Lookups!$K$28:$M$37,3,FALSE),1)</f>
        <v>1.0061411172456287</v>
      </c>
      <c r="BY430" s="2">
        <f>AVERAGE(Wapato_Inventory[[#This Row],[qual_adj]:[range_adj]])</f>
        <v>0.98292747998685004</v>
      </c>
      <c r="BZ430" s="7">
        <f>(Wapato_Inventory[[#This Row],[sum_land]]-IF(Wapato_Inventory[[#This Row],[no_utilities]]=1,12000,0))/IF(Wapato_Inventory[[#This Row],[unbuildable]]=1,2,1)</f>
        <v>53800</v>
      </c>
      <c r="CA430" s="7">
        <f>Wapato_Inventory[[#This Row],[pre_res]]*Wapato_Inventory[[#This Row],[overall_adj]]</f>
        <v>213802.89359490111</v>
      </c>
      <c r="CB430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430" s="3">
        <f>IF(ROUND(Wapato_Inventory[[#This Row],[adj_res]]*Lookups!$H$48,-2)&lt;Wapato_Inventory[[#This Row],[min_res]],Wapato_Inventory[[#This Row],[min_res]],ROUND(Wapato_Inventory[[#This Row],[adj_res]]*Lookups!$H$48,-2))</f>
        <v>203100</v>
      </c>
      <c r="CD430" s="3">
        <f>ROUND(Wapato_Inventory[[#This Row],[det_value]]*Lookups!$H$48,-2)</f>
        <v>0</v>
      </c>
      <c r="CE430" s="3">
        <f>Wapato_Inventory[[#This Row],[final_res]]+Wapato_Inventory[[#This Row],[final_det]]</f>
        <v>203100</v>
      </c>
      <c r="CF430" s="3">
        <f>Wapato_Inventory[[#This Row],[crop_value]]+Wapato_Inventory[[#This Row],[final_land]]+Wapato_Inventory[[#This Row],[final_imp]]</f>
        <v>254200</v>
      </c>
      <c r="CH430" t="str">
        <f t="shared" si="6"/>
        <v>update valuation set market_land =51100, market_bldg=203100, market_total =254200, market_mdno =405, market_date ='9/10/2023' where link_id = (select link_id from parcel where parcel_year = '2024' and parcel_id = '19111133534');</v>
      </c>
    </row>
    <row r="431" spans="1:86" x14ac:dyDescent="0.25">
      <c r="A431">
        <v>19111133536</v>
      </c>
      <c r="B431">
        <v>0.25</v>
      </c>
      <c r="C431">
        <v>10800</v>
      </c>
      <c r="D431" t="s">
        <v>144</v>
      </c>
      <c r="E431" t="s">
        <v>54</v>
      </c>
      <c r="F431" t="s">
        <v>54</v>
      </c>
      <c r="G431">
        <v>3</v>
      </c>
      <c r="H431" t="s">
        <v>55</v>
      </c>
      <c r="I431">
        <v>143100</v>
      </c>
      <c r="J431">
        <v>36000</v>
      </c>
      <c r="K431">
        <v>0.25</v>
      </c>
      <c r="L431">
        <f>IF(Wapato_Inventory[[#This Row],[parcel_acres]]-Wapato_Inventory[[#This Row],[non_valued_acres]] =0,0,LN(Wapato_Inventory[[#This Row],[parcel_acres]]-Wapato_Inventory[[#This Row],[non_valued_acres]]))</f>
        <v>-1.3862943611198906</v>
      </c>
      <c r="M431">
        <v>0</v>
      </c>
      <c r="N431">
        <v>0</v>
      </c>
      <c r="O431">
        <v>0</v>
      </c>
      <c r="P431">
        <v>27904.037</v>
      </c>
      <c r="Q431">
        <v>74398</v>
      </c>
      <c r="R431" s="3">
        <f>(Wapato_Inventory[[#This Row],[ln_acres]]*Wapato_Inventory[[#This Row],[coeff]])+Wapato_Inventory[[#This Row],[const]]</f>
        <v>35714.790854419211</v>
      </c>
      <c r="S431" t="s">
        <v>62</v>
      </c>
      <c r="T431">
        <v>1</v>
      </c>
      <c r="U431" t="s">
        <v>71</v>
      </c>
      <c r="V431" t="s">
        <v>68</v>
      </c>
      <c r="W431">
        <v>0</v>
      </c>
      <c r="X431">
        <v>0</v>
      </c>
      <c r="Y431">
        <v>43</v>
      </c>
      <c r="Z431">
        <v>44</v>
      </c>
      <c r="AA431">
        <v>50</v>
      </c>
      <c r="AB431">
        <v>1500</v>
      </c>
      <c r="AC431">
        <v>1234</v>
      </c>
      <c r="AD431">
        <v>1234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60</v>
      </c>
      <c r="AN431">
        <v>60</v>
      </c>
      <c r="AO431">
        <v>60</v>
      </c>
      <c r="AP431">
        <v>5</v>
      </c>
      <c r="AQ431">
        <v>0</v>
      </c>
      <c r="AR431">
        <v>0</v>
      </c>
      <c r="AS431" t="s">
        <v>59</v>
      </c>
      <c r="AT431">
        <v>1</v>
      </c>
      <c r="AU431" t="s">
        <v>72</v>
      </c>
      <c r="AV431" t="s">
        <v>61</v>
      </c>
      <c r="AW431">
        <v>0</v>
      </c>
      <c r="AX431">
        <v>3</v>
      </c>
      <c r="AY431">
        <v>0</v>
      </c>
      <c r="AZ431">
        <v>0</v>
      </c>
      <c r="BA431">
        <v>100</v>
      </c>
      <c r="BB431">
        <v>100</v>
      </c>
      <c r="BC431">
        <v>100</v>
      </c>
      <c r="BD431">
        <v>100</v>
      </c>
      <c r="BE431">
        <v>1</v>
      </c>
      <c r="BF431">
        <v>15000</v>
      </c>
      <c r="BG431">
        <v>1000</v>
      </c>
      <c r="BH431" s="7">
        <f>ROUND(Wapato_Inventory[[#This Row],[detatched_value]]*Lookups!$B$22*Lookups!$H$48,-2)</f>
        <v>0</v>
      </c>
      <c r="BI431" s="7">
        <f>ROUND(((Wapato_Inventory[[#This Row],[land_extract]]*Lookups!$B$3) +(Lookups!$B$2*0.5))*Lookups!$H$48,-2)</f>
        <v>54500</v>
      </c>
      <c r="BJ431" s="7">
        <f>IF(Wapato_Inventory[[#This Row],[bldg_style]]="",0,Lookups!$B$2*0.5)</f>
        <v>53765.27</v>
      </c>
      <c r="BK431" s="7">
        <f>_xlfn.IFNA(VLOOKUP(Wapato_Inventory[[#This Row],[quality]],Lookups!$H$2:$J$14,3,FALSE),0)</f>
        <v>28034</v>
      </c>
      <c r="BL431" s="7">
        <f>_xlfn.IFNA(VLOOKUP(Wapato_Inventory[[#This Row],[condition]],Lookups!$H$17:$J$24,3,FALSE),0)</f>
        <v>52231</v>
      </c>
      <c r="BM431" s="7">
        <f>Wapato_Inventory[[#This Row],[Age]]*Lookups!$B$16</f>
        <v>-16309.730800000001</v>
      </c>
      <c r="BN431" s="7">
        <f>Wapato_Inventory[[#This Row],[Main Floor]]*Lookups!$B$17</f>
        <v>51582.111925999998</v>
      </c>
      <c r="BO431" s="7">
        <f>Wapato_Inventory[[#This Row],[Upper Floor]]*Lookups!$B$18</f>
        <v>0</v>
      </c>
      <c r="BP431" s="7">
        <f>Wapato_Inventory[[#This Row],[Fin BSMT]]*Lookups!$B$19</f>
        <v>0</v>
      </c>
      <c r="BQ431" s="7">
        <f>(Wapato_Inventory[[#This Row],[att_gar]]+Wapato_Inventory[[#This Row],[blt_gar]])*Lookups!$B$20</f>
        <v>0</v>
      </c>
      <c r="BR431" s="7">
        <f>Wapato_Inventory[[#This Row],[Patio]]*Lookups!$B$21</f>
        <v>2599.4387400000001</v>
      </c>
      <c r="BS431" s="7">
        <f>SUM(Wapato_Inventory[[#This Row],[intercept]:[patio_value]])*Wapato_Inventory[[#This Row],[res_pct]]</f>
        <v>171902.08986599999</v>
      </c>
      <c r="BT431" s="7">
        <f>Wapato_Inventory[[#This Row],[land_value]]</f>
        <v>54500</v>
      </c>
      <c r="BU431" s="2">
        <f>_xlfn.IFNA(VLOOKUP(Wapato_Inventory[[#This Row],[quality]],Lookups!$A$28:$C$37,3,FALSE),1)</f>
        <v>0.96265813922927435</v>
      </c>
      <c r="BV431" s="2">
        <f>_xlfn.IFNA(VLOOKUP(Wapato_Inventory[[#This Row],[condition]],Lookups!$A$41:$C$48,3,FALSE),1)</f>
        <v>0.9832333997567807</v>
      </c>
      <c r="BW431" s="2">
        <f>IF(Wapato_Inventory[[#This Row],[decade]]="",1,_xlfn.IFNA(VLOOKUP(Wapato_Inventory[[#This Row],[decade]],Lookups!$F$28:$H$45,3,FALSE),1))</f>
        <v>0.96240333884358298</v>
      </c>
      <c r="BX431" s="2">
        <f>_xlfn.IFNA(VLOOKUP(Wapato_Inventory[[#This Row],[living_area_range]],Lookups!$K$28:$M$37,3,FALSE),1)</f>
        <v>1.0061411172456287</v>
      </c>
      <c r="BY431" s="2">
        <f>AVERAGE(Wapato_Inventory[[#This Row],[qual_adj]:[range_adj]])</f>
        <v>0.97860899876881668</v>
      </c>
      <c r="BZ431" s="7">
        <f>(Wapato_Inventory[[#This Row],[sum_land]]-IF(Wapato_Inventory[[#This Row],[no_utilities]]=1,12000,0))/IF(Wapato_Inventory[[#This Row],[unbuildable]]=1,2,1)</f>
        <v>54500</v>
      </c>
      <c r="CA431" s="7">
        <f>Wapato_Inventory[[#This Row],[pre_res]]*Wapato_Inventory[[#This Row],[overall_adj]]</f>
        <v>168224.93205003341</v>
      </c>
      <c r="CB431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31" s="3">
        <f>IF(ROUND(Wapato_Inventory[[#This Row],[adj_res]]*Lookups!$H$48,-2)&lt;Wapato_Inventory[[#This Row],[min_res]],Wapato_Inventory[[#This Row],[min_res]],ROUND(Wapato_Inventory[[#This Row],[adj_res]]*Lookups!$H$48,-2))</f>
        <v>159800</v>
      </c>
      <c r="CD431" s="3">
        <f>ROUND(Wapato_Inventory[[#This Row],[det_value]]*Lookups!$H$48,-2)</f>
        <v>0</v>
      </c>
      <c r="CE431" s="3">
        <f>Wapato_Inventory[[#This Row],[final_res]]+Wapato_Inventory[[#This Row],[final_det]]</f>
        <v>159800</v>
      </c>
      <c r="CF431" s="3">
        <f>Wapato_Inventory[[#This Row],[crop_value]]+Wapato_Inventory[[#This Row],[final_land]]+Wapato_Inventory[[#This Row],[final_imp]]</f>
        <v>211600</v>
      </c>
      <c r="CH431" t="str">
        <f t="shared" si="6"/>
        <v>update valuation set market_land =51800, market_bldg=159800, market_total =211600, market_mdno =405, market_date ='9/10/2023' where link_id = (select link_id from parcel where parcel_year = '2024' and parcel_id = '19111133536');</v>
      </c>
    </row>
    <row r="432" spans="1:86" x14ac:dyDescent="0.25">
      <c r="A432">
        <v>19111133537</v>
      </c>
      <c r="B432">
        <v>0.25</v>
      </c>
      <c r="C432">
        <v>10800</v>
      </c>
      <c r="D432" t="s">
        <v>144</v>
      </c>
      <c r="E432" t="s">
        <v>54</v>
      </c>
      <c r="F432" t="s">
        <v>54</v>
      </c>
      <c r="G432">
        <v>3</v>
      </c>
      <c r="H432" t="s">
        <v>55</v>
      </c>
      <c r="I432">
        <v>204200</v>
      </c>
      <c r="J432">
        <v>36000</v>
      </c>
      <c r="K432">
        <v>0.25</v>
      </c>
      <c r="L432">
        <f>IF(Wapato_Inventory[[#This Row],[parcel_acres]]-Wapato_Inventory[[#This Row],[non_valued_acres]] =0,0,LN(Wapato_Inventory[[#This Row],[parcel_acres]]-Wapato_Inventory[[#This Row],[non_valued_acres]]))</f>
        <v>-1.3862943611198906</v>
      </c>
      <c r="M432">
        <v>0</v>
      </c>
      <c r="N432">
        <v>0</v>
      </c>
      <c r="O432">
        <v>0</v>
      </c>
      <c r="P432">
        <v>27904.037</v>
      </c>
      <c r="Q432">
        <v>74398</v>
      </c>
      <c r="R432" s="3">
        <f>(Wapato_Inventory[[#This Row],[ln_acres]]*Wapato_Inventory[[#This Row],[coeff]])+Wapato_Inventory[[#This Row],[const]]</f>
        <v>35714.790854419211</v>
      </c>
      <c r="S432" t="s">
        <v>62</v>
      </c>
      <c r="T432">
        <v>1</v>
      </c>
      <c r="U432" t="s">
        <v>75</v>
      </c>
      <c r="V432" t="s">
        <v>69</v>
      </c>
      <c r="W432">
        <v>0</v>
      </c>
      <c r="X432">
        <v>0</v>
      </c>
      <c r="Y432">
        <v>43</v>
      </c>
      <c r="Z432">
        <v>44</v>
      </c>
      <c r="AA432">
        <v>50</v>
      </c>
      <c r="AB432">
        <v>1500</v>
      </c>
      <c r="AC432">
        <v>1048</v>
      </c>
      <c r="AD432">
        <v>1048</v>
      </c>
      <c r="AE432">
        <v>0</v>
      </c>
      <c r="AF432">
        <v>0</v>
      </c>
      <c r="AG432">
        <v>0</v>
      </c>
      <c r="AH432">
        <v>0</v>
      </c>
      <c r="AI432">
        <v>240</v>
      </c>
      <c r="AJ432">
        <v>0</v>
      </c>
      <c r="AK432">
        <v>0</v>
      </c>
      <c r="AL432">
        <v>0</v>
      </c>
      <c r="AM432">
        <v>0</v>
      </c>
      <c r="AN432">
        <v>24</v>
      </c>
      <c r="AO432">
        <v>0</v>
      </c>
      <c r="AP432">
        <v>5</v>
      </c>
      <c r="AQ432">
        <v>0</v>
      </c>
      <c r="AR432">
        <v>0</v>
      </c>
      <c r="AS432" t="s">
        <v>59</v>
      </c>
      <c r="AT432">
        <v>1</v>
      </c>
      <c r="AU432" t="s">
        <v>76</v>
      </c>
      <c r="AV432" t="s">
        <v>61</v>
      </c>
      <c r="AW432">
        <v>0</v>
      </c>
      <c r="AX432">
        <v>3</v>
      </c>
      <c r="AY432">
        <v>0</v>
      </c>
      <c r="AZ432">
        <v>0</v>
      </c>
      <c r="BA432">
        <v>100</v>
      </c>
      <c r="BB432">
        <v>100</v>
      </c>
      <c r="BC432">
        <v>100</v>
      </c>
      <c r="BD432">
        <v>100</v>
      </c>
      <c r="BE432">
        <v>1</v>
      </c>
      <c r="BF432">
        <v>15000</v>
      </c>
      <c r="BG432">
        <v>1000</v>
      </c>
      <c r="BH432" s="7">
        <f>ROUND(Wapato_Inventory[[#This Row],[detatched_value]]*Lookups!$B$22*Lookups!$H$48,-2)</f>
        <v>0</v>
      </c>
      <c r="BI432" s="7">
        <f>ROUND(((Wapato_Inventory[[#This Row],[land_extract]]*Lookups!$B$3) +(Lookups!$B$2*0.5))*Lookups!$H$48,-2)</f>
        <v>54500</v>
      </c>
      <c r="BJ432" s="7">
        <f>IF(Wapato_Inventory[[#This Row],[bldg_style]]="",0,Lookups!$B$2*0.5)</f>
        <v>53765.27</v>
      </c>
      <c r="BK432" s="7">
        <f>_xlfn.IFNA(VLOOKUP(Wapato_Inventory[[#This Row],[quality]],Lookups!$H$2:$J$14,3,FALSE),0)</f>
        <v>48043</v>
      </c>
      <c r="BL432" s="7">
        <f>_xlfn.IFNA(VLOOKUP(Wapato_Inventory[[#This Row],[condition]],Lookups!$H$17:$J$24,3,FALSE),0)</f>
        <v>74543</v>
      </c>
      <c r="BM432" s="7">
        <f>Wapato_Inventory[[#This Row],[Age]]*Lookups!$B$16</f>
        <v>-16309.730800000001</v>
      </c>
      <c r="BN432" s="7">
        <f>Wapato_Inventory[[#This Row],[Main Floor]]*Lookups!$B$17</f>
        <v>43807.174471999999</v>
      </c>
      <c r="BO432" s="7">
        <f>Wapato_Inventory[[#This Row],[Upper Floor]]*Lookups!$B$18</f>
        <v>0</v>
      </c>
      <c r="BP432" s="7">
        <f>Wapato_Inventory[[#This Row],[Fin BSMT]]*Lookups!$B$19</f>
        <v>0</v>
      </c>
      <c r="BQ432" s="7">
        <f>(Wapato_Inventory[[#This Row],[att_gar]]+Wapato_Inventory[[#This Row],[blt_gar]])*Lookups!$B$20</f>
        <v>8882.100480000001</v>
      </c>
      <c r="BR432" s="7">
        <f>Wapato_Inventory[[#This Row],[Patio]]*Lookups!$B$21</f>
        <v>0</v>
      </c>
      <c r="BS432" s="7">
        <f>SUM(Wapato_Inventory[[#This Row],[intercept]:[patio_value]])*Wapato_Inventory[[#This Row],[res_pct]]</f>
        <v>212730.81415199998</v>
      </c>
      <c r="BT432" s="7">
        <f>Wapato_Inventory[[#This Row],[land_value]]</f>
        <v>54500</v>
      </c>
      <c r="BU432" s="2">
        <f>_xlfn.IFNA(VLOOKUP(Wapato_Inventory[[#This Row],[quality]],Lookups!$A$28:$C$37,3,FALSE),1)</f>
        <v>0.98196844879778955</v>
      </c>
      <c r="BV432" s="2">
        <f>_xlfn.IFNA(VLOOKUP(Wapato_Inventory[[#This Row],[condition]],Lookups!$A$41:$C$48,3,FALSE),1)</f>
        <v>0.98442438223270734</v>
      </c>
      <c r="BW432" s="2">
        <f>IF(Wapato_Inventory[[#This Row],[decade]]="",1,_xlfn.IFNA(VLOOKUP(Wapato_Inventory[[#This Row],[decade]],Lookups!$F$28:$H$45,3,FALSE),1))</f>
        <v>0.96240333884358298</v>
      </c>
      <c r="BX432" s="2">
        <f>_xlfn.IFNA(VLOOKUP(Wapato_Inventory[[#This Row],[living_area_range]],Lookups!$K$28:$M$37,3,FALSE),1)</f>
        <v>1.0061411172456287</v>
      </c>
      <c r="BY432" s="2">
        <f>AVERAGE(Wapato_Inventory[[#This Row],[qual_adj]:[range_adj]])</f>
        <v>0.98373432177992715</v>
      </c>
      <c r="BZ432" s="7">
        <f>(Wapato_Inventory[[#This Row],[sum_land]]-IF(Wapato_Inventory[[#This Row],[no_utilities]]=1,12000,0))/IF(Wapato_Inventory[[#This Row],[unbuildable]]=1,2,1)</f>
        <v>54500</v>
      </c>
      <c r="CA432" s="7">
        <f>Wapato_Inventory[[#This Row],[pre_res]]*Wapato_Inventory[[#This Row],[overall_adj]]</f>
        <v>209270.60318150942</v>
      </c>
      <c r="CB432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32" s="3">
        <f>IF(ROUND(Wapato_Inventory[[#This Row],[adj_res]]*Lookups!$H$48,-2)&lt;Wapato_Inventory[[#This Row],[min_res]],Wapato_Inventory[[#This Row],[min_res]],ROUND(Wapato_Inventory[[#This Row],[adj_res]]*Lookups!$H$48,-2))</f>
        <v>198800</v>
      </c>
      <c r="CD432" s="3">
        <f>ROUND(Wapato_Inventory[[#This Row],[det_value]]*Lookups!$H$48,-2)</f>
        <v>0</v>
      </c>
      <c r="CE432" s="3">
        <f>Wapato_Inventory[[#This Row],[final_res]]+Wapato_Inventory[[#This Row],[final_det]]</f>
        <v>198800</v>
      </c>
      <c r="CF432" s="3">
        <f>Wapato_Inventory[[#This Row],[crop_value]]+Wapato_Inventory[[#This Row],[final_land]]+Wapato_Inventory[[#This Row],[final_imp]]</f>
        <v>250600</v>
      </c>
      <c r="CH432" t="str">
        <f t="shared" si="6"/>
        <v>update valuation set market_land =51800, market_bldg=198800, market_total =250600, market_mdno =405, market_date ='9/10/2023' where link_id = (select link_id from parcel where parcel_year = '2024' and parcel_id = '19111133537');</v>
      </c>
    </row>
    <row r="433" spans="1:86" x14ac:dyDescent="0.25">
      <c r="A433">
        <v>19111133540</v>
      </c>
      <c r="B433">
        <v>0.18</v>
      </c>
      <c r="C433">
        <v>7645</v>
      </c>
      <c r="D433" t="s">
        <v>144</v>
      </c>
      <c r="E433" t="s">
        <v>54</v>
      </c>
      <c r="F433" t="s">
        <v>54</v>
      </c>
      <c r="G433">
        <v>3</v>
      </c>
      <c r="H433" t="s">
        <v>55</v>
      </c>
      <c r="I433">
        <v>61000</v>
      </c>
      <c r="J433">
        <v>33700</v>
      </c>
      <c r="K433">
        <v>0.18</v>
      </c>
      <c r="L433">
        <f>IF(Wapato_Inventory[[#This Row],[parcel_acres]]-Wapato_Inventory[[#This Row],[non_valued_acres]] =0,0,LN(Wapato_Inventory[[#This Row],[parcel_acres]]-Wapato_Inventory[[#This Row],[non_valued_acres]]))</f>
        <v>-1.7147984280919266</v>
      </c>
      <c r="M433">
        <v>0</v>
      </c>
      <c r="N433">
        <v>0</v>
      </c>
      <c r="O433">
        <v>0</v>
      </c>
      <c r="P433">
        <v>27904.037</v>
      </c>
      <c r="Q433">
        <v>74398</v>
      </c>
      <c r="R433" s="3">
        <f>(Wapato_Inventory[[#This Row],[ln_acres]]*Wapato_Inventory[[#This Row],[coeff]])+Wapato_Inventory[[#This Row],[const]]</f>
        <v>26548.20121498104</v>
      </c>
      <c r="S433" t="s">
        <v>66</v>
      </c>
      <c r="T433">
        <v>1</v>
      </c>
      <c r="U433" t="s">
        <v>71</v>
      </c>
      <c r="V433" t="s">
        <v>73</v>
      </c>
      <c r="W433">
        <v>0</v>
      </c>
      <c r="X433">
        <v>0</v>
      </c>
      <c r="Y433">
        <v>57</v>
      </c>
      <c r="Z433">
        <v>103</v>
      </c>
      <c r="AA433">
        <v>110</v>
      </c>
      <c r="AB433">
        <v>1000</v>
      </c>
      <c r="AC433">
        <v>720</v>
      </c>
      <c r="AD433">
        <v>720</v>
      </c>
      <c r="AE433">
        <v>0</v>
      </c>
      <c r="AF433">
        <v>0</v>
      </c>
      <c r="AG433">
        <v>0</v>
      </c>
      <c r="AH433">
        <v>432</v>
      </c>
      <c r="AI433">
        <v>0</v>
      </c>
      <c r="AJ433">
        <v>0</v>
      </c>
      <c r="AK433">
        <v>0</v>
      </c>
      <c r="AL433">
        <v>216</v>
      </c>
      <c r="AM433">
        <v>0</v>
      </c>
      <c r="AN433">
        <v>0</v>
      </c>
      <c r="AO433">
        <v>216</v>
      </c>
      <c r="AP433">
        <v>5</v>
      </c>
      <c r="AQ433">
        <v>0</v>
      </c>
      <c r="AR433">
        <v>0</v>
      </c>
      <c r="AS433" t="s">
        <v>59</v>
      </c>
      <c r="AT433">
        <v>0</v>
      </c>
      <c r="AU433" t="s">
        <v>80</v>
      </c>
      <c r="AV433" t="s">
        <v>77</v>
      </c>
      <c r="AW433">
        <v>0</v>
      </c>
      <c r="AX433">
        <v>2</v>
      </c>
      <c r="AY433">
        <v>0</v>
      </c>
      <c r="AZ433">
        <v>0</v>
      </c>
      <c r="BA433">
        <v>100</v>
      </c>
      <c r="BB433">
        <v>100</v>
      </c>
      <c r="BC433">
        <v>100</v>
      </c>
      <c r="BD433">
        <v>100</v>
      </c>
      <c r="BE433">
        <v>1</v>
      </c>
      <c r="BF433">
        <v>15000</v>
      </c>
      <c r="BG433">
        <v>1000</v>
      </c>
      <c r="BH433" s="7">
        <f>ROUND(Wapato_Inventory[[#This Row],[detatched_value]]*Lookups!$B$22*Lookups!$H$48,-2)</f>
        <v>0</v>
      </c>
      <c r="BI433" s="7">
        <f>ROUND(((Wapato_Inventory[[#This Row],[land_extract]]*Lookups!$B$3) +(Lookups!$B$2*0.5))*Lookups!$H$48,-2)</f>
        <v>53600</v>
      </c>
      <c r="BJ433" s="7">
        <f>IF(Wapato_Inventory[[#This Row],[bldg_style]]="",0,Lookups!$B$2*0.5)</f>
        <v>53765.27</v>
      </c>
      <c r="BK433" s="7">
        <f>_xlfn.IFNA(VLOOKUP(Wapato_Inventory[[#This Row],[quality]],Lookups!$H$2:$J$14,3,FALSE),0)</f>
        <v>28034</v>
      </c>
      <c r="BL433" s="7">
        <f>_xlfn.IFNA(VLOOKUP(Wapato_Inventory[[#This Row],[condition]],Lookups!$H$17:$J$24,3,FALSE),0)</f>
        <v>16276</v>
      </c>
      <c r="BM433" s="7">
        <f>Wapato_Inventory[[#This Row],[Age]]*Lookups!$B$16</f>
        <v>-38179.597099999999</v>
      </c>
      <c r="BN433" s="7">
        <f>Wapato_Inventory[[#This Row],[Main Floor]]*Lookups!$B$17</f>
        <v>30096.532080000001</v>
      </c>
      <c r="BO433" s="7">
        <f>Wapato_Inventory[[#This Row],[Upper Floor]]*Lookups!$B$18</f>
        <v>0</v>
      </c>
      <c r="BP433" s="7">
        <f>Wapato_Inventory[[#This Row],[Fin BSMT]]*Lookups!$B$19</f>
        <v>0</v>
      </c>
      <c r="BQ433" s="7">
        <f>(Wapato_Inventory[[#This Row],[att_gar]]+Wapato_Inventory[[#This Row],[blt_gar]])*Lookups!$B$20</f>
        <v>0</v>
      </c>
      <c r="BR433" s="7">
        <f>Wapato_Inventory[[#This Row],[Patio]]*Lookups!$B$21</f>
        <v>0</v>
      </c>
      <c r="BS433" s="7">
        <f>SUM(Wapato_Inventory[[#This Row],[intercept]:[patio_value]])*Wapato_Inventory[[#This Row],[res_pct]]</f>
        <v>89992.204979999995</v>
      </c>
      <c r="BT433" s="7">
        <f>Wapato_Inventory[[#This Row],[land_value]]</f>
        <v>53600</v>
      </c>
      <c r="BU433" s="2">
        <f>_xlfn.IFNA(VLOOKUP(Wapato_Inventory[[#This Row],[quality]],Lookups!$A$28:$C$37,3,FALSE),1)</f>
        <v>0.96265813922927435</v>
      </c>
      <c r="BV433" s="2">
        <f>_xlfn.IFNA(VLOOKUP(Wapato_Inventory[[#This Row],[condition]],Lookups!$A$41:$C$48,3,FALSE),1)</f>
        <v>0.93399385491337139</v>
      </c>
      <c r="BW433" s="2">
        <f>IF(Wapato_Inventory[[#This Row],[decade]]="",1,_xlfn.IFNA(VLOOKUP(Wapato_Inventory[[#This Row],[decade]],Lookups!$F$28:$H$45,3,FALSE),1))</f>
        <v>0.93664589651353292</v>
      </c>
      <c r="BX433" s="2">
        <f>_xlfn.IFNA(VLOOKUP(Wapato_Inventory[[#This Row],[living_area_range]],Lookups!$K$28:$M$37,3,FALSE),1)</f>
        <v>0.99022994770196116</v>
      </c>
      <c r="BY433" s="2">
        <f>AVERAGE(Wapato_Inventory[[#This Row],[qual_adj]:[range_adj]])</f>
        <v>0.95588195958953504</v>
      </c>
      <c r="BZ433" s="7">
        <f>(Wapato_Inventory[[#This Row],[sum_land]]-IF(Wapato_Inventory[[#This Row],[no_utilities]]=1,12000,0))/IF(Wapato_Inventory[[#This Row],[unbuildable]]=1,2,1)</f>
        <v>53600</v>
      </c>
      <c r="CA433" s="7">
        <f>Wapato_Inventory[[#This Row],[pre_res]]*Wapato_Inventory[[#This Row],[overall_adj]]</f>
        <v>86021.925244065511</v>
      </c>
      <c r="CB433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433" s="3">
        <f>IF(ROUND(Wapato_Inventory[[#This Row],[adj_res]]*Lookups!$H$48,-2)&lt;Wapato_Inventory[[#This Row],[min_res]],Wapato_Inventory[[#This Row],[min_res]],ROUND(Wapato_Inventory[[#This Row],[adj_res]]*Lookups!$H$48,-2))</f>
        <v>81700</v>
      </c>
      <c r="CD433" s="3">
        <f>ROUND(Wapato_Inventory[[#This Row],[det_value]]*Lookups!$H$48,-2)</f>
        <v>0</v>
      </c>
      <c r="CE433" s="3">
        <f>Wapato_Inventory[[#This Row],[final_res]]+Wapato_Inventory[[#This Row],[final_det]]</f>
        <v>81700</v>
      </c>
      <c r="CF433" s="3">
        <f>Wapato_Inventory[[#This Row],[crop_value]]+Wapato_Inventory[[#This Row],[final_land]]+Wapato_Inventory[[#This Row],[final_imp]]</f>
        <v>132600</v>
      </c>
      <c r="CH433" t="str">
        <f t="shared" si="6"/>
        <v>update valuation set market_land =50900, market_bldg=81700, market_total =132600, market_mdno =405, market_date ='9/10/2023' where link_id = (select link_id from parcel where parcel_year = '2024' and parcel_id = '19111133540');</v>
      </c>
    </row>
    <row r="434" spans="1:86" x14ac:dyDescent="0.25">
      <c r="A434">
        <v>19111133541</v>
      </c>
      <c r="B434">
        <v>0.25</v>
      </c>
      <c r="C434">
        <v>10800</v>
      </c>
      <c r="D434" t="s">
        <v>144</v>
      </c>
      <c r="E434" t="s">
        <v>54</v>
      </c>
      <c r="F434" t="s">
        <v>54</v>
      </c>
      <c r="G434">
        <v>3</v>
      </c>
      <c r="H434" t="s">
        <v>55</v>
      </c>
      <c r="I434">
        <v>145500</v>
      </c>
      <c r="J434">
        <v>36000</v>
      </c>
      <c r="K434">
        <v>0.25</v>
      </c>
      <c r="L434">
        <f>IF(Wapato_Inventory[[#This Row],[parcel_acres]]-Wapato_Inventory[[#This Row],[non_valued_acres]] =0,0,LN(Wapato_Inventory[[#This Row],[parcel_acres]]-Wapato_Inventory[[#This Row],[non_valued_acres]]))</f>
        <v>-1.3862943611198906</v>
      </c>
      <c r="M434">
        <v>0</v>
      </c>
      <c r="N434">
        <v>0</v>
      </c>
      <c r="O434">
        <v>0</v>
      </c>
      <c r="P434">
        <v>27904.037</v>
      </c>
      <c r="Q434">
        <v>74398</v>
      </c>
      <c r="R434" s="3">
        <f>(Wapato_Inventory[[#This Row],[ln_acres]]*Wapato_Inventory[[#This Row],[coeff]])+Wapato_Inventory[[#This Row],[const]]</f>
        <v>35714.790854419211</v>
      </c>
      <c r="S434" t="s">
        <v>66</v>
      </c>
      <c r="T434">
        <v>1</v>
      </c>
      <c r="U434" t="s">
        <v>71</v>
      </c>
      <c r="V434" t="s">
        <v>73</v>
      </c>
      <c r="W434">
        <v>0</v>
      </c>
      <c r="X434">
        <v>0</v>
      </c>
      <c r="Y434">
        <v>43</v>
      </c>
      <c r="Z434">
        <v>43</v>
      </c>
      <c r="AA434">
        <v>50</v>
      </c>
      <c r="AB434">
        <v>1500</v>
      </c>
      <c r="AC434">
        <v>1134</v>
      </c>
      <c r="AD434">
        <v>1134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5</v>
      </c>
      <c r="AQ434">
        <v>0</v>
      </c>
      <c r="AR434">
        <v>0</v>
      </c>
      <c r="AS434" t="s">
        <v>59</v>
      </c>
      <c r="AT434">
        <v>1</v>
      </c>
      <c r="AU434" t="s">
        <v>72</v>
      </c>
      <c r="AV434" t="s">
        <v>61</v>
      </c>
      <c r="AW434">
        <v>0</v>
      </c>
      <c r="AX434">
        <v>3</v>
      </c>
      <c r="AY434">
        <v>0</v>
      </c>
      <c r="AZ434">
        <v>0</v>
      </c>
      <c r="BA434">
        <v>100</v>
      </c>
      <c r="BB434">
        <v>100</v>
      </c>
      <c r="BC434">
        <v>100</v>
      </c>
      <c r="BD434">
        <v>100</v>
      </c>
      <c r="BE434">
        <v>1</v>
      </c>
      <c r="BF434">
        <v>15000</v>
      </c>
      <c r="BG434">
        <v>1000</v>
      </c>
      <c r="BH434" s="7">
        <f>ROUND(Wapato_Inventory[[#This Row],[detatched_value]]*Lookups!$B$22*Lookups!$H$48,-2)</f>
        <v>0</v>
      </c>
      <c r="BI434" s="7">
        <f>ROUND(((Wapato_Inventory[[#This Row],[land_extract]]*Lookups!$B$3) +(Lookups!$B$2*0.5))*Lookups!$H$48,-2)</f>
        <v>54500</v>
      </c>
      <c r="BJ434" s="7">
        <f>IF(Wapato_Inventory[[#This Row],[bldg_style]]="",0,Lookups!$B$2*0.5)</f>
        <v>53765.27</v>
      </c>
      <c r="BK434" s="7">
        <f>_xlfn.IFNA(VLOOKUP(Wapato_Inventory[[#This Row],[quality]],Lookups!$H$2:$J$14,3,FALSE),0)</f>
        <v>28034</v>
      </c>
      <c r="BL434" s="7">
        <f>_xlfn.IFNA(VLOOKUP(Wapato_Inventory[[#This Row],[condition]],Lookups!$H$17:$J$24,3,FALSE),0)</f>
        <v>16276</v>
      </c>
      <c r="BM434" s="7">
        <f>Wapato_Inventory[[#This Row],[Age]]*Lookups!$B$16</f>
        <v>-15939.0551</v>
      </c>
      <c r="BN434" s="7">
        <f>Wapato_Inventory[[#This Row],[Main Floor]]*Lookups!$B$17</f>
        <v>47402.038026000002</v>
      </c>
      <c r="BO434" s="7">
        <f>Wapato_Inventory[[#This Row],[Upper Floor]]*Lookups!$B$18</f>
        <v>0</v>
      </c>
      <c r="BP434" s="7">
        <f>Wapato_Inventory[[#This Row],[Fin BSMT]]*Lookups!$B$19</f>
        <v>0</v>
      </c>
      <c r="BQ434" s="7">
        <f>(Wapato_Inventory[[#This Row],[att_gar]]+Wapato_Inventory[[#This Row],[blt_gar]])*Lookups!$B$20</f>
        <v>0</v>
      </c>
      <c r="BR434" s="7">
        <f>Wapato_Inventory[[#This Row],[Patio]]*Lookups!$B$21</f>
        <v>0</v>
      </c>
      <c r="BS434" s="7">
        <f>SUM(Wapato_Inventory[[#This Row],[intercept]:[patio_value]])*Wapato_Inventory[[#This Row],[res_pct]]</f>
        <v>129538.25292599999</v>
      </c>
      <c r="BT434" s="7">
        <f>Wapato_Inventory[[#This Row],[land_value]]</f>
        <v>54500</v>
      </c>
      <c r="BU434" s="2">
        <f>_xlfn.IFNA(VLOOKUP(Wapato_Inventory[[#This Row],[quality]],Lookups!$A$28:$C$37,3,FALSE),1)</f>
        <v>0.96265813922927435</v>
      </c>
      <c r="BV434" s="2">
        <f>_xlfn.IFNA(VLOOKUP(Wapato_Inventory[[#This Row],[condition]],Lookups!$A$41:$C$48,3,FALSE),1)</f>
        <v>0.93399385491337139</v>
      </c>
      <c r="BW434" s="2">
        <f>IF(Wapato_Inventory[[#This Row],[decade]]="",1,_xlfn.IFNA(VLOOKUP(Wapato_Inventory[[#This Row],[decade]],Lookups!$F$28:$H$45,3,FALSE),1))</f>
        <v>0.96240333884358298</v>
      </c>
      <c r="BX434" s="2">
        <f>_xlfn.IFNA(VLOOKUP(Wapato_Inventory[[#This Row],[living_area_range]],Lookups!$K$28:$M$37,3,FALSE),1)</f>
        <v>1.0061411172456287</v>
      </c>
      <c r="BY434" s="2">
        <f>AVERAGE(Wapato_Inventory[[#This Row],[qual_adj]:[range_adj]])</f>
        <v>0.96629911255796441</v>
      </c>
      <c r="BZ434" s="7">
        <f>(Wapato_Inventory[[#This Row],[sum_land]]-IF(Wapato_Inventory[[#This Row],[no_utilities]]=1,12000,0))/IF(Wapato_Inventory[[#This Row],[unbuildable]]=1,2,1)</f>
        <v>54500</v>
      </c>
      <c r="CA434" s="7">
        <f>Wapato_Inventory[[#This Row],[pre_res]]*Wapato_Inventory[[#This Row],[overall_adj]]</f>
        <v>125172.69884470293</v>
      </c>
      <c r="CB434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34" s="3">
        <f>IF(ROUND(Wapato_Inventory[[#This Row],[adj_res]]*Lookups!$H$48,-2)&lt;Wapato_Inventory[[#This Row],[min_res]],Wapato_Inventory[[#This Row],[min_res]],ROUND(Wapato_Inventory[[#This Row],[adj_res]]*Lookups!$H$48,-2))</f>
        <v>118900</v>
      </c>
      <c r="CD434" s="3">
        <f>ROUND(Wapato_Inventory[[#This Row],[det_value]]*Lookups!$H$48,-2)</f>
        <v>0</v>
      </c>
      <c r="CE434" s="3">
        <f>Wapato_Inventory[[#This Row],[final_res]]+Wapato_Inventory[[#This Row],[final_det]]</f>
        <v>118900</v>
      </c>
      <c r="CF434" s="3">
        <f>Wapato_Inventory[[#This Row],[crop_value]]+Wapato_Inventory[[#This Row],[final_land]]+Wapato_Inventory[[#This Row],[final_imp]]</f>
        <v>170700</v>
      </c>
      <c r="CH434" t="str">
        <f t="shared" si="6"/>
        <v>update valuation set market_land =51800, market_bldg=118900, market_total =170700, market_mdno =405, market_date ='9/10/2023' where link_id = (select link_id from parcel where parcel_year = '2024' and parcel_id = '19111133541');</v>
      </c>
    </row>
    <row r="435" spans="1:86" x14ac:dyDescent="0.25">
      <c r="A435">
        <v>19111133542</v>
      </c>
      <c r="B435">
        <v>0.25</v>
      </c>
      <c r="C435">
        <v>10800</v>
      </c>
      <c r="D435" t="s">
        <v>144</v>
      </c>
      <c r="E435" t="s">
        <v>54</v>
      </c>
      <c r="F435" t="s">
        <v>54</v>
      </c>
      <c r="G435">
        <v>3</v>
      </c>
      <c r="H435" t="s">
        <v>55</v>
      </c>
      <c r="I435">
        <v>168600</v>
      </c>
      <c r="J435">
        <v>36000</v>
      </c>
      <c r="K435">
        <v>0.25</v>
      </c>
      <c r="L435">
        <f>IF(Wapato_Inventory[[#This Row],[parcel_acres]]-Wapato_Inventory[[#This Row],[non_valued_acres]] =0,0,LN(Wapato_Inventory[[#This Row],[parcel_acres]]-Wapato_Inventory[[#This Row],[non_valued_acres]]))</f>
        <v>-1.3862943611198906</v>
      </c>
      <c r="M435">
        <v>0</v>
      </c>
      <c r="N435">
        <v>0</v>
      </c>
      <c r="O435">
        <v>0</v>
      </c>
      <c r="P435">
        <v>27904.037</v>
      </c>
      <c r="Q435">
        <v>74398</v>
      </c>
      <c r="R435" s="3">
        <f>(Wapato_Inventory[[#This Row],[ln_acres]]*Wapato_Inventory[[#This Row],[coeff]])+Wapato_Inventory[[#This Row],[const]]</f>
        <v>35714.790854419211</v>
      </c>
      <c r="S435" t="s">
        <v>62</v>
      </c>
      <c r="T435">
        <v>1</v>
      </c>
      <c r="U435" t="s">
        <v>75</v>
      </c>
      <c r="V435" t="s">
        <v>68</v>
      </c>
      <c r="W435">
        <v>0</v>
      </c>
      <c r="X435">
        <v>0</v>
      </c>
      <c r="Y435">
        <v>43</v>
      </c>
      <c r="Z435">
        <v>43</v>
      </c>
      <c r="AA435">
        <v>50</v>
      </c>
      <c r="AB435">
        <v>1000</v>
      </c>
      <c r="AC435">
        <v>994</v>
      </c>
      <c r="AD435">
        <v>994</v>
      </c>
      <c r="AE435">
        <v>0</v>
      </c>
      <c r="AF435">
        <v>0</v>
      </c>
      <c r="AG435">
        <v>0</v>
      </c>
      <c r="AH435">
        <v>0</v>
      </c>
      <c r="AI435">
        <v>264</v>
      </c>
      <c r="AJ435">
        <v>0</v>
      </c>
      <c r="AK435">
        <v>0</v>
      </c>
      <c r="AL435">
        <v>0</v>
      </c>
      <c r="AM435">
        <v>0</v>
      </c>
      <c r="AN435">
        <v>60</v>
      </c>
      <c r="AO435">
        <v>0</v>
      </c>
      <c r="AP435">
        <v>5</v>
      </c>
      <c r="AQ435">
        <v>0</v>
      </c>
      <c r="AR435">
        <v>0</v>
      </c>
      <c r="AS435" t="s">
        <v>59</v>
      </c>
      <c r="AT435">
        <v>1</v>
      </c>
      <c r="AU435" t="s">
        <v>72</v>
      </c>
      <c r="AV435" t="s">
        <v>61</v>
      </c>
      <c r="AW435">
        <v>0</v>
      </c>
      <c r="AX435">
        <v>3</v>
      </c>
      <c r="AY435">
        <v>0</v>
      </c>
      <c r="AZ435">
        <v>0</v>
      </c>
      <c r="BA435">
        <v>100</v>
      </c>
      <c r="BB435">
        <v>100</v>
      </c>
      <c r="BC435">
        <v>100</v>
      </c>
      <c r="BD435">
        <v>100</v>
      </c>
      <c r="BE435">
        <v>1</v>
      </c>
      <c r="BF435">
        <v>15000</v>
      </c>
      <c r="BG435">
        <v>1000</v>
      </c>
      <c r="BH435" s="7">
        <f>ROUND(Wapato_Inventory[[#This Row],[detatched_value]]*Lookups!$B$22*Lookups!$H$48,-2)</f>
        <v>0</v>
      </c>
      <c r="BI435" s="7">
        <f>ROUND(((Wapato_Inventory[[#This Row],[land_extract]]*Lookups!$B$3) +(Lookups!$B$2*0.5))*Lookups!$H$48,-2)</f>
        <v>54500</v>
      </c>
      <c r="BJ435" s="7">
        <f>IF(Wapato_Inventory[[#This Row],[bldg_style]]="",0,Lookups!$B$2*0.5)</f>
        <v>53765.27</v>
      </c>
      <c r="BK435" s="7">
        <f>_xlfn.IFNA(VLOOKUP(Wapato_Inventory[[#This Row],[quality]],Lookups!$H$2:$J$14,3,FALSE),0)</f>
        <v>48043</v>
      </c>
      <c r="BL435" s="7">
        <f>_xlfn.IFNA(VLOOKUP(Wapato_Inventory[[#This Row],[condition]],Lookups!$H$17:$J$24,3,FALSE),0)</f>
        <v>52231</v>
      </c>
      <c r="BM435" s="7">
        <f>Wapato_Inventory[[#This Row],[Age]]*Lookups!$B$16</f>
        <v>-15939.0551</v>
      </c>
      <c r="BN435" s="7">
        <f>Wapato_Inventory[[#This Row],[Main Floor]]*Lookups!$B$17</f>
        <v>41549.934566000004</v>
      </c>
      <c r="BO435" s="7">
        <f>Wapato_Inventory[[#This Row],[Upper Floor]]*Lookups!$B$18</f>
        <v>0</v>
      </c>
      <c r="BP435" s="7">
        <f>Wapato_Inventory[[#This Row],[Fin BSMT]]*Lookups!$B$19</f>
        <v>0</v>
      </c>
      <c r="BQ435" s="7">
        <f>(Wapato_Inventory[[#This Row],[att_gar]]+Wapato_Inventory[[#This Row],[blt_gar]])*Lookups!$B$20</f>
        <v>9770.310528</v>
      </c>
      <c r="BR435" s="7">
        <f>Wapato_Inventory[[#This Row],[Patio]]*Lookups!$B$21</f>
        <v>0</v>
      </c>
      <c r="BS435" s="7">
        <f>SUM(Wapato_Inventory[[#This Row],[intercept]:[patio_value]])*Wapato_Inventory[[#This Row],[res_pct]]</f>
        <v>189420.459994</v>
      </c>
      <c r="BT435" s="7">
        <f>Wapato_Inventory[[#This Row],[land_value]]</f>
        <v>54500</v>
      </c>
      <c r="BU435" s="2">
        <f>_xlfn.IFNA(VLOOKUP(Wapato_Inventory[[#This Row],[quality]],Lookups!$A$28:$C$37,3,FALSE),1)</f>
        <v>0.98196844879778955</v>
      </c>
      <c r="BV435" s="2">
        <f>_xlfn.IFNA(VLOOKUP(Wapato_Inventory[[#This Row],[condition]],Lookups!$A$41:$C$48,3,FALSE),1)</f>
        <v>0.9832333997567807</v>
      </c>
      <c r="BW435" s="2">
        <f>IF(Wapato_Inventory[[#This Row],[decade]]="",1,_xlfn.IFNA(VLOOKUP(Wapato_Inventory[[#This Row],[decade]],Lookups!$F$28:$H$45,3,FALSE),1))</f>
        <v>0.96240333884358298</v>
      </c>
      <c r="BX435" s="2">
        <f>_xlfn.IFNA(VLOOKUP(Wapato_Inventory[[#This Row],[living_area_range]],Lookups!$K$28:$M$37,3,FALSE),1)</f>
        <v>0.99022994770196116</v>
      </c>
      <c r="BY435" s="2">
        <f>AVERAGE(Wapato_Inventory[[#This Row],[qual_adj]:[range_adj]])</f>
        <v>0.9794587837750286</v>
      </c>
      <c r="BZ435" s="7">
        <f>(Wapato_Inventory[[#This Row],[sum_land]]-IF(Wapato_Inventory[[#This Row],[no_utilities]]=1,12000,0))/IF(Wapato_Inventory[[#This Row],[unbuildable]]=1,2,1)</f>
        <v>54500</v>
      </c>
      <c r="CA435" s="7">
        <f>Wapato_Inventory[[#This Row],[pre_res]]*Wapato_Inventory[[#This Row],[overall_adj]]</f>
        <v>185529.53336782972</v>
      </c>
      <c r="CB435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35" s="3">
        <f>IF(ROUND(Wapato_Inventory[[#This Row],[adj_res]]*Lookups!$H$48,-2)&lt;Wapato_Inventory[[#This Row],[min_res]],Wapato_Inventory[[#This Row],[min_res]],ROUND(Wapato_Inventory[[#This Row],[adj_res]]*Lookups!$H$48,-2))</f>
        <v>176300</v>
      </c>
      <c r="CD435" s="3">
        <f>ROUND(Wapato_Inventory[[#This Row],[det_value]]*Lookups!$H$48,-2)</f>
        <v>0</v>
      </c>
      <c r="CE435" s="3">
        <f>Wapato_Inventory[[#This Row],[final_res]]+Wapato_Inventory[[#This Row],[final_det]]</f>
        <v>176300</v>
      </c>
      <c r="CF435" s="3">
        <f>Wapato_Inventory[[#This Row],[crop_value]]+Wapato_Inventory[[#This Row],[final_land]]+Wapato_Inventory[[#This Row],[final_imp]]</f>
        <v>228100</v>
      </c>
      <c r="CH435" t="str">
        <f t="shared" si="6"/>
        <v>update valuation set market_land =51800, market_bldg=176300, market_total =228100, market_mdno =405, market_date ='9/10/2023' where link_id = (select link_id from parcel where parcel_year = '2024' and parcel_id = '19111133542');</v>
      </c>
    </row>
    <row r="436" spans="1:86" x14ac:dyDescent="0.25">
      <c r="A436">
        <v>19111133543</v>
      </c>
      <c r="B436">
        <v>0.36</v>
      </c>
      <c r="C436">
        <v>15546</v>
      </c>
      <c r="D436" t="s">
        <v>144</v>
      </c>
      <c r="E436" t="s">
        <v>54</v>
      </c>
      <c r="F436" t="s">
        <v>54</v>
      </c>
      <c r="G436">
        <v>3</v>
      </c>
      <c r="H436" t="s">
        <v>55</v>
      </c>
      <c r="I436">
        <v>217000</v>
      </c>
      <c r="J436">
        <v>38700</v>
      </c>
      <c r="K436">
        <v>0.36</v>
      </c>
      <c r="L436">
        <f>IF(Wapato_Inventory[[#This Row],[parcel_acres]]-Wapato_Inventory[[#This Row],[non_valued_acres]] =0,0,LN(Wapato_Inventory[[#This Row],[parcel_acres]]-Wapato_Inventory[[#This Row],[non_valued_acres]]))</f>
        <v>-1.0216512475319814</v>
      </c>
      <c r="M436">
        <v>0</v>
      </c>
      <c r="N436">
        <v>0</v>
      </c>
      <c r="O436">
        <v>0</v>
      </c>
      <c r="P436">
        <v>27904.037</v>
      </c>
      <c r="Q436">
        <v>74398</v>
      </c>
      <c r="R436" s="3">
        <f>(Wapato_Inventory[[#This Row],[ln_acres]]*Wapato_Inventory[[#This Row],[coeff]])+Wapato_Inventory[[#This Row],[const]]</f>
        <v>45889.805787771431</v>
      </c>
      <c r="S436" t="s">
        <v>66</v>
      </c>
      <c r="T436">
        <v>1</v>
      </c>
      <c r="U436" t="s">
        <v>75</v>
      </c>
      <c r="V436" t="s">
        <v>68</v>
      </c>
      <c r="W436">
        <v>0</v>
      </c>
      <c r="X436">
        <v>0</v>
      </c>
      <c r="Y436">
        <v>50</v>
      </c>
      <c r="Z436">
        <v>73</v>
      </c>
      <c r="AA436">
        <v>80</v>
      </c>
      <c r="AB436">
        <v>1500</v>
      </c>
      <c r="AC436">
        <v>1448</v>
      </c>
      <c r="AD436">
        <v>1448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608</v>
      </c>
      <c r="AN436">
        <v>176</v>
      </c>
      <c r="AO436">
        <v>608</v>
      </c>
      <c r="AP436">
        <v>5</v>
      </c>
      <c r="AQ436">
        <v>1</v>
      </c>
      <c r="AR436">
        <v>0</v>
      </c>
      <c r="AS436" t="s">
        <v>79</v>
      </c>
      <c r="AT436">
        <v>1</v>
      </c>
      <c r="AU436" t="s">
        <v>64</v>
      </c>
      <c r="AV436" t="s">
        <v>65</v>
      </c>
      <c r="AW436">
        <v>1</v>
      </c>
      <c r="AX436">
        <v>3</v>
      </c>
      <c r="AY436">
        <v>0</v>
      </c>
      <c r="AZ436">
        <v>10400</v>
      </c>
      <c r="BA436">
        <v>100</v>
      </c>
      <c r="BB436">
        <v>100</v>
      </c>
      <c r="BC436">
        <v>100</v>
      </c>
      <c r="BD436">
        <v>100</v>
      </c>
      <c r="BE436">
        <v>1</v>
      </c>
      <c r="BF436">
        <v>15000</v>
      </c>
      <c r="BG436">
        <v>1000</v>
      </c>
      <c r="BH436" s="7">
        <f>ROUND(Wapato_Inventory[[#This Row],[detatched_value]]*Lookups!$B$22*Lookups!$H$48,-2)</f>
        <v>9300</v>
      </c>
      <c r="BI436" s="7">
        <f>ROUND(((Wapato_Inventory[[#This Row],[land_extract]]*Lookups!$B$3) +(Lookups!$B$2*0.5))*Lookups!$H$48,-2)</f>
        <v>55500</v>
      </c>
      <c r="BJ436" s="7">
        <f>IF(Wapato_Inventory[[#This Row],[bldg_style]]="",0,Lookups!$B$2*0.5)</f>
        <v>53765.27</v>
      </c>
      <c r="BK436" s="7">
        <f>_xlfn.IFNA(VLOOKUP(Wapato_Inventory[[#This Row],[quality]],Lookups!$H$2:$J$14,3,FALSE),0)</f>
        <v>48043</v>
      </c>
      <c r="BL436" s="7">
        <f>_xlfn.IFNA(VLOOKUP(Wapato_Inventory[[#This Row],[condition]],Lookups!$H$17:$J$24,3,FALSE),0)</f>
        <v>52231</v>
      </c>
      <c r="BM436" s="7">
        <f>Wapato_Inventory[[#This Row],[Age]]*Lookups!$B$16</f>
        <v>-27059.326100000002</v>
      </c>
      <c r="BN436" s="7">
        <f>Wapato_Inventory[[#This Row],[Main Floor]]*Lookups!$B$17</f>
        <v>60527.470072000004</v>
      </c>
      <c r="BO436" s="7">
        <f>Wapato_Inventory[[#This Row],[Upper Floor]]*Lookups!$B$18</f>
        <v>0</v>
      </c>
      <c r="BP436" s="7">
        <f>Wapato_Inventory[[#This Row],[Fin BSMT]]*Lookups!$B$19</f>
        <v>0</v>
      </c>
      <c r="BQ436" s="7">
        <f>(Wapato_Inventory[[#This Row],[att_gar]]+Wapato_Inventory[[#This Row],[blt_gar]])*Lookups!$B$20</f>
        <v>0</v>
      </c>
      <c r="BR436" s="7">
        <f>Wapato_Inventory[[#This Row],[Patio]]*Lookups!$B$21</f>
        <v>26340.979232000002</v>
      </c>
      <c r="BS436" s="7">
        <f>SUM(Wapato_Inventory[[#This Row],[intercept]:[patio_value]])*Wapato_Inventory[[#This Row],[res_pct]]</f>
        <v>213848.39320399999</v>
      </c>
      <c r="BT436" s="7">
        <f>Wapato_Inventory[[#This Row],[land_value]]</f>
        <v>55500</v>
      </c>
      <c r="BU436" s="2">
        <f>_xlfn.IFNA(VLOOKUP(Wapato_Inventory[[#This Row],[quality]],Lookups!$A$28:$C$37,3,FALSE),1)</f>
        <v>0.98196844879778955</v>
      </c>
      <c r="BV436" s="2">
        <f>_xlfn.IFNA(VLOOKUP(Wapato_Inventory[[#This Row],[condition]],Lookups!$A$41:$C$48,3,FALSE),1)</f>
        <v>0.9832333997567807</v>
      </c>
      <c r="BW436" s="2">
        <f>IF(Wapato_Inventory[[#This Row],[decade]]="",1,_xlfn.IFNA(VLOOKUP(Wapato_Inventory[[#This Row],[decade]],Lookups!$F$28:$H$45,3,FALSE),1))</f>
        <v>0.8438929209510081</v>
      </c>
      <c r="BX436" s="2">
        <f>_xlfn.IFNA(VLOOKUP(Wapato_Inventory[[#This Row],[living_area_range]],Lookups!$K$28:$M$37,3,FALSE),1)</f>
        <v>1.0061411172456287</v>
      </c>
      <c r="BY436" s="2">
        <f>AVERAGE(Wapato_Inventory[[#This Row],[qual_adj]:[range_adj]])</f>
        <v>0.95380897168780177</v>
      </c>
      <c r="BZ436" s="7">
        <f>(Wapato_Inventory[[#This Row],[sum_land]]-IF(Wapato_Inventory[[#This Row],[no_utilities]]=1,12000,0))/IF(Wapato_Inventory[[#This Row],[unbuildable]]=1,2,1)</f>
        <v>55500</v>
      </c>
      <c r="CA436" s="7">
        <f>Wapato_Inventory[[#This Row],[pre_res]]*Wapato_Inventory[[#This Row],[overall_adj]]</f>
        <v>203970.51601899593</v>
      </c>
      <c r="CB436" s="3">
        <f>IF(ROUND(Wapato_Inventory[[#This Row],[adj_land]]*Lookups!$H$48,-2)&lt;Wapato_Inventory[[#This Row],[min_land]],Wapato_Inventory[[#This Row],[min_land]],ROUND(Wapato_Inventory[[#This Row],[adj_land]]*Lookups!$H$48,-2))</f>
        <v>52700</v>
      </c>
      <c r="CC436" s="3">
        <f>IF(ROUND(Wapato_Inventory[[#This Row],[adj_res]]*Lookups!$H$48,-2)&lt;Wapato_Inventory[[#This Row],[min_res]],Wapato_Inventory[[#This Row],[min_res]],ROUND(Wapato_Inventory[[#This Row],[adj_res]]*Lookups!$H$48,-2))</f>
        <v>193800</v>
      </c>
      <c r="CD436" s="3">
        <f>ROUND(Wapato_Inventory[[#This Row],[det_value]]*Lookups!$H$48,-2)</f>
        <v>8800</v>
      </c>
      <c r="CE436" s="3">
        <f>Wapato_Inventory[[#This Row],[final_res]]+Wapato_Inventory[[#This Row],[final_det]]</f>
        <v>202600</v>
      </c>
      <c r="CF436" s="3">
        <f>Wapato_Inventory[[#This Row],[crop_value]]+Wapato_Inventory[[#This Row],[final_land]]+Wapato_Inventory[[#This Row],[final_imp]]</f>
        <v>255300</v>
      </c>
      <c r="CH436" t="str">
        <f t="shared" si="6"/>
        <v>update valuation set market_land =52700, market_bldg=202600, market_total =255300, market_mdno =405, market_date ='9/10/2023' where link_id = (select link_id from parcel where parcel_year = '2024' and parcel_id = '19111133543');</v>
      </c>
    </row>
    <row r="437" spans="1:86" x14ac:dyDescent="0.25">
      <c r="A437">
        <v>19111133545</v>
      </c>
      <c r="B437">
        <v>0.23</v>
      </c>
      <c r="C437">
        <v>10009</v>
      </c>
      <c r="D437" t="s">
        <v>144</v>
      </c>
      <c r="E437" t="s">
        <v>54</v>
      </c>
      <c r="F437" t="s">
        <v>54</v>
      </c>
      <c r="G437">
        <v>3</v>
      </c>
      <c r="H437" t="s">
        <v>55</v>
      </c>
      <c r="I437">
        <v>219000</v>
      </c>
      <c r="J437">
        <v>35500</v>
      </c>
      <c r="K437">
        <v>0.23</v>
      </c>
      <c r="L437">
        <f>IF(Wapato_Inventory[[#This Row],[parcel_acres]]-Wapato_Inventory[[#This Row],[non_valued_acres]] =0,0,LN(Wapato_Inventory[[#This Row],[parcel_acres]]-Wapato_Inventory[[#This Row],[non_valued_acres]]))</f>
        <v>-1.4696759700589417</v>
      </c>
      <c r="M437">
        <v>0</v>
      </c>
      <c r="N437">
        <v>0</v>
      </c>
      <c r="O437">
        <v>0</v>
      </c>
      <c r="P437">
        <v>27904.037</v>
      </c>
      <c r="Q437">
        <v>74398</v>
      </c>
      <c r="R437" s="3">
        <f>(Wapato_Inventory[[#This Row],[ln_acres]]*Wapato_Inventory[[#This Row],[coeff]])+Wapato_Inventory[[#This Row],[const]]</f>
        <v>33388.107353464402</v>
      </c>
      <c r="S437" t="s">
        <v>62</v>
      </c>
      <c r="T437">
        <v>1</v>
      </c>
      <c r="U437" t="s">
        <v>75</v>
      </c>
      <c r="V437" t="s">
        <v>69</v>
      </c>
      <c r="W437">
        <v>0</v>
      </c>
      <c r="X437">
        <v>0</v>
      </c>
      <c r="Y437">
        <v>36</v>
      </c>
      <c r="Z437">
        <v>40</v>
      </c>
      <c r="AA437">
        <v>40</v>
      </c>
      <c r="AB437">
        <v>1500</v>
      </c>
      <c r="AC437">
        <v>1452</v>
      </c>
      <c r="AD437">
        <v>1452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234</v>
      </c>
      <c r="AL437">
        <v>0</v>
      </c>
      <c r="AM437">
        <v>225</v>
      </c>
      <c r="AN437">
        <v>90</v>
      </c>
      <c r="AO437">
        <v>112</v>
      </c>
      <c r="AP437">
        <v>8</v>
      </c>
      <c r="AQ437">
        <v>0</v>
      </c>
      <c r="AR437">
        <v>0</v>
      </c>
      <c r="AS437" t="s">
        <v>59</v>
      </c>
      <c r="AT437">
        <v>1</v>
      </c>
      <c r="AU437" t="s">
        <v>76</v>
      </c>
      <c r="AV437" t="s">
        <v>61</v>
      </c>
      <c r="AW437">
        <v>0</v>
      </c>
      <c r="AX437">
        <v>4</v>
      </c>
      <c r="AY437">
        <v>0</v>
      </c>
      <c r="AZ437">
        <v>0</v>
      </c>
      <c r="BA437">
        <v>100</v>
      </c>
      <c r="BB437">
        <v>100</v>
      </c>
      <c r="BC437">
        <v>100</v>
      </c>
      <c r="BD437">
        <v>100</v>
      </c>
      <c r="BE437">
        <v>1</v>
      </c>
      <c r="BF437">
        <v>15000</v>
      </c>
      <c r="BG437">
        <v>1000</v>
      </c>
      <c r="BH437" s="7">
        <f>ROUND(Wapato_Inventory[[#This Row],[detatched_value]]*Lookups!$B$22*Lookups!$H$48,-2)</f>
        <v>0</v>
      </c>
      <c r="BI437" s="7">
        <f>ROUND(((Wapato_Inventory[[#This Row],[land_extract]]*Lookups!$B$3) +(Lookups!$B$2*0.5))*Lookups!$H$48,-2)</f>
        <v>54300</v>
      </c>
      <c r="BJ437" s="7">
        <f>IF(Wapato_Inventory[[#This Row],[bldg_style]]="",0,Lookups!$B$2*0.5)</f>
        <v>53765.27</v>
      </c>
      <c r="BK437" s="7">
        <f>_xlfn.IFNA(VLOOKUP(Wapato_Inventory[[#This Row],[quality]],Lookups!$H$2:$J$14,3,FALSE),0)</f>
        <v>48043</v>
      </c>
      <c r="BL437" s="7">
        <f>_xlfn.IFNA(VLOOKUP(Wapato_Inventory[[#This Row],[condition]],Lookups!$H$17:$J$24,3,FALSE),0)</f>
        <v>74543</v>
      </c>
      <c r="BM437" s="7">
        <f>Wapato_Inventory[[#This Row],[Age]]*Lookups!$B$16</f>
        <v>-14827.028</v>
      </c>
      <c r="BN437" s="7">
        <f>Wapato_Inventory[[#This Row],[Main Floor]]*Lookups!$B$17</f>
        <v>60694.673027999997</v>
      </c>
      <c r="BO437" s="7">
        <f>Wapato_Inventory[[#This Row],[Upper Floor]]*Lookups!$B$18</f>
        <v>0</v>
      </c>
      <c r="BP437" s="7">
        <f>Wapato_Inventory[[#This Row],[Fin BSMT]]*Lookups!$B$19</f>
        <v>0</v>
      </c>
      <c r="BQ437" s="7">
        <f>(Wapato_Inventory[[#This Row],[att_gar]]+Wapato_Inventory[[#This Row],[blt_gar]])*Lookups!$B$20</f>
        <v>0</v>
      </c>
      <c r="BR437" s="7">
        <f>Wapato_Inventory[[#This Row],[Patio]]*Lookups!$B$21</f>
        <v>9747.8952750000008</v>
      </c>
      <c r="BS437" s="7">
        <f>SUM(Wapato_Inventory[[#This Row],[intercept]:[patio_value]])*Wapato_Inventory[[#This Row],[res_pct]]</f>
        <v>231966.81030299998</v>
      </c>
      <c r="BT437" s="7">
        <f>Wapato_Inventory[[#This Row],[land_value]]</f>
        <v>54300</v>
      </c>
      <c r="BU437" s="2">
        <f>_xlfn.IFNA(VLOOKUP(Wapato_Inventory[[#This Row],[quality]],Lookups!$A$28:$C$37,3,FALSE),1)</f>
        <v>0.98196844879778955</v>
      </c>
      <c r="BV437" s="2">
        <f>_xlfn.IFNA(VLOOKUP(Wapato_Inventory[[#This Row],[condition]],Lookups!$A$41:$C$48,3,FALSE),1)</f>
        <v>0.98442438223270734</v>
      </c>
      <c r="BW437" s="2">
        <f>IF(Wapato_Inventory[[#This Row],[decade]]="",1,_xlfn.IFNA(VLOOKUP(Wapato_Inventory[[#This Row],[decade]],Lookups!$F$28:$H$45,3,FALSE),1))</f>
        <v>1.0327621624630683</v>
      </c>
      <c r="BX437" s="2">
        <f>_xlfn.IFNA(VLOOKUP(Wapato_Inventory[[#This Row],[living_area_range]],Lookups!$K$28:$M$37,3,FALSE),1)</f>
        <v>1.0061411172456287</v>
      </c>
      <c r="BY437" s="2">
        <f>AVERAGE(Wapato_Inventory[[#This Row],[qual_adj]:[range_adj]])</f>
        <v>1.0013240276847983</v>
      </c>
      <c r="BZ437" s="7">
        <f>(Wapato_Inventory[[#This Row],[sum_land]]-IF(Wapato_Inventory[[#This Row],[no_utilities]]=1,12000,0))/IF(Wapato_Inventory[[#This Row],[unbuildable]]=1,2,1)</f>
        <v>54300</v>
      </c>
      <c r="CA437" s="7">
        <f>Wapato_Inventory[[#This Row],[pre_res]]*Wapato_Inventory[[#This Row],[overall_adj]]</f>
        <v>232273.94078179551</v>
      </c>
      <c r="CB437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437" s="3">
        <f>IF(ROUND(Wapato_Inventory[[#This Row],[adj_res]]*Lookups!$H$48,-2)&lt;Wapato_Inventory[[#This Row],[min_res]],Wapato_Inventory[[#This Row],[min_res]],ROUND(Wapato_Inventory[[#This Row],[adj_res]]*Lookups!$H$48,-2))</f>
        <v>220700</v>
      </c>
      <c r="CD437" s="3">
        <f>ROUND(Wapato_Inventory[[#This Row],[det_value]]*Lookups!$H$48,-2)</f>
        <v>0</v>
      </c>
      <c r="CE437" s="3">
        <f>Wapato_Inventory[[#This Row],[final_res]]+Wapato_Inventory[[#This Row],[final_det]]</f>
        <v>220700</v>
      </c>
      <c r="CF437" s="3">
        <f>Wapato_Inventory[[#This Row],[crop_value]]+Wapato_Inventory[[#This Row],[final_land]]+Wapato_Inventory[[#This Row],[final_imp]]</f>
        <v>272300</v>
      </c>
      <c r="CH437" t="str">
        <f t="shared" si="6"/>
        <v>update valuation set market_land =51600, market_bldg=220700, market_total =272300, market_mdno =405, market_date ='9/10/2023' where link_id = (select link_id from parcel where parcel_year = '2024' and parcel_id = '19111133545');</v>
      </c>
    </row>
    <row r="438" spans="1:86" x14ac:dyDescent="0.25">
      <c r="A438">
        <v>19111133551</v>
      </c>
      <c r="B438">
        <v>0.16</v>
      </c>
      <c r="C438">
        <v>6959</v>
      </c>
      <c r="D438" t="s">
        <v>144</v>
      </c>
      <c r="E438" t="s">
        <v>54</v>
      </c>
      <c r="F438" t="s">
        <v>54</v>
      </c>
      <c r="G438">
        <v>3</v>
      </c>
      <c r="H438" t="s">
        <v>55</v>
      </c>
      <c r="I438">
        <v>140200</v>
      </c>
      <c r="J438">
        <v>32800</v>
      </c>
      <c r="K438">
        <v>0.16</v>
      </c>
      <c r="L438">
        <f>IF(Wapato_Inventory[[#This Row],[parcel_acres]]-Wapato_Inventory[[#This Row],[non_valued_acres]] =0,0,LN(Wapato_Inventory[[#This Row],[parcel_acres]]-Wapato_Inventory[[#This Row],[non_valued_acres]]))</f>
        <v>-1.8325814637483102</v>
      </c>
      <c r="M438">
        <v>0</v>
      </c>
      <c r="N438">
        <v>0</v>
      </c>
      <c r="O438">
        <v>0</v>
      </c>
      <c r="P438">
        <v>27904.037</v>
      </c>
      <c r="Q438">
        <v>74398</v>
      </c>
      <c r="R438" s="3">
        <f>(Wapato_Inventory[[#This Row],[ln_acres]]*Wapato_Inventory[[#This Row],[coeff]])+Wapato_Inventory[[#This Row],[const]]</f>
        <v>23261.579030052992</v>
      </c>
      <c r="S438" t="s">
        <v>66</v>
      </c>
      <c r="T438">
        <v>1</v>
      </c>
      <c r="U438" t="s">
        <v>71</v>
      </c>
      <c r="V438" t="s">
        <v>69</v>
      </c>
      <c r="W438">
        <v>0</v>
      </c>
      <c r="X438">
        <v>0</v>
      </c>
      <c r="Y438">
        <v>55</v>
      </c>
      <c r="Z438">
        <v>98</v>
      </c>
      <c r="AA438">
        <v>100</v>
      </c>
      <c r="AB438">
        <v>1000</v>
      </c>
      <c r="AC438">
        <v>856</v>
      </c>
      <c r="AD438">
        <v>856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45</v>
      </c>
      <c r="AN438">
        <v>120</v>
      </c>
      <c r="AO438">
        <v>0</v>
      </c>
      <c r="AP438">
        <v>5</v>
      </c>
      <c r="AQ438">
        <v>0</v>
      </c>
      <c r="AR438">
        <v>0</v>
      </c>
      <c r="AS438" t="s">
        <v>59</v>
      </c>
      <c r="AT438">
        <v>1</v>
      </c>
      <c r="AU438" t="s">
        <v>72</v>
      </c>
      <c r="AV438" t="s">
        <v>61</v>
      </c>
      <c r="AW438">
        <v>0</v>
      </c>
      <c r="AX438">
        <v>2</v>
      </c>
      <c r="AY438">
        <v>0</v>
      </c>
      <c r="AZ438">
        <v>6700</v>
      </c>
      <c r="BA438">
        <v>100</v>
      </c>
      <c r="BB438">
        <v>100</v>
      </c>
      <c r="BC438">
        <v>100</v>
      </c>
      <c r="BD438">
        <v>100</v>
      </c>
      <c r="BE438">
        <v>1</v>
      </c>
      <c r="BF438">
        <v>15000</v>
      </c>
      <c r="BG438">
        <v>1000</v>
      </c>
      <c r="BH438" s="7">
        <f>ROUND(Wapato_Inventory[[#This Row],[detatched_value]]*Lookups!$B$22*Lookups!$H$48,-2)</f>
        <v>6000</v>
      </c>
      <c r="BI438" s="7">
        <f>ROUND(((Wapato_Inventory[[#This Row],[land_extract]]*Lookups!$B$3) +(Lookups!$B$2*0.5))*Lookups!$H$48,-2)</f>
        <v>53300</v>
      </c>
      <c r="BJ438" s="7">
        <f>IF(Wapato_Inventory[[#This Row],[bldg_style]]="",0,Lookups!$B$2*0.5)</f>
        <v>53765.27</v>
      </c>
      <c r="BK438" s="7">
        <f>_xlfn.IFNA(VLOOKUP(Wapato_Inventory[[#This Row],[quality]],Lookups!$H$2:$J$14,3,FALSE),0)</f>
        <v>28034</v>
      </c>
      <c r="BL438" s="7">
        <f>_xlfn.IFNA(VLOOKUP(Wapato_Inventory[[#This Row],[condition]],Lookups!$H$17:$J$24,3,FALSE),0)</f>
        <v>74543</v>
      </c>
      <c r="BM438" s="7">
        <f>Wapato_Inventory[[#This Row],[Age]]*Lookups!$B$16</f>
        <v>-36326.2186</v>
      </c>
      <c r="BN438" s="7">
        <f>Wapato_Inventory[[#This Row],[Main Floor]]*Lookups!$B$17</f>
        <v>35781.432584000002</v>
      </c>
      <c r="BO438" s="7">
        <f>Wapato_Inventory[[#This Row],[Upper Floor]]*Lookups!$B$18</f>
        <v>0</v>
      </c>
      <c r="BP438" s="7">
        <f>Wapato_Inventory[[#This Row],[Fin BSMT]]*Lookups!$B$19</f>
        <v>0</v>
      </c>
      <c r="BQ438" s="7">
        <f>(Wapato_Inventory[[#This Row],[att_gar]]+Wapato_Inventory[[#This Row],[blt_gar]])*Lookups!$B$20</f>
        <v>0</v>
      </c>
      <c r="BR438" s="7">
        <f>Wapato_Inventory[[#This Row],[Patio]]*Lookups!$B$21</f>
        <v>1949.5790550000002</v>
      </c>
      <c r="BS438" s="7">
        <f>SUM(Wapato_Inventory[[#This Row],[intercept]:[patio_value]])*Wapato_Inventory[[#This Row],[res_pct]]</f>
        <v>157747.063039</v>
      </c>
      <c r="BT438" s="7">
        <f>Wapato_Inventory[[#This Row],[land_value]]</f>
        <v>53300</v>
      </c>
      <c r="BU438" s="2">
        <f>_xlfn.IFNA(VLOOKUP(Wapato_Inventory[[#This Row],[quality]],Lookups!$A$28:$C$37,3,FALSE),1)</f>
        <v>0.96265813922927435</v>
      </c>
      <c r="BV438" s="2">
        <f>_xlfn.IFNA(VLOOKUP(Wapato_Inventory[[#This Row],[condition]],Lookups!$A$41:$C$48,3,FALSE),1)</f>
        <v>0.98442438223270734</v>
      </c>
      <c r="BW438" s="2">
        <f>IF(Wapato_Inventory[[#This Row],[decade]]="",1,_xlfn.IFNA(VLOOKUP(Wapato_Inventory[[#This Row],[decade]],Lookups!$F$28:$H$45,3,FALSE),1))</f>
        <v>1.0114203040664467</v>
      </c>
      <c r="BX438" s="2">
        <f>_xlfn.IFNA(VLOOKUP(Wapato_Inventory[[#This Row],[living_area_range]],Lookups!$K$28:$M$37,3,FALSE),1)</f>
        <v>0.99022994770196116</v>
      </c>
      <c r="BY438" s="2">
        <f>AVERAGE(Wapato_Inventory[[#This Row],[qual_adj]:[range_adj]])</f>
        <v>0.9871831933075973</v>
      </c>
      <c r="BZ438" s="7">
        <f>(Wapato_Inventory[[#This Row],[sum_land]]-IF(Wapato_Inventory[[#This Row],[no_utilities]]=1,12000,0))/IF(Wapato_Inventory[[#This Row],[unbuildable]]=1,2,1)</f>
        <v>53300</v>
      </c>
      <c r="CA438" s="7">
        <f>Wapato_Inventory[[#This Row],[pre_res]]*Wapato_Inventory[[#This Row],[overall_adj]]</f>
        <v>155725.24942573489</v>
      </c>
      <c r="CB438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438" s="3">
        <f>IF(ROUND(Wapato_Inventory[[#This Row],[adj_res]]*Lookups!$H$48,-2)&lt;Wapato_Inventory[[#This Row],[min_res]],Wapato_Inventory[[#This Row],[min_res]],ROUND(Wapato_Inventory[[#This Row],[adj_res]]*Lookups!$H$48,-2))</f>
        <v>147900</v>
      </c>
      <c r="CD438" s="3">
        <f>ROUND(Wapato_Inventory[[#This Row],[det_value]]*Lookups!$H$48,-2)</f>
        <v>5700</v>
      </c>
      <c r="CE438" s="3">
        <f>Wapato_Inventory[[#This Row],[final_res]]+Wapato_Inventory[[#This Row],[final_det]]</f>
        <v>153600</v>
      </c>
      <c r="CF438" s="3">
        <f>Wapato_Inventory[[#This Row],[crop_value]]+Wapato_Inventory[[#This Row],[final_land]]+Wapato_Inventory[[#This Row],[final_imp]]</f>
        <v>204200</v>
      </c>
      <c r="CH438" t="str">
        <f t="shared" si="6"/>
        <v>update valuation set market_land =50600, market_bldg=153600, market_total =204200, market_mdno =405, market_date ='9/10/2023' where link_id = (select link_id from parcel where parcel_year = '2024' and parcel_id = '19111133551');</v>
      </c>
    </row>
    <row r="439" spans="1:86" x14ac:dyDescent="0.25">
      <c r="A439">
        <v>19111133552</v>
      </c>
      <c r="B439">
        <v>0.16</v>
      </c>
      <c r="C439">
        <v>6945</v>
      </c>
      <c r="D439" t="s">
        <v>144</v>
      </c>
      <c r="E439" t="s">
        <v>54</v>
      </c>
      <c r="F439" t="s">
        <v>54</v>
      </c>
      <c r="G439">
        <v>3</v>
      </c>
      <c r="H439" t="s">
        <v>55</v>
      </c>
      <c r="I439">
        <v>230300</v>
      </c>
      <c r="J439">
        <v>32800</v>
      </c>
      <c r="K439">
        <v>0.16</v>
      </c>
      <c r="L439">
        <f>IF(Wapato_Inventory[[#This Row],[parcel_acres]]-Wapato_Inventory[[#This Row],[non_valued_acres]] =0,0,LN(Wapato_Inventory[[#This Row],[parcel_acres]]-Wapato_Inventory[[#This Row],[non_valued_acres]]))</f>
        <v>-1.8325814637483102</v>
      </c>
      <c r="M439">
        <v>0</v>
      </c>
      <c r="N439">
        <v>0</v>
      </c>
      <c r="O439">
        <v>0</v>
      </c>
      <c r="P439">
        <v>27904.037</v>
      </c>
      <c r="Q439">
        <v>74398</v>
      </c>
      <c r="R439" s="3">
        <f>(Wapato_Inventory[[#This Row],[ln_acres]]*Wapato_Inventory[[#This Row],[coeff]])+Wapato_Inventory[[#This Row],[const]]</f>
        <v>23261.579030052992</v>
      </c>
      <c r="S439" t="s">
        <v>66</v>
      </c>
      <c r="T439">
        <v>1</v>
      </c>
      <c r="U439" t="s">
        <v>75</v>
      </c>
      <c r="V439" t="s">
        <v>69</v>
      </c>
      <c r="W439">
        <v>0</v>
      </c>
      <c r="X439">
        <v>0</v>
      </c>
      <c r="Y439">
        <v>24</v>
      </c>
      <c r="Z439">
        <v>24</v>
      </c>
      <c r="AA439">
        <v>30</v>
      </c>
      <c r="AB439">
        <v>1500</v>
      </c>
      <c r="AC439">
        <v>1280</v>
      </c>
      <c r="AD439">
        <v>1280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224</v>
      </c>
      <c r="AO439">
        <v>240</v>
      </c>
      <c r="AP439">
        <v>5</v>
      </c>
      <c r="AQ439">
        <v>0</v>
      </c>
      <c r="AR439">
        <v>0</v>
      </c>
      <c r="AS439" t="s">
        <v>59</v>
      </c>
      <c r="AT439">
        <v>1</v>
      </c>
      <c r="AU439" t="s">
        <v>64</v>
      </c>
      <c r="AV439" t="s">
        <v>61</v>
      </c>
      <c r="AW439">
        <v>0</v>
      </c>
      <c r="AX439">
        <v>3</v>
      </c>
      <c r="AY439">
        <v>0</v>
      </c>
      <c r="AZ439">
        <v>0</v>
      </c>
      <c r="BA439">
        <v>100</v>
      </c>
      <c r="BB439">
        <v>100</v>
      </c>
      <c r="BC439">
        <v>100</v>
      </c>
      <c r="BD439">
        <v>100</v>
      </c>
      <c r="BE439">
        <v>1</v>
      </c>
      <c r="BF439">
        <v>15000</v>
      </c>
      <c r="BG439">
        <v>1000</v>
      </c>
      <c r="BH439" s="7">
        <f>ROUND(Wapato_Inventory[[#This Row],[detatched_value]]*Lookups!$B$22*Lookups!$H$48,-2)</f>
        <v>0</v>
      </c>
      <c r="BI439" s="7">
        <f>ROUND(((Wapato_Inventory[[#This Row],[land_extract]]*Lookups!$B$3) +(Lookups!$B$2*0.5))*Lookups!$H$48,-2)</f>
        <v>53300</v>
      </c>
      <c r="BJ439" s="7">
        <f>IF(Wapato_Inventory[[#This Row],[bldg_style]]="",0,Lookups!$B$2*0.5)</f>
        <v>53765.27</v>
      </c>
      <c r="BK439" s="7">
        <f>_xlfn.IFNA(VLOOKUP(Wapato_Inventory[[#This Row],[quality]],Lookups!$H$2:$J$14,3,FALSE),0)</f>
        <v>48043</v>
      </c>
      <c r="BL439" s="7">
        <f>_xlfn.IFNA(VLOOKUP(Wapato_Inventory[[#This Row],[condition]],Lookups!$H$17:$J$24,3,FALSE),0)</f>
        <v>74543</v>
      </c>
      <c r="BM439" s="7">
        <f>Wapato_Inventory[[#This Row],[Age]]*Lookups!$B$16</f>
        <v>-8896.2168000000001</v>
      </c>
      <c r="BN439" s="7">
        <f>Wapato_Inventory[[#This Row],[Main Floor]]*Lookups!$B$17</f>
        <v>53504.945919999998</v>
      </c>
      <c r="BO439" s="7">
        <f>Wapato_Inventory[[#This Row],[Upper Floor]]*Lookups!$B$18</f>
        <v>0</v>
      </c>
      <c r="BP439" s="7">
        <f>Wapato_Inventory[[#This Row],[Fin BSMT]]*Lookups!$B$19</f>
        <v>0</v>
      </c>
      <c r="BQ439" s="7">
        <f>(Wapato_Inventory[[#This Row],[att_gar]]+Wapato_Inventory[[#This Row],[blt_gar]])*Lookups!$B$20</f>
        <v>0</v>
      </c>
      <c r="BR439" s="7">
        <f>Wapato_Inventory[[#This Row],[Patio]]*Lookups!$B$21</f>
        <v>0</v>
      </c>
      <c r="BS439" s="7">
        <f>SUM(Wapato_Inventory[[#This Row],[intercept]:[patio_value]])*Wapato_Inventory[[#This Row],[res_pct]]</f>
        <v>220959.99911999999</v>
      </c>
      <c r="BT439" s="7">
        <f>Wapato_Inventory[[#This Row],[land_value]]</f>
        <v>53300</v>
      </c>
      <c r="BU439" s="2">
        <f>_xlfn.IFNA(VLOOKUP(Wapato_Inventory[[#This Row],[quality]],Lookups!$A$28:$C$37,3,FALSE),1)</f>
        <v>0.98196844879778955</v>
      </c>
      <c r="BV439" s="2">
        <f>_xlfn.IFNA(VLOOKUP(Wapato_Inventory[[#This Row],[condition]],Lookups!$A$41:$C$48,3,FALSE),1)</f>
        <v>0.98442438223270734</v>
      </c>
      <c r="BW439" s="2">
        <f>IF(Wapato_Inventory[[#This Row],[decade]]="",1,_xlfn.IFNA(VLOOKUP(Wapato_Inventory[[#This Row],[decade]],Lookups!$F$28:$H$45,3,FALSE),1))</f>
        <v>1.0490505496896987</v>
      </c>
      <c r="BX439" s="2">
        <f>_xlfn.IFNA(VLOOKUP(Wapato_Inventory[[#This Row],[living_area_range]],Lookups!$K$28:$M$37,3,FALSE),1)</f>
        <v>1.0061411172456287</v>
      </c>
      <c r="BY439" s="2">
        <f>AVERAGE(Wapato_Inventory[[#This Row],[qual_adj]:[range_adj]])</f>
        <v>1.005396124491456</v>
      </c>
      <c r="BZ439" s="7">
        <f>(Wapato_Inventory[[#This Row],[sum_land]]-IF(Wapato_Inventory[[#This Row],[no_utilities]]=1,12000,0))/IF(Wapato_Inventory[[#This Row],[unbuildable]]=1,2,1)</f>
        <v>53300</v>
      </c>
      <c r="CA439" s="7">
        <f>Wapato_Inventory[[#This Row],[pre_res]]*Wapato_Inventory[[#This Row],[overall_adj]]</f>
        <v>222152.32678288352</v>
      </c>
      <c r="CB439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439" s="3">
        <f>IF(ROUND(Wapato_Inventory[[#This Row],[adj_res]]*Lookups!$H$48,-2)&lt;Wapato_Inventory[[#This Row],[min_res]],Wapato_Inventory[[#This Row],[min_res]],ROUND(Wapato_Inventory[[#This Row],[adj_res]]*Lookups!$H$48,-2))</f>
        <v>211000</v>
      </c>
      <c r="CD439" s="3">
        <f>ROUND(Wapato_Inventory[[#This Row],[det_value]]*Lookups!$H$48,-2)</f>
        <v>0</v>
      </c>
      <c r="CE439" s="3">
        <f>Wapato_Inventory[[#This Row],[final_res]]+Wapato_Inventory[[#This Row],[final_det]]</f>
        <v>211000</v>
      </c>
      <c r="CF439" s="3">
        <f>Wapato_Inventory[[#This Row],[crop_value]]+Wapato_Inventory[[#This Row],[final_land]]+Wapato_Inventory[[#This Row],[final_imp]]</f>
        <v>261600</v>
      </c>
      <c r="CH439" t="str">
        <f t="shared" si="6"/>
        <v>update valuation set market_land =50600, market_bldg=211000, market_total =261600, market_mdno =405, market_date ='9/10/2023' where link_id = (select link_id from parcel where parcel_year = '2024' and parcel_id = '19111133552');</v>
      </c>
    </row>
    <row r="440" spans="1:86" x14ac:dyDescent="0.25">
      <c r="A440">
        <v>19111133553</v>
      </c>
      <c r="B440">
        <v>0.25</v>
      </c>
      <c r="C440">
        <v>10728</v>
      </c>
      <c r="D440" t="s">
        <v>144</v>
      </c>
      <c r="E440" t="s">
        <v>54</v>
      </c>
      <c r="F440" t="s">
        <v>54</v>
      </c>
      <c r="G440">
        <v>3</v>
      </c>
      <c r="H440" t="s">
        <v>55</v>
      </c>
      <c r="I440">
        <v>255300</v>
      </c>
      <c r="J440">
        <v>36000</v>
      </c>
      <c r="K440">
        <v>0.25</v>
      </c>
      <c r="L440">
        <f>IF(Wapato_Inventory[[#This Row],[parcel_acres]]-Wapato_Inventory[[#This Row],[non_valued_acres]] =0,0,LN(Wapato_Inventory[[#This Row],[parcel_acres]]-Wapato_Inventory[[#This Row],[non_valued_acres]]))</f>
        <v>-1.3862943611198906</v>
      </c>
      <c r="M440">
        <v>0</v>
      </c>
      <c r="N440">
        <v>0</v>
      </c>
      <c r="O440">
        <v>0</v>
      </c>
      <c r="P440">
        <v>27904.037</v>
      </c>
      <c r="Q440">
        <v>74398</v>
      </c>
      <c r="R440" s="3">
        <f>(Wapato_Inventory[[#This Row],[ln_acres]]*Wapato_Inventory[[#This Row],[coeff]])+Wapato_Inventory[[#This Row],[const]]</f>
        <v>35714.790854419211</v>
      </c>
      <c r="S440" t="s">
        <v>62</v>
      </c>
      <c r="T440">
        <v>1</v>
      </c>
      <c r="U440" t="s">
        <v>67</v>
      </c>
      <c r="V440" t="s">
        <v>70</v>
      </c>
      <c r="W440">
        <v>0</v>
      </c>
      <c r="X440">
        <v>0</v>
      </c>
      <c r="Y440">
        <v>17</v>
      </c>
      <c r="Z440">
        <v>17</v>
      </c>
      <c r="AA440">
        <v>20</v>
      </c>
      <c r="AB440">
        <v>1500</v>
      </c>
      <c r="AC440">
        <v>1312</v>
      </c>
      <c r="AD440">
        <v>1312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156</v>
      </c>
      <c r="AO440">
        <v>0</v>
      </c>
      <c r="AP440">
        <v>8</v>
      </c>
      <c r="AQ440">
        <v>0</v>
      </c>
      <c r="AR440">
        <v>0</v>
      </c>
      <c r="AS440" t="s">
        <v>59</v>
      </c>
      <c r="AT440">
        <v>1</v>
      </c>
      <c r="AU440" t="s">
        <v>64</v>
      </c>
      <c r="AV440" t="s">
        <v>61</v>
      </c>
      <c r="AW440">
        <v>0</v>
      </c>
      <c r="AX440">
        <v>3</v>
      </c>
      <c r="AY440">
        <v>0</v>
      </c>
      <c r="AZ440">
        <v>0</v>
      </c>
      <c r="BA440">
        <v>100</v>
      </c>
      <c r="BB440">
        <v>100</v>
      </c>
      <c r="BC440">
        <v>100</v>
      </c>
      <c r="BD440">
        <v>100</v>
      </c>
      <c r="BE440">
        <v>1</v>
      </c>
      <c r="BF440">
        <v>15000</v>
      </c>
      <c r="BG440">
        <v>1000</v>
      </c>
      <c r="BH440" s="7">
        <f>ROUND(Wapato_Inventory[[#This Row],[detatched_value]]*Lookups!$B$22*Lookups!$H$48,-2)</f>
        <v>0</v>
      </c>
      <c r="BI440" s="7">
        <f>ROUND(((Wapato_Inventory[[#This Row],[land_extract]]*Lookups!$B$3) +(Lookups!$B$2*0.5))*Lookups!$H$48,-2)</f>
        <v>54500</v>
      </c>
      <c r="BJ440" s="7">
        <f>IF(Wapato_Inventory[[#This Row],[bldg_style]]="",0,Lookups!$B$2*0.5)</f>
        <v>53765.27</v>
      </c>
      <c r="BK440" s="7">
        <f>_xlfn.IFNA(VLOOKUP(Wapato_Inventory[[#This Row],[quality]],Lookups!$H$2:$J$14,3,FALSE),0)</f>
        <v>50405</v>
      </c>
      <c r="BL440" s="7">
        <f>_xlfn.IFNA(VLOOKUP(Wapato_Inventory[[#This Row],[condition]],Lookups!$H$17:$J$24,3,FALSE),0)</f>
        <v>84338</v>
      </c>
      <c r="BM440" s="7">
        <f>Wapato_Inventory[[#This Row],[Age]]*Lookups!$B$16</f>
        <v>-6301.4868999999999</v>
      </c>
      <c r="BN440" s="7">
        <f>Wapato_Inventory[[#This Row],[Main Floor]]*Lookups!$B$17</f>
        <v>54842.569567999999</v>
      </c>
      <c r="BO440" s="7">
        <f>Wapato_Inventory[[#This Row],[Upper Floor]]*Lookups!$B$18</f>
        <v>0</v>
      </c>
      <c r="BP440" s="7">
        <f>Wapato_Inventory[[#This Row],[Fin BSMT]]*Lookups!$B$19</f>
        <v>0</v>
      </c>
      <c r="BQ440" s="7">
        <f>(Wapato_Inventory[[#This Row],[att_gar]]+Wapato_Inventory[[#This Row],[blt_gar]])*Lookups!$B$20</f>
        <v>0</v>
      </c>
      <c r="BR440" s="7">
        <f>Wapato_Inventory[[#This Row],[Patio]]*Lookups!$B$21</f>
        <v>0</v>
      </c>
      <c r="BS440" s="7">
        <f>SUM(Wapato_Inventory[[#This Row],[intercept]:[patio_value]])*Wapato_Inventory[[#This Row],[res_pct]]</f>
        <v>237049.35266800001</v>
      </c>
      <c r="BT440" s="7">
        <f>Wapato_Inventory[[#This Row],[land_value]]</f>
        <v>54500</v>
      </c>
      <c r="BU440" s="2">
        <f>_xlfn.IFNA(VLOOKUP(Wapato_Inventory[[#This Row],[quality]],Lookups!$A$28:$C$37,3,FALSE),1)</f>
        <v>0.97993206410140754</v>
      </c>
      <c r="BV440" s="2">
        <f>_xlfn.IFNA(VLOOKUP(Wapato_Inventory[[#This Row],[condition]],Lookups!$A$41:$C$48,3,FALSE),1)</f>
        <v>0.99478075210508476</v>
      </c>
      <c r="BW440" s="2">
        <f>IF(Wapato_Inventory[[#This Row],[decade]]="",1,_xlfn.IFNA(VLOOKUP(Wapato_Inventory[[#This Row],[decade]],Lookups!$F$28:$H$45,3,FALSE),1))</f>
        <v>1.0658609603367226</v>
      </c>
      <c r="BX440" s="2">
        <f>_xlfn.IFNA(VLOOKUP(Wapato_Inventory[[#This Row],[living_area_range]],Lookups!$K$28:$M$37,3,FALSE),1)</f>
        <v>1.0061411172456287</v>
      </c>
      <c r="BY440" s="2">
        <f>AVERAGE(Wapato_Inventory[[#This Row],[qual_adj]:[range_adj]])</f>
        <v>1.0116787234472109</v>
      </c>
      <c r="BZ440" s="7">
        <f>(Wapato_Inventory[[#This Row],[sum_land]]-IF(Wapato_Inventory[[#This Row],[no_utilities]]=1,12000,0))/IF(Wapato_Inventory[[#This Row],[unbuildable]]=1,2,1)</f>
        <v>54500</v>
      </c>
      <c r="CA440" s="7">
        <f>Wapato_Inventory[[#This Row],[pre_res]]*Wapato_Inventory[[#This Row],[overall_adj]]</f>
        <v>239817.78650114994</v>
      </c>
      <c r="CB440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40" s="3">
        <f>IF(ROUND(Wapato_Inventory[[#This Row],[adj_res]]*Lookups!$H$48,-2)&lt;Wapato_Inventory[[#This Row],[min_res]],Wapato_Inventory[[#This Row],[min_res]],ROUND(Wapato_Inventory[[#This Row],[adj_res]]*Lookups!$H$48,-2))</f>
        <v>227800</v>
      </c>
      <c r="CD440" s="3">
        <f>ROUND(Wapato_Inventory[[#This Row],[det_value]]*Lookups!$H$48,-2)</f>
        <v>0</v>
      </c>
      <c r="CE440" s="3">
        <f>Wapato_Inventory[[#This Row],[final_res]]+Wapato_Inventory[[#This Row],[final_det]]</f>
        <v>227800</v>
      </c>
      <c r="CF440" s="3">
        <f>Wapato_Inventory[[#This Row],[crop_value]]+Wapato_Inventory[[#This Row],[final_land]]+Wapato_Inventory[[#This Row],[final_imp]]</f>
        <v>279600</v>
      </c>
      <c r="CH440" t="str">
        <f t="shared" si="6"/>
        <v>update valuation set market_land =51800, market_bldg=227800, market_total =279600, market_mdno =405, market_date ='9/10/2023' where link_id = (select link_id from parcel where parcel_year = '2024' and parcel_id = '19111133553');</v>
      </c>
    </row>
    <row r="441" spans="1:86" x14ac:dyDescent="0.25">
      <c r="A441">
        <v>19111133555</v>
      </c>
      <c r="B441">
        <v>0.53</v>
      </c>
      <c r="C441">
        <v>22931</v>
      </c>
      <c r="D441" t="s">
        <v>144</v>
      </c>
      <c r="E441" t="s">
        <v>54</v>
      </c>
      <c r="F441" t="s">
        <v>54</v>
      </c>
      <c r="G441">
        <v>3</v>
      </c>
      <c r="H441" t="s">
        <v>55</v>
      </c>
      <c r="I441">
        <v>120100</v>
      </c>
      <c r="J441">
        <v>41400</v>
      </c>
      <c r="K441">
        <v>0.53</v>
      </c>
      <c r="L441">
        <f>IF(Wapato_Inventory[[#This Row],[parcel_acres]]-Wapato_Inventory[[#This Row],[non_valued_acres]] =0,0,LN(Wapato_Inventory[[#This Row],[parcel_acres]]-Wapato_Inventory[[#This Row],[non_valued_acres]]))</f>
        <v>-0.6348782724359695</v>
      </c>
      <c r="M441">
        <v>0</v>
      </c>
      <c r="N441">
        <v>0</v>
      </c>
      <c r="O441">
        <v>0</v>
      </c>
      <c r="P441">
        <v>27904.037</v>
      </c>
      <c r="Q441">
        <v>74398</v>
      </c>
      <c r="R441" s="3">
        <f>(Wapato_Inventory[[#This Row],[ln_acres]]*Wapato_Inventory[[#This Row],[coeff]])+Wapato_Inventory[[#This Row],[const]]</f>
        <v>56682.333195450628</v>
      </c>
      <c r="S441" t="s">
        <v>66</v>
      </c>
      <c r="T441">
        <v>1</v>
      </c>
      <c r="U441" t="s">
        <v>71</v>
      </c>
      <c r="V441" t="s">
        <v>68</v>
      </c>
      <c r="W441">
        <v>0</v>
      </c>
      <c r="X441">
        <v>0</v>
      </c>
      <c r="Y441">
        <v>27</v>
      </c>
      <c r="Z441">
        <v>27</v>
      </c>
      <c r="AA441">
        <v>30</v>
      </c>
      <c r="AB441">
        <v>1000</v>
      </c>
      <c r="AC441">
        <v>720</v>
      </c>
      <c r="AD441">
        <v>720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5</v>
      </c>
      <c r="AQ441">
        <v>0</v>
      </c>
      <c r="AR441">
        <v>0</v>
      </c>
      <c r="AS441" t="s">
        <v>59</v>
      </c>
      <c r="AT441">
        <v>1</v>
      </c>
      <c r="AU441" t="s">
        <v>72</v>
      </c>
      <c r="AV441" t="s">
        <v>61</v>
      </c>
      <c r="AW441">
        <v>0</v>
      </c>
      <c r="AX441">
        <v>2</v>
      </c>
      <c r="AY441">
        <v>0</v>
      </c>
      <c r="AZ441">
        <v>0</v>
      </c>
      <c r="BA441">
        <v>100</v>
      </c>
      <c r="BB441">
        <v>100</v>
      </c>
      <c r="BC441">
        <v>100</v>
      </c>
      <c r="BD441">
        <v>100</v>
      </c>
      <c r="BE441">
        <v>1</v>
      </c>
      <c r="BF441">
        <v>15000</v>
      </c>
      <c r="BG441">
        <v>1000</v>
      </c>
      <c r="BH441" s="7">
        <f>ROUND(Wapato_Inventory[[#This Row],[detatched_value]]*Lookups!$B$22*Lookups!$H$48,-2)</f>
        <v>0</v>
      </c>
      <c r="BI441" s="7">
        <f>ROUND(((Wapato_Inventory[[#This Row],[land_extract]]*Lookups!$B$3) +(Lookups!$B$2*0.5))*Lookups!$H$48,-2)</f>
        <v>56500</v>
      </c>
      <c r="BJ441" s="7">
        <f>IF(Wapato_Inventory[[#This Row],[bldg_style]]="",0,Lookups!$B$2*0.5)</f>
        <v>53765.27</v>
      </c>
      <c r="BK441" s="7">
        <f>_xlfn.IFNA(VLOOKUP(Wapato_Inventory[[#This Row],[quality]],Lookups!$H$2:$J$14,3,FALSE),0)</f>
        <v>28034</v>
      </c>
      <c r="BL441" s="7">
        <f>_xlfn.IFNA(VLOOKUP(Wapato_Inventory[[#This Row],[condition]],Lookups!$H$17:$J$24,3,FALSE),0)</f>
        <v>52231</v>
      </c>
      <c r="BM441" s="7">
        <f>Wapato_Inventory[[#This Row],[Age]]*Lookups!$B$16</f>
        <v>-10008.243899999999</v>
      </c>
      <c r="BN441" s="7">
        <f>Wapato_Inventory[[#This Row],[Main Floor]]*Lookups!$B$17</f>
        <v>30096.532080000001</v>
      </c>
      <c r="BO441" s="7">
        <f>Wapato_Inventory[[#This Row],[Upper Floor]]*Lookups!$B$18</f>
        <v>0</v>
      </c>
      <c r="BP441" s="7">
        <f>Wapato_Inventory[[#This Row],[Fin BSMT]]*Lookups!$B$19</f>
        <v>0</v>
      </c>
      <c r="BQ441" s="7">
        <f>(Wapato_Inventory[[#This Row],[att_gar]]+Wapato_Inventory[[#This Row],[blt_gar]])*Lookups!$B$20</f>
        <v>0</v>
      </c>
      <c r="BR441" s="7">
        <f>Wapato_Inventory[[#This Row],[Patio]]*Lookups!$B$21</f>
        <v>0</v>
      </c>
      <c r="BS441" s="7">
        <f>SUM(Wapato_Inventory[[#This Row],[intercept]:[patio_value]])*Wapato_Inventory[[#This Row],[res_pct]]</f>
        <v>154118.55817999999</v>
      </c>
      <c r="BT441" s="7">
        <f>Wapato_Inventory[[#This Row],[land_value]]</f>
        <v>56500</v>
      </c>
      <c r="BU441" s="2">
        <f>_xlfn.IFNA(VLOOKUP(Wapato_Inventory[[#This Row],[quality]],Lookups!$A$28:$C$37,3,FALSE),1)</f>
        <v>0.96265813922927435</v>
      </c>
      <c r="BV441" s="2">
        <f>_xlfn.IFNA(VLOOKUP(Wapato_Inventory[[#This Row],[condition]],Lookups!$A$41:$C$48,3,FALSE),1)</f>
        <v>0.9832333997567807</v>
      </c>
      <c r="BW441" s="2">
        <f>IF(Wapato_Inventory[[#This Row],[decade]]="",1,_xlfn.IFNA(VLOOKUP(Wapato_Inventory[[#This Row],[decade]],Lookups!$F$28:$H$45,3,FALSE),1))</f>
        <v>1.0490505496896987</v>
      </c>
      <c r="BX441" s="2">
        <f>_xlfn.IFNA(VLOOKUP(Wapato_Inventory[[#This Row],[living_area_range]],Lookups!$K$28:$M$37,3,FALSE),1)</f>
        <v>0.99022994770196116</v>
      </c>
      <c r="BY441" s="2">
        <f>AVERAGE(Wapato_Inventory[[#This Row],[qual_adj]:[range_adj]])</f>
        <v>0.99629300909442875</v>
      </c>
      <c r="BZ441" s="7">
        <f>(Wapato_Inventory[[#This Row],[sum_land]]-IF(Wapato_Inventory[[#This Row],[no_utilities]]=1,12000,0))/IF(Wapato_Inventory[[#This Row],[unbuildable]]=1,2,1)</f>
        <v>56500</v>
      </c>
      <c r="CA441" s="7">
        <f>Wapato_Inventory[[#This Row],[pre_res]]*Wapato_Inventory[[#This Row],[overall_adj]]</f>
        <v>153547.24208644699</v>
      </c>
      <c r="CB441" s="3">
        <f>IF(ROUND(Wapato_Inventory[[#This Row],[adj_land]]*Lookups!$H$48,-2)&lt;Wapato_Inventory[[#This Row],[min_land]],Wapato_Inventory[[#This Row],[min_land]],ROUND(Wapato_Inventory[[#This Row],[adj_land]]*Lookups!$H$48,-2))</f>
        <v>53700</v>
      </c>
      <c r="CC441" s="3">
        <f>IF(ROUND(Wapato_Inventory[[#This Row],[adj_res]]*Lookups!$H$48,-2)&lt;Wapato_Inventory[[#This Row],[min_res]],Wapato_Inventory[[#This Row],[min_res]],ROUND(Wapato_Inventory[[#This Row],[adj_res]]*Lookups!$H$48,-2))</f>
        <v>145900</v>
      </c>
      <c r="CD441" s="3">
        <f>ROUND(Wapato_Inventory[[#This Row],[det_value]]*Lookups!$H$48,-2)</f>
        <v>0</v>
      </c>
      <c r="CE441" s="3">
        <f>Wapato_Inventory[[#This Row],[final_res]]+Wapato_Inventory[[#This Row],[final_det]]</f>
        <v>145900</v>
      </c>
      <c r="CF441" s="3">
        <f>Wapato_Inventory[[#This Row],[crop_value]]+Wapato_Inventory[[#This Row],[final_land]]+Wapato_Inventory[[#This Row],[final_imp]]</f>
        <v>199600</v>
      </c>
      <c r="CH441" t="str">
        <f t="shared" si="6"/>
        <v>update valuation set market_land =53700, market_bldg=145900, market_total =199600, market_mdno =405, market_date ='9/10/2023' where link_id = (select link_id from parcel where parcel_year = '2024' and parcel_id = '19111133555');</v>
      </c>
    </row>
    <row r="442" spans="1:86" x14ac:dyDescent="0.25">
      <c r="A442">
        <v>19111133556</v>
      </c>
      <c r="B442">
        <v>0.16</v>
      </c>
      <c r="C442">
        <v>6997</v>
      </c>
      <c r="D442" t="s">
        <v>144</v>
      </c>
      <c r="E442" t="s">
        <v>54</v>
      </c>
      <c r="F442" t="s">
        <v>54</v>
      </c>
      <c r="G442">
        <v>3</v>
      </c>
      <c r="H442" t="s">
        <v>55</v>
      </c>
      <c r="I442">
        <v>189600</v>
      </c>
      <c r="J442">
        <v>32800</v>
      </c>
      <c r="K442">
        <v>0.16</v>
      </c>
      <c r="L442">
        <f>IF(Wapato_Inventory[[#This Row],[parcel_acres]]-Wapato_Inventory[[#This Row],[non_valued_acres]] =0,0,LN(Wapato_Inventory[[#This Row],[parcel_acres]]-Wapato_Inventory[[#This Row],[non_valued_acres]]))</f>
        <v>-1.8325814637483102</v>
      </c>
      <c r="M442">
        <v>0</v>
      </c>
      <c r="N442">
        <v>0</v>
      </c>
      <c r="O442">
        <v>0</v>
      </c>
      <c r="P442">
        <v>27904.037</v>
      </c>
      <c r="Q442">
        <v>74398</v>
      </c>
      <c r="R442" s="3">
        <f>(Wapato_Inventory[[#This Row],[ln_acres]]*Wapato_Inventory[[#This Row],[coeff]])+Wapato_Inventory[[#This Row],[const]]</f>
        <v>23261.579030052992</v>
      </c>
      <c r="S442" t="s">
        <v>56</v>
      </c>
      <c r="T442">
        <v>2</v>
      </c>
      <c r="U442" t="s">
        <v>75</v>
      </c>
      <c r="V442" t="s">
        <v>69</v>
      </c>
      <c r="W442">
        <v>0</v>
      </c>
      <c r="X442">
        <v>0</v>
      </c>
      <c r="Y442">
        <v>53</v>
      </c>
      <c r="Z442">
        <v>93</v>
      </c>
      <c r="AA442">
        <v>100</v>
      </c>
      <c r="AB442">
        <v>2000</v>
      </c>
      <c r="AC442">
        <v>1851</v>
      </c>
      <c r="AD442">
        <v>871</v>
      </c>
      <c r="AE442">
        <v>280</v>
      </c>
      <c r="AF442">
        <v>0</v>
      </c>
      <c r="AG442">
        <v>700</v>
      </c>
      <c r="AH442">
        <v>0</v>
      </c>
      <c r="AI442">
        <v>0</v>
      </c>
      <c r="AJ442">
        <v>0</v>
      </c>
      <c r="AK442">
        <v>0</v>
      </c>
      <c r="AL442">
        <v>273</v>
      </c>
      <c r="AM442">
        <v>0</v>
      </c>
      <c r="AN442">
        <v>24</v>
      </c>
      <c r="AO442">
        <v>190</v>
      </c>
      <c r="AP442">
        <v>5</v>
      </c>
      <c r="AQ442">
        <v>0</v>
      </c>
      <c r="AR442">
        <v>0</v>
      </c>
      <c r="AS442" t="s">
        <v>59</v>
      </c>
      <c r="AT442">
        <v>1</v>
      </c>
      <c r="AU442" t="s">
        <v>64</v>
      </c>
      <c r="AV442" t="s">
        <v>65</v>
      </c>
      <c r="AW442">
        <v>1</v>
      </c>
      <c r="AX442">
        <v>3</v>
      </c>
      <c r="AY442">
        <v>0</v>
      </c>
      <c r="AZ442">
        <v>0</v>
      </c>
      <c r="BA442">
        <v>100</v>
      </c>
      <c r="BB442">
        <v>100</v>
      </c>
      <c r="BC442">
        <v>100</v>
      </c>
      <c r="BD442">
        <v>100</v>
      </c>
      <c r="BE442">
        <v>1</v>
      </c>
      <c r="BF442">
        <v>15000</v>
      </c>
      <c r="BG442">
        <v>1000</v>
      </c>
      <c r="BH442" s="7">
        <f>ROUND(Wapato_Inventory[[#This Row],[detatched_value]]*Lookups!$B$22*Lookups!$H$48,-2)</f>
        <v>0</v>
      </c>
      <c r="BI442" s="7">
        <f>ROUND(((Wapato_Inventory[[#This Row],[land_extract]]*Lookups!$B$3) +(Lookups!$B$2*0.5))*Lookups!$H$48,-2)</f>
        <v>53300</v>
      </c>
      <c r="BJ442" s="7">
        <f>IF(Wapato_Inventory[[#This Row],[bldg_style]]="",0,Lookups!$B$2*0.5)</f>
        <v>53765.27</v>
      </c>
      <c r="BK442" s="7">
        <f>_xlfn.IFNA(VLOOKUP(Wapato_Inventory[[#This Row],[quality]],Lookups!$H$2:$J$14,3,FALSE),0)</f>
        <v>48043</v>
      </c>
      <c r="BL442" s="7">
        <f>_xlfn.IFNA(VLOOKUP(Wapato_Inventory[[#This Row],[condition]],Lookups!$H$17:$J$24,3,FALSE),0)</f>
        <v>74543</v>
      </c>
      <c r="BM442" s="7">
        <f>Wapato_Inventory[[#This Row],[Age]]*Lookups!$B$16</f>
        <v>-34472.840100000001</v>
      </c>
      <c r="BN442" s="7">
        <f>Wapato_Inventory[[#This Row],[Main Floor]]*Lookups!$B$17</f>
        <v>36408.443669</v>
      </c>
      <c r="BO442" s="7">
        <f>Wapato_Inventory[[#This Row],[Upper Floor]]*Lookups!$B$18</f>
        <v>13888.318920000002</v>
      </c>
      <c r="BP442" s="7">
        <f>Wapato_Inventory[[#This Row],[Fin BSMT]]*Lookups!$B$19</f>
        <v>17056.718000000001</v>
      </c>
      <c r="BQ442" s="7">
        <f>(Wapato_Inventory[[#This Row],[att_gar]]+Wapato_Inventory[[#This Row],[blt_gar]])*Lookups!$B$20</f>
        <v>0</v>
      </c>
      <c r="BR442" s="7">
        <f>Wapato_Inventory[[#This Row],[Patio]]*Lookups!$B$21</f>
        <v>0</v>
      </c>
      <c r="BS442" s="7">
        <f>SUM(Wapato_Inventory[[#This Row],[intercept]:[patio_value]])*Wapato_Inventory[[#This Row],[res_pct]]</f>
        <v>209231.91048899997</v>
      </c>
      <c r="BT442" s="7">
        <f>Wapato_Inventory[[#This Row],[land_value]]</f>
        <v>53300</v>
      </c>
      <c r="BU442" s="2">
        <f>_xlfn.IFNA(VLOOKUP(Wapato_Inventory[[#This Row],[quality]],Lookups!$A$28:$C$37,3,FALSE),1)</f>
        <v>0.98196844879778955</v>
      </c>
      <c r="BV442" s="2">
        <f>_xlfn.IFNA(VLOOKUP(Wapato_Inventory[[#This Row],[condition]],Lookups!$A$41:$C$48,3,FALSE),1)</f>
        <v>0.98442438223270734</v>
      </c>
      <c r="BW442" s="2">
        <f>IF(Wapato_Inventory[[#This Row],[decade]]="",1,_xlfn.IFNA(VLOOKUP(Wapato_Inventory[[#This Row],[decade]],Lookups!$F$28:$H$45,3,FALSE),1))</f>
        <v>1.0114203040664467</v>
      </c>
      <c r="BX442" s="2">
        <f>_xlfn.IFNA(VLOOKUP(Wapato_Inventory[[#This Row],[living_area_range]],Lookups!$K$28:$M$37,3,FALSE),1)</f>
        <v>0.99330894324714125</v>
      </c>
      <c r="BY442" s="2">
        <f>AVERAGE(Wapato_Inventory[[#This Row],[qual_adj]:[range_adj]])</f>
        <v>0.9927805195860212</v>
      </c>
      <c r="BZ442" s="7">
        <f>(Wapato_Inventory[[#This Row],[sum_land]]-IF(Wapato_Inventory[[#This Row],[no_utilities]]=1,12000,0))/IF(Wapato_Inventory[[#This Row],[unbuildable]]=1,2,1)</f>
        <v>53300</v>
      </c>
      <c r="CA442" s="7">
        <f>Wapato_Inventory[[#This Row],[pre_res]]*Wapato_Inventory[[#This Row],[overall_adj]]</f>
        <v>207721.36480924528</v>
      </c>
      <c r="CB442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442" s="3">
        <f>IF(ROUND(Wapato_Inventory[[#This Row],[adj_res]]*Lookups!$H$48,-2)&lt;Wapato_Inventory[[#This Row],[min_res]],Wapato_Inventory[[#This Row],[min_res]],ROUND(Wapato_Inventory[[#This Row],[adj_res]]*Lookups!$H$48,-2))</f>
        <v>197300</v>
      </c>
      <c r="CD442" s="3">
        <f>ROUND(Wapato_Inventory[[#This Row],[det_value]]*Lookups!$H$48,-2)</f>
        <v>0</v>
      </c>
      <c r="CE442" s="3">
        <f>Wapato_Inventory[[#This Row],[final_res]]+Wapato_Inventory[[#This Row],[final_det]]</f>
        <v>197300</v>
      </c>
      <c r="CF442" s="3">
        <f>Wapato_Inventory[[#This Row],[crop_value]]+Wapato_Inventory[[#This Row],[final_land]]+Wapato_Inventory[[#This Row],[final_imp]]</f>
        <v>247900</v>
      </c>
      <c r="CH442" t="str">
        <f t="shared" si="6"/>
        <v>update valuation set market_land =50600, market_bldg=197300, market_total =247900, market_mdno =405, market_date ='9/10/2023' where link_id = (select link_id from parcel where parcel_year = '2024' and parcel_id = '19111133556');</v>
      </c>
    </row>
    <row r="443" spans="1:86" x14ac:dyDescent="0.25">
      <c r="A443">
        <v>19111133557</v>
      </c>
      <c r="B443">
        <v>0.16</v>
      </c>
      <c r="C443">
        <v>6997</v>
      </c>
      <c r="D443" t="s">
        <v>144</v>
      </c>
      <c r="E443" t="s">
        <v>54</v>
      </c>
      <c r="F443" t="s">
        <v>54</v>
      </c>
      <c r="G443">
        <v>3</v>
      </c>
      <c r="H443" t="s">
        <v>55</v>
      </c>
      <c r="I443">
        <v>288100</v>
      </c>
      <c r="J443">
        <v>32800</v>
      </c>
      <c r="K443">
        <v>0.16</v>
      </c>
      <c r="L443">
        <f>IF(Wapato_Inventory[[#This Row],[parcel_acres]]-Wapato_Inventory[[#This Row],[non_valued_acres]] =0,0,LN(Wapato_Inventory[[#This Row],[parcel_acres]]-Wapato_Inventory[[#This Row],[non_valued_acres]]))</f>
        <v>-1.8325814637483102</v>
      </c>
      <c r="M443">
        <v>0</v>
      </c>
      <c r="N443">
        <v>0</v>
      </c>
      <c r="O443">
        <v>0</v>
      </c>
      <c r="P443">
        <v>27904.037</v>
      </c>
      <c r="Q443">
        <v>74398</v>
      </c>
      <c r="R443" s="3">
        <f>(Wapato_Inventory[[#This Row],[ln_acres]]*Wapato_Inventory[[#This Row],[coeff]])+Wapato_Inventory[[#This Row],[const]]</f>
        <v>23261.579030052992</v>
      </c>
      <c r="S443" t="s">
        <v>56</v>
      </c>
      <c r="T443">
        <v>1</v>
      </c>
      <c r="U443" t="s">
        <v>63</v>
      </c>
      <c r="V443" t="s">
        <v>58</v>
      </c>
      <c r="W443">
        <v>0</v>
      </c>
      <c r="X443">
        <v>0</v>
      </c>
      <c r="Y443">
        <v>7</v>
      </c>
      <c r="Z443">
        <v>7</v>
      </c>
      <c r="AA443">
        <v>10</v>
      </c>
      <c r="AB443">
        <v>2000</v>
      </c>
      <c r="AC443">
        <v>1552</v>
      </c>
      <c r="AD443">
        <v>1552</v>
      </c>
      <c r="AE443">
        <v>0</v>
      </c>
      <c r="AF443">
        <v>0</v>
      </c>
      <c r="AG443">
        <v>0</v>
      </c>
      <c r="AH443">
        <v>0</v>
      </c>
      <c r="AI443">
        <v>484</v>
      </c>
      <c r="AJ443">
        <v>0</v>
      </c>
      <c r="AK443">
        <v>0</v>
      </c>
      <c r="AL443">
        <v>144</v>
      </c>
      <c r="AM443">
        <v>0</v>
      </c>
      <c r="AN443">
        <v>112</v>
      </c>
      <c r="AO443">
        <v>0</v>
      </c>
      <c r="AP443">
        <v>8</v>
      </c>
      <c r="AQ443">
        <v>0</v>
      </c>
      <c r="AR443">
        <v>0</v>
      </c>
      <c r="AS443" t="s">
        <v>59</v>
      </c>
      <c r="AT443">
        <v>1</v>
      </c>
      <c r="AU443" t="s">
        <v>64</v>
      </c>
      <c r="AV443" t="s">
        <v>61</v>
      </c>
      <c r="AW443">
        <v>1</v>
      </c>
      <c r="AX443">
        <v>3</v>
      </c>
      <c r="AY443">
        <v>0</v>
      </c>
      <c r="AZ443">
        <v>0</v>
      </c>
      <c r="BA443">
        <v>100</v>
      </c>
      <c r="BB443">
        <v>100</v>
      </c>
      <c r="BC443">
        <v>100</v>
      </c>
      <c r="BD443">
        <v>100</v>
      </c>
      <c r="BE443">
        <v>1</v>
      </c>
      <c r="BF443">
        <v>15000</v>
      </c>
      <c r="BG443">
        <v>1000</v>
      </c>
      <c r="BH443" s="7">
        <f>ROUND(Wapato_Inventory[[#This Row],[detatched_value]]*Lookups!$B$22*Lookups!$H$48,-2)</f>
        <v>0</v>
      </c>
      <c r="BI443" s="7">
        <f>ROUND(((Wapato_Inventory[[#This Row],[land_extract]]*Lookups!$B$3) +(Lookups!$B$2*0.5))*Lookups!$H$48,-2)</f>
        <v>53300</v>
      </c>
      <c r="BJ443" s="7">
        <f>IF(Wapato_Inventory[[#This Row],[bldg_style]]="",0,Lookups!$B$2*0.5)</f>
        <v>53765.27</v>
      </c>
      <c r="BK443" s="7">
        <f>_xlfn.IFNA(VLOOKUP(Wapato_Inventory[[#This Row],[quality]],Lookups!$H$2:$J$14,3,FALSE),0)</f>
        <v>50594</v>
      </c>
      <c r="BL443" s="7">
        <f>_xlfn.IFNA(VLOOKUP(Wapato_Inventory[[#This Row],[condition]],Lookups!$H$17:$J$24,3,FALSE),0)</f>
        <v>122095</v>
      </c>
      <c r="BM443" s="7">
        <f>Wapato_Inventory[[#This Row],[Age]]*Lookups!$B$16</f>
        <v>-2594.7299000000003</v>
      </c>
      <c r="BN443" s="7">
        <f>Wapato_Inventory[[#This Row],[Main Floor]]*Lookups!$B$17</f>
        <v>64874.746928</v>
      </c>
      <c r="BO443" s="7">
        <f>Wapato_Inventory[[#This Row],[Upper Floor]]*Lookups!$B$18</f>
        <v>0</v>
      </c>
      <c r="BP443" s="7">
        <f>Wapato_Inventory[[#This Row],[Fin BSMT]]*Lookups!$B$19</f>
        <v>0</v>
      </c>
      <c r="BQ443" s="7">
        <f>(Wapato_Inventory[[#This Row],[att_gar]]+Wapato_Inventory[[#This Row],[blt_gar]])*Lookups!$B$20</f>
        <v>17912.235968000001</v>
      </c>
      <c r="BR443" s="7">
        <f>Wapato_Inventory[[#This Row],[Patio]]*Lookups!$B$21</f>
        <v>0</v>
      </c>
      <c r="BS443" s="7">
        <f>SUM(Wapato_Inventory[[#This Row],[intercept]:[patio_value]])*Wapato_Inventory[[#This Row],[res_pct]]</f>
        <v>306646.52299600001</v>
      </c>
      <c r="BT443" s="7">
        <f>Wapato_Inventory[[#This Row],[land_value]]</f>
        <v>53300</v>
      </c>
      <c r="BU443" s="2">
        <f>_xlfn.IFNA(VLOOKUP(Wapato_Inventory[[#This Row],[quality]],Lookups!$A$28:$C$37,3,FALSE),1)</f>
        <v>0.99197423394367223</v>
      </c>
      <c r="BV443" s="2">
        <f>_xlfn.IFNA(VLOOKUP(Wapato_Inventory[[#This Row],[condition]],Lookups!$A$41:$C$48,3,FALSE),1)</f>
        <v>1.00041560026225</v>
      </c>
      <c r="BW443" s="2">
        <f>IF(Wapato_Inventory[[#This Row],[decade]]="",1,_xlfn.IFNA(VLOOKUP(Wapato_Inventory[[#This Row],[decade]],Lookups!$F$28:$H$45,3,FALSE),1))</f>
        <v>1.0321018519633791</v>
      </c>
      <c r="BX443" s="2">
        <f>_xlfn.IFNA(VLOOKUP(Wapato_Inventory[[#This Row],[living_area_range]],Lookups!$K$28:$M$37,3,FALSE),1)</f>
        <v>0.99330894324714125</v>
      </c>
      <c r="BY443" s="2">
        <f>AVERAGE(Wapato_Inventory[[#This Row],[qual_adj]:[range_adj]])</f>
        <v>1.0044501573541107</v>
      </c>
      <c r="BZ443" s="7">
        <f>(Wapato_Inventory[[#This Row],[sum_land]]-IF(Wapato_Inventory[[#This Row],[no_utilities]]=1,12000,0))/IF(Wapato_Inventory[[#This Row],[unbuildable]]=1,2,1)</f>
        <v>53300</v>
      </c>
      <c r="CA443" s="7">
        <f>Wapato_Inventory[[#This Row],[pre_res]]*Wapato_Inventory[[#This Row],[overall_adj]]</f>
        <v>308011.14827542315</v>
      </c>
      <c r="CB443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443" s="3">
        <f>IF(ROUND(Wapato_Inventory[[#This Row],[adj_res]]*Lookups!$H$48,-2)&lt;Wapato_Inventory[[#This Row],[min_res]],Wapato_Inventory[[#This Row],[min_res]],ROUND(Wapato_Inventory[[#This Row],[adj_res]]*Lookups!$H$48,-2))</f>
        <v>292600</v>
      </c>
      <c r="CD443" s="3">
        <f>ROUND(Wapato_Inventory[[#This Row],[det_value]]*Lookups!$H$48,-2)</f>
        <v>0</v>
      </c>
      <c r="CE443" s="3">
        <f>Wapato_Inventory[[#This Row],[final_res]]+Wapato_Inventory[[#This Row],[final_det]]</f>
        <v>292600</v>
      </c>
      <c r="CF443" s="3">
        <f>Wapato_Inventory[[#This Row],[crop_value]]+Wapato_Inventory[[#This Row],[final_land]]+Wapato_Inventory[[#This Row],[final_imp]]</f>
        <v>343200</v>
      </c>
      <c r="CH443" t="str">
        <f t="shared" si="6"/>
        <v>update valuation set market_land =50600, market_bldg=292600, market_total =343200, market_mdno =405, market_date ='9/10/2023' where link_id = (select link_id from parcel where parcel_year = '2024' and parcel_id = '19111133557');</v>
      </c>
    </row>
    <row r="444" spans="1:86" x14ac:dyDescent="0.25">
      <c r="A444">
        <v>19111133558</v>
      </c>
      <c r="B444">
        <v>0.19</v>
      </c>
      <c r="C444" t="s">
        <v>144</v>
      </c>
      <c r="D444" t="s">
        <v>144</v>
      </c>
      <c r="E444" t="s">
        <v>54</v>
      </c>
      <c r="F444" t="s">
        <v>54</v>
      </c>
      <c r="G444">
        <v>3</v>
      </c>
      <c r="H444" t="s">
        <v>55</v>
      </c>
      <c r="I444">
        <v>266600</v>
      </c>
      <c r="J444">
        <v>34100</v>
      </c>
      <c r="K444">
        <v>0.19</v>
      </c>
      <c r="L444">
        <f>IF(Wapato_Inventory[[#This Row],[parcel_acres]]-Wapato_Inventory[[#This Row],[non_valued_acres]] =0,0,LN(Wapato_Inventory[[#This Row],[parcel_acres]]-Wapato_Inventory[[#This Row],[non_valued_acres]]))</f>
        <v>-1.6607312068216509</v>
      </c>
      <c r="M444">
        <v>0</v>
      </c>
      <c r="N444">
        <v>0</v>
      </c>
      <c r="O444">
        <v>0</v>
      </c>
      <c r="P444">
        <v>27904.037</v>
      </c>
      <c r="Q444">
        <v>74398</v>
      </c>
      <c r="R444" s="3">
        <f>(Wapato_Inventory[[#This Row],[ln_acres]]*Wapato_Inventory[[#This Row],[coeff]])+Wapato_Inventory[[#This Row],[const]]</f>
        <v>28056.894957794</v>
      </c>
      <c r="S444" t="s">
        <v>62</v>
      </c>
      <c r="T444">
        <v>1</v>
      </c>
      <c r="U444" t="s">
        <v>63</v>
      </c>
      <c r="V444" t="s">
        <v>58</v>
      </c>
      <c r="W444">
        <v>0</v>
      </c>
      <c r="X444">
        <v>0</v>
      </c>
      <c r="Y444">
        <v>2</v>
      </c>
      <c r="Z444">
        <v>2</v>
      </c>
      <c r="AA444">
        <v>10</v>
      </c>
      <c r="AB444">
        <v>1500</v>
      </c>
      <c r="AC444">
        <v>1248</v>
      </c>
      <c r="AD444">
        <v>1248</v>
      </c>
      <c r="AE444">
        <v>0</v>
      </c>
      <c r="AF444">
        <v>0</v>
      </c>
      <c r="AG444">
        <v>0</v>
      </c>
      <c r="AH444">
        <v>0</v>
      </c>
      <c r="AI444">
        <v>460</v>
      </c>
      <c r="AJ444">
        <v>0</v>
      </c>
      <c r="AK444">
        <v>0</v>
      </c>
      <c r="AL444">
        <v>0</v>
      </c>
      <c r="AM444">
        <v>0</v>
      </c>
      <c r="AN444">
        <v>228</v>
      </c>
      <c r="AO444">
        <v>0</v>
      </c>
      <c r="AP444">
        <v>8</v>
      </c>
      <c r="AQ444">
        <v>0</v>
      </c>
      <c r="AR444">
        <v>0</v>
      </c>
      <c r="AS444" t="s">
        <v>59</v>
      </c>
      <c r="AT444">
        <v>1</v>
      </c>
      <c r="AU444" t="s">
        <v>64</v>
      </c>
      <c r="AV444" t="s">
        <v>61</v>
      </c>
      <c r="AW444">
        <v>1</v>
      </c>
      <c r="AX444">
        <v>3</v>
      </c>
      <c r="AY444">
        <v>0</v>
      </c>
      <c r="AZ444">
        <v>0</v>
      </c>
      <c r="BA444">
        <v>100</v>
      </c>
      <c r="BB444">
        <v>100</v>
      </c>
      <c r="BC444">
        <v>100</v>
      </c>
      <c r="BD444">
        <v>100</v>
      </c>
      <c r="BE444">
        <v>1</v>
      </c>
      <c r="BF444">
        <v>15000</v>
      </c>
      <c r="BG444">
        <v>1000</v>
      </c>
      <c r="BH444" s="7">
        <f>ROUND(Wapato_Inventory[[#This Row],[detatched_value]]*Lookups!$B$22*Lookups!$H$48,-2)</f>
        <v>0</v>
      </c>
      <c r="BI444" s="7">
        <f>ROUND(((Wapato_Inventory[[#This Row],[land_extract]]*Lookups!$B$3) +(Lookups!$B$2*0.5))*Lookups!$H$48,-2)</f>
        <v>53800</v>
      </c>
      <c r="BJ444" s="7">
        <f>IF(Wapato_Inventory[[#This Row],[bldg_style]]="",0,Lookups!$B$2*0.5)</f>
        <v>53765.27</v>
      </c>
      <c r="BK444" s="7">
        <f>_xlfn.IFNA(VLOOKUP(Wapato_Inventory[[#This Row],[quality]],Lookups!$H$2:$J$14,3,FALSE),0)</f>
        <v>50594</v>
      </c>
      <c r="BL444" s="7">
        <f>_xlfn.IFNA(VLOOKUP(Wapato_Inventory[[#This Row],[condition]],Lookups!$H$17:$J$24,3,FALSE),0)</f>
        <v>122095</v>
      </c>
      <c r="BM444" s="7">
        <f>Wapato_Inventory[[#This Row],[Age]]*Lookups!$B$16</f>
        <v>-741.35140000000001</v>
      </c>
      <c r="BN444" s="7">
        <f>Wapato_Inventory[[#This Row],[Main Floor]]*Lookups!$B$17</f>
        <v>52167.322271999998</v>
      </c>
      <c r="BO444" s="7">
        <f>Wapato_Inventory[[#This Row],[Upper Floor]]*Lookups!$B$18</f>
        <v>0</v>
      </c>
      <c r="BP444" s="7">
        <f>Wapato_Inventory[[#This Row],[Fin BSMT]]*Lookups!$B$19</f>
        <v>0</v>
      </c>
      <c r="BQ444" s="7">
        <f>(Wapato_Inventory[[#This Row],[att_gar]]+Wapato_Inventory[[#This Row],[blt_gar]])*Lookups!$B$20</f>
        <v>17024.02592</v>
      </c>
      <c r="BR444" s="7">
        <f>Wapato_Inventory[[#This Row],[Patio]]*Lookups!$B$21</f>
        <v>0</v>
      </c>
      <c r="BS444" s="7">
        <f>SUM(Wapato_Inventory[[#This Row],[intercept]:[patio_value]])*Wapato_Inventory[[#This Row],[res_pct]]</f>
        <v>294904.26679199998</v>
      </c>
      <c r="BT444" s="7">
        <f>Wapato_Inventory[[#This Row],[land_value]]</f>
        <v>53800</v>
      </c>
      <c r="BU444" s="2">
        <f>_xlfn.IFNA(VLOOKUP(Wapato_Inventory[[#This Row],[quality]],Lookups!$A$28:$C$37,3,FALSE),1)</f>
        <v>0.99197423394367223</v>
      </c>
      <c r="BV444" s="2">
        <f>_xlfn.IFNA(VLOOKUP(Wapato_Inventory[[#This Row],[condition]],Lookups!$A$41:$C$48,3,FALSE),1)</f>
        <v>1.00041560026225</v>
      </c>
      <c r="BW444" s="2">
        <f>IF(Wapato_Inventory[[#This Row],[decade]]="",1,_xlfn.IFNA(VLOOKUP(Wapato_Inventory[[#This Row],[decade]],Lookups!$F$28:$H$45,3,FALSE),1))</f>
        <v>1.0321018519633791</v>
      </c>
      <c r="BX444" s="2">
        <f>_xlfn.IFNA(VLOOKUP(Wapato_Inventory[[#This Row],[living_area_range]],Lookups!$K$28:$M$37,3,FALSE),1)</f>
        <v>1.0061411172456287</v>
      </c>
      <c r="BY444" s="2">
        <f>AVERAGE(Wapato_Inventory[[#This Row],[qual_adj]:[range_adj]])</f>
        <v>1.0076582008537325</v>
      </c>
      <c r="BZ444" s="7">
        <f>(Wapato_Inventory[[#This Row],[sum_land]]-IF(Wapato_Inventory[[#This Row],[no_utilities]]=1,12000,0))/IF(Wapato_Inventory[[#This Row],[unbuildable]]=1,2,1)</f>
        <v>53800</v>
      </c>
      <c r="CA444" s="7">
        <f>Wapato_Inventory[[#This Row],[pre_res]]*Wapato_Inventory[[#This Row],[overall_adj]]</f>
        <v>297162.7028997158</v>
      </c>
      <c r="CB444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444" s="3">
        <f>IF(ROUND(Wapato_Inventory[[#This Row],[adj_res]]*Lookups!$H$48,-2)&lt;Wapato_Inventory[[#This Row],[min_res]],Wapato_Inventory[[#This Row],[min_res]],ROUND(Wapato_Inventory[[#This Row],[adj_res]]*Lookups!$H$48,-2))</f>
        <v>282300</v>
      </c>
      <c r="CD444" s="3">
        <f>ROUND(Wapato_Inventory[[#This Row],[det_value]]*Lookups!$H$48,-2)</f>
        <v>0</v>
      </c>
      <c r="CE444" s="3">
        <f>Wapato_Inventory[[#This Row],[final_res]]+Wapato_Inventory[[#This Row],[final_det]]</f>
        <v>282300</v>
      </c>
      <c r="CF444" s="3">
        <f>Wapato_Inventory[[#This Row],[crop_value]]+Wapato_Inventory[[#This Row],[final_land]]+Wapato_Inventory[[#This Row],[final_imp]]</f>
        <v>333400</v>
      </c>
      <c r="CH444" t="str">
        <f t="shared" si="6"/>
        <v>update valuation set market_land =51100, market_bldg=282300, market_total =333400, market_mdno =405, market_date ='9/10/2023' where link_id = (select link_id from parcel where parcel_year = '2024' and parcel_id = '19111133558');</v>
      </c>
    </row>
    <row r="445" spans="1:86" x14ac:dyDescent="0.25">
      <c r="A445">
        <v>19111133559</v>
      </c>
      <c r="B445">
        <v>0.19</v>
      </c>
      <c r="C445" t="s">
        <v>144</v>
      </c>
      <c r="D445" t="s">
        <v>144</v>
      </c>
      <c r="E445" t="s">
        <v>54</v>
      </c>
      <c r="F445" t="s">
        <v>54</v>
      </c>
      <c r="G445">
        <v>3</v>
      </c>
      <c r="H445" t="s">
        <v>55</v>
      </c>
      <c r="I445">
        <v>266600</v>
      </c>
      <c r="J445">
        <v>34100</v>
      </c>
      <c r="K445">
        <v>0.19</v>
      </c>
      <c r="L445">
        <f>IF(Wapato_Inventory[[#This Row],[parcel_acres]]-Wapato_Inventory[[#This Row],[non_valued_acres]] =0,0,LN(Wapato_Inventory[[#This Row],[parcel_acres]]-Wapato_Inventory[[#This Row],[non_valued_acres]]))</f>
        <v>-1.6607312068216509</v>
      </c>
      <c r="M445">
        <v>0</v>
      </c>
      <c r="N445">
        <v>0</v>
      </c>
      <c r="O445">
        <v>0</v>
      </c>
      <c r="P445">
        <v>27904.037</v>
      </c>
      <c r="Q445">
        <v>74398</v>
      </c>
      <c r="R445" s="3">
        <f>(Wapato_Inventory[[#This Row],[ln_acres]]*Wapato_Inventory[[#This Row],[coeff]])+Wapato_Inventory[[#This Row],[const]]</f>
        <v>28056.894957794</v>
      </c>
      <c r="S445" t="s">
        <v>62</v>
      </c>
      <c r="T445">
        <v>1</v>
      </c>
      <c r="U445" t="s">
        <v>63</v>
      </c>
      <c r="V445" t="s">
        <v>58</v>
      </c>
      <c r="W445">
        <v>0</v>
      </c>
      <c r="X445">
        <v>0</v>
      </c>
      <c r="Y445">
        <v>2</v>
      </c>
      <c r="Z445">
        <v>2</v>
      </c>
      <c r="AA445">
        <v>10</v>
      </c>
      <c r="AB445">
        <v>1500</v>
      </c>
      <c r="AC445">
        <v>1248</v>
      </c>
      <c r="AD445">
        <v>1248</v>
      </c>
      <c r="AE445">
        <v>0</v>
      </c>
      <c r="AF445">
        <v>0</v>
      </c>
      <c r="AG445">
        <v>0</v>
      </c>
      <c r="AH445">
        <v>0</v>
      </c>
      <c r="AI445">
        <v>460</v>
      </c>
      <c r="AJ445">
        <v>0</v>
      </c>
      <c r="AK445">
        <v>0</v>
      </c>
      <c r="AL445">
        <v>0</v>
      </c>
      <c r="AM445">
        <v>0</v>
      </c>
      <c r="AN445">
        <v>228</v>
      </c>
      <c r="AO445">
        <v>0</v>
      </c>
      <c r="AP445">
        <v>8</v>
      </c>
      <c r="AQ445">
        <v>0</v>
      </c>
      <c r="AR445">
        <v>0</v>
      </c>
      <c r="AS445" t="s">
        <v>59</v>
      </c>
      <c r="AT445">
        <v>1</v>
      </c>
      <c r="AU445" t="s">
        <v>64</v>
      </c>
      <c r="AV445" t="s">
        <v>61</v>
      </c>
      <c r="AW445">
        <v>1</v>
      </c>
      <c r="AX445">
        <v>3</v>
      </c>
      <c r="AY445">
        <v>0</v>
      </c>
      <c r="AZ445">
        <v>0</v>
      </c>
      <c r="BA445">
        <v>100</v>
      </c>
      <c r="BB445">
        <v>100</v>
      </c>
      <c r="BC445">
        <v>100</v>
      </c>
      <c r="BD445">
        <v>100</v>
      </c>
      <c r="BE445">
        <v>1</v>
      </c>
      <c r="BF445">
        <v>15000</v>
      </c>
      <c r="BG445">
        <v>1000</v>
      </c>
      <c r="BH445" s="7">
        <f>ROUND(Wapato_Inventory[[#This Row],[detatched_value]]*Lookups!$B$22*Lookups!$H$48,-2)</f>
        <v>0</v>
      </c>
      <c r="BI445" s="7">
        <f>ROUND(((Wapato_Inventory[[#This Row],[land_extract]]*Lookups!$B$3) +(Lookups!$B$2*0.5))*Lookups!$H$48,-2)</f>
        <v>53800</v>
      </c>
      <c r="BJ445" s="7">
        <f>IF(Wapato_Inventory[[#This Row],[bldg_style]]="",0,Lookups!$B$2*0.5)</f>
        <v>53765.27</v>
      </c>
      <c r="BK445" s="7">
        <f>_xlfn.IFNA(VLOOKUP(Wapato_Inventory[[#This Row],[quality]],Lookups!$H$2:$J$14,3,FALSE),0)</f>
        <v>50594</v>
      </c>
      <c r="BL445" s="7">
        <f>_xlfn.IFNA(VLOOKUP(Wapato_Inventory[[#This Row],[condition]],Lookups!$H$17:$J$24,3,FALSE),0)</f>
        <v>122095</v>
      </c>
      <c r="BM445" s="7">
        <f>Wapato_Inventory[[#This Row],[Age]]*Lookups!$B$16</f>
        <v>-741.35140000000001</v>
      </c>
      <c r="BN445" s="7">
        <f>Wapato_Inventory[[#This Row],[Main Floor]]*Lookups!$B$17</f>
        <v>52167.322271999998</v>
      </c>
      <c r="BO445" s="7">
        <f>Wapato_Inventory[[#This Row],[Upper Floor]]*Lookups!$B$18</f>
        <v>0</v>
      </c>
      <c r="BP445" s="7">
        <f>Wapato_Inventory[[#This Row],[Fin BSMT]]*Lookups!$B$19</f>
        <v>0</v>
      </c>
      <c r="BQ445" s="7">
        <f>(Wapato_Inventory[[#This Row],[att_gar]]+Wapato_Inventory[[#This Row],[blt_gar]])*Lookups!$B$20</f>
        <v>17024.02592</v>
      </c>
      <c r="BR445" s="7">
        <f>Wapato_Inventory[[#This Row],[Patio]]*Lookups!$B$21</f>
        <v>0</v>
      </c>
      <c r="BS445" s="7">
        <f>SUM(Wapato_Inventory[[#This Row],[intercept]:[patio_value]])*Wapato_Inventory[[#This Row],[res_pct]]</f>
        <v>294904.26679199998</v>
      </c>
      <c r="BT445" s="7">
        <f>Wapato_Inventory[[#This Row],[land_value]]</f>
        <v>53800</v>
      </c>
      <c r="BU445" s="2">
        <f>_xlfn.IFNA(VLOOKUP(Wapato_Inventory[[#This Row],[quality]],Lookups!$A$28:$C$37,3,FALSE),1)</f>
        <v>0.99197423394367223</v>
      </c>
      <c r="BV445" s="2">
        <f>_xlfn.IFNA(VLOOKUP(Wapato_Inventory[[#This Row],[condition]],Lookups!$A$41:$C$48,3,FALSE),1)</f>
        <v>1.00041560026225</v>
      </c>
      <c r="BW445" s="2">
        <f>IF(Wapato_Inventory[[#This Row],[decade]]="",1,_xlfn.IFNA(VLOOKUP(Wapato_Inventory[[#This Row],[decade]],Lookups!$F$28:$H$45,3,FALSE),1))</f>
        <v>1.0321018519633791</v>
      </c>
      <c r="BX445" s="2">
        <f>_xlfn.IFNA(VLOOKUP(Wapato_Inventory[[#This Row],[living_area_range]],Lookups!$K$28:$M$37,3,FALSE),1)</f>
        <v>1.0061411172456287</v>
      </c>
      <c r="BY445" s="2">
        <f>AVERAGE(Wapato_Inventory[[#This Row],[qual_adj]:[range_adj]])</f>
        <v>1.0076582008537325</v>
      </c>
      <c r="BZ445" s="7">
        <f>(Wapato_Inventory[[#This Row],[sum_land]]-IF(Wapato_Inventory[[#This Row],[no_utilities]]=1,12000,0))/IF(Wapato_Inventory[[#This Row],[unbuildable]]=1,2,1)</f>
        <v>53800</v>
      </c>
      <c r="CA445" s="7">
        <f>Wapato_Inventory[[#This Row],[pre_res]]*Wapato_Inventory[[#This Row],[overall_adj]]</f>
        <v>297162.7028997158</v>
      </c>
      <c r="CB445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445" s="3">
        <f>IF(ROUND(Wapato_Inventory[[#This Row],[adj_res]]*Lookups!$H$48,-2)&lt;Wapato_Inventory[[#This Row],[min_res]],Wapato_Inventory[[#This Row],[min_res]],ROUND(Wapato_Inventory[[#This Row],[adj_res]]*Lookups!$H$48,-2))</f>
        <v>282300</v>
      </c>
      <c r="CD445" s="3">
        <f>ROUND(Wapato_Inventory[[#This Row],[det_value]]*Lookups!$H$48,-2)</f>
        <v>0</v>
      </c>
      <c r="CE445" s="3">
        <f>Wapato_Inventory[[#This Row],[final_res]]+Wapato_Inventory[[#This Row],[final_det]]</f>
        <v>282300</v>
      </c>
      <c r="CF445" s="3">
        <f>Wapato_Inventory[[#This Row],[crop_value]]+Wapato_Inventory[[#This Row],[final_land]]+Wapato_Inventory[[#This Row],[final_imp]]</f>
        <v>333400</v>
      </c>
      <c r="CH445" t="str">
        <f t="shared" si="6"/>
        <v>update valuation set market_land =51100, market_bldg=282300, market_total =333400, market_mdno =405, market_date ='9/10/2023' where link_id = (select link_id from parcel where parcel_year = '2024' and parcel_id = '19111133559');</v>
      </c>
    </row>
    <row r="446" spans="1:86" x14ac:dyDescent="0.25">
      <c r="A446">
        <v>19111133560</v>
      </c>
      <c r="B446">
        <v>0.19</v>
      </c>
      <c r="C446">
        <v>8276</v>
      </c>
      <c r="D446">
        <v>0.19</v>
      </c>
      <c r="E446" t="s">
        <v>54</v>
      </c>
      <c r="F446" t="s">
        <v>54</v>
      </c>
      <c r="G446">
        <v>3</v>
      </c>
      <c r="H446" t="s">
        <v>55</v>
      </c>
      <c r="I446">
        <v>0</v>
      </c>
      <c r="J446">
        <v>23900</v>
      </c>
      <c r="K446">
        <v>0.19</v>
      </c>
      <c r="L446">
        <f>IF(Wapato_Inventory[[#This Row],[parcel_acres]]-Wapato_Inventory[[#This Row],[non_valued_acres]] =0,0,LN(Wapato_Inventory[[#This Row],[parcel_acres]]-Wapato_Inventory[[#This Row],[non_valued_acres]]))</f>
        <v>-1.6607312068216509</v>
      </c>
      <c r="M446">
        <v>0</v>
      </c>
      <c r="N446">
        <v>0</v>
      </c>
      <c r="O446">
        <v>0</v>
      </c>
      <c r="P446">
        <v>27904.037</v>
      </c>
      <c r="Q446">
        <v>74398</v>
      </c>
      <c r="R446" s="3">
        <f>(Wapato_Inventory[[#This Row],[ln_acres]]*Wapato_Inventory[[#This Row],[coeff]])+Wapato_Inventory[[#This Row],[const]]</f>
        <v>28056.894957794</v>
      </c>
      <c r="S446" t="s">
        <v>62</v>
      </c>
      <c r="T446">
        <v>1</v>
      </c>
      <c r="U446" t="s">
        <v>63</v>
      </c>
      <c r="V446" t="s">
        <v>58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1500</v>
      </c>
      <c r="AC446">
        <v>1248</v>
      </c>
      <c r="AD446">
        <v>1248</v>
      </c>
      <c r="AE446">
        <v>0</v>
      </c>
      <c r="AF446">
        <v>0</v>
      </c>
      <c r="AG446">
        <v>0</v>
      </c>
      <c r="AH446">
        <v>0</v>
      </c>
      <c r="AI446">
        <v>460</v>
      </c>
      <c r="AJ446">
        <v>0</v>
      </c>
      <c r="AK446">
        <v>0</v>
      </c>
      <c r="AL446">
        <v>0</v>
      </c>
      <c r="AM446">
        <v>0</v>
      </c>
      <c r="AN446">
        <v>228</v>
      </c>
      <c r="AO446">
        <v>0</v>
      </c>
      <c r="AP446">
        <v>8</v>
      </c>
      <c r="AQ446">
        <v>0</v>
      </c>
      <c r="AR446">
        <v>0</v>
      </c>
      <c r="AS446" t="s">
        <v>59</v>
      </c>
      <c r="AT446">
        <v>1</v>
      </c>
      <c r="AU446" t="s">
        <v>64</v>
      </c>
      <c r="AV446" t="s">
        <v>61</v>
      </c>
      <c r="AW446">
        <v>1</v>
      </c>
      <c r="AX446">
        <v>3</v>
      </c>
      <c r="AY446">
        <v>0</v>
      </c>
      <c r="AZ446">
        <v>0</v>
      </c>
      <c r="BA446">
        <v>100</v>
      </c>
      <c r="BB446">
        <v>100</v>
      </c>
      <c r="BC446">
        <v>100</v>
      </c>
      <c r="BD446">
        <v>85</v>
      </c>
      <c r="BE446">
        <v>0.85</v>
      </c>
      <c r="BF446">
        <v>15000</v>
      </c>
      <c r="BG446">
        <v>1000</v>
      </c>
      <c r="BH446" s="7">
        <f>ROUND(Wapato_Inventory[[#This Row],[detatched_value]]*Lookups!$B$22*Lookups!$H$48,-2)</f>
        <v>0</v>
      </c>
      <c r="BI446" s="7">
        <f>ROUND(((Wapato_Inventory[[#This Row],[land_extract]]*Lookups!$B$3) +(Lookups!$B$2*0.5))*Lookups!$H$48,-2)</f>
        <v>53800</v>
      </c>
      <c r="BJ446" s="7">
        <f>IF(Wapato_Inventory[[#This Row],[bldg_style]]="",0,Lookups!$B$2*0.5)</f>
        <v>53765.27</v>
      </c>
      <c r="BK446" s="7">
        <f>_xlfn.IFNA(VLOOKUP(Wapato_Inventory[[#This Row],[quality]],Lookups!$H$2:$J$14,3,FALSE),0)</f>
        <v>50594</v>
      </c>
      <c r="BL446" s="7">
        <f>_xlfn.IFNA(VLOOKUP(Wapato_Inventory[[#This Row],[condition]],Lookups!$H$17:$J$24,3,FALSE),0)</f>
        <v>122095</v>
      </c>
      <c r="BM446" s="7">
        <f>Wapato_Inventory[[#This Row],[Age]]*Lookups!$B$16</f>
        <v>0</v>
      </c>
      <c r="BN446" s="7">
        <f>Wapato_Inventory[[#This Row],[Main Floor]]*Lookups!$B$17</f>
        <v>52167.322271999998</v>
      </c>
      <c r="BO446" s="7">
        <f>Wapato_Inventory[[#This Row],[Upper Floor]]*Lookups!$B$18</f>
        <v>0</v>
      </c>
      <c r="BP446" s="7">
        <f>Wapato_Inventory[[#This Row],[Fin BSMT]]*Lookups!$B$19</f>
        <v>0</v>
      </c>
      <c r="BQ446" s="7">
        <f>(Wapato_Inventory[[#This Row],[att_gar]]+Wapato_Inventory[[#This Row],[blt_gar]])*Lookups!$B$20</f>
        <v>17024.02592</v>
      </c>
      <c r="BR446" s="7">
        <f>Wapato_Inventory[[#This Row],[Patio]]*Lookups!$B$21</f>
        <v>0</v>
      </c>
      <c r="BS446" s="7">
        <f>SUM(Wapato_Inventory[[#This Row],[intercept]:[patio_value]])*Wapato_Inventory[[#This Row],[res_pct]]</f>
        <v>251298.77546319997</v>
      </c>
      <c r="BT446" s="7">
        <f>Wapato_Inventory[[#This Row],[land_value]]</f>
        <v>53800</v>
      </c>
      <c r="BU446" s="2">
        <f>_xlfn.IFNA(VLOOKUP(Wapato_Inventory[[#This Row],[quality]],Lookups!$A$28:$C$37,3,FALSE),1)</f>
        <v>0.99197423394367223</v>
      </c>
      <c r="BV446" s="2">
        <f>_xlfn.IFNA(VLOOKUP(Wapato_Inventory[[#This Row],[condition]],Lookups!$A$41:$C$48,3,FALSE),1)</f>
        <v>1.00041560026225</v>
      </c>
      <c r="BW446" s="2">
        <f>IF(Wapato_Inventory[[#This Row],[decade]]="",1,_xlfn.IFNA(VLOOKUP(Wapato_Inventory[[#This Row],[decade]],Lookups!$F$28:$H$45,3,FALSE),1))</f>
        <v>1.00041560026225</v>
      </c>
      <c r="BX446" s="2">
        <f>_xlfn.IFNA(VLOOKUP(Wapato_Inventory[[#This Row],[living_area_range]],Lookups!$K$28:$M$37,3,FALSE),1)</f>
        <v>1.0061411172456287</v>
      </c>
      <c r="BY446" s="2">
        <f>AVERAGE(Wapato_Inventory[[#This Row],[qual_adj]:[range_adj]])</f>
        <v>0.99973663792845024</v>
      </c>
      <c r="BZ446" s="7">
        <f>(Wapato_Inventory[[#This Row],[sum_land]]-IF(Wapato_Inventory[[#This Row],[no_utilities]]=1,12000,0))/IF(Wapato_Inventory[[#This Row],[unbuildable]]=1,2,1)</f>
        <v>53800</v>
      </c>
      <c r="CA446" s="7">
        <f>Wapato_Inventory[[#This Row],[pre_res]]*Wapato_Inventory[[#This Row],[overall_adj]]</f>
        <v>251232.59289711606</v>
      </c>
      <c r="CB446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446" s="3">
        <f>IF(ROUND(Wapato_Inventory[[#This Row],[adj_res]]*Lookups!$H$48,-2)&lt;Wapato_Inventory[[#This Row],[min_res]],Wapato_Inventory[[#This Row],[min_res]],ROUND(Wapato_Inventory[[#This Row],[adj_res]]*Lookups!$H$48,-2))</f>
        <v>238700</v>
      </c>
      <c r="CD446" s="3">
        <f>ROUND(Wapato_Inventory[[#This Row],[det_value]]*Lookups!$H$48,-2)</f>
        <v>0</v>
      </c>
      <c r="CE446" s="3">
        <f>Wapato_Inventory[[#This Row],[final_res]]+Wapato_Inventory[[#This Row],[final_det]]</f>
        <v>238700</v>
      </c>
      <c r="CF446" s="3">
        <f>Wapato_Inventory[[#This Row],[crop_value]]+Wapato_Inventory[[#This Row],[final_land]]+Wapato_Inventory[[#This Row],[final_imp]]</f>
        <v>289800</v>
      </c>
      <c r="CH446" t="str">
        <f t="shared" si="6"/>
        <v>update valuation set market_land =51100, market_bldg=238700, market_total =289800, market_mdno =405, market_date ='9/10/2023' where link_id = (select link_id from parcel where parcel_year = '2024' and parcel_id = '19111133560');</v>
      </c>
    </row>
    <row r="447" spans="1:86" x14ac:dyDescent="0.25">
      <c r="A447">
        <v>19111422401</v>
      </c>
      <c r="B447">
        <v>0.17</v>
      </c>
      <c r="C447">
        <v>7500</v>
      </c>
      <c r="D447" t="s">
        <v>144</v>
      </c>
      <c r="E447" t="s">
        <v>54</v>
      </c>
      <c r="F447" t="s">
        <v>54</v>
      </c>
      <c r="G447">
        <v>3</v>
      </c>
      <c r="H447" t="s">
        <v>55</v>
      </c>
      <c r="I447">
        <v>108900</v>
      </c>
      <c r="J447">
        <v>33200</v>
      </c>
      <c r="K447">
        <v>0.17</v>
      </c>
      <c r="L447">
        <f>IF(Wapato_Inventory[[#This Row],[parcel_acres]]-Wapato_Inventory[[#This Row],[non_valued_acres]] =0,0,LN(Wapato_Inventory[[#This Row],[parcel_acres]]-Wapato_Inventory[[#This Row],[non_valued_acres]]))</f>
        <v>-1.7719568419318752</v>
      </c>
      <c r="M447">
        <v>0</v>
      </c>
      <c r="N447">
        <v>0</v>
      </c>
      <c r="O447">
        <v>0</v>
      </c>
      <c r="P447">
        <v>27904.037</v>
      </c>
      <c r="Q447">
        <v>74398</v>
      </c>
      <c r="R447" s="3">
        <f>(Wapato_Inventory[[#This Row],[ln_acres]]*Wapato_Inventory[[#This Row],[coeff]])+Wapato_Inventory[[#This Row],[const]]</f>
        <v>24953.250720329801</v>
      </c>
      <c r="S447" t="s">
        <v>66</v>
      </c>
      <c r="T447">
        <v>1</v>
      </c>
      <c r="U447" t="s">
        <v>71</v>
      </c>
      <c r="V447" t="s">
        <v>68</v>
      </c>
      <c r="W447">
        <v>0</v>
      </c>
      <c r="X447">
        <v>0</v>
      </c>
      <c r="Y447">
        <v>55</v>
      </c>
      <c r="Z447">
        <v>98</v>
      </c>
      <c r="AA447">
        <v>100</v>
      </c>
      <c r="AB447">
        <v>1500</v>
      </c>
      <c r="AC447">
        <v>1044</v>
      </c>
      <c r="AD447">
        <v>1044</v>
      </c>
      <c r="AE447">
        <v>0</v>
      </c>
      <c r="AF447">
        <v>0</v>
      </c>
      <c r="AG447">
        <v>0</v>
      </c>
      <c r="AH447">
        <v>144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5</v>
      </c>
      <c r="AQ447">
        <v>0</v>
      </c>
      <c r="AR447">
        <v>0</v>
      </c>
      <c r="AS447" t="s">
        <v>59</v>
      </c>
      <c r="AT447">
        <v>0</v>
      </c>
      <c r="AU447" t="s">
        <v>80</v>
      </c>
      <c r="AV447" t="s">
        <v>65</v>
      </c>
      <c r="AW447">
        <v>0</v>
      </c>
      <c r="AX447">
        <v>3</v>
      </c>
      <c r="AY447">
        <v>0</v>
      </c>
      <c r="AZ447">
        <v>0</v>
      </c>
      <c r="BA447">
        <v>100</v>
      </c>
      <c r="BB447">
        <v>100</v>
      </c>
      <c r="BC447">
        <v>100</v>
      </c>
      <c r="BD447">
        <v>100</v>
      </c>
      <c r="BE447">
        <v>1</v>
      </c>
      <c r="BF447">
        <v>15000</v>
      </c>
      <c r="BG447">
        <v>1000</v>
      </c>
      <c r="BH447" s="7">
        <f>ROUND(Wapato_Inventory[[#This Row],[detatched_value]]*Lookups!$B$22*Lookups!$H$48,-2)</f>
        <v>0</v>
      </c>
      <c r="BI447" s="7">
        <f>ROUND(((Wapato_Inventory[[#This Row],[land_extract]]*Lookups!$B$3) +(Lookups!$B$2*0.5))*Lookups!$H$48,-2)</f>
        <v>53500</v>
      </c>
      <c r="BJ447" s="7">
        <f>IF(Wapato_Inventory[[#This Row],[bldg_style]]="",0,Lookups!$B$2*0.5)</f>
        <v>53765.27</v>
      </c>
      <c r="BK447" s="7">
        <f>_xlfn.IFNA(VLOOKUP(Wapato_Inventory[[#This Row],[quality]],Lookups!$H$2:$J$14,3,FALSE),0)</f>
        <v>28034</v>
      </c>
      <c r="BL447" s="7">
        <f>_xlfn.IFNA(VLOOKUP(Wapato_Inventory[[#This Row],[condition]],Lookups!$H$17:$J$24,3,FALSE),0)</f>
        <v>52231</v>
      </c>
      <c r="BM447" s="7">
        <f>Wapato_Inventory[[#This Row],[Age]]*Lookups!$B$16</f>
        <v>-36326.2186</v>
      </c>
      <c r="BN447" s="7">
        <f>Wapato_Inventory[[#This Row],[Main Floor]]*Lookups!$B$17</f>
        <v>43639.971515999998</v>
      </c>
      <c r="BO447" s="7">
        <f>Wapato_Inventory[[#This Row],[Upper Floor]]*Lookups!$B$18</f>
        <v>0</v>
      </c>
      <c r="BP447" s="7">
        <f>Wapato_Inventory[[#This Row],[Fin BSMT]]*Lookups!$B$19</f>
        <v>0</v>
      </c>
      <c r="BQ447" s="7">
        <f>(Wapato_Inventory[[#This Row],[att_gar]]+Wapato_Inventory[[#This Row],[blt_gar]])*Lookups!$B$20</f>
        <v>0</v>
      </c>
      <c r="BR447" s="7">
        <f>Wapato_Inventory[[#This Row],[Patio]]*Lookups!$B$21</f>
        <v>0</v>
      </c>
      <c r="BS447" s="7">
        <f>SUM(Wapato_Inventory[[#This Row],[intercept]:[patio_value]])*Wapato_Inventory[[#This Row],[res_pct]]</f>
        <v>141344.02291599999</v>
      </c>
      <c r="BT447" s="7">
        <f>Wapato_Inventory[[#This Row],[land_value]]</f>
        <v>53500</v>
      </c>
      <c r="BU447" s="2">
        <f>_xlfn.IFNA(VLOOKUP(Wapato_Inventory[[#This Row],[quality]],Lookups!$A$28:$C$37,3,FALSE),1)</f>
        <v>0.96265813922927435</v>
      </c>
      <c r="BV447" s="2">
        <f>_xlfn.IFNA(VLOOKUP(Wapato_Inventory[[#This Row],[condition]],Lookups!$A$41:$C$48,3,FALSE),1)</f>
        <v>0.9832333997567807</v>
      </c>
      <c r="BW447" s="2">
        <f>IF(Wapato_Inventory[[#This Row],[decade]]="",1,_xlfn.IFNA(VLOOKUP(Wapato_Inventory[[#This Row],[decade]],Lookups!$F$28:$H$45,3,FALSE),1))</f>
        <v>1.0114203040664467</v>
      </c>
      <c r="BX447" s="2">
        <f>_xlfn.IFNA(VLOOKUP(Wapato_Inventory[[#This Row],[living_area_range]],Lookups!$K$28:$M$37,3,FALSE),1)</f>
        <v>1.0061411172456287</v>
      </c>
      <c r="BY447" s="2">
        <f>AVERAGE(Wapato_Inventory[[#This Row],[qual_adj]:[range_adj]])</f>
        <v>0.99086324007453253</v>
      </c>
      <c r="BZ447" s="7">
        <f>(Wapato_Inventory[[#This Row],[sum_land]]-IF(Wapato_Inventory[[#This Row],[no_utilities]]=1,12000,0))/IF(Wapato_Inventory[[#This Row],[unbuildable]]=1,2,1)</f>
        <v>53500</v>
      </c>
      <c r="CA447" s="7">
        <f>Wapato_Inventory[[#This Row],[pre_res]]*Wapato_Inventory[[#This Row],[overall_adj]]</f>
        <v>140052.59651171672</v>
      </c>
      <c r="CB447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447" s="3">
        <f>IF(ROUND(Wapato_Inventory[[#This Row],[adj_res]]*Lookups!$H$48,-2)&lt;Wapato_Inventory[[#This Row],[min_res]],Wapato_Inventory[[#This Row],[min_res]],ROUND(Wapato_Inventory[[#This Row],[adj_res]]*Lookups!$H$48,-2))</f>
        <v>133000</v>
      </c>
      <c r="CD447" s="3">
        <f>ROUND(Wapato_Inventory[[#This Row],[det_value]]*Lookups!$H$48,-2)</f>
        <v>0</v>
      </c>
      <c r="CE447" s="3">
        <f>Wapato_Inventory[[#This Row],[final_res]]+Wapato_Inventory[[#This Row],[final_det]]</f>
        <v>133000</v>
      </c>
      <c r="CF447" s="3">
        <f>Wapato_Inventory[[#This Row],[crop_value]]+Wapato_Inventory[[#This Row],[final_land]]+Wapato_Inventory[[#This Row],[final_imp]]</f>
        <v>183800</v>
      </c>
      <c r="CH447" t="str">
        <f t="shared" si="6"/>
        <v>update valuation set market_land =50800, market_bldg=133000, market_total =183800, market_mdno =405, market_date ='9/10/2023' where link_id = (select link_id from parcel where parcel_year = '2024' and parcel_id = '19111422401');</v>
      </c>
    </row>
    <row r="448" spans="1:86" x14ac:dyDescent="0.25">
      <c r="A448">
        <v>19111422405</v>
      </c>
      <c r="B448">
        <v>0.25</v>
      </c>
      <c r="C448">
        <v>10882</v>
      </c>
      <c r="D448" t="s">
        <v>144</v>
      </c>
      <c r="E448" t="s">
        <v>54</v>
      </c>
      <c r="F448" t="s">
        <v>54</v>
      </c>
      <c r="G448">
        <v>3</v>
      </c>
      <c r="H448" t="s">
        <v>55</v>
      </c>
      <c r="I448">
        <v>219800</v>
      </c>
      <c r="J448">
        <v>36000</v>
      </c>
      <c r="K448">
        <v>0.25</v>
      </c>
      <c r="L448">
        <f>IF(Wapato_Inventory[[#This Row],[parcel_acres]]-Wapato_Inventory[[#This Row],[non_valued_acres]] =0,0,LN(Wapato_Inventory[[#This Row],[parcel_acres]]-Wapato_Inventory[[#This Row],[non_valued_acres]]))</f>
        <v>-1.3862943611198906</v>
      </c>
      <c r="M448">
        <v>0</v>
      </c>
      <c r="N448">
        <v>0</v>
      </c>
      <c r="O448">
        <v>0</v>
      </c>
      <c r="P448">
        <v>27904.037</v>
      </c>
      <c r="Q448">
        <v>74398</v>
      </c>
      <c r="R448" s="3">
        <f>(Wapato_Inventory[[#This Row],[ln_acres]]*Wapato_Inventory[[#This Row],[coeff]])+Wapato_Inventory[[#This Row],[const]]</f>
        <v>35714.790854419211</v>
      </c>
      <c r="S448" t="s">
        <v>62</v>
      </c>
      <c r="T448">
        <v>1</v>
      </c>
      <c r="U448" t="s">
        <v>67</v>
      </c>
      <c r="V448" t="s">
        <v>69</v>
      </c>
      <c r="W448">
        <v>0</v>
      </c>
      <c r="X448">
        <v>0</v>
      </c>
      <c r="Y448">
        <v>25</v>
      </c>
      <c r="Z448">
        <v>25</v>
      </c>
      <c r="AA448">
        <v>30</v>
      </c>
      <c r="AB448">
        <v>1500</v>
      </c>
      <c r="AC448">
        <v>1164</v>
      </c>
      <c r="AD448">
        <v>1164</v>
      </c>
      <c r="AE448">
        <v>0</v>
      </c>
      <c r="AF448">
        <v>0</v>
      </c>
      <c r="AG448">
        <v>0</v>
      </c>
      <c r="AH448">
        <v>0</v>
      </c>
      <c r="AI448">
        <v>288</v>
      </c>
      <c r="AJ448">
        <v>0</v>
      </c>
      <c r="AK448">
        <v>0</v>
      </c>
      <c r="AL448">
        <v>0</v>
      </c>
      <c r="AM448">
        <v>288</v>
      </c>
      <c r="AN448">
        <v>24</v>
      </c>
      <c r="AO448">
        <v>288</v>
      </c>
      <c r="AP448">
        <v>8</v>
      </c>
      <c r="AQ448">
        <v>0</v>
      </c>
      <c r="AR448">
        <v>0</v>
      </c>
      <c r="AS448" t="s">
        <v>59</v>
      </c>
      <c r="AT448">
        <v>1</v>
      </c>
      <c r="AU448" t="s">
        <v>72</v>
      </c>
      <c r="AV448" t="s">
        <v>61</v>
      </c>
      <c r="AW448">
        <v>0</v>
      </c>
      <c r="AX448">
        <v>2</v>
      </c>
      <c r="AY448">
        <v>0</v>
      </c>
      <c r="AZ448">
        <v>0</v>
      </c>
      <c r="BA448">
        <v>100</v>
      </c>
      <c r="BB448">
        <v>100</v>
      </c>
      <c r="BC448">
        <v>100</v>
      </c>
      <c r="BD448">
        <v>100</v>
      </c>
      <c r="BE448">
        <v>1</v>
      </c>
      <c r="BF448">
        <v>15000</v>
      </c>
      <c r="BG448">
        <v>1000</v>
      </c>
      <c r="BH448" s="7">
        <f>ROUND(Wapato_Inventory[[#This Row],[detatched_value]]*Lookups!$B$22*Lookups!$H$48,-2)</f>
        <v>0</v>
      </c>
      <c r="BI448" s="7">
        <f>ROUND(((Wapato_Inventory[[#This Row],[land_extract]]*Lookups!$B$3) +(Lookups!$B$2*0.5))*Lookups!$H$48,-2)</f>
        <v>54500</v>
      </c>
      <c r="BJ448" s="7">
        <f>IF(Wapato_Inventory[[#This Row],[bldg_style]]="",0,Lookups!$B$2*0.5)</f>
        <v>53765.27</v>
      </c>
      <c r="BK448" s="7">
        <f>_xlfn.IFNA(VLOOKUP(Wapato_Inventory[[#This Row],[quality]],Lookups!$H$2:$J$14,3,FALSE),0)</f>
        <v>50405</v>
      </c>
      <c r="BL448" s="7">
        <f>_xlfn.IFNA(VLOOKUP(Wapato_Inventory[[#This Row],[condition]],Lookups!$H$17:$J$24,3,FALSE),0)</f>
        <v>74543</v>
      </c>
      <c r="BM448" s="7">
        <f>Wapato_Inventory[[#This Row],[Age]]*Lookups!$B$16</f>
        <v>-9266.8924999999999</v>
      </c>
      <c r="BN448" s="7">
        <f>Wapato_Inventory[[#This Row],[Main Floor]]*Lookups!$B$17</f>
        <v>48656.060195999999</v>
      </c>
      <c r="BO448" s="7">
        <f>Wapato_Inventory[[#This Row],[Upper Floor]]*Lookups!$B$18</f>
        <v>0</v>
      </c>
      <c r="BP448" s="7">
        <f>Wapato_Inventory[[#This Row],[Fin BSMT]]*Lookups!$B$19</f>
        <v>0</v>
      </c>
      <c r="BQ448" s="7">
        <f>(Wapato_Inventory[[#This Row],[att_gar]]+Wapato_Inventory[[#This Row],[blt_gar]])*Lookups!$B$20</f>
        <v>10658.520576000001</v>
      </c>
      <c r="BR448" s="7">
        <f>Wapato_Inventory[[#This Row],[Patio]]*Lookups!$B$21</f>
        <v>12477.305952000001</v>
      </c>
      <c r="BS448" s="7">
        <f>SUM(Wapato_Inventory[[#This Row],[intercept]:[patio_value]])*Wapato_Inventory[[#This Row],[res_pct]]</f>
        <v>241238.26422400001</v>
      </c>
      <c r="BT448" s="7">
        <f>Wapato_Inventory[[#This Row],[land_value]]</f>
        <v>54500</v>
      </c>
      <c r="BU448" s="2">
        <f>_xlfn.IFNA(VLOOKUP(Wapato_Inventory[[#This Row],[quality]],Lookups!$A$28:$C$37,3,FALSE),1)</f>
        <v>0.97993206410140754</v>
      </c>
      <c r="BV448" s="2">
        <f>_xlfn.IFNA(VLOOKUP(Wapato_Inventory[[#This Row],[condition]],Lookups!$A$41:$C$48,3,FALSE),1)</f>
        <v>0.98442438223270734</v>
      </c>
      <c r="BW448" s="2">
        <f>IF(Wapato_Inventory[[#This Row],[decade]]="",1,_xlfn.IFNA(VLOOKUP(Wapato_Inventory[[#This Row],[decade]],Lookups!$F$28:$H$45,3,FALSE),1))</f>
        <v>1.0490505496896987</v>
      </c>
      <c r="BX448" s="2">
        <f>_xlfn.IFNA(VLOOKUP(Wapato_Inventory[[#This Row],[living_area_range]],Lookups!$K$28:$M$37,3,FALSE),1)</f>
        <v>1.0061411172456287</v>
      </c>
      <c r="BY448" s="2">
        <f>AVERAGE(Wapato_Inventory[[#This Row],[qual_adj]:[range_adj]])</f>
        <v>1.0048870283173605</v>
      </c>
      <c r="BZ448" s="7">
        <f>(Wapato_Inventory[[#This Row],[sum_land]]-IF(Wapato_Inventory[[#This Row],[no_utilities]]=1,12000,0))/IF(Wapato_Inventory[[#This Row],[unbuildable]]=1,2,1)</f>
        <v>54500</v>
      </c>
      <c r="CA448" s="7">
        <f>Wapato_Inventory[[#This Row],[pre_res]]*Wapato_Inventory[[#This Row],[overall_adj]]</f>
        <v>242417.2024524936</v>
      </c>
      <c r="CB448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448" s="3">
        <f>IF(ROUND(Wapato_Inventory[[#This Row],[adj_res]]*Lookups!$H$48,-2)&lt;Wapato_Inventory[[#This Row],[min_res]],Wapato_Inventory[[#This Row],[min_res]],ROUND(Wapato_Inventory[[#This Row],[adj_res]]*Lookups!$H$48,-2))</f>
        <v>230300</v>
      </c>
      <c r="CD448" s="3">
        <f>ROUND(Wapato_Inventory[[#This Row],[det_value]]*Lookups!$H$48,-2)</f>
        <v>0</v>
      </c>
      <c r="CE448" s="3">
        <f>Wapato_Inventory[[#This Row],[final_res]]+Wapato_Inventory[[#This Row],[final_det]]</f>
        <v>230300</v>
      </c>
      <c r="CF448" s="3">
        <f>Wapato_Inventory[[#This Row],[crop_value]]+Wapato_Inventory[[#This Row],[final_land]]+Wapato_Inventory[[#This Row],[final_imp]]</f>
        <v>282100</v>
      </c>
      <c r="CH448" t="str">
        <f t="shared" si="6"/>
        <v>update valuation set market_land =51800, market_bldg=230300, market_total =282100, market_mdno =405, market_date ='9/10/2023' where link_id = (select link_id from parcel where parcel_year = '2024' and parcel_id = '19111422405');</v>
      </c>
    </row>
    <row r="449" spans="1:86" x14ac:dyDescent="0.25">
      <c r="A449">
        <v>19111423001</v>
      </c>
      <c r="B449">
        <v>1</v>
      </c>
      <c r="C449">
        <v>43634</v>
      </c>
      <c r="D449" t="s">
        <v>144</v>
      </c>
      <c r="E449" t="s">
        <v>54</v>
      </c>
      <c r="F449" t="s">
        <v>54</v>
      </c>
      <c r="G449">
        <v>3</v>
      </c>
      <c r="H449" t="s">
        <v>55</v>
      </c>
      <c r="I449">
        <v>214200</v>
      </c>
      <c r="J449">
        <v>45300</v>
      </c>
      <c r="K449">
        <v>1</v>
      </c>
      <c r="L449">
        <f>IF(Wapato_Inventory[[#This Row],[parcel_acres]]-Wapato_Inventory[[#This Row],[non_valued_acres]] =0,0,LN(Wapato_Inventory[[#This Row],[parcel_acres]]-Wapato_Inventory[[#This Row],[non_valued_acres]]))</f>
        <v>0</v>
      </c>
      <c r="M449">
        <v>0</v>
      </c>
      <c r="N449">
        <v>0</v>
      </c>
      <c r="O449">
        <v>0</v>
      </c>
      <c r="P449">
        <v>27904.037</v>
      </c>
      <c r="Q449">
        <v>74398</v>
      </c>
      <c r="R449" s="3">
        <f>(Wapato_Inventory[[#This Row],[ln_acres]]*Wapato_Inventory[[#This Row],[coeff]])+Wapato_Inventory[[#This Row],[const]]</f>
        <v>74398</v>
      </c>
      <c r="S449" t="s">
        <v>66</v>
      </c>
      <c r="T449">
        <v>1</v>
      </c>
      <c r="U449" t="s">
        <v>75</v>
      </c>
      <c r="V449" t="s">
        <v>68</v>
      </c>
      <c r="W449">
        <v>0</v>
      </c>
      <c r="X449">
        <v>0</v>
      </c>
      <c r="Y449">
        <v>51</v>
      </c>
      <c r="Z449">
        <v>78</v>
      </c>
      <c r="AA449">
        <v>80</v>
      </c>
      <c r="AB449">
        <v>2500</v>
      </c>
      <c r="AC449">
        <v>2008</v>
      </c>
      <c r="AD449">
        <v>2008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48</v>
      </c>
      <c r="AO449">
        <v>0</v>
      </c>
      <c r="AP449">
        <v>7</v>
      </c>
      <c r="AQ449">
        <v>1</v>
      </c>
      <c r="AR449">
        <v>0</v>
      </c>
      <c r="AS449" t="s">
        <v>59</v>
      </c>
      <c r="AT449">
        <v>1</v>
      </c>
      <c r="AU449" t="s">
        <v>64</v>
      </c>
      <c r="AV449" t="s">
        <v>61</v>
      </c>
      <c r="AW449">
        <v>0</v>
      </c>
      <c r="AX449">
        <v>3</v>
      </c>
      <c r="AY449">
        <v>0</v>
      </c>
      <c r="AZ449">
        <v>0</v>
      </c>
      <c r="BA449">
        <v>100</v>
      </c>
      <c r="BB449">
        <v>100</v>
      </c>
      <c r="BC449">
        <v>100</v>
      </c>
      <c r="BD449">
        <v>100</v>
      </c>
      <c r="BE449">
        <v>1</v>
      </c>
      <c r="BF449">
        <v>15000</v>
      </c>
      <c r="BG449">
        <v>1000</v>
      </c>
      <c r="BH449" s="7">
        <f>ROUND(Wapato_Inventory[[#This Row],[detatched_value]]*Lookups!$B$22*Lookups!$H$48,-2)</f>
        <v>0</v>
      </c>
      <c r="BI449" s="7">
        <f>ROUND(((Wapato_Inventory[[#This Row],[land_extract]]*Lookups!$B$3) +(Lookups!$B$2*0.5))*Lookups!$H$48,-2)</f>
        <v>58300</v>
      </c>
      <c r="BJ449" s="7">
        <f>IF(Wapato_Inventory[[#This Row],[bldg_style]]="",0,Lookups!$B$2*0.5)</f>
        <v>53765.27</v>
      </c>
      <c r="BK449" s="7">
        <f>_xlfn.IFNA(VLOOKUP(Wapato_Inventory[[#This Row],[quality]],Lookups!$H$2:$J$14,3,FALSE),0)</f>
        <v>48043</v>
      </c>
      <c r="BL449" s="7">
        <f>_xlfn.IFNA(VLOOKUP(Wapato_Inventory[[#This Row],[condition]],Lookups!$H$17:$J$24,3,FALSE),0)</f>
        <v>52231</v>
      </c>
      <c r="BM449" s="7">
        <f>Wapato_Inventory[[#This Row],[Age]]*Lookups!$B$16</f>
        <v>-28912.704600000001</v>
      </c>
      <c r="BN449" s="7">
        <f>Wapato_Inventory[[#This Row],[Main Floor]]*Lookups!$B$17</f>
        <v>83935.883912000005</v>
      </c>
      <c r="BO449" s="7">
        <f>Wapato_Inventory[[#This Row],[Upper Floor]]*Lookups!$B$18</f>
        <v>0</v>
      </c>
      <c r="BP449" s="7">
        <f>Wapato_Inventory[[#This Row],[Fin BSMT]]*Lookups!$B$19</f>
        <v>0</v>
      </c>
      <c r="BQ449" s="7">
        <f>(Wapato_Inventory[[#This Row],[att_gar]]+Wapato_Inventory[[#This Row],[blt_gar]])*Lookups!$B$20</f>
        <v>0</v>
      </c>
      <c r="BR449" s="7">
        <f>Wapato_Inventory[[#This Row],[Patio]]*Lookups!$B$21</f>
        <v>0</v>
      </c>
      <c r="BS449" s="7">
        <f>SUM(Wapato_Inventory[[#This Row],[intercept]:[patio_value]])*Wapato_Inventory[[#This Row],[res_pct]]</f>
        <v>209062.44931200001</v>
      </c>
      <c r="BT449" s="7">
        <f>Wapato_Inventory[[#This Row],[land_value]]</f>
        <v>58300</v>
      </c>
      <c r="BU449" s="2">
        <f>_xlfn.IFNA(VLOOKUP(Wapato_Inventory[[#This Row],[quality]],Lookups!$A$28:$C$37,3,FALSE),1)</f>
        <v>0.98196844879778955</v>
      </c>
      <c r="BV449" s="2">
        <f>_xlfn.IFNA(VLOOKUP(Wapato_Inventory[[#This Row],[condition]],Lookups!$A$41:$C$48,3,FALSE),1)</f>
        <v>0.9832333997567807</v>
      </c>
      <c r="BW449" s="2">
        <f>IF(Wapato_Inventory[[#This Row],[decade]]="",1,_xlfn.IFNA(VLOOKUP(Wapato_Inventory[[#This Row],[decade]],Lookups!$F$28:$H$45,3,FALSE),1))</f>
        <v>0.8438929209510081</v>
      </c>
      <c r="BX449" s="2">
        <f>_xlfn.IFNA(VLOOKUP(Wapato_Inventory[[#This Row],[living_area_range]],Lookups!$K$28:$M$37,3,FALSE),1)</f>
        <v>0.90813907160181651</v>
      </c>
      <c r="BY449" s="2">
        <f>AVERAGE(Wapato_Inventory[[#This Row],[qual_adj]:[range_adj]])</f>
        <v>0.92930846027684866</v>
      </c>
      <c r="BZ449" s="7">
        <f>(Wapato_Inventory[[#This Row],[sum_land]]-IF(Wapato_Inventory[[#This Row],[no_utilities]]=1,12000,0))/IF(Wapato_Inventory[[#This Row],[unbuildable]]=1,2,1)</f>
        <v>58300</v>
      </c>
      <c r="CA449" s="7">
        <f>Wapato_Inventory[[#This Row],[pre_res]]*Wapato_Inventory[[#This Row],[overall_adj]]</f>
        <v>194283.50287184145</v>
      </c>
      <c r="CB449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449" s="3">
        <f>IF(ROUND(Wapato_Inventory[[#This Row],[adj_res]]*Lookups!$H$48,-2)&lt;Wapato_Inventory[[#This Row],[min_res]],Wapato_Inventory[[#This Row],[min_res]],ROUND(Wapato_Inventory[[#This Row],[adj_res]]*Lookups!$H$48,-2))</f>
        <v>184600</v>
      </c>
      <c r="CD449" s="3">
        <f>ROUND(Wapato_Inventory[[#This Row],[det_value]]*Lookups!$H$48,-2)</f>
        <v>0</v>
      </c>
      <c r="CE449" s="3">
        <f>Wapato_Inventory[[#This Row],[final_res]]+Wapato_Inventory[[#This Row],[final_det]]</f>
        <v>184600</v>
      </c>
      <c r="CF449" s="3">
        <f>Wapato_Inventory[[#This Row],[crop_value]]+Wapato_Inventory[[#This Row],[final_land]]+Wapato_Inventory[[#This Row],[final_imp]]</f>
        <v>240000</v>
      </c>
      <c r="CH449" t="str">
        <f t="shared" si="6"/>
        <v>update valuation set market_land =55400, market_bldg=184600, market_total =240000, market_mdno =405, market_date ='9/10/2023' where link_id = (select link_id from parcel where parcel_year = '2024' and parcel_id = '19111423001');</v>
      </c>
    </row>
    <row r="450" spans="1:86" x14ac:dyDescent="0.25">
      <c r="A450">
        <v>19111423005</v>
      </c>
      <c r="B450">
        <v>0.47</v>
      </c>
      <c r="C450">
        <v>20649</v>
      </c>
      <c r="D450" t="s">
        <v>144</v>
      </c>
      <c r="E450" t="s">
        <v>54</v>
      </c>
      <c r="F450" t="s">
        <v>54</v>
      </c>
      <c r="G450">
        <v>3</v>
      </c>
      <c r="H450" t="s">
        <v>55</v>
      </c>
      <c r="I450">
        <v>164800</v>
      </c>
      <c r="J450">
        <v>39900</v>
      </c>
      <c r="K450">
        <v>0.47</v>
      </c>
      <c r="L450">
        <f>IF(Wapato_Inventory[[#This Row],[parcel_acres]]-Wapato_Inventory[[#This Row],[non_valued_acres]] =0,0,LN(Wapato_Inventory[[#This Row],[parcel_acres]]-Wapato_Inventory[[#This Row],[non_valued_acres]]))</f>
        <v>-0.75502258427803282</v>
      </c>
      <c r="M450">
        <v>0</v>
      </c>
      <c r="N450">
        <v>0</v>
      </c>
      <c r="O450">
        <v>0</v>
      </c>
      <c r="P450">
        <v>27904.037</v>
      </c>
      <c r="Q450">
        <v>74398</v>
      </c>
      <c r="R450" s="3">
        <f>(Wapato_Inventory[[#This Row],[ln_acres]]*Wapato_Inventory[[#This Row],[coeff]])+Wapato_Inventory[[#This Row],[const]]</f>
        <v>53329.821872470158</v>
      </c>
      <c r="S450" t="s">
        <v>66</v>
      </c>
      <c r="T450">
        <v>1</v>
      </c>
      <c r="U450" t="s">
        <v>75</v>
      </c>
      <c r="V450" t="s">
        <v>68</v>
      </c>
      <c r="W450">
        <v>0</v>
      </c>
      <c r="X450">
        <v>0</v>
      </c>
      <c r="Y450">
        <v>55</v>
      </c>
      <c r="Z450">
        <v>98</v>
      </c>
      <c r="AA450">
        <v>100</v>
      </c>
      <c r="AB450">
        <v>2500</v>
      </c>
      <c r="AC450">
        <v>2464</v>
      </c>
      <c r="AD450">
        <v>1484</v>
      </c>
      <c r="AE450">
        <v>0</v>
      </c>
      <c r="AF450">
        <v>0</v>
      </c>
      <c r="AG450">
        <v>980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96</v>
      </c>
      <c r="AN450">
        <v>252</v>
      </c>
      <c r="AO450">
        <v>96</v>
      </c>
      <c r="AP450">
        <v>8</v>
      </c>
      <c r="AQ450">
        <v>0</v>
      </c>
      <c r="AR450">
        <v>0</v>
      </c>
      <c r="AS450" t="s">
        <v>59</v>
      </c>
      <c r="AT450">
        <v>1</v>
      </c>
      <c r="AU450" t="s">
        <v>76</v>
      </c>
      <c r="AV450" t="s">
        <v>61</v>
      </c>
      <c r="AW450">
        <v>0</v>
      </c>
      <c r="AX450">
        <v>3</v>
      </c>
      <c r="AY450">
        <v>0</v>
      </c>
      <c r="AZ450">
        <v>0</v>
      </c>
      <c r="BA450">
        <v>100</v>
      </c>
      <c r="BB450">
        <v>100</v>
      </c>
      <c r="BC450">
        <v>100</v>
      </c>
      <c r="BD450">
        <v>100</v>
      </c>
      <c r="BE450">
        <v>1</v>
      </c>
      <c r="BF450">
        <v>15000</v>
      </c>
      <c r="BG450">
        <v>1000</v>
      </c>
      <c r="BH450" s="7">
        <f>ROUND(Wapato_Inventory[[#This Row],[detatched_value]]*Lookups!$B$22*Lookups!$H$48,-2)</f>
        <v>0</v>
      </c>
      <c r="BI450" s="7">
        <f>ROUND(((Wapato_Inventory[[#This Row],[land_extract]]*Lookups!$B$3) +(Lookups!$B$2*0.5))*Lookups!$H$48,-2)</f>
        <v>56200</v>
      </c>
      <c r="BJ450" s="7">
        <f>IF(Wapato_Inventory[[#This Row],[bldg_style]]="",0,Lookups!$B$2*0.5)</f>
        <v>53765.27</v>
      </c>
      <c r="BK450" s="7">
        <f>_xlfn.IFNA(VLOOKUP(Wapato_Inventory[[#This Row],[quality]],Lookups!$H$2:$J$14,3,FALSE),0)</f>
        <v>48043</v>
      </c>
      <c r="BL450" s="7">
        <f>_xlfn.IFNA(VLOOKUP(Wapato_Inventory[[#This Row],[condition]],Lookups!$H$17:$J$24,3,FALSE),0)</f>
        <v>52231</v>
      </c>
      <c r="BM450" s="7">
        <f>Wapato_Inventory[[#This Row],[Age]]*Lookups!$B$16</f>
        <v>-36326.2186</v>
      </c>
      <c r="BN450" s="7">
        <f>Wapato_Inventory[[#This Row],[Main Floor]]*Lookups!$B$17</f>
        <v>62032.296675999998</v>
      </c>
      <c r="BO450" s="7">
        <f>Wapato_Inventory[[#This Row],[Upper Floor]]*Lookups!$B$18</f>
        <v>0</v>
      </c>
      <c r="BP450" s="7">
        <f>Wapato_Inventory[[#This Row],[Fin BSMT]]*Lookups!$B$19</f>
        <v>23879.405200000001</v>
      </c>
      <c r="BQ450" s="7">
        <f>(Wapato_Inventory[[#This Row],[att_gar]]+Wapato_Inventory[[#This Row],[blt_gar]])*Lookups!$B$20</f>
        <v>0</v>
      </c>
      <c r="BR450" s="7">
        <f>Wapato_Inventory[[#This Row],[Patio]]*Lookups!$B$21</f>
        <v>4159.1019839999999</v>
      </c>
      <c r="BS450" s="7">
        <f>SUM(Wapato_Inventory[[#This Row],[intercept]:[patio_value]])*Wapato_Inventory[[#This Row],[res_pct]]</f>
        <v>207783.85526000001</v>
      </c>
      <c r="BT450" s="7">
        <f>Wapato_Inventory[[#This Row],[land_value]]</f>
        <v>56200</v>
      </c>
      <c r="BU450" s="2">
        <f>_xlfn.IFNA(VLOOKUP(Wapato_Inventory[[#This Row],[quality]],Lookups!$A$28:$C$37,3,FALSE),1)</f>
        <v>0.98196844879778955</v>
      </c>
      <c r="BV450" s="2">
        <f>_xlfn.IFNA(VLOOKUP(Wapato_Inventory[[#This Row],[condition]],Lookups!$A$41:$C$48,3,FALSE),1)</f>
        <v>0.9832333997567807</v>
      </c>
      <c r="BW450" s="2">
        <f>IF(Wapato_Inventory[[#This Row],[decade]]="",1,_xlfn.IFNA(VLOOKUP(Wapato_Inventory[[#This Row],[decade]],Lookups!$F$28:$H$45,3,FALSE),1))</f>
        <v>1.0114203040664467</v>
      </c>
      <c r="BX450" s="2">
        <f>_xlfn.IFNA(VLOOKUP(Wapato_Inventory[[#This Row],[living_area_range]],Lookups!$K$28:$M$37,3,FALSE),1)</f>
        <v>0.90813907160181651</v>
      </c>
      <c r="BY450" s="2">
        <f>AVERAGE(Wapato_Inventory[[#This Row],[qual_adj]:[range_adj]])</f>
        <v>0.97119030605570833</v>
      </c>
      <c r="BZ450" s="7">
        <f>(Wapato_Inventory[[#This Row],[sum_land]]-IF(Wapato_Inventory[[#This Row],[no_utilities]]=1,12000,0))/IF(Wapato_Inventory[[#This Row],[unbuildable]]=1,2,1)</f>
        <v>56200</v>
      </c>
      <c r="CA450" s="7">
        <f>Wapato_Inventory[[#This Row],[pre_res]]*Wapato_Inventory[[#This Row],[overall_adj]]</f>
        <v>201797.6659833944</v>
      </c>
      <c r="CB450" s="3">
        <f>IF(ROUND(Wapato_Inventory[[#This Row],[adj_land]]*Lookups!$H$48,-2)&lt;Wapato_Inventory[[#This Row],[min_land]],Wapato_Inventory[[#This Row],[min_land]],ROUND(Wapato_Inventory[[#This Row],[adj_land]]*Lookups!$H$48,-2))</f>
        <v>53400</v>
      </c>
      <c r="CC450" s="3">
        <f>IF(ROUND(Wapato_Inventory[[#This Row],[adj_res]]*Lookups!$H$48,-2)&lt;Wapato_Inventory[[#This Row],[min_res]],Wapato_Inventory[[#This Row],[min_res]],ROUND(Wapato_Inventory[[#This Row],[adj_res]]*Lookups!$H$48,-2))</f>
        <v>191700</v>
      </c>
      <c r="CD450" s="3">
        <f>ROUND(Wapato_Inventory[[#This Row],[det_value]]*Lookups!$H$48,-2)</f>
        <v>0</v>
      </c>
      <c r="CE450" s="3">
        <f>Wapato_Inventory[[#This Row],[final_res]]+Wapato_Inventory[[#This Row],[final_det]]</f>
        <v>191700</v>
      </c>
      <c r="CF450" s="3">
        <f>Wapato_Inventory[[#This Row],[crop_value]]+Wapato_Inventory[[#This Row],[final_land]]+Wapato_Inventory[[#This Row],[final_imp]]</f>
        <v>245100</v>
      </c>
      <c r="CH450" t="str">
        <f t="shared" ref="CH450:CH513" si="7">"update valuation set market_land ="&amp;CB450&amp;", market_bldg="&amp;CE450&amp;", market_total ="&amp;CF450&amp;", market_mdno ="&amp;$CH$1&amp;", market_date ='"&amp;TEXT($CI$1,"m/d/yyyy")&amp;"' where link_id = (select link_id from parcel where parcel_year = '2024' and parcel_id = '"&amp;A450&amp;"');"</f>
        <v>update valuation set market_land =53400, market_bldg=191700, market_total =245100, market_mdno =405, market_date ='9/10/2023' where link_id = (select link_id from parcel where parcel_year = '2024' and parcel_id = '19111423005');</v>
      </c>
    </row>
    <row r="451" spans="1:86" x14ac:dyDescent="0.25">
      <c r="A451">
        <v>19111432005</v>
      </c>
      <c r="B451">
        <v>4.3600000000000003</v>
      </c>
      <c r="C451" t="s">
        <v>144</v>
      </c>
      <c r="D451" t="s">
        <v>144</v>
      </c>
      <c r="E451" t="s">
        <v>54</v>
      </c>
      <c r="F451" t="s">
        <v>54</v>
      </c>
      <c r="G451">
        <v>3</v>
      </c>
      <c r="H451" t="s">
        <v>55</v>
      </c>
      <c r="I451">
        <v>0</v>
      </c>
      <c r="J451">
        <v>55600</v>
      </c>
      <c r="K451">
        <v>4.3600000000000003</v>
      </c>
      <c r="L451">
        <f>IF(Wapato_Inventory[[#This Row],[parcel_acres]]-Wapato_Inventory[[#This Row],[non_valued_acres]] =0,0,LN(Wapato_Inventory[[#This Row],[parcel_acres]]-Wapato_Inventory[[#This Row],[non_valued_acres]]))</f>
        <v>1.4724720573609431</v>
      </c>
      <c r="M451">
        <v>0</v>
      </c>
      <c r="N451">
        <v>0</v>
      </c>
      <c r="O451">
        <v>0</v>
      </c>
      <c r="P451">
        <v>27904.037</v>
      </c>
      <c r="Q451">
        <v>74398</v>
      </c>
      <c r="R451" s="3">
        <f>(Wapato_Inventory[[#This Row],[ln_acres]]*Wapato_Inventory[[#This Row],[coeff]])+Wapato_Inventory[[#This Row],[const]]</f>
        <v>115485.91477006588</v>
      </c>
      <c r="S451" t="s">
        <v>66</v>
      </c>
      <c r="T451">
        <v>1</v>
      </c>
      <c r="U451" t="s">
        <v>75</v>
      </c>
      <c r="V451" t="s">
        <v>110</v>
      </c>
      <c r="W451">
        <v>0</v>
      </c>
      <c r="X451">
        <v>0</v>
      </c>
      <c r="Y451">
        <v>47</v>
      </c>
      <c r="Z451">
        <v>58</v>
      </c>
      <c r="AA451">
        <v>60</v>
      </c>
      <c r="AB451">
        <v>1500</v>
      </c>
      <c r="AC451">
        <v>1092</v>
      </c>
      <c r="AD451">
        <v>1092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350</v>
      </c>
      <c r="AL451">
        <v>0</v>
      </c>
      <c r="AM451">
        <v>238</v>
      </c>
      <c r="AN451">
        <v>0</v>
      </c>
      <c r="AO451">
        <v>0</v>
      </c>
      <c r="AP451">
        <v>7</v>
      </c>
      <c r="AQ451">
        <v>0</v>
      </c>
      <c r="AR451">
        <v>1</v>
      </c>
      <c r="AS451" t="s">
        <v>59</v>
      </c>
      <c r="AT451">
        <v>1</v>
      </c>
      <c r="AU451" t="s">
        <v>64</v>
      </c>
      <c r="AV451" t="s">
        <v>61</v>
      </c>
      <c r="AW451">
        <v>0</v>
      </c>
      <c r="AX451">
        <v>2</v>
      </c>
      <c r="AY451">
        <v>0</v>
      </c>
      <c r="AZ451">
        <v>0</v>
      </c>
      <c r="BA451">
        <v>100</v>
      </c>
      <c r="BB451">
        <v>100</v>
      </c>
      <c r="BC451">
        <v>100</v>
      </c>
      <c r="BD451">
        <v>100</v>
      </c>
      <c r="BE451">
        <v>0</v>
      </c>
      <c r="BF451">
        <v>15000</v>
      </c>
      <c r="BG451">
        <v>0</v>
      </c>
      <c r="BH451" s="7">
        <f>ROUND(Wapato_Inventory[[#This Row],[detatched_value]]*Lookups!$B$22*Lookups!$H$48,-2)</f>
        <v>0</v>
      </c>
      <c r="BI451" s="7">
        <f>ROUND(((Wapato_Inventory[[#This Row],[land_extract]]*Lookups!$B$3) +(Lookups!$B$2*0.5))*Lookups!$H$48,-2)</f>
        <v>62200</v>
      </c>
      <c r="BJ451" s="7">
        <f>IF(Wapato_Inventory[[#This Row],[bldg_style]]="",0,Lookups!$B$2*0.5)</f>
        <v>53765.27</v>
      </c>
      <c r="BK451" s="7">
        <f>_xlfn.IFNA(VLOOKUP(Wapato_Inventory[[#This Row],[quality]],Lookups!$H$2:$J$14,3,FALSE),0)</f>
        <v>48043</v>
      </c>
      <c r="BL451" s="7">
        <f>_xlfn.IFNA(VLOOKUP(Wapato_Inventory[[#This Row],[condition]],Lookups!$H$17:$J$24,3,FALSE),0)</f>
        <v>-49363</v>
      </c>
      <c r="BM451" s="7">
        <f>Wapato_Inventory[[#This Row],[Age]]*Lookups!$B$16</f>
        <v>-21499.190600000002</v>
      </c>
      <c r="BN451" s="7">
        <f>Wapato_Inventory[[#This Row],[Main Floor]]*Lookups!$B$17</f>
        <v>45646.406988000002</v>
      </c>
      <c r="BO451" s="7">
        <f>Wapato_Inventory[[#This Row],[Upper Floor]]*Lookups!$B$18</f>
        <v>0</v>
      </c>
      <c r="BP451" s="7">
        <f>Wapato_Inventory[[#This Row],[Fin BSMT]]*Lookups!$B$19</f>
        <v>0</v>
      </c>
      <c r="BQ451" s="7">
        <f>(Wapato_Inventory[[#This Row],[att_gar]]+Wapato_Inventory[[#This Row],[blt_gar]])*Lookups!$B$20</f>
        <v>0</v>
      </c>
      <c r="BR451" s="7">
        <f>Wapato_Inventory[[#This Row],[Patio]]*Lookups!$B$21</f>
        <v>10311.107002000001</v>
      </c>
      <c r="BS451" s="7">
        <f>SUM(Wapato_Inventory[[#This Row],[intercept]:[patio_value]])*Wapato_Inventory[[#This Row],[res_pct]]</f>
        <v>0</v>
      </c>
      <c r="BT451" s="7">
        <f>Wapato_Inventory[[#This Row],[land_value]]</f>
        <v>62200</v>
      </c>
      <c r="BU451" s="2">
        <f>_xlfn.IFNA(VLOOKUP(Wapato_Inventory[[#This Row],[quality]],Lookups!$A$28:$C$37,3,FALSE),1)</f>
        <v>0.98196844879778955</v>
      </c>
      <c r="BV451" s="2">
        <f>_xlfn.IFNA(VLOOKUP(Wapato_Inventory[[#This Row],[condition]],Lookups!$A$41:$C$48,3,FALSE),1)</f>
        <v>0</v>
      </c>
      <c r="BW451" s="2">
        <f>IF(Wapato_Inventory[[#This Row],[decade]]="",1,_xlfn.IFNA(VLOOKUP(Wapato_Inventory[[#This Row],[decade]],Lookups!$F$28:$H$45,3,FALSE),1))</f>
        <v>1.035341704162583</v>
      </c>
      <c r="BX451" s="2">
        <f>_xlfn.IFNA(VLOOKUP(Wapato_Inventory[[#This Row],[living_area_range]],Lookups!$K$28:$M$37,3,FALSE),1)</f>
        <v>1.0061411172456287</v>
      </c>
      <c r="BY451" s="2">
        <f>AVERAGE(Wapato_Inventory[[#This Row],[qual_adj]:[range_adj]])</f>
        <v>0.75586281755150031</v>
      </c>
      <c r="BZ451" s="7">
        <f>(Wapato_Inventory[[#This Row],[sum_land]]-IF(Wapato_Inventory[[#This Row],[no_utilities]]=1,12000,0))/IF(Wapato_Inventory[[#This Row],[unbuildable]]=1,2,1)</f>
        <v>62200</v>
      </c>
      <c r="CA451" s="7">
        <f>Wapato_Inventory[[#This Row],[pre_res]]*Wapato_Inventory[[#This Row],[overall_adj]]</f>
        <v>0</v>
      </c>
      <c r="CB451" s="3">
        <f>IF(ROUND(Wapato_Inventory[[#This Row],[adj_land]]*Lookups!$H$48,-2)&lt;Wapato_Inventory[[#This Row],[min_land]],Wapato_Inventory[[#This Row],[min_land]],ROUND(Wapato_Inventory[[#This Row],[adj_land]]*Lookups!$H$48,-2))</f>
        <v>59100</v>
      </c>
      <c r="CC45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451" s="3">
        <f>ROUND(Wapato_Inventory[[#This Row],[det_value]]*Lookups!$H$48,-2)</f>
        <v>0</v>
      </c>
      <c r="CE451" s="3">
        <f>Wapato_Inventory[[#This Row],[final_res]]+Wapato_Inventory[[#This Row],[final_det]]</f>
        <v>0</v>
      </c>
      <c r="CF451" s="3">
        <f>Wapato_Inventory[[#This Row],[crop_value]]+Wapato_Inventory[[#This Row],[final_land]]+Wapato_Inventory[[#This Row],[final_imp]]</f>
        <v>59100</v>
      </c>
      <c r="CH451" t="str">
        <f t="shared" si="7"/>
        <v>update valuation set market_land =59100, market_bldg=0, market_total =59100, market_mdno =405, market_date ='9/10/2023' where link_id = (select link_id from parcel where parcel_year = '2024' and parcel_id = '19111432005');</v>
      </c>
    </row>
    <row r="452" spans="1:86" x14ac:dyDescent="0.25">
      <c r="A452">
        <v>19111433003</v>
      </c>
      <c r="B452">
        <v>2.12</v>
      </c>
      <c r="C452">
        <v>92353</v>
      </c>
      <c r="D452" t="s">
        <v>144</v>
      </c>
      <c r="E452" t="s">
        <v>54</v>
      </c>
      <c r="F452" t="s">
        <v>54</v>
      </c>
      <c r="G452">
        <v>3</v>
      </c>
      <c r="H452" t="s">
        <v>55</v>
      </c>
      <c r="I452">
        <v>285600</v>
      </c>
      <c r="J452">
        <v>50500</v>
      </c>
      <c r="K452">
        <v>2.12</v>
      </c>
      <c r="L452">
        <f>IF(Wapato_Inventory[[#This Row],[parcel_acres]]-Wapato_Inventory[[#This Row],[non_valued_acres]] =0,0,LN(Wapato_Inventory[[#This Row],[parcel_acres]]-Wapato_Inventory[[#This Row],[non_valued_acres]]))</f>
        <v>0.75141608868392118</v>
      </c>
      <c r="M452">
        <v>0</v>
      </c>
      <c r="N452">
        <v>0</v>
      </c>
      <c r="O452">
        <v>0</v>
      </c>
      <c r="P452">
        <v>27904.037</v>
      </c>
      <c r="Q452">
        <v>74398</v>
      </c>
      <c r="R452" s="3">
        <f>(Wapato_Inventory[[#This Row],[ln_acres]]*Wapato_Inventory[[#This Row],[coeff]])+Wapato_Inventory[[#This Row],[const]]</f>
        <v>95365.542341031425</v>
      </c>
      <c r="S452" t="s">
        <v>62</v>
      </c>
      <c r="T452">
        <v>1</v>
      </c>
      <c r="U452" t="s">
        <v>67</v>
      </c>
      <c r="V452" t="s">
        <v>68</v>
      </c>
      <c r="W452">
        <v>0</v>
      </c>
      <c r="X452">
        <v>0</v>
      </c>
      <c r="Y452">
        <v>46</v>
      </c>
      <c r="Z452">
        <v>53</v>
      </c>
      <c r="AA452">
        <v>60</v>
      </c>
      <c r="AB452">
        <v>2500</v>
      </c>
      <c r="AC452">
        <v>2224</v>
      </c>
      <c r="AD452">
        <v>2224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374</v>
      </c>
      <c r="AL452">
        <v>0</v>
      </c>
      <c r="AM452">
        <v>680</v>
      </c>
      <c r="AN452">
        <v>0</v>
      </c>
      <c r="AO452">
        <v>240</v>
      </c>
      <c r="AP452">
        <v>8</v>
      </c>
      <c r="AQ452">
        <v>1</v>
      </c>
      <c r="AR452">
        <v>1</v>
      </c>
      <c r="AS452" t="s">
        <v>79</v>
      </c>
      <c r="AT452">
        <v>1</v>
      </c>
      <c r="AU452" t="s">
        <v>76</v>
      </c>
      <c r="AV452" t="s">
        <v>61</v>
      </c>
      <c r="AW452">
        <v>0</v>
      </c>
      <c r="AX452">
        <v>3</v>
      </c>
      <c r="AY452">
        <v>0</v>
      </c>
      <c r="AZ452">
        <v>31700</v>
      </c>
      <c r="BA452">
        <v>100</v>
      </c>
      <c r="BB452">
        <v>100</v>
      </c>
      <c r="BC452">
        <v>100</v>
      </c>
      <c r="BD452">
        <v>100</v>
      </c>
      <c r="BE452">
        <v>1</v>
      </c>
      <c r="BF452">
        <v>15000</v>
      </c>
      <c r="BG452">
        <v>1000</v>
      </c>
      <c r="BH452" s="7">
        <f>ROUND(Wapato_Inventory[[#This Row],[detatched_value]]*Lookups!$B$22*Lookups!$H$48,-2)</f>
        <v>28300</v>
      </c>
      <c r="BI452" s="7">
        <f>ROUND(((Wapato_Inventory[[#This Row],[land_extract]]*Lookups!$B$3) +(Lookups!$B$2*0.5))*Lookups!$H$48,-2)</f>
        <v>60300</v>
      </c>
      <c r="BJ452" s="7">
        <f>IF(Wapato_Inventory[[#This Row],[bldg_style]]="",0,Lookups!$B$2*0.5)</f>
        <v>53765.27</v>
      </c>
      <c r="BK452" s="7">
        <f>_xlfn.IFNA(VLOOKUP(Wapato_Inventory[[#This Row],[quality]],Lookups!$H$2:$J$14,3,FALSE),0)</f>
        <v>50405</v>
      </c>
      <c r="BL452" s="7">
        <f>_xlfn.IFNA(VLOOKUP(Wapato_Inventory[[#This Row],[condition]],Lookups!$H$17:$J$24,3,FALSE),0)</f>
        <v>52231</v>
      </c>
      <c r="BM452" s="7">
        <f>Wapato_Inventory[[#This Row],[Age]]*Lookups!$B$16</f>
        <v>-19645.812099999999</v>
      </c>
      <c r="BN452" s="7">
        <f>Wapato_Inventory[[#This Row],[Main Floor]]*Lookups!$B$17</f>
        <v>92964.843536</v>
      </c>
      <c r="BO452" s="7">
        <f>Wapato_Inventory[[#This Row],[Upper Floor]]*Lookups!$B$18</f>
        <v>0</v>
      </c>
      <c r="BP452" s="7">
        <f>Wapato_Inventory[[#This Row],[Fin BSMT]]*Lookups!$B$19</f>
        <v>0</v>
      </c>
      <c r="BQ452" s="7">
        <f>(Wapato_Inventory[[#This Row],[att_gar]]+Wapato_Inventory[[#This Row],[blt_gar]])*Lookups!$B$20</f>
        <v>0</v>
      </c>
      <c r="BR452" s="7">
        <f>Wapato_Inventory[[#This Row],[Patio]]*Lookups!$B$21</f>
        <v>29460.30572</v>
      </c>
      <c r="BS452" s="7">
        <f>SUM(Wapato_Inventory[[#This Row],[intercept]:[patio_value]])*Wapato_Inventory[[#This Row],[res_pct]]</f>
        <v>259180.60715599998</v>
      </c>
      <c r="BT452" s="7">
        <f>Wapato_Inventory[[#This Row],[land_value]]</f>
        <v>60300</v>
      </c>
      <c r="BU452" s="2">
        <f>_xlfn.IFNA(VLOOKUP(Wapato_Inventory[[#This Row],[quality]],Lookups!$A$28:$C$37,3,FALSE),1)</f>
        <v>0.97993206410140754</v>
      </c>
      <c r="BV452" s="2">
        <f>_xlfn.IFNA(VLOOKUP(Wapato_Inventory[[#This Row],[condition]],Lookups!$A$41:$C$48,3,FALSE),1)</f>
        <v>0.9832333997567807</v>
      </c>
      <c r="BW452" s="2">
        <f>IF(Wapato_Inventory[[#This Row],[decade]]="",1,_xlfn.IFNA(VLOOKUP(Wapato_Inventory[[#This Row],[decade]],Lookups!$F$28:$H$45,3,FALSE),1))</f>
        <v>1.035341704162583</v>
      </c>
      <c r="BX452" s="2">
        <f>_xlfn.IFNA(VLOOKUP(Wapato_Inventory[[#This Row],[living_area_range]],Lookups!$K$28:$M$37,3,FALSE),1)</f>
        <v>0.90813907160181651</v>
      </c>
      <c r="BY452" s="2">
        <f>AVERAGE(Wapato_Inventory[[#This Row],[qual_adj]:[range_adj]])</f>
        <v>0.97666155990564696</v>
      </c>
      <c r="BZ452" s="7">
        <f>(Wapato_Inventory[[#This Row],[sum_land]]-IF(Wapato_Inventory[[#This Row],[no_utilities]]=1,12000,0))/IF(Wapato_Inventory[[#This Row],[unbuildable]]=1,2,1)</f>
        <v>60300</v>
      </c>
      <c r="CA452" s="7">
        <f>Wapato_Inventory[[#This Row],[pre_res]]*Wapato_Inventory[[#This Row],[overall_adj]]</f>
        <v>253131.73608227161</v>
      </c>
      <c r="CB452" s="3">
        <f>IF(ROUND(Wapato_Inventory[[#This Row],[adj_land]]*Lookups!$H$48,-2)&lt;Wapato_Inventory[[#This Row],[min_land]],Wapato_Inventory[[#This Row],[min_land]],ROUND(Wapato_Inventory[[#This Row],[adj_land]]*Lookups!$H$48,-2))</f>
        <v>57300</v>
      </c>
      <c r="CC452" s="3">
        <f>IF(ROUND(Wapato_Inventory[[#This Row],[adj_res]]*Lookups!$H$48,-2)&lt;Wapato_Inventory[[#This Row],[min_res]],Wapato_Inventory[[#This Row],[min_res]],ROUND(Wapato_Inventory[[#This Row],[adj_res]]*Lookups!$H$48,-2))</f>
        <v>240500</v>
      </c>
      <c r="CD452" s="3">
        <f>ROUND(Wapato_Inventory[[#This Row],[det_value]]*Lookups!$H$48,-2)</f>
        <v>26900</v>
      </c>
      <c r="CE452" s="3">
        <f>Wapato_Inventory[[#This Row],[final_res]]+Wapato_Inventory[[#This Row],[final_det]]</f>
        <v>267400</v>
      </c>
      <c r="CF452" s="3">
        <f>Wapato_Inventory[[#This Row],[crop_value]]+Wapato_Inventory[[#This Row],[final_land]]+Wapato_Inventory[[#This Row],[final_imp]]</f>
        <v>324700</v>
      </c>
      <c r="CH452" t="str">
        <f t="shared" si="7"/>
        <v>update valuation set market_land =57300, market_bldg=267400, market_total =324700, market_mdno =405, market_date ='9/10/2023' where link_id = (select link_id from parcel where parcel_year = '2024' and parcel_id = '19111433003');</v>
      </c>
    </row>
    <row r="453" spans="1:86" x14ac:dyDescent="0.25">
      <c r="A453">
        <v>19111433005</v>
      </c>
      <c r="B453">
        <v>2</v>
      </c>
      <c r="C453">
        <v>87116</v>
      </c>
      <c r="D453" t="s">
        <v>144</v>
      </c>
      <c r="E453" t="s">
        <v>54</v>
      </c>
      <c r="F453" t="s">
        <v>54</v>
      </c>
      <c r="G453">
        <v>3</v>
      </c>
      <c r="H453" t="s">
        <v>55</v>
      </c>
      <c r="I453">
        <v>471900</v>
      </c>
      <c r="J453">
        <v>50200</v>
      </c>
      <c r="K453">
        <v>2</v>
      </c>
      <c r="L453">
        <f>IF(Wapato_Inventory[[#This Row],[parcel_acres]]-Wapato_Inventory[[#This Row],[non_valued_acres]] =0,0,LN(Wapato_Inventory[[#This Row],[parcel_acres]]-Wapato_Inventory[[#This Row],[non_valued_acres]]))</f>
        <v>0.69314718055994529</v>
      </c>
      <c r="M453">
        <v>0</v>
      </c>
      <c r="N453">
        <v>0</v>
      </c>
      <c r="O453">
        <v>0</v>
      </c>
      <c r="P453">
        <v>27904.037</v>
      </c>
      <c r="Q453">
        <v>74398</v>
      </c>
      <c r="R453" s="3">
        <f>(Wapato_Inventory[[#This Row],[ln_acres]]*Wapato_Inventory[[#This Row],[coeff]])+Wapato_Inventory[[#This Row],[const]]</f>
        <v>93739.604572790398</v>
      </c>
      <c r="S453" t="s">
        <v>59</v>
      </c>
      <c r="T453">
        <v>1</v>
      </c>
      <c r="U453" t="s">
        <v>108</v>
      </c>
      <c r="V453" t="s">
        <v>70</v>
      </c>
      <c r="W453">
        <v>78400</v>
      </c>
      <c r="X453">
        <v>0</v>
      </c>
      <c r="Y453">
        <v>12</v>
      </c>
      <c r="Z453">
        <v>12</v>
      </c>
      <c r="AA453">
        <v>20</v>
      </c>
      <c r="AB453">
        <v>5000</v>
      </c>
      <c r="AC453">
        <v>4592</v>
      </c>
      <c r="AD453">
        <v>3432</v>
      </c>
      <c r="AE453">
        <v>0</v>
      </c>
      <c r="AF453">
        <v>1160</v>
      </c>
      <c r="AG453">
        <v>0</v>
      </c>
      <c r="AH453">
        <v>0</v>
      </c>
      <c r="AI453">
        <v>1044</v>
      </c>
      <c r="AJ453">
        <v>0</v>
      </c>
      <c r="AK453">
        <v>0</v>
      </c>
      <c r="AL453">
        <v>0</v>
      </c>
      <c r="AM453">
        <v>726</v>
      </c>
      <c r="AN453">
        <v>332</v>
      </c>
      <c r="AO453">
        <v>726</v>
      </c>
      <c r="AP453">
        <v>14</v>
      </c>
      <c r="AQ453">
        <v>0</v>
      </c>
      <c r="AR453">
        <v>0</v>
      </c>
      <c r="AS453" t="s">
        <v>59</v>
      </c>
      <c r="AT453">
        <v>1</v>
      </c>
      <c r="AU453" t="s">
        <v>64</v>
      </c>
      <c r="AV453" t="s">
        <v>61</v>
      </c>
      <c r="AW453">
        <v>1</v>
      </c>
      <c r="AX453">
        <v>4</v>
      </c>
      <c r="AY453">
        <v>0</v>
      </c>
      <c r="AZ453">
        <v>0</v>
      </c>
      <c r="BA453">
        <v>100</v>
      </c>
      <c r="BB453">
        <v>100</v>
      </c>
      <c r="BC453">
        <v>100</v>
      </c>
      <c r="BD453">
        <v>100</v>
      </c>
      <c r="BE453">
        <v>1</v>
      </c>
      <c r="BF453">
        <v>15000</v>
      </c>
      <c r="BG453">
        <v>1000</v>
      </c>
      <c r="BH453" s="7">
        <f>ROUND(Wapato_Inventory[[#This Row],[detatched_value]]*Lookups!$B$22*Lookups!$H$48,-2)</f>
        <v>0</v>
      </c>
      <c r="BI453" s="7">
        <f>ROUND(((Wapato_Inventory[[#This Row],[land_extract]]*Lookups!$B$3) +(Lookups!$B$2*0.5))*Lookups!$H$48,-2)</f>
        <v>60100</v>
      </c>
      <c r="BJ453" s="7">
        <f>IF(Wapato_Inventory[[#This Row],[bldg_style]]="",0,Lookups!$B$2*0.5)</f>
        <v>53765.27</v>
      </c>
      <c r="BK453" s="7">
        <f>_xlfn.IFNA(VLOOKUP(Wapato_Inventory[[#This Row],[quality]],Lookups!$H$2:$J$14,3,FALSE),0)</f>
        <v>134843</v>
      </c>
      <c r="BL453" s="7">
        <f>_xlfn.IFNA(VLOOKUP(Wapato_Inventory[[#This Row],[condition]],Lookups!$H$17:$J$24,3,FALSE),0)</f>
        <v>84338</v>
      </c>
      <c r="BM453" s="7">
        <f>Wapato_Inventory[[#This Row],[Age]]*Lookups!$B$16</f>
        <v>-4448.1084000000001</v>
      </c>
      <c r="BN453" s="7">
        <f>Wapato_Inventory[[#This Row],[Main Floor]]*Lookups!$B$17</f>
        <v>143460.136248</v>
      </c>
      <c r="BO453" s="7">
        <f>Wapato_Inventory[[#This Row],[Upper Floor]]*Lookups!$B$18</f>
        <v>0</v>
      </c>
      <c r="BP453" s="7">
        <f>Wapato_Inventory[[#This Row],[Fin BSMT]]*Lookups!$B$19</f>
        <v>0</v>
      </c>
      <c r="BQ453" s="7">
        <f>(Wapato_Inventory[[#This Row],[att_gar]]+Wapato_Inventory[[#This Row],[blt_gar]])*Lookups!$B$20</f>
        <v>38637.137088000003</v>
      </c>
      <c r="BR453" s="7">
        <f>Wapato_Inventory[[#This Row],[Patio]]*Lookups!$B$21</f>
        <v>31453.208753999999</v>
      </c>
      <c r="BS453" s="7">
        <f>SUM(Wapato_Inventory[[#This Row],[intercept]:[patio_value]])*Wapato_Inventory[[#This Row],[res_pct]]</f>
        <v>482048.64369</v>
      </c>
      <c r="BT453" s="7">
        <f>Wapato_Inventory[[#This Row],[land_value]]</f>
        <v>60100</v>
      </c>
      <c r="BU453" s="2">
        <f>_xlfn.IFNA(VLOOKUP(Wapato_Inventory[[#This Row],[quality]],Lookups!$A$28:$C$37,3,FALSE),1)</f>
        <v>1.0000008715458084</v>
      </c>
      <c r="BV453" s="2">
        <f>_xlfn.IFNA(VLOOKUP(Wapato_Inventory[[#This Row],[condition]],Lookups!$A$41:$C$48,3,FALSE),1)</f>
        <v>0.99478075210508476</v>
      </c>
      <c r="BW453" s="2">
        <f>IF(Wapato_Inventory[[#This Row],[decade]]="",1,_xlfn.IFNA(VLOOKUP(Wapato_Inventory[[#This Row],[decade]],Lookups!$F$28:$H$45,3,FALSE),1))</f>
        <v>1.0658609603367226</v>
      </c>
      <c r="BX453" s="2">
        <f>_xlfn.IFNA(VLOOKUP(Wapato_Inventory[[#This Row],[living_area_range]],Lookups!$K$28:$M$37,3,FALSE),1)</f>
        <v>1.0155869662067822</v>
      </c>
      <c r="BY453" s="2">
        <f>AVERAGE(Wapato_Inventory[[#This Row],[qual_adj]:[range_adj]])</f>
        <v>1.0190573875485995</v>
      </c>
      <c r="BZ453" s="7">
        <f>(Wapato_Inventory[[#This Row],[sum_land]]-IF(Wapato_Inventory[[#This Row],[no_utilities]]=1,12000,0))/IF(Wapato_Inventory[[#This Row],[unbuildable]]=1,2,1)</f>
        <v>60100</v>
      </c>
      <c r="CA453" s="7">
        <f>Wapato_Inventory[[#This Row],[pre_res]]*Wapato_Inventory[[#This Row],[overall_adj]]</f>
        <v>491235.23151007708</v>
      </c>
      <c r="CB453" s="3">
        <f>IF(ROUND(Wapato_Inventory[[#This Row],[adj_land]]*Lookups!$H$48,-2)&lt;Wapato_Inventory[[#This Row],[min_land]],Wapato_Inventory[[#This Row],[min_land]],ROUND(Wapato_Inventory[[#This Row],[adj_land]]*Lookups!$H$48,-2))</f>
        <v>57100</v>
      </c>
      <c r="CC453" s="3">
        <f>IF(ROUND(Wapato_Inventory[[#This Row],[adj_res]]*Lookups!$H$48,-2)&lt;Wapato_Inventory[[#This Row],[min_res]],Wapato_Inventory[[#This Row],[min_res]],ROUND(Wapato_Inventory[[#This Row],[adj_res]]*Lookups!$H$48,-2))</f>
        <v>466700</v>
      </c>
      <c r="CD453" s="3">
        <f>ROUND(Wapato_Inventory[[#This Row],[det_value]]*Lookups!$H$48,-2)</f>
        <v>0</v>
      </c>
      <c r="CE453" s="3">
        <f>Wapato_Inventory[[#This Row],[final_res]]+Wapato_Inventory[[#This Row],[final_det]]</f>
        <v>466700</v>
      </c>
      <c r="CF453" s="3">
        <f>Wapato_Inventory[[#This Row],[crop_value]]+Wapato_Inventory[[#This Row],[final_land]]+Wapato_Inventory[[#This Row],[final_imp]]</f>
        <v>523800</v>
      </c>
      <c r="CH453" t="str">
        <f t="shared" si="7"/>
        <v>update valuation set market_land =57100, market_bldg=466700, market_total =523800, market_mdno =405, market_date ='9/10/2023' where link_id = (select link_id from parcel where parcel_year = '2024' and parcel_id = '19111433005');</v>
      </c>
    </row>
    <row r="454" spans="1:86" x14ac:dyDescent="0.25">
      <c r="A454">
        <v>19111433400</v>
      </c>
      <c r="B454">
        <v>0.45</v>
      </c>
      <c r="C454">
        <v>19769</v>
      </c>
      <c r="D454" t="s">
        <v>144</v>
      </c>
      <c r="E454" t="s">
        <v>54</v>
      </c>
      <c r="F454" t="s">
        <v>54</v>
      </c>
      <c r="G454">
        <v>3</v>
      </c>
      <c r="H454" t="s">
        <v>55</v>
      </c>
      <c r="I454">
        <v>343700</v>
      </c>
      <c r="J454">
        <v>39600</v>
      </c>
      <c r="K454">
        <v>0.45</v>
      </c>
      <c r="L454">
        <f>IF(Wapato_Inventory[[#This Row],[parcel_acres]]-Wapato_Inventory[[#This Row],[non_valued_acres]] =0,0,LN(Wapato_Inventory[[#This Row],[parcel_acres]]-Wapato_Inventory[[#This Row],[non_valued_acres]]))</f>
        <v>-0.79850769621777162</v>
      </c>
      <c r="M454">
        <v>0</v>
      </c>
      <c r="N454">
        <v>0</v>
      </c>
      <c r="O454">
        <v>0</v>
      </c>
      <c r="P454">
        <v>27904.037</v>
      </c>
      <c r="Q454">
        <v>74398</v>
      </c>
      <c r="R454" s="3">
        <f>(Wapato_Inventory[[#This Row],[ln_acres]]*Wapato_Inventory[[#This Row],[coeff]])+Wapato_Inventory[[#This Row],[const]]</f>
        <v>52116.411699954537</v>
      </c>
      <c r="S454" t="s">
        <v>62</v>
      </c>
      <c r="T454">
        <v>1</v>
      </c>
      <c r="U454" t="s">
        <v>65</v>
      </c>
      <c r="V454" t="s">
        <v>70</v>
      </c>
      <c r="W454">
        <v>0</v>
      </c>
      <c r="X454">
        <v>0</v>
      </c>
      <c r="Y454">
        <v>44</v>
      </c>
      <c r="Z454">
        <v>46</v>
      </c>
      <c r="AA454">
        <v>50</v>
      </c>
      <c r="AB454">
        <v>3000</v>
      </c>
      <c r="AC454">
        <v>2630</v>
      </c>
      <c r="AD454">
        <v>2630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351</v>
      </c>
      <c r="AN454">
        <v>0</v>
      </c>
      <c r="AO454">
        <v>0</v>
      </c>
      <c r="AP454">
        <v>12</v>
      </c>
      <c r="AQ454">
        <v>0</v>
      </c>
      <c r="AR454">
        <v>1</v>
      </c>
      <c r="AS454" t="s">
        <v>59</v>
      </c>
      <c r="AT454">
        <v>1</v>
      </c>
      <c r="AU454" t="s">
        <v>64</v>
      </c>
      <c r="AV454" t="s">
        <v>65</v>
      </c>
      <c r="AW454">
        <v>1</v>
      </c>
      <c r="AX454">
        <v>4</v>
      </c>
      <c r="AY454">
        <v>0</v>
      </c>
      <c r="AZ454">
        <v>28100</v>
      </c>
      <c r="BA454">
        <v>100</v>
      </c>
      <c r="BB454">
        <v>100</v>
      </c>
      <c r="BC454">
        <v>100</v>
      </c>
      <c r="BD454">
        <v>100</v>
      </c>
      <c r="BE454">
        <v>1</v>
      </c>
      <c r="BF454">
        <v>15000</v>
      </c>
      <c r="BG454">
        <v>1000</v>
      </c>
      <c r="BH454" s="7">
        <f>ROUND(Wapato_Inventory[[#This Row],[detatched_value]]*Lookups!$B$22*Lookups!$H$48,-2)</f>
        <v>25100</v>
      </c>
      <c r="BI454" s="7">
        <f>ROUND(((Wapato_Inventory[[#This Row],[land_extract]]*Lookups!$B$3) +(Lookups!$B$2*0.5))*Lookups!$H$48,-2)</f>
        <v>56100</v>
      </c>
      <c r="BJ454" s="7">
        <f>IF(Wapato_Inventory[[#This Row],[bldg_style]]="",0,Lookups!$B$2*0.5)</f>
        <v>53765.27</v>
      </c>
      <c r="BK454" s="7">
        <f>_xlfn.IFNA(VLOOKUP(Wapato_Inventory[[#This Row],[quality]],Lookups!$H$2:$J$14,3,FALSE),0)</f>
        <v>92307</v>
      </c>
      <c r="BL454" s="7">
        <f>_xlfn.IFNA(VLOOKUP(Wapato_Inventory[[#This Row],[condition]],Lookups!$H$17:$J$24,3,FALSE),0)</f>
        <v>84338</v>
      </c>
      <c r="BM454" s="7">
        <f>Wapato_Inventory[[#This Row],[Age]]*Lookups!$B$16</f>
        <v>-17051.082200000001</v>
      </c>
      <c r="BN454" s="7">
        <f>Wapato_Inventory[[#This Row],[Main Floor]]*Lookups!$B$17</f>
        <v>109935.94357</v>
      </c>
      <c r="BO454" s="7">
        <f>Wapato_Inventory[[#This Row],[Upper Floor]]*Lookups!$B$18</f>
        <v>0</v>
      </c>
      <c r="BP454" s="7">
        <f>Wapato_Inventory[[#This Row],[Fin BSMT]]*Lookups!$B$19</f>
        <v>0</v>
      </c>
      <c r="BQ454" s="7">
        <f>(Wapato_Inventory[[#This Row],[att_gar]]+Wapato_Inventory[[#This Row],[blt_gar]])*Lookups!$B$20</f>
        <v>0</v>
      </c>
      <c r="BR454" s="7">
        <f>Wapato_Inventory[[#This Row],[Patio]]*Lookups!$B$21</f>
        <v>15206.716629</v>
      </c>
      <c r="BS454" s="7">
        <f>SUM(Wapato_Inventory[[#This Row],[intercept]:[patio_value]])*Wapato_Inventory[[#This Row],[res_pct]]</f>
        <v>338501.84799899993</v>
      </c>
      <c r="BT454" s="7">
        <f>Wapato_Inventory[[#This Row],[land_value]]</f>
        <v>56100</v>
      </c>
      <c r="BU454" s="2">
        <f>_xlfn.IFNA(VLOOKUP(Wapato_Inventory[[#This Row],[quality]],Lookups!$A$28:$C$37,3,FALSE),1)</f>
        <v>1.0013727718490204</v>
      </c>
      <c r="BV454" s="2">
        <f>_xlfn.IFNA(VLOOKUP(Wapato_Inventory[[#This Row],[condition]],Lookups!$A$41:$C$48,3,FALSE),1)</f>
        <v>0.99478075210508476</v>
      </c>
      <c r="BW454" s="2">
        <f>IF(Wapato_Inventory[[#This Row],[decade]]="",1,_xlfn.IFNA(VLOOKUP(Wapato_Inventory[[#This Row],[decade]],Lookups!$F$28:$H$45,3,FALSE),1))</f>
        <v>0.96240333884358298</v>
      </c>
      <c r="BX454" s="2">
        <f>_xlfn.IFNA(VLOOKUP(Wapato_Inventory[[#This Row],[living_area_range]],Lookups!$K$28:$M$37,3,FALSE),1)</f>
        <v>1.0155869662067822</v>
      </c>
      <c r="BY454" s="2">
        <f>AVERAGE(Wapato_Inventory[[#This Row],[qual_adj]:[range_adj]])</f>
        <v>0.99353595725111754</v>
      </c>
      <c r="BZ454" s="7">
        <f>(Wapato_Inventory[[#This Row],[sum_land]]-IF(Wapato_Inventory[[#This Row],[no_utilities]]=1,12000,0))/IF(Wapato_Inventory[[#This Row],[unbuildable]]=1,2,1)</f>
        <v>56100</v>
      </c>
      <c r="CA454" s="7">
        <f>Wapato_Inventory[[#This Row],[pre_res]]*Wapato_Inventory[[#This Row],[overall_adj]]</f>
        <v>336313.75758295867</v>
      </c>
      <c r="CB454" s="3">
        <f>IF(ROUND(Wapato_Inventory[[#This Row],[adj_land]]*Lookups!$H$48,-2)&lt;Wapato_Inventory[[#This Row],[min_land]],Wapato_Inventory[[#This Row],[min_land]],ROUND(Wapato_Inventory[[#This Row],[adj_land]]*Lookups!$H$48,-2))</f>
        <v>53300</v>
      </c>
      <c r="CC454" s="3">
        <f>IF(ROUND(Wapato_Inventory[[#This Row],[adj_res]]*Lookups!$H$48,-2)&lt;Wapato_Inventory[[#This Row],[min_res]],Wapato_Inventory[[#This Row],[min_res]],ROUND(Wapato_Inventory[[#This Row],[adj_res]]*Lookups!$H$48,-2))</f>
        <v>319500</v>
      </c>
      <c r="CD454" s="3">
        <f>ROUND(Wapato_Inventory[[#This Row],[det_value]]*Lookups!$H$48,-2)</f>
        <v>23800</v>
      </c>
      <c r="CE454" s="3">
        <f>Wapato_Inventory[[#This Row],[final_res]]+Wapato_Inventory[[#This Row],[final_det]]</f>
        <v>343300</v>
      </c>
      <c r="CF454" s="3">
        <f>Wapato_Inventory[[#This Row],[crop_value]]+Wapato_Inventory[[#This Row],[final_land]]+Wapato_Inventory[[#This Row],[final_imp]]</f>
        <v>396600</v>
      </c>
      <c r="CH454" t="str">
        <f t="shared" si="7"/>
        <v>update valuation set market_land =53300, market_bldg=343300, market_total =396600, market_mdno =405, market_date ='9/10/2023' where link_id = (select link_id from parcel where parcel_year = '2024' and parcel_id = '19111433400');</v>
      </c>
    </row>
    <row r="455" spans="1:86" x14ac:dyDescent="0.25">
      <c r="A455">
        <v>19111433401</v>
      </c>
      <c r="B455">
        <v>0.38</v>
      </c>
      <c r="C455">
        <v>16500</v>
      </c>
      <c r="D455" t="s">
        <v>144</v>
      </c>
      <c r="E455" t="s">
        <v>54</v>
      </c>
      <c r="F455" t="s">
        <v>54</v>
      </c>
      <c r="G455">
        <v>3</v>
      </c>
      <c r="H455" t="s">
        <v>55</v>
      </c>
      <c r="I455">
        <v>258300</v>
      </c>
      <c r="J455">
        <v>38500</v>
      </c>
      <c r="K455">
        <v>0.38</v>
      </c>
      <c r="L455">
        <f>IF(Wapato_Inventory[[#This Row],[parcel_acres]]-Wapato_Inventory[[#This Row],[non_valued_acres]] =0,0,LN(Wapato_Inventory[[#This Row],[parcel_acres]]-Wapato_Inventory[[#This Row],[non_valued_acres]]))</f>
        <v>-0.96758402626170559</v>
      </c>
      <c r="M455">
        <v>0</v>
      </c>
      <c r="N455">
        <v>0</v>
      </c>
      <c r="O455">
        <v>0</v>
      </c>
      <c r="P455">
        <v>27904.037</v>
      </c>
      <c r="Q455">
        <v>74398</v>
      </c>
      <c r="R455" s="3">
        <f>(Wapato_Inventory[[#This Row],[ln_acres]]*Wapato_Inventory[[#This Row],[coeff]])+Wapato_Inventory[[#This Row],[const]]</f>
        <v>47398.499530584391</v>
      </c>
      <c r="S455" t="s">
        <v>62</v>
      </c>
      <c r="T455">
        <v>1</v>
      </c>
      <c r="U455" t="s">
        <v>63</v>
      </c>
      <c r="V455" t="s">
        <v>69</v>
      </c>
      <c r="W455">
        <v>0</v>
      </c>
      <c r="X455">
        <v>0</v>
      </c>
      <c r="Y455">
        <v>47</v>
      </c>
      <c r="Z455">
        <v>56</v>
      </c>
      <c r="AA455">
        <v>60</v>
      </c>
      <c r="AB455">
        <v>2000</v>
      </c>
      <c r="AC455">
        <v>1586</v>
      </c>
      <c r="AD455">
        <v>1586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598</v>
      </c>
      <c r="AN455">
        <v>0</v>
      </c>
      <c r="AO455">
        <v>280</v>
      </c>
      <c r="AP455">
        <v>8</v>
      </c>
      <c r="AQ455">
        <v>0</v>
      </c>
      <c r="AR455">
        <v>1</v>
      </c>
      <c r="AS455" t="s">
        <v>59</v>
      </c>
      <c r="AT455">
        <v>1</v>
      </c>
      <c r="AU455" t="s">
        <v>60</v>
      </c>
      <c r="AV455" t="s">
        <v>61</v>
      </c>
      <c r="AW455">
        <v>1</v>
      </c>
      <c r="AX455">
        <v>3</v>
      </c>
      <c r="AY455">
        <v>0</v>
      </c>
      <c r="AZ455">
        <v>8900</v>
      </c>
      <c r="BA455">
        <v>100</v>
      </c>
      <c r="BB455">
        <v>100</v>
      </c>
      <c r="BC455">
        <v>100</v>
      </c>
      <c r="BD455">
        <v>100</v>
      </c>
      <c r="BE455">
        <v>1</v>
      </c>
      <c r="BF455">
        <v>15000</v>
      </c>
      <c r="BG455">
        <v>1000</v>
      </c>
      <c r="BH455" s="7">
        <f>ROUND(Wapato_Inventory[[#This Row],[detatched_value]]*Lookups!$B$22*Lookups!$H$48,-2)</f>
        <v>7900</v>
      </c>
      <c r="BI455" s="7">
        <f>ROUND(((Wapato_Inventory[[#This Row],[land_extract]]*Lookups!$B$3) +(Lookups!$B$2*0.5))*Lookups!$H$48,-2)</f>
        <v>55700</v>
      </c>
      <c r="BJ455" s="7">
        <f>IF(Wapato_Inventory[[#This Row],[bldg_style]]="",0,Lookups!$B$2*0.5)</f>
        <v>53765.27</v>
      </c>
      <c r="BK455" s="7">
        <f>_xlfn.IFNA(VLOOKUP(Wapato_Inventory[[#This Row],[quality]],Lookups!$H$2:$J$14,3,FALSE),0)</f>
        <v>50594</v>
      </c>
      <c r="BL455" s="7">
        <f>_xlfn.IFNA(VLOOKUP(Wapato_Inventory[[#This Row],[condition]],Lookups!$H$17:$J$24,3,FALSE),0)</f>
        <v>74543</v>
      </c>
      <c r="BM455" s="7">
        <f>Wapato_Inventory[[#This Row],[Age]]*Lookups!$B$16</f>
        <v>-20757.839200000002</v>
      </c>
      <c r="BN455" s="7">
        <f>Wapato_Inventory[[#This Row],[Main Floor]]*Lookups!$B$17</f>
        <v>66295.972053999998</v>
      </c>
      <c r="BO455" s="7">
        <f>Wapato_Inventory[[#This Row],[Upper Floor]]*Lookups!$B$18</f>
        <v>0</v>
      </c>
      <c r="BP455" s="7">
        <f>Wapato_Inventory[[#This Row],[Fin BSMT]]*Lookups!$B$19</f>
        <v>0</v>
      </c>
      <c r="BQ455" s="7">
        <f>(Wapato_Inventory[[#This Row],[att_gar]]+Wapato_Inventory[[#This Row],[blt_gar]])*Lookups!$B$20</f>
        <v>0</v>
      </c>
      <c r="BR455" s="7">
        <f>Wapato_Inventory[[#This Row],[Patio]]*Lookups!$B$21</f>
        <v>25907.739442000002</v>
      </c>
      <c r="BS455" s="7">
        <f>SUM(Wapato_Inventory[[#This Row],[intercept]:[patio_value]])*Wapato_Inventory[[#This Row],[res_pct]]</f>
        <v>250348.14229599998</v>
      </c>
      <c r="BT455" s="7">
        <f>Wapato_Inventory[[#This Row],[land_value]]</f>
        <v>55700</v>
      </c>
      <c r="BU455" s="2">
        <f>_xlfn.IFNA(VLOOKUP(Wapato_Inventory[[#This Row],[quality]],Lookups!$A$28:$C$37,3,FALSE),1)</f>
        <v>0.99197423394367223</v>
      </c>
      <c r="BV455" s="2">
        <f>_xlfn.IFNA(VLOOKUP(Wapato_Inventory[[#This Row],[condition]],Lookups!$A$41:$C$48,3,FALSE),1)</f>
        <v>0.98442438223270734</v>
      </c>
      <c r="BW455" s="2">
        <f>IF(Wapato_Inventory[[#This Row],[decade]]="",1,_xlfn.IFNA(VLOOKUP(Wapato_Inventory[[#This Row],[decade]],Lookups!$F$28:$H$45,3,FALSE),1))</f>
        <v>1.035341704162583</v>
      </c>
      <c r="BX455" s="2">
        <f>_xlfn.IFNA(VLOOKUP(Wapato_Inventory[[#This Row],[living_area_range]],Lookups!$K$28:$M$37,3,FALSE),1)</f>
        <v>0.99330894324714125</v>
      </c>
      <c r="BY455" s="2">
        <f>AVERAGE(Wapato_Inventory[[#This Row],[qual_adj]:[range_adj]])</f>
        <v>1.0012623158965259</v>
      </c>
      <c r="BZ455" s="7">
        <f>(Wapato_Inventory[[#This Row],[sum_land]]-IF(Wapato_Inventory[[#This Row],[no_utilities]]=1,12000,0))/IF(Wapato_Inventory[[#This Row],[unbuildable]]=1,2,1)</f>
        <v>55700</v>
      </c>
      <c r="CA455" s="7">
        <f>Wapato_Inventory[[#This Row],[pre_res]]*Wapato_Inventory[[#This Row],[overall_adj]]</f>
        <v>250664.16073568596</v>
      </c>
      <c r="CB455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455" s="3">
        <f>IF(ROUND(Wapato_Inventory[[#This Row],[adj_res]]*Lookups!$H$48,-2)&lt;Wapato_Inventory[[#This Row],[min_res]],Wapato_Inventory[[#This Row],[min_res]],ROUND(Wapato_Inventory[[#This Row],[adj_res]]*Lookups!$H$48,-2))</f>
        <v>238100</v>
      </c>
      <c r="CD455" s="3">
        <f>ROUND(Wapato_Inventory[[#This Row],[det_value]]*Lookups!$H$48,-2)</f>
        <v>7500</v>
      </c>
      <c r="CE455" s="3">
        <f>Wapato_Inventory[[#This Row],[final_res]]+Wapato_Inventory[[#This Row],[final_det]]</f>
        <v>245600</v>
      </c>
      <c r="CF455" s="3">
        <f>Wapato_Inventory[[#This Row],[crop_value]]+Wapato_Inventory[[#This Row],[final_land]]+Wapato_Inventory[[#This Row],[final_imp]]</f>
        <v>298500</v>
      </c>
      <c r="CH455" t="str">
        <f t="shared" si="7"/>
        <v>update valuation set market_land =52900, market_bldg=245600, market_total =298500, market_mdno =405, market_date ='9/10/2023' where link_id = (select link_id from parcel where parcel_year = '2024' and parcel_id = '19111433401');</v>
      </c>
    </row>
    <row r="456" spans="1:86" x14ac:dyDescent="0.25">
      <c r="A456">
        <v>19111433402</v>
      </c>
      <c r="B456">
        <v>0.38</v>
      </c>
      <c r="C456">
        <v>16500</v>
      </c>
      <c r="D456" t="s">
        <v>144</v>
      </c>
      <c r="E456" t="s">
        <v>54</v>
      </c>
      <c r="F456" t="s">
        <v>54</v>
      </c>
      <c r="G456">
        <v>3</v>
      </c>
      <c r="H456" t="s">
        <v>55</v>
      </c>
      <c r="I456">
        <v>252900</v>
      </c>
      <c r="J456">
        <v>38500</v>
      </c>
      <c r="K456">
        <v>0.38</v>
      </c>
      <c r="L456">
        <f>IF(Wapato_Inventory[[#This Row],[parcel_acres]]-Wapato_Inventory[[#This Row],[non_valued_acres]] =0,0,LN(Wapato_Inventory[[#This Row],[parcel_acres]]-Wapato_Inventory[[#This Row],[non_valued_acres]]))</f>
        <v>-0.96758402626170559</v>
      </c>
      <c r="M456">
        <v>0</v>
      </c>
      <c r="N456">
        <v>0</v>
      </c>
      <c r="O456">
        <v>0</v>
      </c>
      <c r="P456">
        <v>27904.037</v>
      </c>
      <c r="Q456">
        <v>74398</v>
      </c>
      <c r="R456" s="3">
        <f>(Wapato_Inventory[[#This Row],[ln_acres]]*Wapato_Inventory[[#This Row],[coeff]])+Wapato_Inventory[[#This Row],[const]]</f>
        <v>47398.499530584391</v>
      </c>
      <c r="S456" t="s">
        <v>62</v>
      </c>
      <c r="T456">
        <v>1</v>
      </c>
      <c r="U456" t="s">
        <v>63</v>
      </c>
      <c r="V456" t="s">
        <v>69</v>
      </c>
      <c r="W456">
        <v>0</v>
      </c>
      <c r="X456">
        <v>0</v>
      </c>
      <c r="Y456">
        <v>48</v>
      </c>
      <c r="Z456">
        <v>59</v>
      </c>
      <c r="AA456">
        <v>60</v>
      </c>
      <c r="AB456">
        <v>2500</v>
      </c>
      <c r="AC456">
        <v>2076</v>
      </c>
      <c r="AD456">
        <v>2076</v>
      </c>
      <c r="AE456">
        <v>0</v>
      </c>
      <c r="AF456">
        <v>0</v>
      </c>
      <c r="AG456">
        <v>0</v>
      </c>
      <c r="AH456">
        <v>0</v>
      </c>
      <c r="AI456">
        <v>192</v>
      </c>
      <c r="AJ456">
        <v>0</v>
      </c>
      <c r="AK456">
        <v>576</v>
      </c>
      <c r="AL456">
        <v>0</v>
      </c>
      <c r="AM456">
        <v>498</v>
      </c>
      <c r="AN456">
        <v>0</v>
      </c>
      <c r="AO456">
        <v>256</v>
      </c>
      <c r="AP456">
        <v>11</v>
      </c>
      <c r="AQ456">
        <v>0</v>
      </c>
      <c r="AR456">
        <v>1</v>
      </c>
      <c r="AS456" t="s">
        <v>59</v>
      </c>
      <c r="AT456">
        <v>1</v>
      </c>
      <c r="AU456" t="s">
        <v>76</v>
      </c>
      <c r="AV456" t="s">
        <v>61</v>
      </c>
      <c r="AW456">
        <v>0</v>
      </c>
      <c r="AX456">
        <v>2</v>
      </c>
      <c r="AY456">
        <v>0</v>
      </c>
      <c r="AZ456">
        <v>0</v>
      </c>
      <c r="BA456">
        <v>100</v>
      </c>
      <c r="BB456">
        <v>100</v>
      </c>
      <c r="BC456">
        <v>100</v>
      </c>
      <c r="BD456">
        <v>100</v>
      </c>
      <c r="BE456">
        <v>1</v>
      </c>
      <c r="BF456">
        <v>15000</v>
      </c>
      <c r="BG456">
        <v>1000</v>
      </c>
      <c r="BH456" s="7">
        <f>ROUND(Wapato_Inventory[[#This Row],[detatched_value]]*Lookups!$B$22*Lookups!$H$48,-2)</f>
        <v>0</v>
      </c>
      <c r="BI456" s="7">
        <f>ROUND(((Wapato_Inventory[[#This Row],[land_extract]]*Lookups!$B$3) +(Lookups!$B$2*0.5))*Lookups!$H$48,-2)</f>
        <v>55700</v>
      </c>
      <c r="BJ456" s="7">
        <f>IF(Wapato_Inventory[[#This Row],[bldg_style]]="",0,Lookups!$B$2*0.5)</f>
        <v>53765.27</v>
      </c>
      <c r="BK456" s="7">
        <f>_xlfn.IFNA(VLOOKUP(Wapato_Inventory[[#This Row],[quality]],Lookups!$H$2:$J$14,3,FALSE),0)</f>
        <v>50594</v>
      </c>
      <c r="BL456" s="7">
        <f>_xlfn.IFNA(VLOOKUP(Wapato_Inventory[[#This Row],[condition]],Lookups!$H$17:$J$24,3,FALSE),0)</f>
        <v>74543</v>
      </c>
      <c r="BM456" s="7">
        <f>Wapato_Inventory[[#This Row],[Age]]*Lookups!$B$16</f>
        <v>-21869.866300000002</v>
      </c>
      <c r="BN456" s="7">
        <f>Wapato_Inventory[[#This Row],[Main Floor]]*Lookups!$B$17</f>
        <v>86778.334164</v>
      </c>
      <c r="BO456" s="7">
        <f>Wapato_Inventory[[#This Row],[Upper Floor]]*Lookups!$B$18</f>
        <v>0</v>
      </c>
      <c r="BP456" s="7">
        <f>Wapato_Inventory[[#This Row],[Fin BSMT]]*Lookups!$B$19</f>
        <v>0</v>
      </c>
      <c r="BQ456" s="7">
        <f>(Wapato_Inventory[[#This Row],[att_gar]]+Wapato_Inventory[[#This Row],[blt_gar]])*Lookups!$B$20</f>
        <v>7105.6803840000002</v>
      </c>
      <c r="BR456" s="7">
        <f>Wapato_Inventory[[#This Row],[Patio]]*Lookups!$B$21</f>
        <v>21575.341542000002</v>
      </c>
      <c r="BS456" s="7">
        <f>SUM(Wapato_Inventory[[#This Row],[intercept]:[patio_value]])*Wapato_Inventory[[#This Row],[res_pct]]</f>
        <v>272491.75978999998</v>
      </c>
      <c r="BT456" s="7">
        <f>Wapato_Inventory[[#This Row],[land_value]]</f>
        <v>55700</v>
      </c>
      <c r="BU456" s="2">
        <f>_xlfn.IFNA(VLOOKUP(Wapato_Inventory[[#This Row],[quality]],Lookups!$A$28:$C$37,3,FALSE),1)</f>
        <v>0.99197423394367223</v>
      </c>
      <c r="BV456" s="2">
        <f>_xlfn.IFNA(VLOOKUP(Wapato_Inventory[[#This Row],[condition]],Lookups!$A$41:$C$48,3,FALSE),1)</f>
        <v>0.98442438223270734</v>
      </c>
      <c r="BW456" s="2">
        <f>IF(Wapato_Inventory[[#This Row],[decade]]="",1,_xlfn.IFNA(VLOOKUP(Wapato_Inventory[[#This Row],[decade]],Lookups!$F$28:$H$45,3,FALSE),1))</f>
        <v>1.035341704162583</v>
      </c>
      <c r="BX456" s="2">
        <f>_xlfn.IFNA(VLOOKUP(Wapato_Inventory[[#This Row],[living_area_range]],Lookups!$K$28:$M$37,3,FALSE),1)</f>
        <v>0.90813907160181651</v>
      </c>
      <c r="BY456" s="2">
        <f>AVERAGE(Wapato_Inventory[[#This Row],[qual_adj]:[range_adj]])</f>
        <v>0.97996984798519482</v>
      </c>
      <c r="BZ456" s="7">
        <f>(Wapato_Inventory[[#This Row],[sum_land]]-IF(Wapato_Inventory[[#This Row],[no_utilities]]=1,12000,0))/IF(Wapato_Inventory[[#This Row],[unbuildable]]=1,2,1)</f>
        <v>55700</v>
      </c>
      <c r="CA456" s="7">
        <f>Wapato_Inventory[[#This Row],[pre_res]]*Wapato_Inventory[[#This Row],[overall_adj]]</f>
        <v>267033.70841862448</v>
      </c>
      <c r="CB456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456" s="3">
        <f>IF(ROUND(Wapato_Inventory[[#This Row],[adj_res]]*Lookups!$H$48,-2)&lt;Wapato_Inventory[[#This Row],[min_res]],Wapato_Inventory[[#This Row],[min_res]],ROUND(Wapato_Inventory[[#This Row],[adj_res]]*Lookups!$H$48,-2))</f>
        <v>253700</v>
      </c>
      <c r="CD456" s="3">
        <f>ROUND(Wapato_Inventory[[#This Row],[det_value]]*Lookups!$H$48,-2)</f>
        <v>0</v>
      </c>
      <c r="CE456" s="3">
        <f>Wapato_Inventory[[#This Row],[final_res]]+Wapato_Inventory[[#This Row],[final_det]]</f>
        <v>253700</v>
      </c>
      <c r="CF456" s="3">
        <f>Wapato_Inventory[[#This Row],[crop_value]]+Wapato_Inventory[[#This Row],[final_land]]+Wapato_Inventory[[#This Row],[final_imp]]</f>
        <v>306600</v>
      </c>
      <c r="CH456" t="str">
        <f t="shared" si="7"/>
        <v>update valuation set market_land =52900, market_bldg=253700, market_total =306600, market_mdno =405, market_date ='9/10/2023' where link_id = (select link_id from parcel where parcel_year = '2024' and parcel_id = '19111433402');</v>
      </c>
    </row>
    <row r="457" spans="1:86" x14ac:dyDescent="0.25">
      <c r="A457">
        <v>19111433403</v>
      </c>
      <c r="B457">
        <v>0.38</v>
      </c>
      <c r="C457">
        <v>16500</v>
      </c>
      <c r="D457" t="s">
        <v>144</v>
      </c>
      <c r="E457" t="s">
        <v>54</v>
      </c>
      <c r="F457" t="s">
        <v>54</v>
      </c>
      <c r="G457">
        <v>3</v>
      </c>
      <c r="H457" t="s">
        <v>55</v>
      </c>
      <c r="I457">
        <v>297400</v>
      </c>
      <c r="J457">
        <v>38500</v>
      </c>
      <c r="K457">
        <v>0.38</v>
      </c>
      <c r="L457">
        <f>IF(Wapato_Inventory[[#This Row],[parcel_acres]]-Wapato_Inventory[[#This Row],[non_valued_acres]] =0,0,LN(Wapato_Inventory[[#This Row],[parcel_acres]]-Wapato_Inventory[[#This Row],[non_valued_acres]]))</f>
        <v>-0.96758402626170559</v>
      </c>
      <c r="M457">
        <v>0</v>
      </c>
      <c r="N457">
        <v>0</v>
      </c>
      <c r="O457">
        <v>0</v>
      </c>
      <c r="P457">
        <v>27904.037</v>
      </c>
      <c r="Q457">
        <v>74398</v>
      </c>
      <c r="R457" s="3">
        <f>(Wapato_Inventory[[#This Row],[ln_acres]]*Wapato_Inventory[[#This Row],[coeff]])+Wapato_Inventory[[#This Row],[const]]</f>
        <v>47398.499530584391</v>
      </c>
      <c r="S457" t="s">
        <v>62</v>
      </c>
      <c r="T457">
        <v>1</v>
      </c>
      <c r="U457" t="s">
        <v>63</v>
      </c>
      <c r="V457" t="s">
        <v>69</v>
      </c>
      <c r="W457">
        <v>0</v>
      </c>
      <c r="X457">
        <v>0</v>
      </c>
      <c r="Y457">
        <v>46</v>
      </c>
      <c r="Z457">
        <v>53</v>
      </c>
      <c r="AA457">
        <v>60</v>
      </c>
      <c r="AB457">
        <v>2000</v>
      </c>
      <c r="AC457">
        <v>1688</v>
      </c>
      <c r="AD457">
        <v>1688</v>
      </c>
      <c r="AE457">
        <v>0</v>
      </c>
      <c r="AF457">
        <v>0</v>
      </c>
      <c r="AG457">
        <v>0</v>
      </c>
      <c r="AH457">
        <v>0</v>
      </c>
      <c r="AI457">
        <v>1464</v>
      </c>
      <c r="AJ457">
        <v>0</v>
      </c>
      <c r="AK457">
        <v>0</v>
      </c>
      <c r="AL457">
        <v>0</v>
      </c>
      <c r="AM457">
        <v>200</v>
      </c>
      <c r="AN457">
        <v>72</v>
      </c>
      <c r="AO457">
        <v>200</v>
      </c>
      <c r="AP457">
        <v>8</v>
      </c>
      <c r="AQ457">
        <v>0</v>
      </c>
      <c r="AR457">
        <v>1</v>
      </c>
      <c r="AS457" t="s">
        <v>59</v>
      </c>
      <c r="AT457">
        <v>1</v>
      </c>
      <c r="AU457" t="s">
        <v>64</v>
      </c>
      <c r="AV457" t="s">
        <v>65</v>
      </c>
      <c r="AW457">
        <v>1</v>
      </c>
      <c r="AX457">
        <v>3</v>
      </c>
      <c r="AY457">
        <v>0</v>
      </c>
      <c r="AZ457">
        <v>0</v>
      </c>
      <c r="BA457">
        <v>100</v>
      </c>
      <c r="BB457">
        <v>100</v>
      </c>
      <c r="BC457">
        <v>100</v>
      </c>
      <c r="BD457">
        <v>100</v>
      </c>
      <c r="BE457">
        <v>1</v>
      </c>
      <c r="BF457">
        <v>15000</v>
      </c>
      <c r="BG457">
        <v>1000</v>
      </c>
      <c r="BH457" s="7">
        <f>ROUND(Wapato_Inventory[[#This Row],[detatched_value]]*Lookups!$B$22*Lookups!$H$48,-2)</f>
        <v>0</v>
      </c>
      <c r="BI457" s="7">
        <f>ROUND(((Wapato_Inventory[[#This Row],[land_extract]]*Lookups!$B$3) +(Lookups!$B$2*0.5))*Lookups!$H$48,-2)</f>
        <v>55700</v>
      </c>
      <c r="BJ457" s="7">
        <f>IF(Wapato_Inventory[[#This Row],[bldg_style]]="",0,Lookups!$B$2*0.5)</f>
        <v>53765.27</v>
      </c>
      <c r="BK457" s="7">
        <f>_xlfn.IFNA(VLOOKUP(Wapato_Inventory[[#This Row],[quality]],Lookups!$H$2:$J$14,3,FALSE),0)</f>
        <v>50594</v>
      </c>
      <c r="BL457" s="7">
        <f>_xlfn.IFNA(VLOOKUP(Wapato_Inventory[[#This Row],[condition]],Lookups!$H$17:$J$24,3,FALSE),0)</f>
        <v>74543</v>
      </c>
      <c r="BM457" s="7">
        <f>Wapato_Inventory[[#This Row],[Age]]*Lookups!$B$16</f>
        <v>-19645.812099999999</v>
      </c>
      <c r="BN457" s="7">
        <f>Wapato_Inventory[[#This Row],[Main Floor]]*Lookups!$B$17</f>
        <v>70559.647431999998</v>
      </c>
      <c r="BO457" s="7">
        <f>Wapato_Inventory[[#This Row],[Upper Floor]]*Lookups!$B$18</f>
        <v>0</v>
      </c>
      <c r="BP457" s="7">
        <f>Wapato_Inventory[[#This Row],[Fin BSMT]]*Lookups!$B$19</f>
        <v>0</v>
      </c>
      <c r="BQ457" s="7">
        <f>(Wapato_Inventory[[#This Row],[att_gar]]+Wapato_Inventory[[#This Row],[blt_gar]])*Lookups!$B$20</f>
        <v>54180.812927999999</v>
      </c>
      <c r="BR457" s="7">
        <f>Wapato_Inventory[[#This Row],[Patio]]*Lookups!$B$21</f>
        <v>8664.7957999999999</v>
      </c>
      <c r="BS457" s="7">
        <f>SUM(Wapato_Inventory[[#This Row],[intercept]:[patio_value]])*Wapato_Inventory[[#This Row],[res_pct]]</f>
        <v>292661.71405999997</v>
      </c>
      <c r="BT457" s="7">
        <f>Wapato_Inventory[[#This Row],[land_value]]</f>
        <v>55700</v>
      </c>
      <c r="BU457" s="2">
        <f>_xlfn.IFNA(VLOOKUP(Wapato_Inventory[[#This Row],[quality]],Lookups!$A$28:$C$37,3,FALSE),1)</f>
        <v>0.99197423394367223</v>
      </c>
      <c r="BV457" s="2">
        <f>_xlfn.IFNA(VLOOKUP(Wapato_Inventory[[#This Row],[condition]],Lookups!$A$41:$C$48,3,FALSE),1)</f>
        <v>0.98442438223270734</v>
      </c>
      <c r="BW457" s="2">
        <f>IF(Wapato_Inventory[[#This Row],[decade]]="",1,_xlfn.IFNA(VLOOKUP(Wapato_Inventory[[#This Row],[decade]],Lookups!$F$28:$H$45,3,FALSE),1))</f>
        <v>1.035341704162583</v>
      </c>
      <c r="BX457" s="2">
        <f>_xlfn.IFNA(VLOOKUP(Wapato_Inventory[[#This Row],[living_area_range]],Lookups!$K$28:$M$37,3,FALSE),1)</f>
        <v>0.99330894324714125</v>
      </c>
      <c r="BY457" s="2">
        <f>AVERAGE(Wapato_Inventory[[#This Row],[qual_adj]:[range_adj]])</f>
        <v>1.0012623158965259</v>
      </c>
      <c r="BZ457" s="7">
        <f>(Wapato_Inventory[[#This Row],[sum_land]]-IF(Wapato_Inventory[[#This Row],[no_utilities]]=1,12000,0))/IF(Wapato_Inventory[[#This Row],[unbuildable]]=1,2,1)</f>
        <v>55700</v>
      </c>
      <c r="CA457" s="7">
        <f>Wapato_Inventory[[#This Row],[pre_res]]*Wapato_Inventory[[#This Row],[overall_adj]]</f>
        <v>293031.14559396246</v>
      </c>
      <c r="CB457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457" s="3">
        <f>IF(ROUND(Wapato_Inventory[[#This Row],[adj_res]]*Lookups!$H$48,-2)&lt;Wapato_Inventory[[#This Row],[min_res]],Wapato_Inventory[[#This Row],[min_res]],ROUND(Wapato_Inventory[[#This Row],[adj_res]]*Lookups!$H$48,-2))</f>
        <v>278400</v>
      </c>
      <c r="CD457" s="3">
        <f>ROUND(Wapato_Inventory[[#This Row],[det_value]]*Lookups!$H$48,-2)</f>
        <v>0</v>
      </c>
      <c r="CE457" s="3">
        <f>Wapato_Inventory[[#This Row],[final_res]]+Wapato_Inventory[[#This Row],[final_det]]</f>
        <v>278400</v>
      </c>
      <c r="CF457" s="3">
        <f>Wapato_Inventory[[#This Row],[crop_value]]+Wapato_Inventory[[#This Row],[final_land]]+Wapato_Inventory[[#This Row],[final_imp]]</f>
        <v>331300</v>
      </c>
      <c r="CH457" t="str">
        <f t="shared" si="7"/>
        <v>update valuation set market_land =52900, market_bldg=278400, market_total =331300, market_mdno =405, market_date ='9/10/2023' where link_id = (select link_id from parcel where parcel_year = '2024' and parcel_id = '19111433403');</v>
      </c>
    </row>
    <row r="458" spans="1:86" x14ac:dyDescent="0.25">
      <c r="A458">
        <v>19111433404</v>
      </c>
      <c r="B458">
        <v>0.38</v>
      </c>
      <c r="C458">
        <v>16500</v>
      </c>
      <c r="D458" t="s">
        <v>144</v>
      </c>
      <c r="E458" t="s">
        <v>54</v>
      </c>
      <c r="F458" t="s">
        <v>54</v>
      </c>
      <c r="G458">
        <v>3</v>
      </c>
      <c r="H458" t="s">
        <v>55</v>
      </c>
      <c r="I458">
        <v>233300</v>
      </c>
      <c r="J458">
        <v>38500</v>
      </c>
      <c r="K458">
        <v>0.38</v>
      </c>
      <c r="L458">
        <f>IF(Wapato_Inventory[[#This Row],[parcel_acres]]-Wapato_Inventory[[#This Row],[non_valued_acres]] =0,0,LN(Wapato_Inventory[[#This Row],[parcel_acres]]-Wapato_Inventory[[#This Row],[non_valued_acres]]))</f>
        <v>-0.96758402626170559</v>
      </c>
      <c r="M458">
        <v>0</v>
      </c>
      <c r="N458">
        <v>0</v>
      </c>
      <c r="O458">
        <v>0</v>
      </c>
      <c r="P458">
        <v>27904.037</v>
      </c>
      <c r="Q458">
        <v>74398</v>
      </c>
      <c r="R458" s="3">
        <f>(Wapato_Inventory[[#This Row],[ln_acres]]*Wapato_Inventory[[#This Row],[coeff]])+Wapato_Inventory[[#This Row],[const]]</f>
        <v>47398.499530584391</v>
      </c>
      <c r="S458" t="s">
        <v>62</v>
      </c>
      <c r="T458">
        <v>1</v>
      </c>
      <c r="U458" t="s">
        <v>67</v>
      </c>
      <c r="V458" t="s">
        <v>68</v>
      </c>
      <c r="W458">
        <v>0</v>
      </c>
      <c r="X458">
        <v>0</v>
      </c>
      <c r="Y458">
        <v>47</v>
      </c>
      <c r="Z458">
        <v>58</v>
      </c>
      <c r="AA458">
        <v>60</v>
      </c>
      <c r="AB458">
        <v>2000</v>
      </c>
      <c r="AC458">
        <v>1750</v>
      </c>
      <c r="AD458">
        <v>1750</v>
      </c>
      <c r="AE458">
        <v>0</v>
      </c>
      <c r="AF458">
        <v>0</v>
      </c>
      <c r="AG458">
        <v>0</v>
      </c>
      <c r="AH458">
        <v>0</v>
      </c>
      <c r="AI458">
        <v>552</v>
      </c>
      <c r="AJ458">
        <v>0</v>
      </c>
      <c r="AK458">
        <v>0</v>
      </c>
      <c r="AL458">
        <v>0</v>
      </c>
      <c r="AM458">
        <v>990</v>
      </c>
      <c r="AN458">
        <v>144</v>
      </c>
      <c r="AO458">
        <v>295</v>
      </c>
      <c r="AP458">
        <v>7</v>
      </c>
      <c r="AQ458">
        <v>0</v>
      </c>
      <c r="AR458">
        <v>0</v>
      </c>
      <c r="AS458" t="s">
        <v>59</v>
      </c>
      <c r="AT458">
        <v>1</v>
      </c>
      <c r="AU458" t="s">
        <v>64</v>
      </c>
      <c r="AV458" t="s">
        <v>65</v>
      </c>
      <c r="AW458">
        <v>0</v>
      </c>
      <c r="AX458">
        <v>3</v>
      </c>
      <c r="AY458">
        <v>0</v>
      </c>
      <c r="AZ458">
        <v>26600</v>
      </c>
      <c r="BA458">
        <v>100</v>
      </c>
      <c r="BB458">
        <v>100</v>
      </c>
      <c r="BC458">
        <v>100</v>
      </c>
      <c r="BD458">
        <v>100</v>
      </c>
      <c r="BE458">
        <v>1</v>
      </c>
      <c r="BF458">
        <v>15000</v>
      </c>
      <c r="BG458">
        <v>1000</v>
      </c>
      <c r="BH458" s="7">
        <f>ROUND(Wapato_Inventory[[#This Row],[detatched_value]]*Lookups!$B$22*Lookups!$H$48,-2)</f>
        <v>23800</v>
      </c>
      <c r="BI458" s="7">
        <f>ROUND(((Wapato_Inventory[[#This Row],[land_extract]]*Lookups!$B$3) +(Lookups!$B$2*0.5))*Lookups!$H$48,-2)</f>
        <v>55700</v>
      </c>
      <c r="BJ458" s="7">
        <f>IF(Wapato_Inventory[[#This Row],[bldg_style]]="",0,Lookups!$B$2*0.5)</f>
        <v>53765.27</v>
      </c>
      <c r="BK458" s="7">
        <f>_xlfn.IFNA(VLOOKUP(Wapato_Inventory[[#This Row],[quality]],Lookups!$H$2:$J$14,3,FALSE),0)</f>
        <v>50405</v>
      </c>
      <c r="BL458" s="7">
        <f>_xlfn.IFNA(VLOOKUP(Wapato_Inventory[[#This Row],[condition]],Lookups!$H$17:$J$24,3,FALSE),0)</f>
        <v>52231</v>
      </c>
      <c r="BM458" s="7">
        <f>Wapato_Inventory[[#This Row],[Age]]*Lookups!$B$16</f>
        <v>-21499.190600000002</v>
      </c>
      <c r="BN458" s="7">
        <f>Wapato_Inventory[[#This Row],[Main Floor]]*Lookups!$B$17</f>
        <v>73151.293250000002</v>
      </c>
      <c r="BO458" s="7">
        <f>Wapato_Inventory[[#This Row],[Upper Floor]]*Lookups!$B$18</f>
        <v>0</v>
      </c>
      <c r="BP458" s="7">
        <f>Wapato_Inventory[[#This Row],[Fin BSMT]]*Lookups!$B$19</f>
        <v>0</v>
      </c>
      <c r="BQ458" s="7">
        <f>(Wapato_Inventory[[#This Row],[att_gar]]+Wapato_Inventory[[#This Row],[blt_gar]])*Lookups!$B$20</f>
        <v>20428.831104000001</v>
      </c>
      <c r="BR458" s="7">
        <f>Wapato_Inventory[[#This Row],[Patio]]*Lookups!$B$21</f>
        <v>42890.73921</v>
      </c>
      <c r="BS458" s="7">
        <f>SUM(Wapato_Inventory[[#This Row],[intercept]:[patio_value]])*Wapato_Inventory[[#This Row],[res_pct]]</f>
        <v>271372.94296399999</v>
      </c>
      <c r="BT458" s="7">
        <f>Wapato_Inventory[[#This Row],[land_value]]</f>
        <v>55700</v>
      </c>
      <c r="BU458" s="2">
        <f>_xlfn.IFNA(VLOOKUP(Wapato_Inventory[[#This Row],[quality]],Lookups!$A$28:$C$37,3,FALSE),1)</f>
        <v>0.97993206410140754</v>
      </c>
      <c r="BV458" s="2">
        <f>_xlfn.IFNA(VLOOKUP(Wapato_Inventory[[#This Row],[condition]],Lookups!$A$41:$C$48,3,FALSE),1)</f>
        <v>0.9832333997567807</v>
      </c>
      <c r="BW458" s="2">
        <f>IF(Wapato_Inventory[[#This Row],[decade]]="",1,_xlfn.IFNA(VLOOKUP(Wapato_Inventory[[#This Row],[decade]],Lookups!$F$28:$H$45,3,FALSE),1))</f>
        <v>1.035341704162583</v>
      </c>
      <c r="BX458" s="2">
        <f>_xlfn.IFNA(VLOOKUP(Wapato_Inventory[[#This Row],[living_area_range]],Lookups!$K$28:$M$37,3,FALSE),1)</f>
        <v>0.99330894324714125</v>
      </c>
      <c r="BY458" s="2">
        <f>AVERAGE(Wapato_Inventory[[#This Row],[qual_adj]:[range_adj]])</f>
        <v>0.99795402781697817</v>
      </c>
      <c r="BZ458" s="7">
        <f>(Wapato_Inventory[[#This Row],[sum_land]]-IF(Wapato_Inventory[[#This Row],[no_utilities]]=1,12000,0))/IF(Wapato_Inventory[[#This Row],[unbuildable]]=1,2,1)</f>
        <v>55700</v>
      </c>
      <c r="CA458" s="7">
        <f>Wapato_Inventory[[#This Row],[pre_res]]*Wapato_Inventory[[#This Row],[overall_adj]]</f>
        <v>270817.7214714709</v>
      </c>
      <c r="CB458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458" s="3">
        <f>IF(ROUND(Wapato_Inventory[[#This Row],[adj_res]]*Lookups!$H$48,-2)&lt;Wapato_Inventory[[#This Row],[min_res]],Wapato_Inventory[[#This Row],[min_res]],ROUND(Wapato_Inventory[[#This Row],[adj_res]]*Lookups!$H$48,-2))</f>
        <v>257300</v>
      </c>
      <c r="CD458" s="3">
        <f>ROUND(Wapato_Inventory[[#This Row],[det_value]]*Lookups!$H$48,-2)</f>
        <v>22600</v>
      </c>
      <c r="CE458" s="3">
        <f>Wapato_Inventory[[#This Row],[final_res]]+Wapato_Inventory[[#This Row],[final_det]]</f>
        <v>279900</v>
      </c>
      <c r="CF458" s="3">
        <f>Wapato_Inventory[[#This Row],[crop_value]]+Wapato_Inventory[[#This Row],[final_land]]+Wapato_Inventory[[#This Row],[final_imp]]</f>
        <v>332800</v>
      </c>
      <c r="CH458" t="str">
        <f t="shared" si="7"/>
        <v>update valuation set market_land =52900, market_bldg=279900, market_total =332800, market_mdno =405, market_date ='9/10/2023' where link_id = (select link_id from parcel where parcel_year = '2024' and parcel_id = '19111433404');</v>
      </c>
    </row>
    <row r="459" spans="1:86" x14ac:dyDescent="0.25">
      <c r="A459">
        <v>19111433405</v>
      </c>
      <c r="B459">
        <v>0.5</v>
      </c>
      <c r="C459">
        <v>21842</v>
      </c>
      <c r="D459" t="s">
        <v>144</v>
      </c>
      <c r="E459" t="s">
        <v>54</v>
      </c>
      <c r="F459" t="s">
        <v>54</v>
      </c>
      <c r="G459">
        <v>3</v>
      </c>
      <c r="H459" t="s">
        <v>55</v>
      </c>
      <c r="I459">
        <v>264400</v>
      </c>
      <c r="J459">
        <v>40400</v>
      </c>
      <c r="K459">
        <v>0.5</v>
      </c>
      <c r="L459">
        <f>IF(Wapato_Inventory[[#This Row],[parcel_acres]]-Wapato_Inventory[[#This Row],[non_valued_acres]] =0,0,LN(Wapato_Inventory[[#This Row],[parcel_acres]]-Wapato_Inventory[[#This Row],[non_valued_acres]]))</f>
        <v>-0.69314718055994529</v>
      </c>
      <c r="M459">
        <v>0</v>
      </c>
      <c r="N459">
        <v>0</v>
      </c>
      <c r="O459">
        <v>0</v>
      </c>
      <c r="P459">
        <v>27904.037</v>
      </c>
      <c r="Q459">
        <v>74398</v>
      </c>
      <c r="R459" s="3">
        <f>(Wapato_Inventory[[#This Row],[ln_acres]]*Wapato_Inventory[[#This Row],[coeff]])+Wapato_Inventory[[#This Row],[const]]</f>
        <v>55056.395427209602</v>
      </c>
      <c r="S459" t="s">
        <v>62</v>
      </c>
      <c r="T459">
        <v>1</v>
      </c>
      <c r="U459" t="s">
        <v>65</v>
      </c>
      <c r="V459" t="s">
        <v>68</v>
      </c>
      <c r="W459">
        <v>0</v>
      </c>
      <c r="X459">
        <v>0</v>
      </c>
      <c r="Y459">
        <v>47</v>
      </c>
      <c r="Z459">
        <v>58</v>
      </c>
      <c r="AA459">
        <v>60</v>
      </c>
      <c r="AB459">
        <v>2000</v>
      </c>
      <c r="AC459">
        <v>1948</v>
      </c>
      <c r="AD459">
        <v>1948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600</v>
      </c>
      <c r="AL459">
        <v>0</v>
      </c>
      <c r="AM459">
        <v>1260</v>
      </c>
      <c r="AN459">
        <v>180</v>
      </c>
      <c r="AO459">
        <v>380</v>
      </c>
      <c r="AP459">
        <v>8</v>
      </c>
      <c r="AQ459">
        <v>0</v>
      </c>
      <c r="AR459">
        <v>1</v>
      </c>
      <c r="AS459" t="s">
        <v>59</v>
      </c>
      <c r="AT459">
        <v>1</v>
      </c>
      <c r="AU459" t="s">
        <v>64</v>
      </c>
      <c r="AV459" t="s">
        <v>61</v>
      </c>
      <c r="AW459">
        <v>0</v>
      </c>
      <c r="AX459">
        <v>3</v>
      </c>
      <c r="AY459">
        <v>0</v>
      </c>
      <c r="AZ459">
        <v>23000</v>
      </c>
      <c r="BA459">
        <v>100</v>
      </c>
      <c r="BB459">
        <v>100</v>
      </c>
      <c r="BC459">
        <v>100</v>
      </c>
      <c r="BD459">
        <v>100</v>
      </c>
      <c r="BE459">
        <v>1</v>
      </c>
      <c r="BF459">
        <v>15000</v>
      </c>
      <c r="BG459">
        <v>1000</v>
      </c>
      <c r="BH459" s="7">
        <f>ROUND(Wapato_Inventory[[#This Row],[detatched_value]]*Lookups!$B$22*Lookups!$H$48,-2)</f>
        <v>20500</v>
      </c>
      <c r="BI459" s="7">
        <f>ROUND(((Wapato_Inventory[[#This Row],[land_extract]]*Lookups!$B$3) +(Lookups!$B$2*0.5))*Lookups!$H$48,-2)</f>
        <v>56400</v>
      </c>
      <c r="BJ459" s="7">
        <f>IF(Wapato_Inventory[[#This Row],[bldg_style]]="",0,Lookups!$B$2*0.5)</f>
        <v>53765.27</v>
      </c>
      <c r="BK459" s="7">
        <f>_xlfn.IFNA(VLOOKUP(Wapato_Inventory[[#This Row],[quality]],Lookups!$H$2:$J$14,3,FALSE),0)</f>
        <v>92307</v>
      </c>
      <c r="BL459" s="7">
        <f>_xlfn.IFNA(VLOOKUP(Wapato_Inventory[[#This Row],[condition]],Lookups!$H$17:$J$24,3,FALSE),0)</f>
        <v>52231</v>
      </c>
      <c r="BM459" s="7">
        <f>Wapato_Inventory[[#This Row],[Age]]*Lookups!$B$16</f>
        <v>-21499.190600000002</v>
      </c>
      <c r="BN459" s="7">
        <f>Wapato_Inventory[[#This Row],[Main Floor]]*Lookups!$B$17</f>
        <v>81427.839571999997</v>
      </c>
      <c r="BO459" s="7">
        <f>Wapato_Inventory[[#This Row],[Upper Floor]]*Lookups!$B$18</f>
        <v>0</v>
      </c>
      <c r="BP459" s="7">
        <f>Wapato_Inventory[[#This Row],[Fin BSMT]]*Lookups!$B$19</f>
        <v>0</v>
      </c>
      <c r="BQ459" s="7">
        <f>(Wapato_Inventory[[#This Row],[att_gar]]+Wapato_Inventory[[#This Row],[blt_gar]])*Lookups!$B$20</f>
        <v>0</v>
      </c>
      <c r="BR459" s="7">
        <f>Wapato_Inventory[[#This Row],[Patio]]*Lookups!$B$21</f>
        <v>54588.213540000004</v>
      </c>
      <c r="BS459" s="7">
        <f>SUM(Wapato_Inventory[[#This Row],[intercept]:[patio_value]])*Wapato_Inventory[[#This Row],[res_pct]]</f>
        <v>312820.13251199998</v>
      </c>
      <c r="BT459" s="7">
        <f>Wapato_Inventory[[#This Row],[land_value]]</f>
        <v>56400</v>
      </c>
      <c r="BU459" s="2">
        <f>_xlfn.IFNA(VLOOKUP(Wapato_Inventory[[#This Row],[quality]],Lookups!$A$28:$C$37,3,FALSE),1)</f>
        <v>1.0013727718490204</v>
      </c>
      <c r="BV459" s="2">
        <f>_xlfn.IFNA(VLOOKUP(Wapato_Inventory[[#This Row],[condition]],Lookups!$A$41:$C$48,3,FALSE),1)</f>
        <v>0.9832333997567807</v>
      </c>
      <c r="BW459" s="2">
        <f>IF(Wapato_Inventory[[#This Row],[decade]]="",1,_xlfn.IFNA(VLOOKUP(Wapato_Inventory[[#This Row],[decade]],Lookups!$F$28:$H$45,3,FALSE),1))</f>
        <v>1.035341704162583</v>
      </c>
      <c r="BX459" s="2">
        <f>_xlfn.IFNA(VLOOKUP(Wapato_Inventory[[#This Row],[living_area_range]],Lookups!$K$28:$M$37,3,FALSE),1)</f>
        <v>0.99330894324714125</v>
      </c>
      <c r="BY459" s="2">
        <f>AVERAGE(Wapato_Inventory[[#This Row],[qual_adj]:[range_adj]])</f>
        <v>1.0033142047538814</v>
      </c>
      <c r="BZ459" s="7">
        <f>(Wapato_Inventory[[#This Row],[sum_land]]-IF(Wapato_Inventory[[#This Row],[no_utilities]]=1,12000,0))/IF(Wapato_Inventory[[#This Row],[unbuildable]]=1,2,1)</f>
        <v>56400</v>
      </c>
      <c r="CA459" s="7">
        <f>Wapato_Inventory[[#This Row],[pre_res]]*Wapato_Inventory[[#This Row],[overall_adj]]</f>
        <v>313856.88248228107</v>
      </c>
      <c r="CB459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459" s="3">
        <f>IF(ROUND(Wapato_Inventory[[#This Row],[adj_res]]*Lookups!$H$48,-2)&lt;Wapato_Inventory[[#This Row],[min_res]],Wapato_Inventory[[#This Row],[min_res]],ROUND(Wapato_Inventory[[#This Row],[adj_res]]*Lookups!$H$48,-2))</f>
        <v>298200</v>
      </c>
      <c r="CD459" s="3">
        <f>ROUND(Wapato_Inventory[[#This Row],[det_value]]*Lookups!$H$48,-2)</f>
        <v>19500</v>
      </c>
      <c r="CE459" s="3">
        <f>Wapato_Inventory[[#This Row],[final_res]]+Wapato_Inventory[[#This Row],[final_det]]</f>
        <v>317700</v>
      </c>
      <c r="CF459" s="3">
        <f>Wapato_Inventory[[#This Row],[crop_value]]+Wapato_Inventory[[#This Row],[final_land]]+Wapato_Inventory[[#This Row],[final_imp]]</f>
        <v>371300</v>
      </c>
      <c r="CH459" t="str">
        <f t="shared" si="7"/>
        <v>update valuation set market_land =53600, market_bldg=317700, market_total =371300, market_mdno =405, market_date ='9/10/2023' where link_id = (select link_id from parcel where parcel_year = '2024' and parcel_id = '19111433405');</v>
      </c>
    </row>
    <row r="460" spans="1:86" x14ac:dyDescent="0.25">
      <c r="A460">
        <v>19111433406</v>
      </c>
      <c r="B460">
        <v>0.33</v>
      </c>
      <c r="C460">
        <v>14539</v>
      </c>
      <c r="D460" t="s">
        <v>144</v>
      </c>
      <c r="E460" t="s">
        <v>54</v>
      </c>
      <c r="F460" t="s">
        <v>54</v>
      </c>
      <c r="G460">
        <v>3</v>
      </c>
      <c r="H460" t="s">
        <v>55</v>
      </c>
      <c r="I460">
        <v>253100</v>
      </c>
      <c r="J460">
        <v>37400</v>
      </c>
      <c r="K460">
        <v>0.33</v>
      </c>
      <c r="L460">
        <f>IF(Wapato_Inventory[[#This Row],[parcel_acres]]-Wapato_Inventory[[#This Row],[non_valued_acres]] =0,0,LN(Wapato_Inventory[[#This Row],[parcel_acres]]-Wapato_Inventory[[#This Row],[non_valued_acres]]))</f>
        <v>-1.1086626245216111</v>
      </c>
      <c r="M460">
        <v>0</v>
      </c>
      <c r="N460">
        <v>0</v>
      </c>
      <c r="O460">
        <v>0</v>
      </c>
      <c r="P460">
        <v>27904.037</v>
      </c>
      <c r="Q460">
        <v>74398</v>
      </c>
      <c r="R460" s="3">
        <f>(Wapato_Inventory[[#This Row],[ln_acres]]*Wapato_Inventory[[#This Row],[coeff]])+Wapato_Inventory[[#This Row],[const]]</f>
        <v>43461.837104831851</v>
      </c>
      <c r="S460" t="s">
        <v>62</v>
      </c>
      <c r="T460">
        <v>1</v>
      </c>
      <c r="U460" t="s">
        <v>63</v>
      </c>
      <c r="V460" t="s">
        <v>69</v>
      </c>
      <c r="W460">
        <v>0</v>
      </c>
      <c r="X460">
        <v>0</v>
      </c>
      <c r="Y460">
        <v>45</v>
      </c>
      <c r="Z460">
        <v>50</v>
      </c>
      <c r="AA460">
        <v>50</v>
      </c>
      <c r="AB460">
        <v>2500</v>
      </c>
      <c r="AC460">
        <v>2132</v>
      </c>
      <c r="AD460">
        <v>2132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504</v>
      </c>
      <c r="AN460">
        <v>0</v>
      </c>
      <c r="AO460">
        <v>432</v>
      </c>
      <c r="AP460">
        <v>8</v>
      </c>
      <c r="AQ460">
        <v>0</v>
      </c>
      <c r="AR460">
        <v>1</v>
      </c>
      <c r="AS460" t="s">
        <v>59</v>
      </c>
      <c r="AT460">
        <v>1</v>
      </c>
      <c r="AU460" t="s">
        <v>64</v>
      </c>
      <c r="AV460" t="s">
        <v>65</v>
      </c>
      <c r="AW460">
        <v>1</v>
      </c>
      <c r="AX460">
        <v>3</v>
      </c>
      <c r="AY460">
        <v>0</v>
      </c>
      <c r="AZ460">
        <v>0</v>
      </c>
      <c r="BA460">
        <v>100</v>
      </c>
      <c r="BB460">
        <v>100</v>
      </c>
      <c r="BC460">
        <v>100</v>
      </c>
      <c r="BD460">
        <v>100</v>
      </c>
      <c r="BE460">
        <v>1</v>
      </c>
      <c r="BF460">
        <v>15000</v>
      </c>
      <c r="BG460">
        <v>1000</v>
      </c>
      <c r="BH460" s="7">
        <f>ROUND(Wapato_Inventory[[#This Row],[detatched_value]]*Lookups!$B$22*Lookups!$H$48,-2)</f>
        <v>0</v>
      </c>
      <c r="BI460" s="7">
        <f>ROUND(((Wapato_Inventory[[#This Row],[land_extract]]*Lookups!$B$3) +(Lookups!$B$2*0.5))*Lookups!$H$48,-2)</f>
        <v>55300</v>
      </c>
      <c r="BJ460" s="7">
        <f>IF(Wapato_Inventory[[#This Row],[bldg_style]]="",0,Lookups!$B$2*0.5)</f>
        <v>53765.27</v>
      </c>
      <c r="BK460" s="7">
        <f>_xlfn.IFNA(VLOOKUP(Wapato_Inventory[[#This Row],[quality]],Lookups!$H$2:$J$14,3,FALSE),0)</f>
        <v>50594</v>
      </c>
      <c r="BL460" s="7">
        <f>_xlfn.IFNA(VLOOKUP(Wapato_Inventory[[#This Row],[condition]],Lookups!$H$17:$J$24,3,FALSE),0)</f>
        <v>74543</v>
      </c>
      <c r="BM460" s="7">
        <f>Wapato_Inventory[[#This Row],[Age]]*Lookups!$B$16</f>
        <v>-18533.785</v>
      </c>
      <c r="BN460" s="7">
        <f>Wapato_Inventory[[#This Row],[Main Floor]]*Lookups!$B$17</f>
        <v>89119.175547999999</v>
      </c>
      <c r="BO460" s="7">
        <f>Wapato_Inventory[[#This Row],[Upper Floor]]*Lookups!$B$18</f>
        <v>0</v>
      </c>
      <c r="BP460" s="7">
        <f>Wapato_Inventory[[#This Row],[Fin BSMT]]*Lookups!$B$19</f>
        <v>0</v>
      </c>
      <c r="BQ460" s="7">
        <f>(Wapato_Inventory[[#This Row],[att_gar]]+Wapato_Inventory[[#This Row],[blt_gar]])*Lookups!$B$20</f>
        <v>0</v>
      </c>
      <c r="BR460" s="7">
        <f>Wapato_Inventory[[#This Row],[Patio]]*Lookups!$B$21</f>
        <v>21835.285416000002</v>
      </c>
      <c r="BS460" s="7">
        <f>SUM(Wapato_Inventory[[#This Row],[intercept]:[patio_value]])*Wapato_Inventory[[#This Row],[res_pct]]</f>
        <v>271322.94596400001</v>
      </c>
      <c r="BT460" s="7">
        <f>Wapato_Inventory[[#This Row],[land_value]]</f>
        <v>55300</v>
      </c>
      <c r="BU460" s="2">
        <f>_xlfn.IFNA(VLOOKUP(Wapato_Inventory[[#This Row],[quality]],Lookups!$A$28:$C$37,3,FALSE),1)</f>
        <v>0.99197423394367223</v>
      </c>
      <c r="BV460" s="2">
        <f>_xlfn.IFNA(VLOOKUP(Wapato_Inventory[[#This Row],[condition]],Lookups!$A$41:$C$48,3,FALSE),1)</f>
        <v>0.98442438223270734</v>
      </c>
      <c r="BW460" s="2">
        <f>IF(Wapato_Inventory[[#This Row],[decade]]="",1,_xlfn.IFNA(VLOOKUP(Wapato_Inventory[[#This Row],[decade]],Lookups!$F$28:$H$45,3,FALSE),1))</f>
        <v>0.96240333884358298</v>
      </c>
      <c r="BX460" s="2">
        <f>_xlfn.IFNA(VLOOKUP(Wapato_Inventory[[#This Row],[living_area_range]],Lookups!$K$28:$M$37,3,FALSE),1)</f>
        <v>0.90813907160181651</v>
      </c>
      <c r="BY460" s="2">
        <f>AVERAGE(Wapato_Inventory[[#This Row],[qual_adj]:[range_adj]])</f>
        <v>0.96173525665544468</v>
      </c>
      <c r="BZ460" s="7">
        <f>(Wapato_Inventory[[#This Row],[sum_land]]-IF(Wapato_Inventory[[#This Row],[no_utilities]]=1,12000,0))/IF(Wapato_Inventory[[#This Row],[unbuildable]]=1,2,1)</f>
        <v>55300</v>
      </c>
      <c r="CA460" s="7">
        <f>Wapato_Inventory[[#This Row],[pre_res]]*Wapato_Inventory[[#This Row],[overall_adj]]</f>
        <v>260940.84307319889</v>
      </c>
      <c r="CB460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460" s="3">
        <f>IF(ROUND(Wapato_Inventory[[#This Row],[adj_res]]*Lookups!$H$48,-2)&lt;Wapato_Inventory[[#This Row],[min_res]],Wapato_Inventory[[#This Row],[min_res]],ROUND(Wapato_Inventory[[#This Row],[adj_res]]*Lookups!$H$48,-2))</f>
        <v>247900</v>
      </c>
      <c r="CD460" s="3">
        <f>ROUND(Wapato_Inventory[[#This Row],[det_value]]*Lookups!$H$48,-2)</f>
        <v>0</v>
      </c>
      <c r="CE460" s="3">
        <f>Wapato_Inventory[[#This Row],[final_res]]+Wapato_Inventory[[#This Row],[final_det]]</f>
        <v>247900</v>
      </c>
      <c r="CF460" s="3">
        <f>Wapato_Inventory[[#This Row],[crop_value]]+Wapato_Inventory[[#This Row],[final_land]]+Wapato_Inventory[[#This Row],[final_imp]]</f>
        <v>300400</v>
      </c>
      <c r="CH460" t="str">
        <f t="shared" si="7"/>
        <v>update valuation set market_land =52500, market_bldg=247900, market_total =300400, market_mdno =405, market_date ='9/10/2023' where link_id = (select link_id from parcel where parcel_year = '2024' and parcel_id = '19111433406');</v>
      </c>
    </row>
    <row r="461" spans="1:86" x14ac:dyDescent="0.25">
      <c r="A461">
        <v>19111433407</v>
      </c>
      <c r="B461">
        <v>0.33</v>
      </c>
      <c r="C461">
        <v>14500</v>
      </c>
      <c r="D461" t="s">
        <v>144</v>
      </c>
      <c r="E461" t="s">
        <v>54</v>
      </c>
      <c r="F461" t="s">
        <v>54</v>
      </c>
      <c r="G461">
        <v>3</v>
      </c>
      <c r="H461" t="s">
        <v>55</v>
      </c>
      <c r="I461">
        <v>249600</v>
      </c>
      <c r="J461">
        <v>37400</v>
      </c>
      <c r="K461">
        <v>0.33</v>
      </c>
      <c r="L461">
        <f>IF(Wapato_Inventory[[#This Row],[parcel_acres]]-Wapato_Inventory[[#This Row],[non_valued_acres]] =0,0,LN(Wapato_Inventory[[#This Row],[parcel_acres]]-Wapato_Inventory[[#This Row],[non_valued_acres]]))</f>
        <v>-1.1086626245216111</v>
      </c>
      <c r="M461">
        <v>0</v>
      </c>
      <c r="N461">
        <v>0</v>
      </c>
      <c r="O461">
        <v>0</v>
      </c>
      <c r="P461">
        <v>27904.037</v>
      </c>
      <c r="Q461">
        <v>74398</v>
      </c>
      <c r="R461" s="3">
        <f>(Wapato_Inventory[[#This Row],[ln_acres]]*Wapato_Inventory[[#This Row],[coeff]])+Wapato_Inventory[[#This Row],[const]]</f>
        <v>43461.837104831851</v>
      </c>
      <c r="S461" t="s">
        <v>62</v>
      </c>
      <c r="T461">
        <v>1</v>
      </c>
      <c r="U461" t="s">
        <v>67</v>
      </c>
      <c r="V461" t="s">
        <v>69</v>
      </c>
      <c r="W461">
        <v>0</v>
      </c>
      <c r="X461">
        <v>0</v>
      </c>
      <c r="Y461">
        <v>46</v>
      </c>
      <c r="Z461">
        <v>54</v>
      </c>
      <c r="AA461">
        <v>60</v>
      </c>
      <c r="AB461">
        <v>1500</v>
      </c>
      <c r="AC461">
        <v>1352</v>
      </c>
      <c r="AD461">
        <v>1352</v>
      </c>
      <c r="AE461">
        <v>0</v>
      </c>
      <c r="AF461">
        <v>0</v>
      </c>
      <c r="AG461">
        <v>0</v>
      </c>
      <c r="AH461">
        <v>0</v>
      </c>
      <c r="AI461">
        <v>804</v>
      </c>
      <c r="AJ461">
        <v>0</v>
      </c>
      <c r="AK461">
        <v>0</v>
      </c>
      <c r="AL461">
        <v>0</v>
      </c>
      <c r="AM461">
        <v>672</v>
      </c>
      <c r="AN461">
        <v>132</v>
      </c>
      <c r="AO461">
        <v>432</v>
      </c>
      <c r="AP461">
        <v>8</v>
      </c>
      <c r="AQ461">
        <v>0</v>
      </c>
      <c r="AR461">
        <v>1</v>
      </c>
      <c r="AS461" t="s">
        <v>59</v>
      </c>
      <c r="AT461">
        <v>1</v>
      </c>
      <c r="AU461" t="s">
        <v>72</v>
      </c>
      <c r="AV461" t="s">
        <v>61</v>
      </c>
      <c r="AW461">
        <v>0</v>
      </c>
      <c r="AX461">
        <v>3</v>
      </c>
      <c r="AY461">
        <v>0</v>
      </c>
      <c r="AZ461">
        <v>0</v>
      </c>
      <c r="BA461">
        <v>100</v>
      </c>
      <c r="BB461">
        <v>100</v>
      </c>
      <c r="BC461">
        <v>100</v>
      </c>
      <c r="BD461">
        <v>100</v>
      </c>
      <c r="BE461">
        <v>1</v>
      </c>
      <c r="BF461">
        <v>15000</v>
      </c>
      <c r="BG461">
        <v>1000</v>
      </c>
      <c r="BH461" s="7">
        <f>ROUND(Wapato_Inventory[[#This Row],[detatched_value]]*Lookups!$B$22*Lookups!$H$48,-2)</f>
        <v>0</v>
      </c>
      <c r="BI461" s="7">
        <f>ROUND(((Wapato_Inventory[[#This Row],[land_extract]]*Lookups!$B$3) +(Lookups!$B$2*0.5))*Lookups!$H$48,-2)</f>
        <v>55300</v>
      </c>
      <c r="BJ461" s="7">
        <f>IF(Wapato_Inventory[[#This Row],[bldg_style]]="",0,Lookups!$B$2*0.5)</f>
        <v>53765.27</v>
      </c>
      <c r="BK461" s="7">
        <f>_xlfn.IFNA(VLOOKUP(Wapato_Inventory[[#This Row],[quality]],Lookups!$H$2:$J$14,3,FALSE),0)</f>
        <v>50405</v>
      </c>
      <c r="BL461" s="7">
        <f>_xlfn.IFNA(VLOOKUP(Wapato_Inventory[[#This Row],[condition]],Lookups!$H$17:$J$24,3,FALSE),0)</f>
        <v>74543</v>
      </c>
      <c r="BM461" s="7">
        <f>Wapato_Inventory[[#This Row],[Age]]*Lookups!$B$16</f>
        <v>-20016.487799999999</v>
      </c>
      <c r="BN461" s="7">
        <f>Wapato_Inventory[[#This Row],[Main Floor]]*Lookups!$B$17</f>
        <v>56514.599128000002</v>
      </c>
      <c r="BO461" s="7">
        <f>Wapato_Inventory[[#This Row],[Upper Floor]]*Lookups!$B$18</f>
        <v>0</v>
      </c>
      <c r="BP461" s="7">
        <f>Wapato_Inventory[[#This Row],[Fin BSMT]]*Lookups!$B$19</f>
        <v>0</v>
      </c>
      <c r="BQ461" s="7">
        <f>(Wapato_Inventory[[#This Row],[att_gar]]+Wapato_Inventory[[#This Row],[blt_gar]])*Lookups!$B$20</f>
        <v>29755.036608000002</v>
      </c>
      <c r="BR461" s="7">
        <f>Wapato_Inventory[[#This Row],[Patio]]*Lookups!$B$21</f>
        <v>29113.713888000002</v>
      </c>
      <c r="BS461" s="7">
        <f>SUM(Wapato_Inventory[[#This Row],[intercept]:[patio_value]])*Wapato_Inventory[[#This Row],[res_pct]]</f>
        <v>274080.13182399998</v>
      </c>
      <c r="BT461" s="7">
        <f>Wapato_Inventory[[#This Row],[land_value]]</f>
        <v>55300</v>
      </c>
      <c r="BU461" s="2">
        <f>_xlfn.IFNA(VLOOKUP(Wapato_Inventory[[#This Row],[quality]],Lookups!$A$28:$C$37,3,FALSE),1)</f>
        <v>0.97993206410140754</v>
      </c>
      <c r="BV461" s="2">
        <f>_xlfn.IFNA(VLOOKUP(Wapato_Inventory[[#This Row],[condition]],Lookups!$A$41:$C$48,3,FALSE),1)</f>
        <v>0.98442438223270734</v>
      </c>
      <c r="BW461" s="2">
        <f>IF(Wapato_Inventory[[#This Row],[decade]]="",1,_xlfn.IFNA(VLOOKUP(Wapato_Inventory[[#This Row],[decade]],Lookups!$F$28:$H$45,3,FALSE),1))</f>
        <v>1.035341704162583</v>
      </c>
      <c r="BX461" s="2">
        <f>_xlfn.IFNA(VLOOKUP(Wapato_Inventory[[#This Row],[living_area_range]],Lookups!$K$28:$M$37,3,FALSE),1)</f>
        <v>1.0061411172456287</v>
      </c>
      <c r="BY461" s="2">
        <f>AVERAGE(Wapato_Inventory[[#This Row],[qual_adj]:[range_adj]])</f>
        <v>1.0014598169355817</v>
      </c>
      <c r="BZ461" s="7">
        <f>(Wapato_Inventory[[#This Row],[sum_land]]-IF(Wapato_Inventory[[#This Row],[no_utilities]]=1,12000,0))/IF(Wapato_Inventory[[#This Row],[unbuildable]]=1,2,1)</f>
        <v>55300</v>
      </c>
      <c r="CA461" s="7">
        <f>Wapato_Inventory[[#This Row],[pre_res]]*Wapato_Inventory[[#This Row],[overall_adj]]</f>
        <v>274480.23864214314</v>
      </c>
      <c r="CB461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461" s="3">
        <f>IF(ROUND(Wapato_Inventory[[#This Row],[adj_res]]*Lookups!$H$48,-2)&lt;Wapato_Inventory[[#This Row],[min_res]],Wapato_Inventory[[#This Row],[min_res]],ROUND(Wapato_Inventory[[#This Row],[adj_res]]*Lookups!$H$48,-2))</f>
        <v>260800</v>
      </c>
      <c r="CD461" s="3">
        <f>ROUND(Wapato_Inventory[[#This Row],[det_value]]*Lookups!$H$48,-2)</f>
        <v>0</v>
      </c>
      <c r="CE461" s="3">
        <f>Wapato_Inventory[[#This Row],[final_res]]+Wapato_Inventory[[#This Row],[final_det]]</f>
        <v>260800</v>
      </c>
      <c r="CF461" s="3">
        <f>Wapato_Inventory[[#This Row],[crop_value]]+Wapato_Inventory[[#This Row],[final_land]]+Wapato_Inventory[[#This Row],[final_imp]]</f>
        <v>313300</v>
      </c>
      <c r="CH461" t="str">
        <f t="shared" si="7"/>
        <v>update valuation set market_land =52500, market_bldg=260800, market_total =313300, market_mdno =405, market_date ='9/10/2023' where link_id = (select link_id from parcel where parcel_year = '2024' and parcel_id = '19111433407');</v>
      </c>
    </row>
    <row r="462" spans="1:86" x14ac:dyDescent="0.25">
      <c r="A462">
        <v>19111433408</v>
      </c>
      <c r="B462">
        <v>0.33</v>
      </c>
      <c r="C462">
        <v>14500</v>
      </c>
      <c r="D462" t="s">
        <v>144</v>
      </c>
      <c r="E462" t="s">
        <v>54</v>
      </c>
      <c r="F462" t="s">
        <v>54</v>
      </c>
      <c r="G462">
        <v>3</v>
      </c>
      <c r="H462" t="s">
        <v>55</v>
      </c>
      <c r="I462">
        <v>231100</v>
      </c>
      <c r="J462">
        <v>37400</v>
      </c>
      <c r="K462">
        <v>0.33</v>
      </c>
      <c r="L462">
        <f>IF(Wapato_Inventory[[#This Row],[parcel_acres]]-Wapato_Inventory[[#This Row],[non_valued_acres]] =0,0,LN(Wapato_Inventory[[#This Row],[parcel_acres]]-Wapato_Inventory[[#This Row],[non_valued_acres]]))</f>
        <v>-1.1086626245216111</v>
      </c>
      <c r="M462">
        <v>0</v>
      </c>
      <c r="N462">
        <v>0</v>
      </c>
      <c r="O462">
        <v>0</v>
      </c>
      <c r="P462">
        <v>27904.037</v>
      </c>
      <c r="Q462">
        <v>74398</v>
      </c>
      <c r="R462" s="3">
        <f>(Wapato_Inventory[[#This Row],[ln_acres]]*Wapato_Inventory[[#This Row],[coeff]])+Wapato_Inventory[[#This Row],[const]]</f>
        <v>43461.837104831851</v>
      </c>
      <c r="S462" t="s">
        <v>62</v>
      </c>
      <c r="T462">
        <v>1</v>
      </c>
      <c r="U462" t="s">
        <v>67</v>
      </c>
      <c r="V462" t="s">
        <v>68</v>
      </c>
      <c r="W462">
        <v>0</v>
      </c>
      <c r="X462">
        <v>0</v>
      </c>
      <c r="Y462">
        <v>44</v>
      </c>
      <c r="Z462">
        <v>48</v>
      </c>
      <c r="AA462">
        <v>50</v>
      </c>
      <c r="AB462">
        <v>2500</v>
      </c>
      <c r="AC462">
        <v>2160</v>
      </c>
      <c r="AD462">
        <v>2160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288</v>
      </c>
      <c r="AL462">
        <v>0</v>
      </c>
      <c r="AM462">
        <v>452</v>
      </c>
      <c r="AN462">
        <v>48</v>
      </c>
      <c r="AO462">
        <v>256</v>
      </c>
      <c r="AP462">
        <v>8</v>
      </c>
      <c r="AQ462">
        <v>0</v>
      </c>
      <c r="AR462">
        <v>1</v>
      </c>
      <c r="AS462" t="s">
        <v>59</v>
      </c>
      <c r="AT462">
        <v>1</v>
      </c>
      <c r="AU462" t="s">
        <v>64</v>
      </c>
      <c r="AV462" t="s">
        <v>61</v>
      </c>
      <c r="AW462">
        <v>0</v>
      </c>
      <c r="AX462">
        <v>4</v>
      </c>
      <c r="AY462">
        <v>0</v>
      </c>
      <c r="AZ462">
        <v>0</v>
      </c>
      <c r="BA462">
        <v>100</v>
      </c>
      <c r="BB462">
        <v>100</v>
      </c>
      <c r="BC462">
        <v>100</v>
      </c>
      <c r="BD462">
        <v>100</v>
      </c>
      <c r="BE462">
        <v>1</v>
      </c>
      <c r="BF462">
        <v>15000</v>
      </c>
      <c r="BG462">
        <v>1000</v>
      </c>
      <c r="BH462" s="7">
        <f>ROUND(Wapato_Inventory[[#This Row],[detatched_value]]*Lookups!$B$22*Lookups!$H$48,-2)</f>
        <v>0</v>
      </c>
      <c r="BI462" s="7">
        <f>ROUND(((Wapato_Inventory[[#This Row],[land_extract]]*Lookups!$B$3) +(Lookups!$B$2*0.5))*Lookups!$H$48,-2)</f>
        <v>55300</v>
      </c>
      <c r="BJ462" s="7">
        <f>IF(Wapato_Inventory[[#This Row],[bldg_style]]="",0,Lookups!$B$2*0.5)</f>
        <v>53765.27</v>
      </c>
      <c r="BK462" s="7">
        <f>_xlfn.IFNA(VLOOKUP(Wapato_Inventory[[#This Row],[quality]],Lookups!$H$2:$J$14,3,FALSE),0)</f>
        <v>50405</v>
      </c>
      <c r="BL462" s="7">
        <f>_xlfn.IFNA(VLOOKUP(Wapato_Inventory[[#This Row],[condition]],Lookups!$H$17:$J$24,3,FALSE),0)</f>
        <v>52231</v>
      </c>
      <c r="BM462" s="7">
        <f>Wapato_Inventory[[#This Row],[Age]]*Lookups!$B$16</f>
        <v>-17792.4336</v>
      </c>
      <c r="BN462" s="7">
        <f>Wapato_Inventory[[#This Row],[Main Floor]]*Lookups!$B$17</f>
        <v>90289.596239999999</v>
      </c>
      <c r="BO462" s="7">
        <f>Wapato_Inventory[[#This Row],[Upper Floor]]*Lookups!$B$18</f>
        <v>0</v>
      </c>
      <c r="BP462" s="7">
        <f>Wapato_Inventory[[#This Row],[Fin BSMT]]*Lookups!$B$19</f>
        <v>0</v>
      </c>
      <c r="BQ462" s="7">
        <f>(Wapato_Inventory[[#This Row],[att_gar]]+Wapato_Inventory[[#This Row],[blt_gar]])*Lookups!$B$20</f>
        <v>0</v>
      </c>
      <c r="BR462" s="7">
        <f>Wapato_Inventory[[#This Row],[Patio]]*Lookups!$B$21</f>
        <v>19582.438507999999</v>
      </c>
      <c r="BS462" s="7">
        <f>SUM(Wapato_Inventory[[#This Row],[intercept]:[patio_value]])*Wapato_Inventory[[#This Row],[res_pct]]</f>
        <v>248480.87114800001</v>
      </c>
      <c r="BT462" s="7">
        <f>Wapato_Inventory[[#This Row],[land_value]]</f>
        <v>55300</v>
      </c>
      <c r="BU462" s="2">
        <f>_xlfn.IFNA(VLOOKUP(Wapato_Inventory[[#This Row],[quality]],Lookups!$A$28:$C$37,3,FALSE),1)</f>
        <v>0.97993206410140754</v>
      </c>
      <c r="BV462" s="2">
        <f>_xlfn.IFNA(VLOOKUP(Wapato_Inventory[[#This Row],[condition]],Lookups!$A$41:$C$48,3,FALSE),1)</f>
        <v>0.9832333997567807</v>
      </c>
      <c r="BW462" s="2">
        <f>IF(Wapato_Inventory[[#This Row],[decade]]="",1,_xlfn.IFNA(VLOOKUP(Wapato_Inventory[[#This Row],[decade]],Lookups!$F$28:$H$45,3,FALSE),1))</f>
        <v>0.96240333884358298</v>
      </c>
      <c r="BX462" s="2">
        <f>_xlfn.IFNA(VLOOKUP(Wapato_Inventory[[#This Row],[living_area_range]],Lookups!$K$28:$M$37,3,FALSE),1)</f>
        <v>0.90813907160181651</v>
      </c>
      <c r="BY462" s="2">
        <f>AVERAGE(Wapato_Inventory[[#This Row],[qual_adj]:[range_adj]])</f>
        <v>0.95842696857589704</v>
      </c>
      <c r="BZ462" s="7">
        <f>(Wapato_Inventory[[#This Row],[sum_land]]-IF(Wapato_Inventory[[#This Row],[no_utilities]]=1,12000,0))/IF(Wapato_Inventory[[#This Row],[unbuildable]]=1,2,1)</f>
        <v>55300</v>
      </c>
      <c r="CA462" s="7">
        <f>Wapato_Inventory[[#This Row],[pre_res]]*Wapato_Inventory[[#This Row],[overall_adj]]</f>
        <v>238150.76808347573</v>
      </c>
      <c r="CB462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462" s="3">
        <f>IF(ROUND(Wapato_Inventory[[#This Row],[adj_res]]*Lookups!$H$48,-2)&lt;Wapato_Inventory[[#This Row],[min_res]],Wapato_Inventory[[#This Row],[min_res]],ROUND(Wapato_Inventory[[#This Row],[adj_res]]*Lookups!$H$48,-2))</f>
        <v>226200</v>
      </c>
      <c r="CD462" s="3">
        <f>ROUND(Wapato_Inventory[[#This Row],[det_value]]*Lookups!$H$48,-2)</f>
        <v>0</v>
      </c>
      <c r="CE462" s="3">
        <f>Wapato_Inventory[[#This Row],[final_res]]+Wapato_Inventory[[#This Row],[final_det]]</f>
        <v>226200</v>
      </c>
      <c r="CF462" s="3">
        <f>Wapato_Inventory[[#This Row],[crop_value]]+Wapato_Inventory[[#This Row],[final_land]]+Wapato_Inventory[[#This Row],[final_imp]]</f>
        <v>278700</v>
      </c>
      <c r="CH462" t="str">
        <f t="shared" si="7"/>
        <v>update valuation set market_land =52500, market_bldg=226200, market_total =278700, market_mdno =405, market_date ='9/10/2023' where link_id = (select link_id from parcel where parcel_year = '2024' and parcel_id = '19111433408');</v>
      </c>
    </row>
    <row r="463" spans="1:86" x14ac:dyDescent="0.25">
      <c r="A463">
        <v>19111433409</v>
      </c>
      <c r="B463">
        <v>0.33</v>
      </c>
      <c r="C463">
        <v>14500</v>
      </c>
      <c r="D463" t="s">
        <v>144</v>
      </c>
      <c r="E463" t="s">
        <v>54</v>
      </c>
      <c r="F463" t="s">
        <v>54</v>
      </c>
      <c r="G463">
        <v>3</v>
      </c>
      <c r="H463" t="s">
        <v>55</v>
      </c>
      <c r="I463">
        <v>321100</v>
      </c>
      <c r="J463">
        <v>37400</v>
      </c>
      <c r="K463">
        <v>0.33</v>
      </c>
      <c r="L463">
        <f>IF(Wapato_Inventory[[#This Row],[parcel_acres]]-Wapato_Inventory[[#This Row],[non_valued_acres]] =0,0,LN(Wapato_Inventory[[#This Row],[parcel_acres]]-Wapato_Inventory[[#This Row],[non_valued_acres]]))</f>
        <v>-1.1086626245216111</v>
      </c>
      <c r="M463">
        <v>0</v>
      </c>
      <c r="N463">
        <v>0</v>
      </c>
      <c r="O463">
        <v>0</v>
      </c>
      <c r="P463">
        <v>27904.037</v>
      </c>
      <c r="Q463">
        <v>74398</v>
      </c>
      <c r="R463" s="3">
        <f>(Wapato_Inventory[[#This Row],[ln_acres]]*Wapato_Inventory[[#This Row],[coeff]])+Wapato_Inventory[[#This Row],[const]]</f>
        <v>43461.837104831851</v>
      </c>
      <c r="S463" t="s">
        <v>59</v>
      </c>
      <c r="T463">
        <v>1</v>
      </c>
      <c r="U463" t="s">
        <v>63</v>
      </c>
      <c r="V463" t="s">
        <v>69</v>
      </c>
      <c r="W463">
        <v>0</v>
      </c>
      <c r="X463">
        <v>0</v>
      </c>
      <c r="Y463">
        <v>32</v>
      </c>
      <c r="Z463">
        <v>32</v>
      </c>
      <c r="AA463">
        <v>40</v>
      </c>
      <c r="AB463">
        <v>2500</v>
      </c>
      <c r="AC463">
        <v>2234</v>
      </c>
      <c r="AD463">
        <v>2234</v>
      </c>
      <c r="AE463">
        <v>0</v>
      </c>
      <c r="AF463">
        <v>0</v>
      </c>
      <c r="AG463">
        <v>0</v>
      </c>
      <c r="AH463">
        <v>0</v>
      </c>
      <c r="AI463">
        <v>576</v>
      </c>
      <c r="AJ463">
        <v>0</v>
      </c>
      <c r="AK463">
        <v>0</v>
      </c>
      <c r="AL463">
        <v>0</v>
      </c>
      <c r="AM463">
        <v>488</v>
      </c>
      <c r="AN463">
        <v>0</v>
      </c>
      <c r="AO463">
        <v>488</v>
      </c>
      <c r="AP463">
        <v>10</v>
      </c>
      <c r="AQ463">
        <v>0</v>
      </c>
      <c r="AR463">
        <v>0</v>
      </c>
      <c r="AS463" t="s">
        <v>59</v>
      </c>
      <c r="AT463">
        <v>1</v>
      </c>
      <c r="AU463" t="s">
        <v>60</v>
      </c>
      <c r="AV463" t="s">
        <v>61</v>
      </c>
      <c r="AW463">
        <v>1</v>
      </c>
      <c r="AX463">
        <v>3</v>
      </c>
      <c r="AY463">
        <v>0</v>
      </c>
      <c r="AZ463">
        <v>0</v>
      </c>
      <c r="BA463">
        <v>100</v>
      </c>
      <c r="BB463">
        <v>100</v>
      </c>
      <c r="BC463">
        <v>100</v>
      </c>
      <c r="BD463">
        <v>100</v>
      </c>
      <c r="BE463">
        <v>1</v>
      </c>
      <c r="BF463">
        <v>15000</v>
      </c>
      <c r="BG463">
        <v>1000</v>
      </c>
      <c r="BH463" s="7">
        <f>ROUND(Wapato_Inventory[[#This Row],[detatched_value]]*Lookups!$B$22*Lookups!$H$48,-2)</f>
        <v>0</v>
      </c>
      <c r="BI463" s="7">
        <f>ROUND(((Wapato_Inventory[[#This Row],[land_extract]]*Lookups!$B$3) +(Lookups!$B$2*0.5))*Lookups!$H$48,-2)</f>
        <v>55300</v>
      </c>
      <c r="BJ463" s="7">
        <f>IF(Wapato_Inventory[[#This Row],[bldg_style]]="",0,Lookups!$B$2*0.5)</f>
        <v>53765.27</v>
      </c>
      <c r="BK463" s="7">
        <f>_xlfn.IFNA(VLOOKUP(Wapato_Inventory[[#This Row],[quality]],Lookups!$H$2:$J$14,3,FALSE),0)</f>
        <v>50594</v>
      </c>
      <c r="BL463" s="7">
        <f>_xlfn.IFNA(VLOOKUP(Wapato_Inventory[[#This Row],[condition]],Lookups!$H$17:$J$24,3,FALSE),0)</f>
        <v>74543</v>
      </c>
      <c r="BM463" s="7">
        <f>Wapato_Inventory[[#This Row],[Age]]*Lookups!$B$16</f>
        <v>-11861.6224</v>
      </c>
      <c r="BN463" s="7">
        <f>Wapato_Inventory[[#This Row],[Main Floor]]*Lookups!$B$17</f>
        <v>93382.850925999999</v>
      </c>
      <c r="BO463" s="7">
        <f>Wapato_Inventory[[#This Row],[Upper Floor]]*Lookups!$B$18</f>
        <v>0</v>
      </c>
      <c r="BP463" s="7">
        <f>Wapato_Inventory[[#This Row],[Fin BSMT]]*Lookups!$B$19</f>
        <v>0</v>
      </c>
      <c r="BQ463" s="7">
        <f>(Wapato_Inventory[[#This Row],[att_gar]]+Wapato_Inventory[[#This Row],[blt_gar]])*Lookups!$B$20</f>
        <v>21317.041152000002</v>
      </c>
      <c r="BR463" s="7">
        <f>Wapato_Inventory[[#This Row],[Patio]]*Lookups!$B$21</f>
        <v>21142.101752000002</v>
      </c>
      <c r="BS463" s="7">
        <f>SUM(Wapato_Inventory[[#This Row],[intercept]:[patio_value]])*Wapato_Inventory[[#This Row],[res_pct]]</f>
        <v>302882.64143000002</v>
      </c>
      <c r="BT463" s="7">
        <f>Wapato_Inventory[[#This Row],[land_value]]</f>
        <v>55300</v>
      </c>
      <c r="BU463" s="2">
        <f>_xlfn.IFNA(VLOOKUP(Wapato_Inventory[[#This Row],[quality]],Lookups!$A$28:$C$37,3,FALSE),1)</f>
        <v>0.99197423394367223</v>
      </c>
      <c r="BV463" s="2">
        <f>_xlfn.IFNA(VLOOKUP(Wapato_Inventory[[#This Row],[condition]],Lookups!$A$41:$C$48,3,FALSE),1)</f>
        <v>0.98442438223270734</v>
      </c>
      <c r="BW463" s="2">
        <f>IF(Wapato_Inventory[[#This Row],[decade]]="",1,_xlfn.IFNA(VLOOKUP(Wapato_Inventory[[#This Row],[decade]],Lookups!$F$28:$H$45,3,FALSE),1))</f>
        <v>1.0327621624630683</v>
      </c>
      <c r="BX463" s="2">
        <f>_xlfn.IFNA(VLOOKUP(Wapato_Inventory[[#This Row],[living_area_range]],Lookups!$K$28:$M$37,3,FALSE),1)</f>
        <v>0.90813907160181651</v>
      </c>
      <c r="BY463" s="2">
        <f>AVERAGE(Wapato_Inventory[[#This Row],[qual_adj]:[range_adj]])</f>
        <v>0.97932496256031598</v>
      </c>
      <c r="BZ463" s="7">
        <f>(Wapato_Inventory[[#This Row],[sum_land]]-IF(Wapato_Inventory[[#This Row],[no_utilities]]=1,12000,0))/IF(Wapato_Inventory[[#This Row],[unbuildable]]=1,2,1)</f>
        <v>55300</v>
      </c>
      <c r="CA463" s="7">
        <f>Wapato_Inventory[[#This Row],[pre_res]]*Wapato_Inventory[[#This Row],[overall_adj]]</f>
        <v>296620.53147860436</v>
      </c>
      <c r="CB463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463" s="3">
        <f>IF(ROUND(Wapato_Inventory[[#This Row],[adj_res]]*Lookups!$H$48,-2)&lt;Wapato_Inventory[[#This Row],[min_res]],Wapato_Inventory[[#This Row],[min_res]],ROUND(Wapato_Inventory[[#This Row],[adj_res]]*Lookups!$H$48,-2))</f>
        <v>281800</v>
      </c>
      <c r="CD463" s="3">
        <f>ROUND(Wapato_Inventory[[#This Row],[det_value]]*Lookups!$H$48,-2)</f>
        <v>0</v>
      </c>
      <c r="CE463" s="3">
        <f>Wapato_Inventory[[#This Row],[final_res]]+Wapato_Inventory[[#This Row],[final_det]]</f>
        <v>281800</v>
      </c>
      <c r="CF463" s="3">
        <f>Wapato_Inventory[[#This Row],[crop_value]]+Wapato_Inventory[[#This Row],[final_land]]+Wapato_Inventory[[#This Row],[final_imp]]</f>
        <v>334300</v>
      </c>
      <c r="CH463" t="str">
        <f t="shared" si="7"/>
        <v>update valuation set market_land =52500, market_bldg=281800, market_total =334300, market_mdno =405, market_date ='9/10/2023' where link_id = (select link_id from parcel where parcel_year = '2024' and parcel_id = '19111433409');</v>
      </c>
    </row>
    <row r="464" spans="1:86" x14ac:dyDescent="0.25">
      <c r="A464">
        <v>19111433412</v>
      </c>
      <c r="B464">
        <v>0.45</v>
      </c>
      <c r="C464">
        <v>19543</v>
      </c>
      <c r="D464" t="s">
        <v>144</v>
      </c>
      <c r="E464" t="s">
        <v>54</v>
      </c>
      <c r="F464" t="s">
        <v>54</v>
      </c>
      <c r="G464">
        <v>3</v>
      </c>
      <c r="H464" t="s">
        <v>55</v>
      </c>
      <c r="I464">
        <v>306600</v>
      </c>
      <c r="J464">
        <v>39600</v>
      </c>
      <c r="K464">
        <v>0.45</v>
      </c>
      <c r="L464">
        <f>IF(Wapato_Inventory[[#This Row],[parcel_acres]]-Wapato_Inventory[[#This Row],[non_valued_acres]] =0,0,LN(Wapato_Inventory[[#This Row],[parcel_acres]]-Wapato_Inventory[[#This Row],[non_valued_acres]]))</f>
        <v>-0.79850769621777162</v>
      </c>
      <c r="M464">
        <v>0</v>
      </c>
      <c r="N464">
        <v>0</v>
      </c>
      <c r="O464">
        <v>0</v>
      </c>
      <c r="P464">
        <v>27904.037</v>
      </c>
      <c r="Q464">
        <v>74398</v>
      </c>
      <c r="R464" s="3">
        <f>(Wapato_Inventory[[#This Row],[ln_acres]]*Wapato_Inventory[[#This Row],[coeff]])+Wapato_Inventory[[#This Row],[const]]</f>
        <v>52116.411699954537</v>
      </c>
      <c r="S464" t="s">
        <v>56</v>
      </c>
      <c r="T464">
        <v>2</v>
      </c>
      <c r="U464" t="s">
        <v>65</v>
      </c>
      <c r="V464" t="s">
        <v>68</v>
      </c>
      <c r="W464">
        <v>0</v>
      </c>
      <c r="X464">
        <v>0</v>
      </c>
      <c r="Y464">
        <v>44</v>
      </c>
      <c r="Z464">
        <v>47</v>
      </c>
      <c r="AA464">
        <v>50</v>
      </c>
      <c r="AB464">
        <v>2500</v>
      </c>
      <c r="AC464">
        <v>2201</v>
      </c>
      <c r="AD464">
        <v>1519</v>
      </c>
      <c r="AE464">
        <v>682</v>
      </c>
      <c r="AF464">
        <v>0</v>
      </c>
      <c r="AG464">
        <v>0</v>
      </c>
      <c r="AH464">
        <v>0</v>
      </c>
      <c r="AI464">
        <v>0</v>
      </c>
      <c r="AJ464">
        <v>682</v>
      </c>
      <c r="AK464">
        <v>372</v>
      </c>
      <c r="AL464">
        <v>0</v>
      </c>
      <c r="AM464">
        <v>310</v>
      </c>
      <c r="AN464">
        <v>240</v>
      </c>
      <c r="AO464">
        <v>310</v>
      </c>
      <c r="AP464">
        <v>8</v>
      </c>
      <c r="AQ464">
        <v>0</v>
      </c>
      <c r="AR464">
        <v>1</v>
      </c>
      <c r="AS464" t="s">
        <v>59</v>
      </c>
      <c r="AT464">
        <v>1</v>
      </c>
      <c r="AU464" t="s">
        <v>60</v>
      </c>
      <c r="AV464" t="s">
        <v>61</v>
      </c>
      <c r="AW464">
        <v>1</v>
      </c>
      <c r="AX464">
        <v>3</v>
      </c>
      <c r="AY464">
        <v>0</v>
      </c>
      <c r="AZ464">
        <v>0</v>
      </c>
      <c r="BA464">
        <v>100</v>
      </c>
      <c r="BB464">
        <v>100</v>
      </c>
      <c r="BC464">
        <v>100</v>
      </c>
      <c r="BD464">
        <v>100</v>
      </c>
      <c r="BE464">
        <v>1</v>
      </c>
      <c r="BF464">
        <v>15000</v>
      </c>
      <c r="BG464">
        <v>1000</v>
      </c>
      <c r="BH464" s="7">
        <f>ROUND(Wapato_Inventory[[#This Row],[detatched_value]]*Lookups!$B$22*Lookups!$H$48,-2)</f>
        <v>0</v>
      </c>
      <c r="BI464" s="7">
        <f>ROUND(((Wapato_Inventory[[#This Row],[land_extract]]*Lookups!$B$3) +(Lookups!$B$2*0.5))*Lookups!$H$48,-2)</f>
        <v>56100</v>
      </c>
      <c r="BJ464" s="7">
        <f>IF(Wapato_Inventory[[#This Row],[bldg_style]]="",0,Lookups!$B$2*0.5)</f>
        <v>53765.27</v>
      </c>
      <c r="BK464" s="7">
        <f>_xlfn.IFNA(VLOOKUP(Wapato_Inventory[[#This Row],[quality]],Lookups!$H$2:$J$14,3,FALSE),0)</f>
        <v>92307</v>
      </c>
      <c r="BL464" s="7">
        <f>_xlfn.IFNA(VLOOKUP(Wapato_Inventory[[#This Row],[condition]],Lookups!$H$17:$J$24,3,FALSE),0)</f>
        <v>52231</v>
      </c>
      <c r="BM464" s="7">
        <f>Wapato_Inventory[[#This Row],[Age]]*Lookups!$B$16</f>
        <v>-17421.757900000001</v>
      </c>
      <c r="BN464" s="7">
        <f>Wapato_Inventory[[#This Row],[Main Floor]]*Lookups!$B$17</f>
        <v>63495.322541000001</v>
      </c>
      <c r="BO464" s="7">
        <f>Wapato_Inventory[[#This Row],[Upper Floor]]*Lookups!$B$18</f>
        <v>33827.976798000003</v>
      </c>
      <c r="BP464" s="7">
        <f>Wapato_Inventory[[#This Row],[Fin BSMT]]*Lookups!$B$19</f>
        <v>0</v>
      </c>
      <c r="BQ464" s="7">
        <f>(Wapato_Inventory[[#This Row],[att_gar]]+Wapato_Inventory[[#This Row],[blt_gar]])*Lookups!$B$20</f>
        <v>25239.968864000002</v>
      </c>
      <c r="BR464" s="7">
        <f>Wapato_Inventory[[#This Row],[Patio]]*Lookups!$B$21</f>
        <v>13430.433490000001</v>
      </c>
      <c r="BS464" s="7">
        <f>SUM(Wapato_Inventory[[#This Row],[intercept]:[patio_value]])*Wapato_Inventory[[#This Row],[res_pct]]</f>
        <v>316875.21379300003</v>
      </c>
      <c r="BT464" s="7">
        <f>Wapato_Inventory[[#This Row],[land_value]]</f>
        <v>56100</v>
      </c>
      <c r="BU464" s="2">
        <f>_xlfn.IFNA(VLOOKUP(Wapato_Inventory[[#This Row],[quality]],Lookups!$A$28:$C$37,3,FALSE),1)</f>
        <v>1.0013727718490204</v>
      </c>
      <c r="BV464" s="2">
        <f>_xlfn.IFNA(VLOOKUP(Wapato_Inventory[[#This Row],[condition]],Lookups!$A$41:$C$48,3,FALSE),1)</f>
        <v>0.9832333997567807</v>
      </c>
      <c r="BW464" s="2">
        <f>IF(Wapato_Inventory[[#This Row],[decade]]="",1,_xlfn.IFNA(VLOOKUP(Wapato_Inventory[[#This Row],[decade]],Lookups!$F$28:$H$45,3,FALSE),1))</f>
        <v>0.96240333884358298</v>
      </c>
      <c r="BX464" s="2">
        <f>_xlfn.IFNA(VLOOKUP(Wapato_Inventory[[#This Row],[living_area_range]],Lookups!$K$28:$M$37,3,FALSE),1)</f>
        <v>0.90813907160181651</v>
      </c>
      <c r="BY464" s="2">
        <f>AVERAGE(Wapato_Inventory[[#This Row],[qual_adj]:[range_adj]])</f>
        <v>0.9637871455128002</v>
      </c>
      <c r="BZ464" s="7">
        <f>(Wapato_Inventory[[#This Row],[sum_land]]-IF(Wapato_Inventory[[#This Row],[no_utilities]]=1,12000,0))/IF(Wapato_Inventory[[#This Row],[unbuildable]]=1,2,1)</f>
        <v>56100</v>
      </c>
      <c r="CA464" s="7">
        <f>Wapato_Inventory[[#This Row],[pre_res]]*Wapato_Inventory[[#This Row],[overall_adj]]</f>
        <v>305400.25778531382</v>
      </c>
      <c r="CB464" s="3">
        <f>IF(ROUND(Wapato_Inventory[[#This Row],[adj_land]]*Lookups!$H$48,-2)&lt;Wapato_Inventory[[#This Row],[min_land]],Wapato_Inventory[[#This Row],[min_land]],ROUND(Wapato_Inventory[[#This Row],[adj_land]]*Lookups!$H$48,-2))</f>
        <v>53300</v>
      </c>
      <c r="CC464" s="3">
        <f>IF(ROUND(Wapato_Inventory[[#This Row],[adj_res]]*Lookups!$H$48,-2)&lt;Wapato_Inventory[[#This Row],[min_res]],Wapato_Inventory[[#This Row],[min_res]],ROUND(Wapato_Inventory[[#This Row],[adj_res]]*Lookups!$H$48,-2))</f>
        <v>290100</v>
      </c>
      <c r="CD464" s="3">
        <f>ROUND(Wapato_Inventory[[#This Row],[det_value]]*Lookups!$H$48,-2)</f>
        <v>0</v>
      </c>
      <c r="CE464" s="3">
        <f>Wapato_Inventory[[#This Row],[final_res]]+Wapato_Inventory[[#This Row],[final_det]]</f>
        <v>290100</v>
      </c>
      <c r="CF464" s="3">
        <f>Wapato_Inventory[[#This Row],[crop_value]]+Wapato_Inventory[[#This Row],[final_land]]+Wapato_Inventory[[#This Row],[final_imp]]</f>
        <v>343400</v>
      </c>
      <c r="CH464" t="str">
        <f t="shared" si="7"/>
        <v>update valuation set market_land =53300, market_bldg=290100, market_total =343400, market_mdno =405, market_date ='9/10/2023' where link_id = (select link_id from parcel where parcel_year = '2024' and parcel_id = '19111433412');</v>
      </c>
    </row>
    <row r="465" spans="1:86" x14ac:dyDescent="0.25">
      <c r="A465">
        <v>19111433413</v>
      </c>
      <c r="B465">
        <v>0.45</v>
      </c>
      <c r="C465">
        <v>19500</v>
      </c>
      <c r="D465" t="s">
        <v>144</v>
      </c>
      <c r="E465" t="s">
        <v>54</v>
      </c>
      <c r="F465" t="s">
        <v>54</v>
      </c>
      <c r="G465">
        <v>3</v>
      </c>
      <c r="H465" t="s">
        <v>55</v>
      </c>
      <c r="I465">
        <v>394000</v>
      </c>
      <c r="J465">
        <v>39600</v>
      </c>
      <c r="K465">
        <v>0.45</v>
      </c>
      <c r="L465">
        <f>IF(Wapato_Inventory[[#This Row],[parcel_acres]]-Wapato_Inventory[[#This Row],[non_valued_acres]] =0,0,LN(Wapato_Inventory[[#This Row],[parcel_acres]]-Wapato_Inventory[[#This Row],[non_valued_acres]]))</f>
        <v>-0.79850769621777162</v>
      </c>
      <c r="M465">
        <v>0</v>
      </c>
      <c r="N465">
        <v>0</v>
      </c>
      <c r="O465">
        <v>0</v>
      </c>
      <c r="P465">
        <v>27904.037</v>
      </c>
      <c r="Q465">
        <v>74398</v>
      </c>
      <c r="R465" s="3">
        <f>(Wapato_Inventory[[#This Row],[ln_acres]]*Wapato_Inventory[[#This Row],[coeff]])+Wapato_Inventory[[#This Row],[const]]</f>
        <v>52116.411699954537</v>
      </c>
      <c r="S465" t="s">
        <v>62</v>
      </c>
      <c r="T465">
        <v>1</v>
      </c>
      <c r="U465" t="s">
        <v>63</v>
      </c>
      <c r="V465" t="s">
        <v>68</v>
      </c>
      <c r="W465">
        <v>0</v>
      </c>
      <c r="X465">
        <v>0</v>
      </c>
      <c r="Y465">
        <v>45</v>
      </c>
      <c r="Z465">
        <v>51</v>
      </c>
      <c r="AA465">
        <v>60</v>
      </c>
      <c r="AB465">
        <v>3000</v>
      </c>
      <c r="AC465">
        <v>2739</v>
      </c>
      <c r="AD465">
        <v>2739</v>
      </c>
      <c r="AE465">
        <v>0</v>
      </c>
      <c r="AF465">
        <v>0</v>
      </c>
      <c r="AG465">
        <v>0</v>
      </c>
      <c r="AH465">
        <v>0</v>
      </c>
      <c r="AI465">
        <v>460</v>
      </c>
      <c r="AJ465">
        <v>0</v>
      </c>
      <c r="AK465">
        <v>575</v>
      </c>
      <c r="AL465">
        <v>164</v>
      </c>
      <c r="AM465">
        <v>288</v>
      </c>
      <c r="AN465">
        <v>0</v>
      </c>
      <c r="AO465">
        <v>288</v>
      </c>
      <c r="AP465">
        <v>11</v>
      </c>
      <c r="AQ465">
        <v>0</v>
      </c>
      <c r="AR465">
        <v>1</v>
      </c>
      <c r="AS465" t="s">
        <v>59</v>
      </c>
      <c r="AT465">
        <v>1</v>
      </c>
      <c r="AU465" t="s">
        <v>60</v>
      </c>
      <c r="AV465" t="s">
        <v>61</v>
      </c>
      <c r="AW465">
        <v>1</v>
      </c>
      <c r="AX465">
        <v>3</v>
      </c>
      <c r="AY465">
        <v>0</v>
      </c>
      <c r="AZ465">
        <v>201800</v>
      </c>
      <c r="BA465">
        <v>100</v>
      </c>
      <c r="BB465">
        <v>100</v>
      </c>
      <c r="BC465">
        <v>100</v>
      </c>
      <c r="BD465">
        <v>100</v>
      </c>
      <c r="BE465">
        <v>1</v>
      </c>
      <c r="BF465">
        <v>15000</v>
      </c>
      <c r="BG465">
        <v>1000</v>
      </c>
      <c r="BH465" s="7">
        <f>ROUND(Wapato_Inventory[[#This Row],[detatched_value]]*Lookups!$B$22*Lookups!$H$48,-2)</f>
        <v>180300</v>
      </c>
      <c r="BI465" s="7">
        <f>ROUND(((Wapato_Inventory[[#This Row],[land_extract]]*Lookups!$B$3) +(Lookups!$B$2*0.5))*Lookups!$H$48,-2)</f>
        <v>56100</v>
      </c>
      <c r="BJ465" s="7">
        <f>IF(Wapato_Inventory[[#This Row],[bldg_style]]="",0,Lookups!$B$2*0.5)</f>
        <v>53765.27</v>
      </c>
      <c r="BK465" s="7">
        <f>_xlfn.IFNA(VLOOKUP(Wapato_Inventory[[#This Row],[quality]],Lookups!$H$2:$J$14,3,FALSE),0)</f>
        <v>50594</v>
      </c>
      <c r="BL465" s="7">
        <f>_xlfn.IFNA(VLOOKUP(Wapato_Inventory[[#This Row],[condition]],Lookups!$H$17:$J$24,3,FALSE),0)</f>
        <v>52231</v>
      </c>
      <c r="BM465" s="7">
        <f>Wapato_Inventory[[#This Row],[Age]]*Lookups!$B$16</f>
        <v>-18904.4607</v>
      </c>
      <c r="BN465" s="7">
        <f>Wapato_Inventory[[#This Row],[Main Floor]]*Lookups!$B$17</f>
        <v>114492.22412100001</v>
      </c>
      <c r="BO465" s="7">
        <f>Wapato_Inventory[[#This Row],[Upper Floor]]*Lookups!$B$18</f>
        <v>0</v>
      </c>
      <c r="BP465" s="7">
        <f>Wapato_Inventory[[#This Row],[Fin BSMT]]*Lookups!$B$19</f>
        <v>0</v>
      </c>
      <c r="BQ465" s="7">
        <f>(Wapato_Inventory[[#This Row],[att_gar]]+Wapato_Inventory[[#This Row],[blt_gar]])*Lookups!$B$20</f>
        <v>17024.02592</v>
      </c>
      <c r="BR465" s="7">
        <f>Wapato_Inventory[[#This Row],[Patio]]*Lookups!$B$21</f>
        <v>12477.305952000001</v>
      </c>
      <c r="BS465" s="7">
        <f>SUM(Wapato_Inventory[[#This Row],[intercept]:[patio_value]])*Wapato_Inventory[[#This Row],[res_pct]]</f>
        <v>281679.36529300001</v>
      </c>
      <c r="BT465" s="7">
        <f>Wapato_Inventory[[#This Row],[land_value]]</f>
        <v>56100</v>
      </c>
      <c r="BU465" s="2">
        <f>_xlfn.IFNA(VLOOKUP(Wapato_Inventory[[#This Row],[quality]],Lookups!$A$28:$C$37,3,FALSE),1)</f>
        <v>0.99197423394367223</v>
      </c>
      <c r="BV465" s="2">
        <f>_xlfn.IFNA(VLOOKUP(Wapato_Inventory[[#This Row],[condition]],Lookups!$A$41:$C$48,3,FALSE),1)</f>
        <v>0.9832333997567807</v>
      </c>
      <c r="BW465" s="2">
        <f>IF(Wapato_Inventory[[#This Row],[decade]]="",1,_xlfn.IFNA(VLOOKUP(Wapato_Inventory[[#This Row],[decade]],Lookups!$F$28:$H$45,3,FALSE),1))</f>
        <v>1.035341704162583</v>
      </c>
      <c r="BX465" s="2">
        <f>_xlfn.IFNA(VLOOKUP(Wapato_Inventory[[#This Row],[living_area_range]],Lookups!$K$28:$M$37,3,FALSE),1)</f>
        <v>1.0155869662067822</v>
      </c>
      <c r="BY465" s="2">
        <f>AVERAGE(Wapato_Inventory[[#This Row],[qual_adj]:[range_adj]])</f>
        <v>1.0065340760174546</v>
      </c>
      <c r="BZ465" s="7">
        <f>(Wapato_Inventory[[#This Row],[sum_land]]-IF(Wapato_Inventory[[#This Row],[no_utilities]]=1,12000,0))/IF(Wapato_Inventory[[#This Row],[unbuildable]]=1,2,1)</f>
        <v>56100</v>
      </c>
      <c r="CA465" s="7">
        <f>Wapato_Inventory[[#This Row],[pre_res]]*Wapato_Inventory[[#This Row],[overall_adj]]</f>
        <v>283519.87967837282</v>
      </c>
      <c r="CB465" s="3">
        <f>IF(ROUND(Wapato_Inventory[[#This Row],[adj_land]]*Lookups!$H$48,-2)&lt;Wapato_Inventory[[#This Row],[min_land]],Wapato_Inventory[[#This Row],[min_land]],ROUND(Wapato_Inventory[[#This Row],[adj_land]]*Lookups!$H$48,-2))</f>
        <v>53300</v>
      </c>
      <c r="CC465" s="3">
        <f>IF(ROUND(Wapato_Inventory[[#This Row],[adj_res]]*Lookups!$H$48,-2)&lt;Wapato_Inventory[[#This Row],[min_res]],Wapato_Inventory[[#This Row],[min_res]],ROUND(Wapato_Inventory[[#This Row],[adj_res]]*Lookups!$H$48,-2))</f>
        <v>269300</v>
      </c>
      <c r="CD465" s="3">
        <f>ROUND(Wapato_Inventory[[#This Row],[det_value]]*Lookups!$H$48,-2)</f>
        <v>171300</v>
      </c>
      <c r="CE465" s="3">
        <f>Wapato_Inventory[[#This Row],[final_res]]+Wapato_Inventory[[#This Row],[final_det]]</f>
        <v>440600</v>
      </c>
      <c r="CF465" s="3">
        <f>Wapato_Inventory[[#This Row],[crop_value]]+Wapato_Inventory[[#This Row],[final_land]]+Wapato_Inventory[[#This Row],[final_imp]]</f>
        <v>493900</v>
      </c>
      <c r="CH465" t="str">
        <f t="shared" si="7"/>
        <v>update valuation set market_land =53300, market_bldg=440600, market_total =493900, market_mdno =405, market_date ='9/10/2023' where link_id = (select link_id from parcel where parcel_year = '2024' and parcel_id = '19111433413');</v>
      </c>
    </row>
    <row r="466" spans="1:86" x14ac:dyDescent="0.25">
      <c r="A466">
        <v>19111433414</v>
      </c>
      <c r="B466">
        <v>0.45</v>
      </c>
      <c r="C466">
        <v>19500</v>
      </c>
      <c r="D466" t="s">
        <v>144</v>
      </c>
      <c r="E466" t="s">
        <v>54</v>
      </c>
      <c r="F466" t="s">
        <v>54</v>
      </c>
      <c r="G466">
        <v>3</v>
      </c>
      <c r="H466" t="s">
        <v>55</v>
      </c>
      <c r="I466">
        <v>253300</v>
      </c>
      <c r="J466">
        <v>39600</v>
      </c>
      <c r="K466">
        <v>0.45</v>
      </c>
      <c r="L466">
        <f>IF(Wapato_Inventory[[#This Row],[parcel_acres]]-Wapato_Inventory[[#This Row],[non_valued_acres]] =0,0,LN(Wapato_Inventory[[#This Row],[parcel_acres]]-Wapato_Inventory[[#This Row],[non_valued_acres]]))</f>
        <v>-0.79850769621777162</v>
      </c>
      <c r="M466">
        <v>0</v>
      </c>
      <c r="N466">
        <v>0</v>
      </c>
      <c r="O466">
        <v>0</v>
      </c>
      <c r="P466">
        <v>27904.037</v>
      </c>
      <c r="Q466">
        <v>74398</v>
      </c>
      <c r="R466" s="3">
        <f>(Wapato_Inventory[[#This Row],[ln_acres]]*Wapato_Inventory[[#This Row],[coeff]])+Wapato_Inventory[[#This Row],[const]]</f>
        <v>52116.411699954537</v>
      </c>
      <c r="S466" t="s">
        <v>62</v>
      </c>
      <c r="T466">
        <v>1</v>
      </c>
      <c r="U466" t="s">
        <v>63</v>
      </c>
      <c r="V466" t="s">
        <v>68</v>
      </c>
      <c r="W466">
        <v>0</v>
      </c>
      <c r="X466">
        <v>0</v>
      </c>
      <c r="Y466">
        <v>45</v>
      </c>
      <c r="Z466">
        <v>50</v>
      </c>
      <c r="AA466">
        <v>50</v>
      </c>
      <c r="AB466">
        <v>2500</v>
      </c>
      <c r="AC466">
        <v>2012</v>
      </c>
      <c r="AD466">
        <v>2012</v>
      </c>
      <c r="AE466">
        <v>0</v>
      </c>
      <c r="AF466">
        <v>0</v>
      </c>
      <c r="AG466">
        <v>0</v>
      </c>
      <c r="AH466">
        <v>0</v>
      </c>
      <c r="AI466">
        <v>572</v>
      </c>
      <c r="AJ466">
        <v>0</v>
      </c>
      <c r="AK466">
        <v>0</v>
      </c>
      <c r="AL466">
        <v>0</v>
      </c>
      <c r="AM466">
        <v>600</v>
      </c>
      <c r="AN466">
        <v>0</v>
      </c>
      <c r="AO466">
        <v>600</v>
      </c>
      <c r="AP466">
        <v>13</v>
      </c>
      <c r="AQ466">
        <v>0</v>
      </c>
      <c r="AR466">
        <v>2</v>
      </c>
      <c r="AS466" t="s">
        <v>59</v>
      </c>
      <c r="AT466">
        <v>1</v>
      </c>
      <c r="AU466" t="s">
        <v>64</v>
      </c>
      <c r="AV466" t="s">
        <v>61</v>
      </c>
      <c r="AW466">
        <v>0</v>
      </c>
      <c r="AX466">
        <v>3</v>
      </c>
      <c r="AY466">
        <v>0</v>
      </c>
      <c r="AZ466">
        <v>0</v>
      </c>
      <c r="BA466">
        <v>100</v>
      </c>
      <c r="BB466">
        <v>100</v>
      </c>
      <c r="BC466">
        <v>100</v>
      </c>
      <c r="BD466">
        <v>100</v>
      </c>
      <c r="BE466">
        <v>1</v>
      </c>
      <c r="BF466">
        <v>15000</v>
      </c>
      <c r="BG466">
        <v>1000</v>
      </c>
      <c r="BH466" s="7">
        <f>ROUND(Wapato_Inventory[[#This Row],[detatched_value]]*Lookups!$B$22*Lookups!$H$48,-2)</f>
        <v>0</v>
      </c>
      <c r="BI466" s="7">
        <f>ROUND(((Wapato_Inventory[[#This Row],[land_extract]]*Lookups!$B$3) +(Lookups!$B$2*0.5))*Lookups!$H$48,-2)</f>
        <v>56100</v>
      </c>
      <c r="BJ466" s="7">
        <f>IF(Wapato_Inventory[[#This Row],[bldg_style]]="",0,Lookups!$B$2*0.5)</f>
        <v>53765.27</v>
      </c>
      <c r="BK466" s="7">
        <f>_xlfn.IFNA(VLOOKUP(Wapato_Inventory[[#This Row],[quality]],Lookups!$H$2:$J$14,3,FALSE),0)</f>
        <v>50594</v>
      </c>
      <c r="BL466" s="7">
        <f>_xlfn.IFNA(VLOOKUP(Wapato_Inventory[[#This Row],[condition]],Lookups!$H$17:$J$24,3,FALSE),0)</f>
        <v>52231</v>
      </c>
      <c r="BM466" s="7">
        <f>Wapato_Inventory[[#This Row],[Age]]*Lookups!$B$16</f>
        <v>-18533.785</v>
      </c>
      <c r="BN466" s="7">
        <f>Wapato_Inventory[[#This Row],[Main Floor]]*Lookups!$B$17</f>
        <v>84103.086867999999</v>
      </c>
      <c r="BO466" s="7">
        <f>Wapato_Inventory[[#This Row],[Upper Floor]]*Lookups!$B$18</f>
        <v>0</v>
      </c>
      <c r="BP466" s="7">
        <f>Wapato_Inventory[[#This Row],[Fin BSMT]]*Lookups!$B$19</f>
        <v>0</v>
      </c>
      <c r="BQ466" s="7">
        <f>(Wapato_Inventory[[#This Row],[att_gar]]+Wapato_Inventory[[#This Row],[blt_gar]])*Lookups!$B$20</f>
        <v>21169.006143999999</v>
      </c>
      <c r="BR466" s="7">
        <f>Wapato_Inventory[[#This Row],[Patio]]*Lookups!$B$21</f>
        <v>25994.3874</v>
      </c>
      <c r="BS466" s="7">
        <f>SUM(Wapato_Inventory[[#This Row],[intercept]:[patio_value]])*Wapato_Inventory[[#This Row],[res_pct]]</f>
        <v>269322.96541199996</v>
      </c>
      <c r="BT466" s="7">
        <f>Wapato_Inventory[[#This Row],[land_value]]</f>
        <v>56100</v>
      </c>
      <c r="BU466" s="2">
        <f>_xlfn.IFNA(VLOOKUP(Wapato_Inventory[[#This Row],[quality]],Lookups!$A$28:$C$37,3,FALSE),1)</f>
        <v>0.99197423394367223</v>
      </c>
      <c r="BV466" s="2">
        <f>_xlfn.IFNA(VLOOKUP(Wapato_Inventory[[#This Row],[condition]],Lookups!$A$41:$C$48,3,FALSE),1)</f>
        <v>0.9832333997567807</v>
      </c>
      <c r="BW466" s="2">
        <f>IF(Wapato_Inventory[[#This Row],[decade]]="",1,_xlfn.IFNA(VLOOKUP(Wapato_Inventory[[#This Row],[decade]],Lookups!$F$28:$H$45,3,FALSE),1))</f>
        <v>0.96240333884358298</v>
      </c>
      <c r="BX466" s="2">
        <f>_xlfn.IFNA(VLOOKUP(Wapato_Inventory[[#This Row],[living_area_range]],Lookups!$K$28:$M$37,3,FALSE),1)</f>
        <v>0.90813907160181651</v>
      </c>
      <c r="BY466" s="2">
        <f>AVERAGE(Wapato_Inventory[[#This Row],[qual_adj]:[range_adj]])</f>
        <v>0.96143751103646302</v>
      </c>
      <c r="BZ466" s="7">
        <f>(Wapato_Inventory[[#This Row],[sum_land]]-IF(Wapato_Inventory[[#This Row],[no_utilities]]=1,12000,0))/IF(Wapato_Inventory[[#This Row],[unbuildable]]=1,2,1)</f>
        <v>56100</v>
      </c>
      <c r="CA466" s="7">
        <f>Wapato_Inventory[[#This Row],[pre_res]]*Wapato_Inventory[[#This Row],[overall_adj]]</f>
        <v>258937.20153067267</v>
      </c>
      <c r="CB466" s="3">
        <f>IF(ROUND(Wapato_Inventory[[#This Row],[adj_land]]*Lookups!$H$48,-2)&lt;Wapato_Inventory[[#This Row],[min_land]],Wapato_Inventory[[#This Row],[min_land]],ROUND(Wapato_Inventory[[#This Row],[adj_land]]*Lookups!$H$48,-2))</f>
        <v>53300</v>
      </c>
      <c r="CC466" s="3">
        <f>IF(ROUND(Wapato_Inventory[[#This Row],[adj_res]]*Lookups!$H$48,-2)&lt;Wapato_Inventory[[#This Row],[min_res]],Wapato_Inventory[[#This Row],[min_res]],ROUND(Wapato_Inventory[[#This Row],[adj_res]]*Lookups!$H$48,-2))</f>
        <v>246000</v>
      </c>
      <c r="CD466" s="3">
        <f>ROUND(Wapato_Inventory[[#This Row],[det_value]]*Lookups!$H$48,-2)</f>
        <v>0</v>
      </c>
      <c r="CE466" s="3">
        <f>Wapato_Inventory[[#This Row],[final_res]]+Wapato_Inventory[[#This Row],[final_det]]</f>
        <v>246000</v>
      </c>
      <c r="CF466" s="3">
        <f>Wapato_Inventory[[#This Row],[crop_value]]+Wapato_Inventory[[#This Row],[final_land]]+Wapato_Inventory[[#This Row],[final_imp]]</f>
        <v>299300</v>
      </c>
      <c r="CH466" t="str">
        <f t="shared" si="7"/>
        <v>update valuation set market_land =53300, market_bldg=246000, market_total =299300, market_mdno =405, market_date ='9/10/2023' where link_id = (select link_id from parcel where parcel_year = '2024' and parcel_id = '19111433414');</v>
      </c>
    </row>
    <row r="467" spans="1:86" x14ac:dyDescent="0.25">
      <c r="A467">
        <v>19111433415</v>
      </c>
      <c r="B467">
        <v>0.45</v>
      </c>
      <c r="C467">
        <v>19500</v>
      </c>
      <c r="D467" t="s">
        <v>144</v>
      </c>
      <c r="E467" t="s">
        <v>54</v>
      </c>
      <c r="F467" t="s">
        <v>54</v>
      </c>
      <c r="G467">
        <v>3</v>
      </c>
      <c r="H467" t="s">
        <v>55</v>
      </c>
      <c r="I467">
        <v>275400</v>
      </c>
      <c r="J467">
        <v>39600</v>
      </c>
      <c r="K467">
        <v>0.45</v>
      </c>
      <c r="L467">
        <f>IF(Wapato_Inventory[[#This Row],[parcel_acres]]-Wapato_Inventory[[#This Row],[non_valued_acres]] =0,0,LN(Wapato_Inventory[[#This Row],[parcel_acres]]-Wapato_Inventory[[#This Row],[non_valued_acres]]))</f>
        <v>-0.79850769621777162</v>
      </c>
      <c r="M467">
        <v>0</v>
      </c>
      <c r="N467">
        <v>0</v>
      </c>
      <c r="O467">
        <v>0</v>
      </c>
      <c r="P467">
        <v>27904.037</v>
      </c>
      <c r="Q467">
        <v>74398</v>
      </c>
      <c r="R467" s="3">
        <f>(Wapato_Inventory[[#This Row],[ln_acres]]*Wapato_Inventory[[#This Row],[coeff]])+Wapato_Inventory[[#This Row],[const]]</f>
        <v>52116.411699954537</v>
      </c>
      <c r="S467" t="s">
        <v>110</v>
      </c>
      <c r="T467">
        <v>1</v>
      </c>
      <c r="U467" t="s">
        <v>63</v>
      </c>
      <c r="V467" t="s">
        <v>69</v>
      </c>
      <c r="W467">
        <v>0</v>
      </c>
      <c r="X467">
        <v>0</v>
      </c>
      <c r="Y467">
        <v>44</v>
      </c>
      <c r="Z467">
        <v>47</v>
      </c>
      <c r="AA467">
        <v>50</v>
      </c>
      <c r="AB467">
        <v>2000</v>
      </c>
      <c r="AC467">
        <v>2000</v>
      </c>
      <c r="AD467">
        <v>1350</v>
      </c>
      <c r="AE467">
        <v>0</v>
      </c>
      <c r="AF467">
        <v>0</v>
      </c>
      <c r="AG467">
        <v>650</v>
      </c>
      <c r="AH467">
        <v>0</v>
      </c>
      <c r="AI467">
        <v>576</v>
      </c>
      <c r="AJ467">
        <v>0</v>
      </c>
      <c r="AK467">
        <v>0</v>
      </c>
      <c r="AL467">
        <v>0</v>
      </c>
      <c r="AM467">
        <v>200</v>
      </c>
      <c r="AN467">
        <v>0</v>
      </c>
      <c r="AO467">
        <v>200</v>
      </c>
      <c r="AP467">
        <v>8</v>
      </c>
      <c r="AQ467">
        <v>0</v>
      </c>
      <c r="AR467">
        <v>1</v>
      </c>
      <c r="AS467" t="s">
        <v>59</v>
      </c>
      <c r="AT467">
        <v>1</v>
      </c>
      <c r="AU467" t="s">
        <v>60</v>
      </c>
      <c r="AV467" t="s">
        <v>61</v>
      </c>
      <c r="AW467">
        <v>1</v>
      </c>
      <c r="AX467">
        <v>4</v>
      </c>
      <c r="AY467">
        <v>0</v>
      </c>
      <c r="AZ467">
        <v>0</v>
      </c>
      <c r="BA467">
        <v>100</v>
      </c>
      <c r="BB467">
        <v>100</v>
      </c>
      <c r="BC467">
        <v>100</v>
      </c>
      <c r="BD467">
        <v>100</v>
      </c>
      <c r="BE467">
        <v>1</v>
      </c>
      <c r="BF467">
        <v>15000</v>
      </c>
      <c r="BG467">
        <v>1000</v>
      </c>
      <c r="BH467" s="7">
        <f>ROUND(Wapato_Inventory[[#This Row],[detatched_value]]*Lookups!$B$22*Lookups!$H$48,-2)</f>
        <v>0</v>
      </c>
      <c r="BI467" s="7">
        <f>ROUND(((Wapato_Inventory[[#This Row],[land_extract]]*Lookups!$B$3) +(Lookups!$B$2*0.5))*Lookups!$H$48,-2)</f>
        <v>56100</v>
      </c>
      <c r="BJ467" s="7">
        <f>IF(Wapato_Inventory[[#This Row],[bldg_style]]="",0,Lookups!$B$2*0.5)</f>
        <v>53765.27</v>
      </c>
      <c r="BK467" s="7">
        <f>_xlfn.IFNA(VLOOKUP(Wapato_Inventory[[#This Row],[quality]],Lookups!$H$2:$J$14,3,FALSE),0)</f>
        <v>50594</v>
      </c>
      <c r="BL467" s="7">
        <f>_xlfn.IFNA(VLOOKUP(Wapato_Inventory[[#This Row],[condition]],Lookups!$H$17:$J$24,3,FALSE),0)</f>
        <v>74543</v>
      </c>
      <c r="BM467" s="7">
        <f>Wapato_Inventory[[#This Row],[Age]]*Lookups!$B$16</f>
        <v>-17421.757900000001</v>
      </c>
      <c r="BN467" s="7">
        <f>Wapato_Inventory[[#This Row],[Main Floor]]*Lookups!$B$17</f>
        <v>56430.997649999998</v>
      </c>
      <c r="BO467" s="7">
        <f>Wapato_Inventory[[#This Row],[Upper Floor]]*Lookups!$B$18</f>
        <v>0</v>
      </c>
      <c r="BP467" s="7">
        <f>Wapato_Inventory[[#This Row],[Fin BSMT]]*Lookups!$B$19</f>
        <v>15838.380999999999</v>
      </c>
      <c r="BQ467" s="7">
        <f>(Wapato_Inventory[[#This Row],[att_gar]]+Wapato_Inventory[[#This Row],[blt_gar]])*Lookups!$B$20</f>
        <v>21317.041152000002</v>
      </c>
      <c r="BR467" s="7">
        <f>Wapato_Inventory[[#This Row],[Patio]]*Lookups!$B$21</f>
        <v>8664.7957999999999</v>
      </c>
      <c r="BS467" s="7">
        <f>SUM(Wapato_Inventory[[#This Row],[intercept]:[patio_value]])*Wapato_Inventory[[#This Row],[res_pct]]</f>
        <v>263731.727702</v>
      </c>
      <c r="BT467" s="7">
        <f>Wapato_Inventory[[#This Row],[land_value]]</f>
        <v>56100</v>
      </c>
      <c r="BU467" s="2">
        <f>_xlfn.IFNA(VLOOKUP(Wapato_Inventory[[#This Row],[quality]],Lookups!$A$28:$C$37,3,FALSE),1)</f>
        <v>0.99197423394367223</v>
      </c>
      <c r="BV467" s="2">
        <f>_xlfn.IFNA(VLOOKUP(Wapato_Inventory[[#This Row],[condition]],Lookups!$A$41:$C$48,3,FALSE),1)</f>
        <v>0.98442438223270734</v>
      </c>
      <c r="BW467" s="2">
        <f>IF(Wapato_Inventory[[#This Row],[decade]]="",1,_xlfn.IFNA(VLOOKUP(Wapato_Inventory[[#This Row],[decade]],Lookups!$F$28:$H$45,3,FALSE),1))</f>
        <v>0.96240333884358298</v>
      </c>
      <c r="BX467" s="2">
        <f>_xlfn.IFNA(VLOOKUP(Wapato_Inventory[[#This Row],[living_area_range]],Lookups!$K$28:$M$37,3,FALSE),1)</f>
        <v>0.99330894324714125</v>
      </c>
      <c r="BY467" s="2">
        <f>AVERAGE(Wapato_Inventory[[#This Row],[qual_adj]:[range_adj]])</f>
        <v>0.9830277245667759</v>
      </c>
      <c r="BZ467" s="7">
        <f>(Wapato_Inventory[[#This Row],[sum_land]]-IF(Wapato_Inventory[[#This Row],[no_utilities]]=1,12000,0))/IF(Wapato_Inventory[[#This Row],[unbuildable]]=1,2,1)</f>
        <v>56100</v>
      </c>
      <c r="CA467" s="7">
        <f>Wapato_Inventory[[#This Row],[pre_res]]*Wapato_Inventory[[#This Row],[overall_adj]]</f>
        <v>259255.60017896161</v>
      </c>
      <c r="CB467" s="3">
        <f>IF(ROUND(Wapato_Inventory[[#This Row],[adj_land]]*Lookups!$H$48,-2)&lt;Wapato_Inventory[[#This Row],[min_land]],Wapato_Inventory[[#This Row],[min_land]],ROUND(Wapato_Inventory[[#This Row],[adj_land]]*Lookups!$H$48,-2))</f>
        <v>53300</v>
      </c>
      <c r="CC467" s="3">
        <f>IF(ROUND(Wapato_Inventory[[#This Row],[adj_res]]*Lookups!$H$48,-2)&lt;Wapato_Inventory[[#This Row],[min_res]],Wapato_Inventory[[#This Row],[min_res]],ROUND(Wapato_Inventory[[#This Row],[adj_res]]*Lookups!$H$48,-2))</f>
        <v>246300</v>
      </c>
      <c r="CD467" s="3">
        <f>ROUND(Wapato_Inventory[[#This Row],[det_value]]*Lookups!$H$48,-2)</f>
        <v>0</v>
      </c>
      <c r="CE467" s="3">
        <f>Wapato_Inventory[[#This Row],[final_res]]+Wapato_Inventory[[#This Row],[final_det]]</f>
        <v>246300</v>
      </c>
      <c r="CF467" s="3">
        <f>Wapato_Inventory[[#This Row],[crop_value]]+Wapato_Inventory[[#This Row],[final_land]]+Wapato_Inventory[[#This Row],[final_imp]]</f>
        <v>299600</v>
      </c>
      <c r="CH467" t="str">
        <f t="shared" si="7"/>
        <v>update valuation set market_land =53300, market_bldg=246300, market_total =299600, market_mdno =405, market_date ='9/10/2023' where link_id = (select link_id from parcel where parcel_year = '2024' and parcel_id = '19111433415');</v>
      </c>
    </row>
    <row r="468" spans="1:86" x14ac:dyDescent="0.25">
      <c r="A468">
        <v>19111433416</v>
      </c>
      <c r="B468">
        <v>0.45</v>
      </c>
      <c r="C468">
        <v>19500</v>
      </c>
      <c r="D468" t="s">
        <v>144</v>
      </c>
      <c r="E468" t="s">
        <v>54</v>
      </c>
      <c r="F468" t="s">
        <v>54</v>
      </c>
      <c r="G468">
        <v>3</v>
      </c>
      <c r="H468" t="s">
        <v>55</v>
      </c>
      <c r="I468">
        <v>255100</v>
      </c>
      <c r="J468">
        <v>39600</v>
      </c>
      <c r="K468">
        <v>0.45</v>
      </c>
      <c r="L468">
        <f>IF(Wapato_Inventory[[#This Row],[parcel_acres]]-Wapato_Inventory[[#This Row],[non_valued_acres]] =0,0,LN(Wapato_Inventory[[#This Row],[parcel_acres]]-Wapato_Inventory[[#This Row],[non_valued_acres]]))</f>
        <v>-0.79850769621777162</v>
      </c>
      <c r="M468">
        <v>0</v>
      </c>
      <c r="N468">
        <v>0</v>
      </c>
      <c r="O468">
        <v>0</v>
      </c>
      <c r="P468">
        <v>27904.037</v>
      </c>
      <c r="Q468">
        <v>74398</v>
      </c>
      <c r="R468" s="3">
        <f>(Wapato_Inventory[[#This Row],[ln_acres]]*Wapato_Inventory[[#This Row],[coeff]])+Wapato_Inventory[[#This Row],[const]]</f>
        <v>52116.411699954537</v>
      </c>
      <c r="S468" t="s">
        <v>62</v>
      </c>
      <c r="T468">
        <v>1</v>
      </c>
      <c r="U468" t="s">
        <v>63</v>
      </c>
      <c r="V468" t="s">
        <v>68</v>
      </c>
      <c r="W468">
        <v>0</v>
      </c>
      <c r="X468">
        <v>0</v>
      </c>
      <c r="Y468">
        <v>45</v>
      </c>
      <c r="Z468">
        <v>50</v>
      </c>
      <c r="AA468">
        <v>50</v>
      </c>
      <c r="AB468">
        <v>2500</v>
      </c>
      <c r="AC468">
        <v>2045</v>
      </c>
      <c r="AD468">
        <v>2045</v>
      </c>
      <c r="AE468">
        <v>0</v>
      </c>
      <c r="AF468">
        <v>0</v>
      </c>
      <c r="AG468">
        <v>0</v>
      </c>
      <c r="AH468">
        <v>0</v>
      </c>
      <c r="AI468">
        <v>375</v>
      </c>
      <c r="AJ468">
        <v>0</v>
      </c>
      <c r="AK468">
        <v>0</v>
      </c>
      <c r="AL468">
        <v>0</v>
      </c>
      <c r="AM468">
        <v>360</v>
      </c>
      <c r="AN468">
        <v>88</v>
      </c>
      <c r="AO468">
        <v>0</v>
      </c>
      <c r="AP468">
        <v>8</v>
      </c>
      <c r="AQ468">
        <v>0</v>
      </c>
      <c r="AR468">
        <v>1</v>
      </c>
      <c r="AS468" t="s">
        <v>59</v>
      </c>
      <c r="AT468">
        <v>1</v>
      </c>
      <c r="AU468" t="s">
        <v>64</v>
      </c>
      <c r="AV468" t="s">
        <v>61</v>
      </c>
      <c r="AW468">
        <v>1</v>
      </c>
      <c r="AX468">
        <v>3</v>
      </c>
      <c r="AY468">
        <v>0</v>
      </c>
      <c r="AZ468">
        <v>20300</v>
      </c>
      <c r="BA468">
        <v>100</v>
      </c>
      <c r="BB468">
        <v>100</v>
      </c>
      <c r="BC468">
        <v>100</v>
      </c>
      <c r="BD468">
        <v>100</v>
      </c>
      <c r="BE468">
        <v>1</v>
      </c>
      <c r="BF468">
        <v>15000</v>
      </c>
      <c r="BG468">
        <v>1000</v>
      </c>
      <c r="BH468" s="7">
        <f>ROUND(Wapato_Inventory[[#This Row],[detatched_value]]*Lookups!$B$22*Lookups!$H$48,-2)</f>
        <v>18100</v>
      </c>
      <c r="BI468" s="7">
        <f>ROUND(((Wapato_Inventory[[#This Row],[land_extract]]*Lookups!$B$3) +(Lookups!$B$2*0.5))*Lookups!$H$48,-2)</f>
        <v>56100</v>
      </c>
      <c r="BJ468" s="7">
        <f>IF(Wapato_Inventory[[#This Row],[bldg_style]]="",0,Lookups!$B$2*0.5)</f>
        <v>53765.27</v>
      </c>
      <c r="BK468" s="7">
        <f>_xlfn.IFNA(VLOOKUP(Wapato_Inventory[[#This Row],[quality]],Lookups!$H$2:$J$14,3,FALSE),0)</f>
        <v>50594</v>
      </c>
      <c r="BL468" s="7">
        <f>_xlfn.IFNA(VLOOKUP(Wapato_Inventory[[#This Row],[condition]],Lookups!$H$17:$J$24,3,FALSE),0)</f>
        <v>52231</v>
      </c>
      <c r="BM468" s="7">
        <f>Wapato_Inventory[[#This Row],[Age]]*Lookups!$B$16</f>
        <v>-18533.785</v>
      </c>
      <c r="BN468" s="7">
        <f>Wapato_Inventory[[#This Row],[Main Floor]]*Lookups!$B$17</f>
        <v>85482.511255000005</v>
      </c>
      <c r="BO468" s="7">
        <f>Wapato_Inventory[[#This Row],[Upper Floor]]*Lookups!$B$18</f>
        <v>0</v>
      </c>
      <c r="BP468" s="7">
        <f>Wapato_Inventory[[#This Row],[Fin BSMT]]*Lookups!$B$19</f>
        <v>0</v>
      </c>
      <c r="BQ468" s="7">
        <f>(Wapato_Inventory[[#This Row],[att_gar]]+Wapato_Inventory[[#This Row],[blt_gar]])*Lookups!$B$20</f>
        <v>13878.282000000001</v>
      </c>
      <c r="BR468" s="7">
        <f>Wapato_Inventory[[#This Row],[Patio]]*Lookups!$B$21</f>
        <v>15596.632440000001</v>
      </c>
      <c r="BS468" s="7">
        <f>SUM(Wapato_Inventory[[#This Row],[intercept]:[patio_value]])*Wapato_Inventory[[#This Row],[res_pct]]</f>
        <v>253013.91069500003</v>
      </c>
      <c r="BT468" s="7">
        <f>Wapato_Inventory[[#This Row],[land_value]]</f>
        <v>56100</v>
      </c>
      <c r="BU468" s="2">
        <f>_xlfn.IFNA(VLOOKUP(Wapato_Inventory[[#This Row],[quality]],Lookups!$A$28:$C$37,3,FALSE),1)</f>
        <v>0.99197423394367223</v>
      </c>
      <c r="BV468" s="2">
        <f>_xlfn.IFNA(VLOOKUP(Wapato_Inventory[[#This Row],[condition]],Lookups!$A$41:$C$48,3,FALSE),1)</f>
        <v>0.9832333997567807</v>
      </c>
      <c r="BW468" s="2">
        <f>IF(Wapato_Inventory[[#This Row],[decade]]="",1,_xlfn.IFNA(VLOOKUP(Wapato_Inventory[[#This Row],[decade]],Lookups!$F$28:$H$45,3,FALSE),1))</f>
        <v>0.96240333884358298</v>
      </c>
      <c r="BX468" s="2">
        <f>_xlfn.IFNA(VLOOKUP(Wapato_Inventory[[#This Row],[living_area_range]],Lookups!$K$28:$M$37,3,FALSE),1)</f>
        <v>0.90813907160181651</v>
      </c>
      <c r="BY468" s="2">
        <f>AVERAGE(Wapato_Inventory[[#This Row],[qual_adj]:[range_adj]])</f>
        <v>0.96143751103646302</v>
      </c>
      <c r="BZ468" s="7">
        <f>(Wapato_Inventory[[#This Row],[sum_land]]-IF(Wapato_Inventory[[#This Row],[no_utilities]]=1,12000,0))/IF(Wapato_Inventory[[#This Row],[unbuildable]]=1,2,1)</f>
        <v>56100</v>
      </c>
      <c r="CA468" s="7">
        <f>Wapato_Inventory[[#This Row],[pre_res]]*Wapato_Inventory[[#This Row],[overall_adj]]</f>
        <v>243257.06455620276</v>
      </c>
      <c r="CB468" s="3">
        <f>IF(ROUND(Wapato_Inventory[[#This Row],[adj_land]]*Lookups!$H$48,-2)&lt;Wapato_Inventory[[#This Row],[min_land]],Wapato_Inventory[[#This Row],[min_land]],ROUND(Wapato_Inventory[[#This Row],[adj_land]]*Lookups!$H$48,-2))</f>
        <v>53300</v>
      </c>
      <c r="CC468" s="3">
        <f>IF(ROUND(Wapato_Inventory[[#This Row],[adj_res]]*Lookups!$H$48,-2)&lt;Wapato_Inventory[[#This Row],[min_res]],Wapato_Inventory[[#This Row],[min_res]],ROUND(Wapato_Inventory[[#This Row],[adj_res]]*Lookups!$H$48,-2))</f>
        <v>231100</v>
      </c>
      <c r="CD468" s="3">
        <f>ROUND(Wapato_Inventory[[#This Row],[det_value]]*Lookups!$H$48,-2)</f>
        <v>17200</v>
      </c>
      <c r="CE468" s="3">
        <f>Wapato_Inventory[[#This Row],[final_res]]+Wapato_Inventory[[#This Row],[final_det]]</f>
        <v>248300</v>
      </c>
      <c r="CF468" s="3">
        <f>Wapato_Inventory[[#This Row],[crop_value]]+Wapato_Inventory[[#This Row],[final_land]]+Wapato_Inventory[[#This Row],[final_imp]]</f>
        <v>301600</v>
      </c>
      <c r="CH468" t="str">
        <f t="shared" si="7"/>
        <v>update valuation set market_land =53300, market_bldg=248300, market_total =301600, market_mdno =405, market_date ='9/10/2023' where link_id = (select link_id from parcel where parcel_year = '2024' and parcel_id = '19111433416');</v>
      </c>
    </row>
    <row r="469" spans="1:86" x14ac:dyDescent="0.25">
      <c r="A469">
        <v>19111433417</v>
      </c>
      <c r="B469">
        <v>0.45</v>
      </c>
      <c r="C469">
        <v>19446</v>
      </c>
      <c r="D469" t="s">
        <v>144</v>
      </c>
      <c r="E469" t="s">
        <v>54</v>
      </c>
      <c r="F469" t="s">
        <v>54</v>
      </c>
      <c r="G469">
        <v>3</v>
      </c>
      <c r="H469" t="s">
        <v>55</v>
      </c>
      <c r="I469">
        <v>204200</v>
      </c>
      <c r="J469">
        <v>39600</v>
      </c>
      <c r="K469">
        <v>0.45</v>
      </c>
      <c r="L469">
        <f>IF(Wapato_Inventory[[#This Row],[parcel_acres]]-Wapato_Inventory[[#This Row],[non_valued_acres]] =0,0,LN(Wapato_Inventory[[#This Row],[parcel_acres]]-Wapato_Inventory[[#This Row],[non_valued_acres]]))</f>
        <v>-0.79850769621777162</v>
      </c>
      <c r="M469">
        <v>0</v>
      </c>
      <c r="N469">
        <v>0</v>
      </c>
      <c r="O469">
        <v>0</v>
      </c>
      <c r="P469">
        <v>27904.037</v>
      </c>
      <c r="Q469">
        <v>74398</v>
      </c>
      <c r="R469" s="3">
        <f>(Wapato_Inventory[[#This Row],[ln_acres]]*Wapato_Inventory[[#This Row],[coeff]])+Wapato_Inventory[[#This Row],[const]]</f>
        <v>52116.411699954537</v>
      </c>
      <c r="S469" t="s">
        <v>62</v>
      </c>
      <c r="T469">
        <v>1</v>
      </c>
      <c r="U469" t="s">
        <v>67</v>
      </c>
      <c r="V469" t="s">
        <v>68</v>
      </c>
      <c r="W469">
        <v>0</v>
      </c>
      <c r="X469">
        <v>0</v>
      </c>
      <c r="Y469">
        <v>45</v>
      </c>
      <c r="Z469">
        <v>50</v>
      </c>
      <c r="AA469">
        <v>50</v>
      </c>
      <c r="AB469">
        <v>2000</v>
      </c>
      <c r="AC469">
        <v>1636</v>
      </c>
      <c r="AD469">
        <v>1636</v>
      </c>
      <c r="AE469">
        <v>0</v>
      </c>
      <c r="AF469">
        <v>0</v>
      </c>
      <c r="AG469">
        <v>0</v>
      </c>
      <c r="AH469">
        <v>0</v>
      </c>
      <c r="AI469">
        <v>484</v>
      </c>
      <c r="AJ469">
        <v>0</v>
      </c>
      <c r="AK469">
        <v>0</v>
      </c>
      <c r="AL469">
        <v>0</v>
      </c>
      <c r="AM469">
        <v>548</v>
      </c>
      <c r="AN469">
        <v>0</v>
      </c>
      <c r="AO469">
        <v>548</v>
      </c>
      <c r="AP469">
        <v>8</v>
      </c>
      <c r="AQ469">
        <v>0</v>
      </c>
      <c r="AR469">
        <v>0</v>
      </c>
      <c r="AS469" t="s">
        <v>59</v>
      </c>
      <c r="AT469">
        <v>1</v>
      </c>
      <c r="AU469" t="s">
        <v>64</v>
      </c>
      <c r="AV469" t="s">
        <v>65</v>
      </c>
      <c r="AW469">
        <v>1</v>
      </c>
      <c r="AX469">
        <v>3</v>
      </c>
      <c r="AY469">
        <v>0</v>
      </c>
      <c r="AZ469">
        <v>1600</v>
      </c>
      <c r="BA469">
        <v>100</v>
      </c>
      <c r="BB469">
        <v>100</v>
      </c>
      <c r="BC469">
        <v>100</v>
      </c>
      <c r="BD469">
        <v>100</v>
      </c>
      <c r="BE469">
        <v>1</v>
      </c>
      <c r="BF469">
        <v>15000</v>
      </c>
      <c r="BG469">
        <v>1000</v>
      </c>
      <c r="BH469" s="7">
        <f>ROUND(Wapato_Inventory[[#This Row],[detatched_value]]*Lookups!$B$22*Lookups!$H$48,-2)</f>
        <v>1400</v>
      </c>
      <c r="BI469" s="7">
        <f>ROUND(((Wapato_Inventory[[#This Row],[land_extract]]*Lookups!$B$3) +(Lookups!$B$2*0.5))*Lookups!$H$48,-2)</f>
        <v>56100</v>
      </c>
      <c r="BJ469" s="7">
        <f>IF(Wapato_Inventory[[#This Row],[bldg_style]]="",0,Lookups!$B$2*0.5)</f>
        <v>53765.27</v>
      </c>
      <c r="BK469" s="7">
        <f>_xlfn.IFNA(VLOOKUP(Wapato_Inventory[[#This Row],[quality]],Lookups!$H$2:$J$14,3,FALSE),0)</f>
        <v>50405</v>
      </c>
      <c r="BL469" s="7">
        <f>_xlfn.IFNA(VLOOKUP(Wapato_Inventory[[#This Row],[condition]],Lookups!$H$17:$J$24,3,FALSE),0)</f>
        <v>52231</v>
      </c>
      <c r="BM469" s="7">
        <f>Wapato_Inventory[[#This Row],[Age]]*Lookups!$B$16</f>
        <v>-18533.785</v>
      </c>
      <c r="BN469" s="7">
        <f>Wapato_Inventory[[#This Row],[Main Floor]]*Lookups!$B$17</f>
        <v>68386.009004000007</v>
      </c>
      <c r="BO469" s="7">
        <f>Wapato_Inventory[[#This Row],[Upper Floor]]*Lookups!$B$18</f>
        <v>0</v>
      </c>
      <c r="BP469" s="7">
        <f>Wapato_Inventory[[#This Row],[Fin BSMT]]*Lookups!$B$19</f>
        <v>0</v>
      </c>
      <c r="BQ469" s="7">
        <f>(Wapato_Inventory[[#This Row],[att_gar]]+Wapato_Inventory[[#This Row],[blt_gar]])*Lookups!$B$20</f>
        <v>17912.235968000001</v>
      </c>
      <c r="BR469" s="7">
        <f>Wapato_Inventory[[#This Row],[Patio]]*Lookups!$B$21</f>
        <v>23741.540492</v>
      </c>
      <c r="BS469" s="7">
        <f>SUM(Wapato_Inventory[[#This Row],[intercept]:[patio_value]])*Wapato_Inventory[[#This Row],[res_pct]]</f>
        <v>247907.27046399997</v>
      </c>
      <c r="BT469" s="7">
        <f>Wapato_Inventory[[#This Row],[land_value]]</f>
        <v>56100</v>
      </c>
      <c r="BU469" s="2">
        <f>_xlfn.IFNA(VLOOKUP(Wapato_Inventory[[#This Row],[quality]],Lookups!$A$28:$C$37,3,FALSE),1)</f>
        <v>0.97993206410140754</v>
      </c>
      <c r="BV469" s="2">
        <f>_xlfn.IFNA(VLOOKUP(Wapato_Inventory[[#This Row],[condition]],Lookups!$A$41:$C$48,3,FALSE),1)</f>
        <v>0.9832333997567807</v>
      </c>
      <c r="BW469" s="2">
        <f>IF(Wapato_Inventory[[#This Row],[decade]]="",1,_xlfn.IFNA(VLOOKUP(Wapato_Inventory[[#This Row],[decade]],Lookups!$F$28:$H$45,3,FALSE),1))</f>
        <v>0.96240333884358298</v>
      </c>
      <c r="BX469" s="2">
        <f>_xlfn.IFNA(VLOOKUP(Wapato_Inventory[[#This Row],[living_area_range]],Lookups!$K$28:$M$37,3,FALSE),1)</f>
        <v>0.99330894324714125</v>
      </c>
      <c r="BY469" s="2">
        <f>AVERAGE(Wapato_Inventory[[#This Row],[qual_adj]:[range_adj]])</f>
        <v>0.97971943648722815</v>
      </c>
      <c r="BZ469" s="7">
        <f>(Wapato_Inventory[[#This Row],[sum_land]]-IF(Wapato_Inventory[[#This Row],[no_utilities]]=1,12000,0))/IF(Wapato_Inventory[[#This Row],[unbuildable]]=1,2,1)</f>
        <v>56100</v>
      </c>
      <c r="CA469" s="7">
        <f>Wapato_Inventory[[#This Row],[pre_res]]*Wapato_Inventory[[#This Row],[overall_adj]]</f>
        <v>242879.57132007691</v>
      </c>
      <c r="CB469" s="3">
        <f>IF(ROUND(Wapato_Inventory[[#This Row],[adj_land]]*Lookups!$H$48,-2)&lt;Wapato_Inventory[[#This Row],[min_land]],Wapato_Inventory[[#This Row],[min_land]],ROUND(Wapato_Inventory[[#This Row],[adj_land]]*Lookups!$H$48,-2))</f>
        <v>53300</v>
      </c>
      <c r="CC469" s="3">
        <f>IF(ROUND(Wapato_Inventory[[#This Row],[adj_res]]*Lookups!$H$48,-2)&lt;Wapato_Inventory[[#This Row],[min_res]],Wapato_Inventory[[#This Row],[min_res]],ROUND(Wapato_Inventory[[#This Row],[adj_res]]*Lookups!$H$48,-2))</f>
        <v>230700</v>
      </c>
      <c r="CD469" s="3">
        <f>ROUND(Wapato_Inventory[[#This Row],[det_value]]*Lookups!$H$48,-2)</f>
        <v>1300</v>
      </c>
      <c r="CE469" s="3">
        <f>Wapato_Inventory[[#This Row],[final_res]]+Wapato_Inventory[[#This Row],[final_det]]</f>
        <v>232000</v>
      </c>
      <c r="CF469" s="3">
        <f>Wapato_Inventory[[#This Row],[crop_value]]+Wapato_Inventory[[#This Row],[final_land]]+Wapato_Inventory[[#This Row],[final_imp]]</f>
        <v>285300</v>
      </c>
      <c r="CH469" t="str">
        <f t="shared" si="7"/>
        <v>update valuation set market_land =53300, market_bldg=232000, market_total =285300, market_mdno =405, market_date ='9/10/2023' where link_id = (select link_id from parcel where parcel_year = '2024' and parcel_id = '19111433417');</v>
      </c>
    </row>
    <row r="470" spans="1:86" x14ac:dyDescent="0.25">
      <c r="A470">
        <v>19111433418</v>
      </c>
      <c r="B470">
        <v>0.56000000000000005</v>
      </c>
      <c r="C470">
        <v>24279</v>
      </c>
      <c r="D470" t="s">
        <v>144</v>
      </c>
      <c r="E470" t="s">
        <v>54</v>
      </c>
      <c r="F470" t="s">
        <v>54</v>
      </c>
      <c r="G470">
        <v>3</v>
      </c>
      <c r="H470" t="s">
        <v>55</v>
      </c>
      <c r="I470">
        <v>264700</v>
      </c>
      <c r="J470">
        <v>41200</v>
      </c>
      <c r="K470">
        <v>0.56000000000000005</v>
      </c>
      <c r="L470">
        <f>IF(Wapato_Inventory[[#This Row],[parcel_acres]]-Wapato_Inventory[[#This Row],[non_valued_acres]] =0,0,LN(Wapato_Inventory[[#This Row],[parcel_acres]]-Wapato_Inventory[[#This Row],[non_valued_acres]]))</f>
        <v>-0.57981849525294205</v>
      </c>
      <c r="M470">
        <v>0</v>
      </c>
      <c r="N470">
        <v>0</v>
      </c>
      <c r="O470">
        <v>0</v>
      </c>
      <c r="P470">
        <v>27904.037</v>
      </c>
      <c r="Q470">
        <v>74398</v>
      </c>
      <c r="R470" s="3">
        <f>(Wapato_Inventory[[#This Row],[ln_acres]]*Wapato_Inventory[[#This Row],[coeff]])+Wapato_Inventory[[#This Row],[const]]</f>
        <v>58218.723255177581</v>
      </c>
      <c r="S470" t="s">
        <v>62</v>
      </c>
      <c r="T470">
        <v>1</v>
      </c>
      <c r="U470" t="s">
        <v>63</v>
      </c>
      <c r="V470" t="s">
        <v>69</v>
      </c>
      <c r="W470">
        <v>0</v>
      </c>
      <c r="X470">
        <v>0</v>
      </c>
      <c r="Y470">
        <v>45</v>
      </c>
      <c r="Z470">
        <v>52</v>
      </c>
      <c r="AA470">
        <v>60</v>
      </c>
      <c r="AB470">
        <v>2000</v>
      </c>
      <c r="AC470">
        <v>1630</v>
      </c>
      <c r="AD470">
        <v>1630</v>
      </c>
      <c r="AE470">
        <v>0</v>
      </c>
      <c r="AF470">
        <v>0</v>
      </c>
      <c r="AG470">
        <v>0</v>
      </c>
      <c r="AH470">
        <v>0</v>
      </c>
      <c r="AI470">
        <v>870</v>
      </c>
      <c r="AJ470">
        <v>0</v>
      </c>
      <c r="AK470">
        <v>0</v>
      </c>
      <c r="AL470">
        <v>0</v>
      </c>
      <c r="AM470">
        <v>240</v>
      </c>
      <c r="AN470">
        <v>0</v>
      </c>
      <c r="AO470">
        <v>240</v>
      </c>
      <c r="AP470">
        <v>8</v>
      </c>
      <c r="AQ470">
        <v>0</v>
      </c>
      <c r="AR470">
        <v>1</v>
      </c>
      <c r="AS470" t="s">
        <v>59</v>
      </c>
      <c r="AT470">
        <v>1</v>
      </c>
      <c r="AU470" t="s">
        <v>64</v>
      </c>
      <c r="AV470" t="s">
        <v>65</v>
      </c>
      <c r="AW470">
        <v>1</v>
      </c>
      <c r="AX470">
        <v>3</v>
      </c>
      <c r="AY470">
        <v>0</v>
      </c>
      <c r="AZ470">
        <v>0</v>
      </c>
      <c r="BA470">
        <v>100</v>
      </c>
      <c r="BB470">
        <v>100</v>
      </c>
      <c r="BC470">
        <v>100</v>
      </c>
      <c r="BD470">
        <v>100</v>
      </c>
      <c r="BE470">
        <v>1</v>
      </c>
      <c r="BF470">
        <v>15000</v>
      </c>
      <c r="BG470">
        <v>1000</v>
      </c>
      <c r="BH470" s="7">
        <f>ROUND(Wapato_Inventory[[#This Row],[detatched_value]]*Lookups!$B$22*Lookups!$H$48,-2)</f>
        <v>0</v>
      </c>
      <c r="BI470" s="7">
        <f>ROUND(((Wapato_Inventory[[#This Row],[land_extract]]*Lookups!$B$3) +(Lookups!$B$2*0.5))*Lookups!$H$48,-2)</f>
        <v>56700</v>
      </c>
      <c r="BJ470" s="7">
        <f>IF(Wapato_Inventory[[#This Row],[bldg_style]]="",0,Lookups!$B$2*0.5)</f>
        <v>53765.27</v>
      </c>
      <c r="BK470" s="7">
        <f>_xlfn.IFNA(VLOOKUP(Wapato_Inventory[[#This Row],[quality]],Lookups!$H$2:$J$14,3,FALSE),0)</f>
        <v>50594</v>
      </c>
      <c r="BL470" s="7">
        <f>_xlfn.IFNA(VLOOKUP(Wapato_Inventory[[#This Row],[condition]],Lookups!$H$17:$J$24,3,FALSE),0)</f>
        <v>74543</v>
      </c>
      <c r="BM470" s="7">
        <f>Wapato_Inventory[[#This Row],[Age]]*Lookups!$B$16</f>
        <v>-19275.136399999999</v>
      </c>
      <c r="BN470" s="7">
        <f>Wapato_Inventory[[#This Row],[Main Floor]]*Lookups!$B$17</f>
        <v>68135.204570000002</v>
      </c>
      <c r="BO470" s="7">
        <f>Wapato_Inventory[[#This Row],[Upper Floor]]*Lookups!$B$18</f>
        <v>0</v>
      </c>
      <c r="BP470" s="7">
        <f>Wapato_Inventory[[#This Row],[Fin BSMT]]*Lookups!$B$19</f>
        <v>0</v>
      </c>
      <c r="BQ470" s="7">
        <f>(Wapato_Inventory[[#This Row],[att_gar]]+Wapato_Inventory[[#This Row],[blt_gar]])*Lookups!$B$20</f>
        <v>32197.614240000003</v>
      </c>
      <c r="BR470" s="7">
        <f>Wapato_Inventory[[#This Row],[Patio]]*Lookups!$B$21</f>
        <v>10397.75496</v>
      </c>
      <c r="BS470" s="7">
        <f>SUM(Wapato_Inventory[[#This Row],[intercept]:[patio_value]])*Wapato_Inventory[[#This Row],[res_pct]]</f>
        <v>270357.70737000002</v>
      </c>
      <c r="BT470" s="7">
        <f>Wapato_Inventory[[#This Row],[land_value]]</f>
        <v>56700</v>
      </c>
      <c r="BU470" s="2">
        <f>_xlfn.IFNA(VLOOKUP(Wapato_Inventory[[#This Row],[quality]],Lookups!$A$28:$C$37,3,FALSE),1)</f>
        <v>0.99197423394367223</v>
      </c>
      <c r="BV470" s="2">
        <f>_xlfn.IFNA(VLOOKUP(Wapato_Inventory[[#This Row],[condition]],Lookups!$A$41:$C$48,3,FALSE),1)</f>
        <v>0.98442438223270734</v>
      </c>
      <c r="BW470" s="2">
        <f>IF(Wapato_Inventory[[#This Row],[decade]]="",1,_xlfn.IFNA(VLOOKUP(Wapato_Inventory[[#This Row],[decade]],Lookups!$F$28:$H$45,3,FALSE),1))</f>
        <v>1.035341704162583</v>
      </c>
      <c r="BX470" s="2">
        <f>_xlfn.IFNA(VLOOKUP(Wapato_Inventory[[#This Row],[living_area_range]],Lookups!$K$28:$M$37,3,FALSE),1)</f>
        <v>0.99330894324714125</v>
      </c>
      <c r="BY470" s="2">
        <f>AVERAGE(Wapato_Inventory[[#This Row],[qual_adj]:[range_adj]])</f>
        <v>1.0012623158965259</v>
      </c>
      <c r="BZ470" s="7">
        <f>(Wapato_Inventory[[#This Row],[sum_land]]-IF(Wapato_Inventory[[#This Row],[no_utilities]]=1,12000,0))/IF(Wapato_Inventory[[#This Row],[unbuildable]]=1,2,1)</f>
        <v>56700</v>
      </c>
      <c r="CA470" s="7">
        <f>Wapato_Inventory[[#This Row],[pre_res]]*Wapato_Inventory[[#This Row],[overall_adj]]</f>
        <v>270698.98420176149</v>
      </c>
      <c r="CB470" s="3">
        <f>IF(ROUND(Wapato_Inventory[[#This Row],[adj_land]]*Lookups!$H$48,-2)&lt;Wapato_Inventory[[#This Row],[min_land]],Wapato_Inventory[[#This Row],[min_land]],ROUND(Wapato_Inventory[[#This Row],[adj_land]]*Lookups!$H$48,-2))</f>
        <v>53900</v>
      </c>
      <c r="CC470" s="3">
        <f>IF(ROUND(Wapato_Inventory[[#This Row],[adj_res]]*Lookups!$H$48,-2)&lt;Wapato_Inventory[[#This Row],[min_res]],Wapato_Inventory[[#This Row],[min_res]],ROUND(Wapato_Inventory[[#This Row],[adj_res]]*Lookups!$H$48,-2))</f>
        <v>257200</v>
      </c>
      <c r="CD470" s="3">
        <f>ROUND(Wapato_Inventory[[#This Row],[det_value]]*Lookups!$H$48,-2)</f>
        <v>0</v>
      </c>
      <c r="CE470" s="3">
        <f>Wapato_Inventory[[#This Row],[final_res]]+Wapato_Inventory[[#This Row],[final_det]]</f>
        <v>257200</v>
      </c>
      <c r="CF470" s="3">
        <f>Wapato_Inventory[[#This Row],[crop_value]]+Wapato_Inventory[[#This Row],[final_land]]+Wapato_Inventory[[#This Row],[final_imp]]</f>
        <v>311100</v>
      </c>
      <c r="CH470" t="str">
        <f t="shared" si="7"/>
        <v>update valuation set market_land =53900, market_bldg=257200, market_total =311100, market_mdno =405, market_date ='9/10/2023' where link_id = (select link_id from parcel where parcel_year = '2024' and parcel_id = '19111433418');</v>
      </c>
    </row>
    <row r="471" spans="1:86" x14ac:dyDescent="0.25">
      <c r="A471">
        <v>19111433419</v>
      </c>
      <c r="B471">
        <v>0.4</v>
      </c>
      <c r="C471">
        <v>17500</v>
      </c>
      <c r="D471" t="s">
        <v>144</v>
      </c>
      <c r="E471" t="s">
        <v>54</v>
      </c>
      <c r="F471" t="s">
        <v>54</v>
      </c>
      <c r="G471">
        <v>3</v>
      </c>
      <c r="H471" t="s">
        <v>55</v>
      </c>
      <c r="I471">
        <v>203700</v>
      </c>
      <c r="J471">
        <v>38800</v>
      </c>
      <c r="K471">
        <v>0.4</v>
      </c>
      <c r="L471">
        <f>IF(Wapato_Inventory[[#This Row],[parcel_acres]]-Wapato_Inventory[[#This Row],[non_valued_acres]] =0,0,LN(Wapato_Inventory[[#This Row],[parcel_acres]]-Wapato_Inventory[[#This Row],[non_valued_acres]]))</f>
        <v>-0.916290731874155</v>
      </c>
      <c r="M471">
        <v>0</v>
      </c>
      <c r="N471">
        <v>0</v>
      </c>
      <c r="O471">
        <v>0</v>
      </c>
      <c r="P471">
        <v>27904.037</v>
      </c>
      <c r="Q471">
        <v>74398</v>
      </c>
      <c r="R471" s="3">
        <f>(Wapato_Inventory[[#This Row],[ln_acres]]*Wapato_Inventory[[#This Row],[coeff]])+Wapato_Inventory[[#This Row],[const]]</f>
        <v>48829.789515026496</v>
      </c>
      <c r="S471" t="s">
        <v>62</v>
      </c>
      <c r="T471">
        <v>1</v>
      </c>
      <c r="U471" t="s">
        <v>67</v>
      </c>
      <c r="V471" t="s">
        <v>68</v>
      </c>
      <c r="W471">
        <v>0</v>
      </c>
      <c r="X471">
        <v>0</v>
      </c>
      <c r="Y471">
        <v>45</v>
      </c>
      <c r="Z471">
        <v>52</v>
      </c>
      <c r="AA471">
        <v>60</v>
      </c>
      <c r="AB471">
        <v>2000</v>
      </c>
      <c r="AC471">
        <v>1680</v>
      </c>
      <c r="AD471">
        <v>1680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492</v>
      </c>
      <c r="AN471">
        <v>0</v>
      </c>
      <c r="AO471">
        <v>492</v>
      </c>
      <c r="AP471">
        <v>7</v>
      </c>
      <c r="AQ471">
        <v>0</v>
      </c>
      <c r="AR471">
        <v>0</v>
      </c>
      <c r="AS471" t="s">
        <v>59</v>
      </c>
      <c r="AT471">
        <v>1</v>
      </c>
      <c r="AU471" t="s">
        <v>64</v>
      </c>
      <c r="AV471" t="s">
        <v>61</v>
      </c>
      <c r="AW471">
        <v>1</v>
      </c>
      <c r="AX471">
        <v>3</v>
      </c>
      <c r="AY471">
        <v>0</v>
      </c>
      <c r="AZ471">
        <v>11900</v>
      </c>
      <c r="BA471">
        <v>100</v>
      </c>
      <c r="BB471">
        <v>100</v>
      </c>
      <c r="BC471">
        <v>100</v>
      </c>
      <c r="BD471">
        <v>100</v>
      </c>
      <c r="BE471">
        <v>1</v>
      </c>
      <c r="BF471">
        <v>15000</v>
      </c>
      <c r="BG471">
        <v>1000</v>
      </c>
      <c r="BH471" s="7">
        <f>ROUND(Wapato_Inventory[[#This Row],[detatched_value]]*Lookups!$B$22*Lookups!$H$48,-2)</f>
        <v>10600</v>
      </c>
      <c r="BI471" s="7">
        <f>ROUND(((Wapato_Inventory[[#This Row],[land_extract]]*Lookups!$B$3) +(Lookups!$B$2*0.5))*Lookups!$H$48,-2)</f>
        <v>55800</v>
      </c>
      <c r="BJ471" s="7">
        <f>IF(Wapato_Inventory[[#This Row],[bldg_style]]="",0,Lookups!$B$2*0.5)</f>
        <v>53765.27</v>
      </c>
      <c r="BK471" s="7">
        <f>_xlfn.IFNA(VLOOKUP(Wapato_Inventory[[#This Row],[quality]],Lookups!$H$2:$J$14,3,FALSE),0)</f>
        <v>50405</v>
      </c>
      <c r="BL471" s="7">
        <f>_xlfn.IFNA(VLOOKUP(Wapato_Inventory[[#This Row],[condition]],Lookups!$H$17:$J$24,3,FALSE),0)</f>
        <v>52231</v>
      </c>
      <c r="BM471" s="7">
        <f>Wapato_Inventory[[#This Row],[Age]]*Lookups!$B$16</f>
        <v>-19275.136399999999</v>
      </c>
      <c r="BN471" s="7">
        <f>Wapato_Inventory[[#This Row],[Main Floor]]*Lookups!$B$17</f>
        <v>70225.241519999996</v>
      </c>
      <c r="BO471" s="7">
        <f>Wapato_Inventory[[#This Row],[Upper Floor]]*Lookups!$B$18</f>
        <v>0</v>
      </c>
      <c r="BP471" s="7">
        <f>Wapato_Inventory[[#This Row],[Fin BSMT]]*Lookups!$B$19</f>
        <v>0</v>
      </c>
      <c r="BQ471" s="7">
        <f>(Wapato_Inventory[[#This Row],[att_gar]]+Wapato_Inventory[[#This Row],[blt_gar]])*Lookups!$B$20</f>
        <v>0</v>
      </c>
      <c r="BR471" s="7">
        <f>Wapato_Inventory[[#This Row],[Patio]]*Lookups!$B$21</f>
        <v>21315.397668000001</v>
      </c>
      <c r="BS471" s="7">
        <f>SUM(Wapato_Inventory[[#This Row],[intercept]:[patio_value]])*Wapato_Inventory[[#This Row],[res_pct]]</f>
        <v>228666.77278799997</v>
      </c>
      <c r="BT471" s="7">
        <f>Wapato_Inventory[[#This Row],[land_value]]</f>
        <v>55800</v>
      </c>
      <c r="BU471" s="2">
        <f>_xlfn.IFNA(VLOOKUP(Wapato_Inventory[[#This Row],[quality]],Lookups!$A$28:$C$37,3,FALSE),1)</f>
        <v>0.97993206410140754</v>
      </c>
      <c r="BV471" s="2">
        <f>_xlfn.IFNA(VLOOKUP(Wapato_Inventory[[#This Row],[condition]],Lookups!$A$41:$C$48,3,FALSE),1)</f>
        <v>0.9832333997567807</v>
      </c>
      <c r="BW471" s="2">
        <f>IF(Wapato_Inventory[[#This Row],[decade]]="",1,_xlfn.IFNA(VLOOKUP(Wapato_Inventory[[#This Row],[decade]],Lookups!$F$28:$H$45,3,FALSE),1))</f>
        <v>1.035341704162583</v>
      </c>
      <c r="BX471" s="2">
        <f>_xlfn.IFNA(VLOOKUP(Wapato_Inventory[[#This Row],[living_area_range]],Lookups!$K$28:$M$37,3,FALSE),1)</f>
        <v>0.99330894324714125</v>
      </c>
      <c r="BY471" s="2">
        <f>AVERAGE(Wapato_Inventory[[#This Row],[qual_adj]:[range_adj]])</f>
        <v>0.99795402781697817</v>
      </c>
      <c r="BZ471" s="7">
        <f>(Wapato_Inventory[[#This Row],[sum_land]]-IF(Wapato_Inventory[[#This Row],[no_utilities]]=1,12000,0))/IF(Wapato_Inventory[[#This Row],[unbuildable]]=1,2,1)</f>
        <v>55800</v>
      </c>
      <c r="CA471" s="7">
        <f>Wapato_Inventory[[#This Row],[pre_res]]*Wapato_Inventory[[#This Row],[overall_adj]]</f>
        <v>228198.92693169435</v>
      </c>
      <c r="CB471" s="3">
        <f>IF(ROUND(Wapato_Inventory[[#This Row],[adj_land]]*Lookups!$H$48,-2)&lt;Wapato_Inventory[[#This Row],[min_land]],Wapato_Inventory[[#This Row],[min_land]],ROUND(Wapato_Inventory[[#This Row],[adj_land]]*Lookups!$H$48,-2))</f>
        <v>53000</v>
      </c>
      <c r="CC471" s="3">
        <f>IF(ROUND(Wapato_Inventory[[#This Row],[adj_res]]*Lookups!$H$48,-2)&lt;Wapato_Inventory[[#This Row],[min_res]],Wapato_Inventory[[#This Row],[min_res]],ROUND(Wapato_Inventory[[#This Row],[adj_res]]*Lookups!$H$48,-2))</f>
        <v>216800</v>
      </c>
      <c r="CD471" s="3">
        <f>ROUND(Wapato_Inventory[[#This Row],[det_value]]*Lookups!$H$48,-2)</f>
        <v>10100</v>
      </c>
      <c r="CE471" s="3">
        <f>Wapato_Inventory[[#This Row],[final_res]]+Wapato_Inventory[[#This Row],[final_det]]</f>
        <v>226900</v>
      </c>
      <c r="CF471" s="3">
        <f>Wapato_Inventory[[#This Row],[crop_value]]+Wapato_Inventory[[#This Row],[final_land]]+Wapato_Inventory[[#This Row],[final_imp]]</f>
        <v>279900</v>
      </c>
      <c r="CH471" t="str">
        <f t="shared" si="7"/>
        <v>update valuation set market_land =53000, market_bldg=226900, market_total =279900, market_mdno =405, market_date ='9/10/2023' where link_id = (select link_id from parcel where parcel_year = '2024' and parcel_id = '19111433419');</v>
      </c>
    </row>
    <row r="472" spans="1:86" x14ac:dyDescent="0.25">
      <c r="A472">
        <v>19111433420</v>
      </c>
      <c r="B472">
        <v>0.4</v>
      </c>
      <c r="C472">
        <v>17500</v>
      </c>
      <c r="D472" t="s">
        <v>144</v>
      </c>
      <c r="E472" t="s">
        <v>54</v>
      </c>
      <c r="F472" t="s">
        <v>54</v>
      </c>
      <c r="G472">
        <v>3</v>
      </c>
      <c r="H472" t="s">
        <v>55</v>
      </c>
      <c r="I472">
        <v>206000</v>
      </c>
      <c r="J472">
        <v>38800</v>
      </c>
      <c r="K472">
        <v>0.4</v>
      </c>
      <c r="L472">
        <f>IF(Wapato_Inventory[[#This Row],[parcel_acres]]-Wapato_Inventory[[#This Row],[non_valued_acres]] =0,0,LN(Wapato_Inventory[[#This Row],[parcel_acres]]-Wapato_Inventory[[#This Row],[non_valued_acres]]))</f>
        <v>-0.916290731874155</v>
      </c>
      <c r="M472">
        <v>0</v>
      </c>
      <c r="N472">
        <v>0</v>
      </c>
      <c r="O472">
        <v>0</v>
      </c>
      <c r="P472">
        <v>27904.037</v>
      </c>
      <c r="Q472">
        <v>74398</v>
      </c>
      <c r="R472" s="3">
        <f>(Wapato_Inventory[[#This Row],[ln_acres]]*Wapato_Inventory[[#This Row],[coeff]])+Wapato_Inventory[[#This Row],[const]]</f>
        <v>48829.789515026496</v>
      </c>
      <c r="S472" t="s">
        <v>62</v>
      </c>
      <c r="T472">
        <v>1</v>
      </c>
      <c r="U472" t="s">
        <v>67</v>
      </c>
      <c r="V472" t="s">
        <v>68</v>
      </c>
      <c r="W472">
        <v>0</v>
      </c>
      <c r="X472">
        <v>0</v>
      </c>
      <c r="Y472">
        <v>45</v>
      </c>
      <c r="Z472">
        <v>52</v>
      </c>
      <c r="AA472">
        <v>60</v>
      </c>
      <c r="AB472">
        <v>2000</v>
      </c>
      <c r="AC472">
        <v>1924</v>
      </c>
      <c r="AD472">
        <v>1924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80</v>
      </c>
      <c r="AN472">
        <v>120</v>
      </c>
      <c r="AO472">
        <v>192</v>
      </c>
      <c r="AP472">
        <v>9</v>
      </c>
      <c r="AQ472">
        <v>0</v>
      </c>
      <c r="AR472">
        <v>1</v>
      </c>
      <c r="AS472" t="s">
        <v>59</v>
      </c>
      <c r="AT472">
        <v>1</v>
      </c>
      <c r="AU472" t="s">
        <v>72</v>
      </c>
      <c r="AV472" t="s">
        <v>61</v>
      </c>
      <c r="AW472">
        <v>0</v>
      </c>
      <c r="AX472">
        <v>3</v>
      </c>
      <c r="AY472">
        <v>0</v>
      </c>
      <c r="AZ472">
        <v>0</v>
      </c>
      <c r="BA472">
        <v>100</v>
      </c>
      <c r="BB472">
        <v>100</v>
      </c>
      <c r="BC472">
        <v>100</v>
      </c>
      <c r="BD472">
        <v>100</v>
      </c>
      <c r="BE472">
        <v>1</v>
      </c>
      <c r="BF472">
        <v>15000</v>
      </c>
      <c r="BG472">
        <v>1000</v>
      </c>
      <c r="BH472" s="7">
        <f>ROUND(Wapato_Inventory[[#This Row],[detatched_value]]*Lookups!$B$22*Lookups!$H$48,-2)</f>
        <v>0</v>
      </c>
      <c r="BI472" s="7">
        <f>ROUND(((Wapato_Inventory[[#This Row],[land_extract]]*Lookups!$B$3) +(Lookups!$B$2*0.5))*Lookups!$H$48,-2)</f>
        <v>55800</v>
      </c>
      <c r="BJ472" s="7">
        <f>IF(Wapato_Inventory[[#This Row],[bldg_style]]="",0,Lookups!$B$2*0.5)</f>
        <v>53765.27</v>
      </c>
      <c r="BK472" s="7">
        <f>_xlfn.IFNA(VLOOKUP(Wapato_Inventory[[#This Row],[quality]],Lookups!$H$2:$J$14,3,FALSE),0)</f>
        <v>50405</v>
      </c>
      <c r="BL472" s="7">
        <f>_xlfn.IFNA(VLOOKUP(Wapato_Inventory[[#This Row],[condition]],Lookups!$H$17:$J$24,3,FALSE),0)</f>
        <v>52231</v>
      </c>
      <c r="BM472" s="7">
        <f>Wapato_Inventory[[#This Row],[Age]]*Lookups!$B$16</f>
        <v>-19275.136399999999</v>
      </c>
      <c r="BN472" s="7">
        <f>Wapato_Inventory[[#This Row],[Main Floor]]*Lookups!$B$17</f>
        <v>80424.621836000006</v>
      </c>
      <c r="BO472" s="7">
        <f>Wapato_Inventory[[#This Row],[Upper Floor]]*Lookups!$B$18</f>
        <v>0</v>
      </c>
      <c r="BP472" s="7">
        <f>Wapato_Inventory[[#This Row],[Fin BSMT]]*Lookups!$B$19</f>
        <v>0</v>
      </c>
      <c r="BQ472" s="7">
        <f>(Wapato_Inventory[[#This Row],[att_gar]]+Wapato_Inventory[[#This Row],[blt_gar]])*Lookups!$B$20</f>
        <v>0</v>
      </c>
      <c r="BR472" s="7">
        <f>Wapato_Inventory[[#This Row],[Patio]]*Lookups!$B$21</f>
        <v>3465.9183200000002</v>
      </c>
      <c r="BS472" s="7">
        <f>SUM(Wapato_Inventory[[#This Row],[intercept]:[patio_value]])*Wapato_Inventory[[#This Row],[res_pct]]</f>
        <v>221016.673756</v>
      </c>
      <c r="BT472" s="7">
        <f>Wapato_Inventory[[#This Row],[land_value]]</f>
        <v>55800</v>
      </c>
      <c r="BU472" s="2">
        <f>_xlfn.IFNA(VLOOKUP(Wapato_Inventory[[#This Row],[quality]],Lookups!$A$28:$C$37,3,FALSE),1)</f>
        <v>0.97993206410140754</v>
      </c>
      <c r="BV472" s="2">
        <f>_xlfn.IFNA(VLOOKUP(Wapato_Inventory[[#This Row],[condition]],Lookups!$A$41:$C$48,3,FALSE),1)</f>
        <v>0.9832333997567807</v>
      </c>
      <c r="BW472" s="2">
        <f>IF(Wapato_Inventory[[#This Row],[decade]]="",1,_xlfn.IFNA(VLOOKUP(Wapato_Inventory[[#This Row],[decade]],Lookups!$F$28:$H$45,3,FALSE),1))</f>
        <v>1.035341704162583</v>
      </c>
      <c r="BX472" s="2">
        <f>_xlfn.IFNA(VLOOKUP(Wapato_Inventory[[#This Row],[living_area_range]],Lookups!$K$28:$M$37,3,FALSE),1)</f>
        <v>0.99330894324714125</v>
      </c>
      <c r="BY472" s="2">
        <f>AVERAGE(Wapato_Inventory[[#This Row],[qual_adj]:[range_adj]])</f>
        <v>0.99795402781697817</v>
      </c>
      <c r="BZ472" s="7">
        <f>(Wapato_Inventory[[#This Row],[sum_land]]-IF(Wapato_Inventory[[#This Row],[no_utilities]]=1,12000,0))/IF(Wapato_Inventory[[#This Row],[unbuildable]]=1,2,1)</f>
        <v>55800</v>
      </c>
      <c r="CA472" s="7">
        <f>Wapato_Inventory[[#This Row],[pre_res]]*Wapato_Inventory[[#This Row],[overall_adj]]</f>
        <v>220564.47978951121</v>
      </c>
      <c r="CB472" s="3">
        <f>IF(ROUND(Wapato_Inventory[[#This Row],[adj_land]]*Lookups!$H$48,-2)&lt;Wapato_Inventory[[#This Row],[min_land]],Wapato_Inventory[[#This Row],[min_land]],ROUND(Wapato_Inventory[[#This Row],[adj_land]]*Lookups!$H$48,-2))</f>
        <v>53000</v>
      </c>
      <c r="CC472" s="3">
        <f>IF(ROUND(Wapato_Inventory[[#This Row],[adj_res]]*Lookups!$H$48,-2)&lt;Wapato_Inventory[[#This Row],[min_res]],Wapato_Inventory[[#This Row],[min_res]],ROUND(Wapato_Inventory[[#This Row],[adj_res]]*Lookups!$H$48,-2))</f>
        <v>209500</v>
      </c>
      <c r="CD472" s="3">
        <f>ROUND(Wapato_Inventory[[#This Row],[det_value]]*Lookups!$H$48,-2)</f>
        <v>0</v>
      </c>
      <c r="CE472" s="3">
        <f>Wapato_Inventory[[#This Row],[final_res]]+Wapato_Inventory[[#This Row],[final_det]]</f>
        <v>209500</v>
      </c>
      <c r="CF472" s="3">
        <f>Wapato_Inventory[[#This Row],[crop_value]]+Wapato_Inventory[[#This Row],[final_land]]+Wapato_Inventory[[#This Row],[final_imp]]</f>
        <v>262500</v>
      </c>
      <c r="CH472" t="str">
        <f t="shared" si="7"/>
        <v>update valuation set market_land =53000, market_bldg=209500, market_total =262500, market_mdno =405, market_date ='9/10/2023' where link_id = (select link_id from parcel where parcel_year = '2024' and parcel_id = '19111433420');</v>
      </c>
    </row>
    <row r="473" spans="1:86" x14ac:dyDescent="0.25">
      <c r="A473">
        <v>19111433421</v>
      </c>
      <c r="B473">
        <v>0.4</v>
      </c>
      <c r="C473">
        <v>17500</v>
      </c>
      <c r="D473" t="s">
        <v>144</v>
      </c>
      <c r="E473" t="s">
        <v>54</v>
      </c>
      <c r="F473" t="s">
        <v>54</v>
      </c>
      <c r="G473">
        <v>3</v>
      </c>
      <c r="H473" t="s">
        <v>55</v>
      </c>
      <c r="I473">
        <v>188500</v>
      </c>
      <c r="J473">
        <v>38800</v>
      </c>
      <c r="K473">
        <v>0.4</v>
      </c>
      <c r="L473">
        <f>IF(Wapato_Inventory[[#This Row],[parcel_acres]]-Wapato_Inventory[[#This Row],[non_valued_acres]] =0,0,LN(Wapato_Inventory[[#This Row],[parcel_acres]]-Wapato_Inventory[[#This Row],[non_valued_acres]]))</f>
        <v>-0.916290731874155</v>
      </c>
      <c r="M473">
        <v>0</v>
      </c>
      <c r="N473">
        <v>0</v>
      </c>
      <c r="O473">
        <v>0</v>
      </c>
      <c r="P473">
        <v>27904.037</v>
      </c>
      <c r="Q473">
        <v>74398</v>
      </c>
      <c r="R473" s="3">
        <f>(Wapato_Inventory[[#This Row],[ln_acres]]*Wapato_Inventory[[#This Row],[coeff]])+Wapato_Inventory[[#This Row],[const]]</f>
        <v>48829.789515026496</v>
      </c>
      <c r="S473" t="s">
        <v>62</v>
      </c>
      <c r="T473">
        <v>1</v>
      </c>
      <c r="U473" t="s">
        <v>67</v>
      </c>
      <c r="V473" t="s">
        <v>68</v>
      </c>
      <c r="W473">
        <v>0</v>
      </c>
      <c r="X473">
        <v>0</v>
      </c>
      <c r="Y473">
        <v>46</v>
      </c>
      <c r="Z473">
        <v>54</v>
      </c>
      <c r="AA473">
        <v>60</v>
      </c>
      <c r="AB473">
        <v>2000</v>
      </c>
      <c r="AC473">
        <v>1698</v>
      </c>
      <c r="AD473">
        <v>1698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108</v>
      </c>
      <c r="AN473">
        <v>0</v>
      </c>
      <c r="AO473">
        <v>506</v>
      </c>
      <c r="AP473">
        <v>8</v>
      </c>
      <c r="AQ473">
        <v>0</v>
      </c>
      <c r="AR473">
        <v>1</v>
      </c>
      <c r="AS473" t="s">
        <v>59</v>
      </c>
      <c r="AT473">
        <v>1</v>
      </c>
      <c r="AU473" t="s">
        <v>76</v>
      </c>
      <c r="AV473" t="s">
        <v>61</v>
      </c>
      <c r="AW473">
        <v>0</v>
      </c>
      <c r="AX473">
        <v>3</v>
      </c>
      <c r="AY473">
        <v>0</v>
      </c>
      <c r="AZ473">
        <v>1500</v>
      </c>
      <c r="BA473">
        <v>100</v>
      </c>
      <c r="BB473">
        <v>100</v>
      </c>
      <c r="BC473">
        <v>100</v>
      </c>
      <c r="BD473">
        <v>100</v>
      </c>
      <c r="BE473">
        <v>1</v>
      </c>
      <c r="BF473">
        <v>15000</v>
      </c>
      <c r="BG473">
        <v>1000</v>
      </c>
      <c r="BH473" s="7">
        <f>ROUND(Wapato_Inventory[[#This Row],[detatched_value]]*Lookups!$B$22*Lookups!$H$48,-2)</f>
        <v>1300</v>
      </c>
      <c r="BI473" s="7">
        <f>ROUND(((Wapato_Inventory[[#This Row],[land_extract]]*Lookups!$B$3) +(Lookups!$B$2*0.5))*Lookups!$H$48,-2)</f>
        <v>55800</v>
      </c>
      <c r="BJ473" s="7">
        <f>IF(Wapato_Inventory[[#This Row],[bldg_style]]="",0,Lookups!$B$2*0.5)</f>
        <v>53765.27</v>
      </c>
      <c r="BK473" s="7">
        <f>_xlfn.IFNA(VLOOKUP(Wapato_Inventory[[#This Row],[quality]],Lookups!$H$2:$J$14,3,FALSE),0)</f>
        <v>50405</v>
      </c>
      <c r="BL473" s="7">
        <f>_xlfn.IFNA(VLOOKUP(Wapato_Inventory[[#This Row],[condition]],Lookups!$H$17:$J$24,3,FALSE),0)</f>
        <v>52231</v>
      </c>
      <c r="BM473" s="7">
        <f>Wapato_Inventory[[#This Row],[Age]]*Lookups!$B$16</f>
        <v>-20016.487799999999</v>
      </c>
      <c r="BN473" s="7">
        <f>Wapato_Inventory[[#This Row],[Main Floor]]*Lookups!$B$17</f>
        <v>70977.654821999997</v>
      </c>
      <c r="BO473" s="7">
        <f>Wapato_Inventory[[#This Row],[Upper Floor]]*Lookups!$B$18</f>
        <v>0</v>
      </c>
      <c r="BP473" s="7">
        <f>Wapato_Inventory[[#This Row],[Fin BSMT]]*Lookups!$B$19</f>
        <v>0</v>
      </c>
      <c r="BQ473" s="7">
        <f>(Wapato_Inventory[[#This Row],[att_gar]]+Wapato_Inventory[[#This Row],[blt_gar]])*Lookups!$B$20</f>
        <v>0</v>
      </c>
      <c r="BR473" s="7">
        <f>Wapato_Inventory[[#This Row],[Patio]]*Lookups!$B$21</f>
        <v>4678.989732</v>
      </c>
      <c r="BS473" s="7">
        <f>SUM(Wapato_Inventory[[#This Row],[intercept]:[patio_value]])*Wapato_Inventory[[#This Row],[res_pct]]</f>
        <v>212041.42675399996</v>
      </c>
      <c r="BT473" s="7">
        <f>Wapato_Inventory[[#This Row],[land_value]]</f>
        <v>55800</v>
      </c>
      <c r="BU473" s="2">
        <f>_xlfn.IFNA(VLOOKUP(Wapato_Inventory[[#This Row],[quality]],Lookups!$A$28:$C$37,3,FALSE),1)</f>
        <v>0.97993206410140754</v>
      </c>
      <c r="BV473" s="2">
        <f>_xlfn.IFNA(VLOOKUP(Wapato_Inventory[[#This Row],[condition]],Lookups!$A$41:$C$48,3,FALSE),1)</f>
        <v>0.9832333997567807</v>
      </c>
      <c r="BW473" s="2">
        <f>IF(Wapato_Inventory[[#This Row],[decade]]="",1,_xlfn.IFNA(VLOOKUP(Wapato_Inventory[[#This Row],[decade]],Lookups!$F$28:$H$45,3,FALSE),1))</f>
        <v>1.035341704162583</v>
      </c>
      <c r="BX473" s="2">
        <f>_xlfn.IFNA(VLOOKUP(Wapato_Inventory[[#This Row],[living_area_range]],Lookups!$K$28:$M$37,3,FALSE),1)</f>
        <v>0.99330894324714125</v>
      </c>
      <c r="BY473" s="2">
        <f>AVERAGE(Wapato_Inventory[[#This Row],[qual_adj]:[range_adj]])</f>
        <v>0.99795402781697817</v>
      </c>
      <c r="BZ473" s="7">
        <f>(Wapato_Inventory[[#This Row],[sum_land]]-IF(Wapato_Inventory[[#This Row],[no_utilities]]=1,12000,0))/IF(Wapato_Inventory[[#This Row],[unbuildable]]=1,2,1)</f>
        <v>55800</v>
      </c>
      <c r="CA473" s="7">
        <f>Wapato_Inventory[[#This Row],[pre_res]]*Wapato_Inventory[[#This Row],[overall_adj]]</f>
        <v>211607.595893213</v>
      </c>
      <c r="CB473" s="3">
        <f>IF(ROUND(Wapato_Inventory[[#This Row],[adj_land]]*Lookups!$H$48,-2)&lt;Wapato_Inventory[[#This Row],[min_land]],Wapato_Inventory[[#This Row],[min_land]],ROUND(Wapato_Inventory[[#This Row],[adj_land]]*Lookups!$H$48,-2))</f>
        <v>53000</v>
      </c>
      <c r="CC473" s="3">
        <f>IF(ROUND(Wapato_Inventory[[#This Row],[adj_res]]*Lookups!$H$48,-2)&lt;Wapato_Inventory[[#This Row],[min_res]],Wapato_Inventory[[#This Row],[min_res]],ROUND(Wapato_Inventory[[#This Row],[adj_res]]*Lookups!$H$48,-2))</f>
        <v>201000</v>
      </c>
      <c r="CD473" s="3">
        <f>ROUND(Wapato_Inventory[[#This Row],[det_value]]*Lookups!$H$48,-2)</f>
        <v>1200</v>
      </c>
      <c r="CE473" s="3">
        <f>Wapato_Inventory[[#This Row],[final_res]]+Wapato_Inventory[[#This Row],[final_det]]</f>
        <v>202200</v>
      </c>
      <c r="CF473" s="3">
        <f>Wapato_Inventory[[#This Row],[crop_value]]+Wapato_Inventory[[#This Row],[final_land]]+Wapato_Inventory[[#This Row],[final_imp]]</f>
        <v>255200</v>
      </c>
      <c r="CH473" t="str">
        <f t="shared" si="7"/>
        <v>update valuation set market_land =53000, market_bldg=202200, market_total =255200, market_mdno =405, market_date ='9/10/2023' where link_id = (select link_id from parcel where parcel_year = '2024' and parcel_id = '19111433421');</v>
      </c>
    </row>
    <row r="474" spans="1:86" x14ac:dyDescent="0.25">
      <c r="A474">
        <v>19111433422</v>
      </c>
      <c r="B474">
        <v>0.4</v>
      </c>
      <c r="C474">
        <v>17500</v>
      </c>
      <c r="D474" t="s">
        <v>144</v>
      </c>
      <c r="E474" t="s">
        <v>54</v>
      </c>
      <c r="F474" t="s">
        <v>54</v>
      </c>
      <c r="G474">
        <v>3</v>
      </c>
      <c r="H474" t="s">
        <v>55</v>
      </c>
      <c r="I474">
        <v>205200</v>
      </c>
      <c r="J474">
        <v>38800</v>
      </c>
      <c r="K474">
        <v>0.4</v>
      </c>
      <c r="L474">
        <f>IF(Wapato_Inventory[[#This Row],[parcel_acres]]-Wapato_Inventory[[#This Row],[non_valued_acres]] =0,0,LN(Wapato_Inventory[[#This Row],[parcel_acres]]-Wapato_Inventory[[#This Row],[non_valued_acres]]))</f>
        <v>-0.916290731874155</v>
      </c>
      <c r="M474">
        <v>0</v>
      </c>
      <c r="N474">
        <v>0</v>
      </c>
      <c r="O474">
        <v>0</v>
      </c>
      <c r="P474">
        <v>27904.037</v>
      </c>
      <c r="Q474">
        <v>74398</v>
      </c>
      <c r="R474" s="3">
        <f>(Wapato_Inventory[[#This Row],[ln_acres]]*Wapato_Inventory[[#This Row],[coeff]])+Wapato_Inventory[[#This Row],[const]]</f>
        <v>48829.789515026496</v>
      </c>
      <c r="S474" t="s">
        <v>62</v>
      </c>
      <c r="T474">
        <v>1</v>
      </c>
      <c r="U474" t="s">
        <v>67</v>
      </c>
      <c r="V474" t="s">
        <v>68</v>
      </c>
      <c r="W474">
        <v>0</v>
      </c>
      <c r="X474">
        <v>0</v>
      </c>
      <c r="Y474">
        <v>46</v>
      </c>
      <c r="Z474">
        <v>53</v>
      </c>
      <c r="AA474">
        <v>60</v>
      </c>
      <c r="AB474">
        <v>2000</v>
      </c>
      <c r="AC474">
        <v>1916</v>
      </c>
      <c r="AD474">
        <v>1916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96</v>
      </c>
      <c r="AN474">
        <v>0</v>
      </c>
      <c r="AO474">
        <v>0</v>
      </c>
      <c r="AP474">
        <v>7</v>
      </c>
      <c r="AQ474">
        <v>0</v>
      </c>
      <c r="AR474">
        <v>1</v>
      </c>
      <c r="AS474" t="s">
        <v>59</v>
      </c>
      <c r="AT474">
        <v>1</v>
      </c>
      <c r="AU474" t="s">
        <v>72</v>
      </c>
      <c r="AV474" t="s">
        <v>61</v>
      </c>
      <c r="AW474">
        <v>0</v>
      </c>
      <c r="AX474">
        <v>3</v>
      </c>
      <c r="AY474">
        <v>0</v>
      </c>
      <c r="AZ474">
        <v>0</v>
      </c>
      <c r="BA474">
        <v>100</v>
      </c>
      <c r="BB474">
        <v>100</v>
      </c>
      <c r="BC474">
        <v>100</v>
      </c>
      <c r="BD474">
        <v>100</v>
      </c>
      <c r="BE474">
        <v>1</v>
      </c>
      <c r="BF474">
        <v>15000</v>
      </c>
      <c r="BG474">
        <v>1000</v>
      </c>
      <c r="BH474" s="7">
        <f>ROUND(Wapato_Inventory[[#This Row],[detatched_value]]*Lookups!$B$22*Lookups!$H$48,-2)</f>
        <v>0</v>
      </c>
      <c r="BI474" s="7">
        <f>ROUND(((Wapato_Inventory[[#This Row],[land_extract]]*Lookups!$B$3) +(Lookups!$B$2*0.5))*Lookups!$H$48,-2)</f>
        <v>55800</v>
      </c>
      <c r="BJ474" s="7">
        <f>IF(Wapato_Inventory[[#This Row],[bldg_style]]="",0,Lookups!$B$2*0.5)</f>
        <v>53765.27</v>
      </c>
      <c r="BK474" s="7">
        <f>_xlfn.IFNA(VLOOKUP(Wapato_Inventory[[#This Row],[quality]],Lookups!$H$2:$J$14,3,FALSE),0)</f>
        <v>50405</v>
      </c>
      <c r="BL474" s="7">
        <f>_xlfn.IFNA(VLOOKUP(Wapato_Inventory[[#This Row],[condition]],Lookups!$H$17:$J$24,3,FALSE),0)</f>
        <v>52231</v>
      </c>
      <c r="BM474" s="7">
        <f>Wapato_Inventory[[#This Row],[Age]]*Lookups!$B$16</f>
        <v>-19645.812099999999</v>
      </c>
      <c r="BN474" s="7">
        <f>Wapato_Inventory[[#This Row],[Main Floor]]*Lookups!$B$17</f>
        <v>80090.215924000004</v>
      </c>
      <c r="BO474" s="7">
        <f>Wapato_Inventory[[#This Row],[Upper Floor]]*Lookups!$B$18</f>
        <v>0</v>
      </c>
      <c r="BP474" s="7">
        <f>Wapato_Inventory[[#This Row],[Fin BSMT]]*Lookups!$B$19</f>
        <v>0</v>
      </c>
      <c r="BQ474" s="7">
        <f>(Wapato_Inventory[[#This Row],[att_gar]]+Wapato_Inventory[[#This Row],[blt_gar]])*Lookups!$B$20</f>
        <v>0</v>
      </c>
      <c r="BR474" s="7">
        <f>Wapato_Inventory[[#This Row],[Patio]]*Lookups!$B$21</f>
        <v>4159.1019839999999</v>
      </c>
      <c r="BS474" s="7">
        <f>SUM(Wapato_Inventory[[#This Row],[intercept]:[patio_value]])*Wapato_Inventory[[#This Row],[res_pct]]</f>
        <v>221004.77580800001</v>
      </c>
      <c r="BT474" s="7">
        <f>Wapato_Inventory[[#This Row],[land_value]]</f>
        <v>55800</v>
      </c>
      <c r="BU474" s="2">
        <f>_xlfn.IFNA(VLOOKUP(Wapato_Inventory[[#This Row],[quality]],Lookups!$A$28:$C$37,3,FALSE),1)</f>
        <v>0.97993206410140754</v>
      </c>
      <c r="BV474" s="2">
        <f>_xlfn.IFNA(VLOOKUP(Wapato_Inventory[[#This Row],[condition]],Lookups!$A$41:$C$48,3,FALSE),1)</f>
        <v>0.9832333997567807</v>
      </c>
      <c r="BW474" s="2">
        <f>IF(Wapato_Inventory[[#This Row],[decade]]="",1,_xlfn.IFNA(VLOOKUP(Wapato_Inventory[[#This Row],[decade]],Lookups!$F$28:$H$45,3,FALSE),1))</f>
        <v>1.035341704162583</v>
      </c>
      <c r="BX474" s="2">
        <f>_xlfn.IFNA(VLOOKUP(Wapato_Inventory[[#This Row],[living_area_range]],Lookups!$K$28:$M$37,3,FALSE),1)</f>
        <v>0.99330894324714125</v>
      </c>
      <c r="BY474" s="2">
        <f>AVERAGE(Wapato_Inventory[[#This Row],[qual_adj]:[range_adj]])</f>
        <v>0.99795402781697817</v>
      </c>
      <c r="BZ474" s="7">
        <f>(Wapato_Inventory[[#This Row],[sum_land]]-IF(Wapato_Inventory[[#This Row],[no_utilities]]=1,12000,0))/IF(Wapato_Inventory[[#This Row],[unbuildable]]=1,2,1)</f>
        <v>55800</v>
      </c>
      <c r="CA474" s="7">
        <f>Wapato_Inventory[[#This Row],[pre_res]]*Wapato_Inventory[[#This Row],[overall_adj]]</f>
        <v>220552.60618438188</v>
      </c>
      <c r="CB474" s="3">
        <f>IF(ROUND(Wapato_Inventory[[#This Row],[adj_land]]*Lookups!$H$48,-2)&lt;Wapato_Inventory[[#This Row],[min_land]],Wapato_Inventory[[#This Row],[min_land]],ROUND(Wapato_Inventory[[#This Row],[adj_land]]*Lookups!$H$48,-2))</f>
        <v>53000</v>
      </c>
      <c r="CC474" s="3">
        <f>IF(ROUND(Wapato_Inventory[[#This Row],[adj_res]]*Lookups!$H$48,-2)&lt;Wapato_Inventory[[#This Row],[min_res]],Wapato_Inventory[[#This Row],[min_res]],ROUND(Wapato_Inventory[[#This Row],[adj_res]]*Lookups!$H$48,-2))</f>
        <v>209500</v>
      </c>
      <c r="CD474" s="3">
        <f>ROUND(Wapato_Inventory[[#This Row],[det_value]]*Lookups!$H$48,-2)</f>
        <v>0</v>
      </c>
      <c r="CE474" s="3">
        <f>Wapato_Inventory[[#This Row],[final_res]]+Wapato_Inventory[[#This Row],[final_det]]</f>
        <v>209500</v>
      </c>
      <c r="CF474" s="3">
        <f>Wapato_Inventory[[#This Row],[crop_value]]+Wapato_Inventory[[#This Row],[final_land]]+Wapato_Inventory[[#This Row],[final_imp]]</f>
        <v>262500</v>
      </c>
      <c r="CH474" t="str">
        <f t="shared" si="7"/>
        <v>update valuation set market_land =53000, market_bldg=209500, market_total =262500, market_mdno =405, market_date ='9/10/2023' where link_id = (select link_id from parcel where parcel_year = '2024' and parcel_id = '19111433422');</v>
      </c>
    </row>
    <row r="475" spans="1:86" x14ac:dyDescent="0.25">
      <c r="A475">
        <v>19111433423</v>
      </c>
      <c r="B475">
        <v>0.48</v>
      </c>
      <c r="C475">
        <v>20983</v>
      </c>
      <c r="D475" t="s">
        <v>144</v>
      </c>
      <c r="E475" t="s">
        <v>54</v>
      </c>
      <c r="F475" t="s">
        <v>54</v>
      </c>
      <c r="G475">
        <v>3</v>
      </c>
      <c r="H475" t="s">
        <v>55</v>
      </c>
      <c r="I475">
        <v>203600</v>
      </c>
      <c r="J475">
        <v>40100</v>
      </c>
      <c r="K475">
        <v>0.48</v>
      </c>
      <c r="L475">
        <f>IF(Wapato_Inventory[[#This Row],[parcel_acres]]-Wapato_Inventory[[#This Row],[non_valued_acres]] =0,0,LN(Wapato_Inventory[[#This Row],[parcel_acres]]-Wapato_Inventory[[#This Row],[non_valued_acres]]))</f>
        <v>-0.73396917508020043</v>
      </c>
      <c r="M475">
        <v>0</v>
      </c>
      <c r="N475">
        <v>0</v>
      </c>
      <c r="O475">
        <v>0</v>
      </c>
      <c r="P475">
        <v>27904.037</v>
      </c>
      <c r="Q475">
        <v>74398</v>
      </c>
      <c r="R475" s="3">
        <f>(Wapato_Inventory[[#This Row],[ln_acres]]*Wapato_Inventory[[#This Row],[coeff]])+Wapato_Inventory[[#This Row],[const]]</f>
        <v>53917.29698170261</v>
      </c>
      <c r="S475" t="s">
        <v>59</v>
      </c>
      <c r="T475">
        <v>1</v>
      </c>
      <c r="U475" t="s">
        <v>63</v>
      </c>
      <c r="V475" t="s">
        <v>68</v>
      </c>
      <c r="W475">
        <v>0</v>
      </c>
      <c r="X475">
        <v>0</v>
      </c>
      <c r="Y475">
        <v>37</v>
      </c>
      <c r="Z475">
        <v>37</v>
      </c>
      <c r="AA475">
        <v>40</v>
      </c>
      <c r="AB475">
        <v>2000</v>
      </c>
      <c r="AC475">
        <v>1780</v>
      </c>
      <c r="AD475">
        <v>1780</v>
      </c>
      <c r="AE475">
        <v>0</v>
      </c>
      <c r="AF475">
        <v>0</v>
      </c>
      <c r="AG475">
        <v>0</v>
      </c>
      <c r="AH475">
        <v>0</v>
      </c>
      <c r="AI475">
        <v>480</v>
      </c>
      <c r="AJ475">
        <v>0</v>
      </c>
      <c r="AK475">
        <v>0</v>
      </c>
      <c r="AL475">
        <v>0</v>
      </c>
      <c r="AM475">
        <v>0</v>
      </c>
      <c r="AN475">
        <v>260</v>
      </c>
      <c r="AO475">
        <v>0</v>
      </c>
      <c r="AP475">
        <v>8</v>
      </c>
      <c r="AQ475">
        <v>0</v>
      </c>
      <c r="AR475">
        <v>0</v>
      </c>
      <c r="AS475" t="s">
        <v>74</v>
      </c>
      <c r="AT475">
        <v>1</v>
      </c>
      <c r="AU475" t="s">
        <v>64</v>
      </c>
      <c r="AV475" t="s">
        <v>61</v>
      </c>
      <c r="AW475">
        <v>1</v>
      </c>
      <c r="AX475">
        <v>3</v>
      </c>
      <c r="AY475">
        <v>0</v>
      </c>
      <c r="AZ475">
        <v>0</v>
      </c>
      <c r="BA475">
        <v>100</v>
      </c>
      <c r="BB475">
        <v>100</v>
      </c>
      <c r="BC475">
        <v>100</v>
      </c>
      <c r="BD475">
        <v>100</v>
      </c>
      <c r="BE475">
        <v>1</v>
      </c>
      <c r="BF475">
        <v>15000</v>
      </c>
      <c r="BG475">
        <v>1000</v>
      </c>
      <c r="BH475" s="7">
        <f>ROUND(Wapato_Inventory[[#This Row],[detatched_value]]*Lookups!$B$22*Lookups!$H$48,-2)</f>
        <v>0</v>
      </c>
      <c r="BI475" s="7">
        <f>ROUND(((Wapato_Inventory[[#This Row],[land_extract]]*Lookups!$B$3) +(Lookups!$B$2*0.5))*Lookups!$H$48,-2)</f>
        <v>56300</v>
      </c>
      <c r="BJ475" s="7">
        <f>IF(Wapato_Inventory[[#This Row],[bldg_style]]="",0,Lookups!$B$2*0.5)</f>
        <v>53765.27</v>
      </c>
      <c r="BK475" s="7">
        <f>_xlfn.IFNA(VLOOKUP(Wapato_Inventory[[#This Row],[quality]],Lookups!$H$2:$J$14,3,FALSE),0)</f>
        <v>50594</v>
      </c>
      <c r="BL475" s="7">
        <f>_xlfn.IFNA(VLOOKUP(Wapato_Inventory[[#This Row],[condition]],Lookups!$H$17:$J$24,3,FALSE),0)</f>
        <v>52231</v>
      </c>
      <c r="BM475" s="7">
        <f>Wapato_Inventory[[#This Row],[Age]]*Lookups!$B$16</f>
        <v>-13715.000900000001</v>
      </c>
      <c r="BN475" s="7">
        <f>Wapato_Inventory[[#This Row],[Main Floor]]*Lookups!$B$17</f>
        <v>74405.315419999999</v>
      </c>
      <c r="BO475" s="7">
        <f>Wapato_Inventory[[#This Row],[Upper Floor]]*Lookups!$B$18</f>
        <v>0</v>
      </c>
      <c r="BP475" s="7">
        <f>Wapato_Inventory[[#This Row],[Fin BSMT]]*Lookups!$B$19</f>
        <v>0</v>
      </c>
      <c r="BQ475" s="7">
        <f>(Wapato_Inventory[[#This Row],[att_gar]]+Wapato_Inventory[[#This Row],[blt_gar]])*Lookups!$B$20</f>
        <v>17764.200960000002</v>
      </c>
      <c r="BR475" s="7">
        <f>Wapato_Inventory[[#This Row],[Patio]]*Lookups!$B$21</f>
        <v>0</v>
      </c>
      <c r="BS475" s="7">
        <f>SUM(Wapato_Inventory[[#This Row],[intercept]:[patio_value]])*Wapato_Inventory[[#This Row],[res_pct]]</f>
        <v>235044.78547999996</v>
      </c>
      <c r="BT475" s="7">
        <f>Wapato_Inventory[[#This Row],[land_value]]</f>
        <v>56300</v>
      </c>
      <c r="BU475" s="2">
        <f>_xlfn.IFNA(VLOOKUP(Wapato_Inventory[[#This Row],[quality]],Lookups!$A$28:$C$37,3,FALSE),1)</f>
        <v>0.99197423394367223</v>
      </c>
      <c r="BV475" s="2">
        <f>_xlfn.IFNA(VLOOKUP(Wapato_Inventory[[#This Row],[condition]],Lookups!$A$41:$C$48,3,FALSE),1)</f>
        <v>0.9832333997567807</v>
      </c>
      <c r="BW475" s="2">
        <f>IF(Wapato_Inventory[[#This Row],[decade]]="",1,_xlfn.IFNA(VLOOKUP(Wapato_Inventory[[#This Row],[decade]],Lookups!$F$28:$H$45,3,FALSE),1))</f>
        <v>1.0327621624630683</v>
      </c>
      <c r="BX475" s="2">
        <f>_xlfn.IFNA(VLOOKUP(Wapato_Inventory[[#This Row],[living_area_range]],Lookups!$K$28:$M$37,3,FALSE),1)</f>
        <v>0.99330894324714125</v>
      </c>
      <c r="BY475" s="2">
        <f>AVERAGE(Wapato_Inventory[[#This Row],[qual_adj]:[range_adj]])</f>
        <v>1.0003196848526656</v>
      </c>
      <c r="BZ475" s="7">
        <f>(Wapato_Inventory[[#This Row],[sum_land]]-IF(Wapato_Inventory[[#This Row],[no_utilities]]=1,12000,0))/IF(Wapato_Inventory[[#This Row],[unbuildable]]=1,2,1)</f>
        <v>56300</v>
      </c>
      <c r="CA475" s="7">
        <f>Wapato_Inventory[[#This Row],[pre_res]]*Wapato_Inventory[[#This Row],[overall_adj]]</f>
        <v>235119.92573761597</v>
      </c>
      <c r="CB475" s="3">
        <f>IF(ROUND(Wapato_Inventory[[#This Row],[adj_land]]*Lookups!$H$48,-2)&lt;Wapato_Inventory[[#This Row],[min_land]],Wapato_Inventory[[#This Row],[min_land]],ROUND(Wapato_Inventory[[#This Row],[adj_land]]*Lookups!$H$48,-2))</f>
        <v>53500</v>
      </c>
      <c r="CC475" s="3">
        <f>IF(ROUND(Wapato_Inventory[[#This Row],[adj_res]]*Lookups!$H$48,-2)&lt;Wapato_Inventory[[#This Row],[min_res]],Wapato_Inventory[[#This Row],[min_res]],ROUND(Wapato_Inventory[[#This Row],[adj_res]]*Lookups!$H$48,-2))</f>
        <v>223400</v>
      </c>
      <c r="CD475" s="3">
        <f>ROUND(Wapato_Inventory[[#This Row],[det_value]]*Lookups!$H$48,-2)</f>
        <v>0</v>
      </c>
      <c r="CE475" s="3">
        <f>Wapato_Inventory[[#This Row],[final_res]]+Wapato_Inventory[[#This Row],[final_det]]</f>
        <v>223400</v>
      </c>
      <c r="CF475" s="3">
        <f>Wapato_Inventory[[#This Row],[crop_value]]+Wapato_Inventory[[#This Row],[final_land]]+Wapato_Inventory[[#This Row],[final_imp]]</f>
        <v>276900</v>
      </c>
      <c r="CH475" t="str">
        <f t="shared" si="7"/>
        <v>update valuation set market_land =53500, market_bldg=223400, market_total =276900, market_mdno =405, market_date ='9/10/2023' where link_id = (select link_id from parcel where parcel_year = '2024' and parcel_id = '19111433423');</v>
      </c>
    </row>
    <row r="476" spans="1:86" x14ac:dyDescent="0.25">
      <c r="A476">
        <v>19111433424</v>
      </c>
      <c r="B476">
        <v>0.66</v>
      </c>
      <c r="C476">
        <v>28934</v>
      </c>
      <c r="D476" t="s">
        <v>144</v>
      </c>
      <c r="E476" t="s">
        <v>54</v>
      </c>
      <c r="F476" t="s">
        <v>54</v>
      </c>
      <c r="G476">
        <v>3</v>
      </c>
      <c r="H476" t="s">
        <v>55</v>
      </c>
      <c r="I476">
        <v>221600</v>
      </c>
      <c r="J476">
        <v>42300</v>
      </c>
      <c r="K476">
        <v>0.66</v>
      </c>
      <c r="L476">
        <f>IF(Wapato_Inventory[[#This Row],[parcel_acres]]-Wapato_Inventory[[#This Row],[non_valued_acres]] =0,0,LN(Wapato_Inventory[[#This Row],[parcel_acres]]-Wapato_Inventory[[#This Row],[non_valued_acres]]))</f>
        <v>-0.41551544396166579</v>
      </c>
      <c r="M476">
        <v>0</v>
      </c>
      <c r="N476">
        <v>0</v>
      </c>
      <c r="O476">
        <v>0</v>
      </c>
      <c r="P476">
        <v>27904.037</v>
      </c>
      <c r="Q476">
        <v>74398</v>
      </c>
      <c r="R476" s="3">
        <f>(Wapato_Inventory[[#This Row],[ln_acres]]*Wapato_Inventory[[#This Row],[coeff]])+Wapato_Inventory[[#This Row],[const]]</f>
        <v>62803.44167762225</v>
      </c>
      <c r="S476" t="s">
        <v>62</v>
      </c>
      <c r="T476">
        <v>1</v>
      </c>
      <c r="U476" t="s">
        <v>67</v>
      </c>
      <c r="V476" t="s">
        <v>69</v>
      </c>
      <c r="W476">
        <v>0</v>
      </c>
      <c r="X476">
        <v>0</v>
      </c>
      <c r="Y476">
        <v>47</v>
      </c>
      <c r="Z476">
        <v>58</v>
      </c>
      <c r="AA476">
        <v>60</v>
      </c>
      <c r="AB476">
        <v>1500</v>
      </c>
      <c r="AC476">
        <v>1400</v>
      </c>
      <c r="AD476">
        <v>1400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768</v>
      </c>
      <c r="AL476">
        <v>639</v>
      </c>
      <c r="AM476">
        <v>0</v>
      </c>
      <c r="AN476">
        <v>0</v>
      </c>
      <c r="AO476">
        <v>558</v>
      </c>
      <c r="AP476">
        <v>9</v>
      </c>
      <c r="AQ476">
        <v>1</v>
      </c>
      <c r="AR476">
        <v>0</v>
      </c>
      <c r="AS476" t="s">
        <v>59</v>
      </c>
      <c r="AT476">
        <v>1</v>
      </c>
      <c r="AU476" t="s">
        <v>64</v>
      </c>
      <c r="AV476" t="s">
        <v>65</v>
      </c>
      <c r="AW476">
        <v>1</v>
      </c>
      <c r="AX476">
        <v>3</v>
      </c>
      <c r="AY476">
        <v>0</v>
      </c>
      <c r="AZ476">
        <v>0</v>
      </c>
      <c r="BA476">
        <v>100</v>
      </c>
      <c r="BB476">
        <v>100</v>
      </c>
      <c r="BC476">
        <v>100</v>
      </c>
      <c r="BD476">
        <v>100</v>
      </c>
      <c r="BE476">
        <v>1</v>
      </c>
      <c r="BF476">
        <v>15000</v>
      </c>
      <c r="BG476">
        <v>1000</v>
      </c>
      <c r="BH476" s="7">
        <f>ROUND(Wapato_Inventory[[#This Row],[detatched_value]]*Lookups!$B$22*Lookups!$H$48,-2)</f>
        <v>0</v>
      </c>
      <c r="BI476" s="7">
        <f>ROUND(((Wapato_Inventory[[#This Row],[land_extract]]*Lookups!$B$3) +(Lookups!$B$2*0.5))*Lookups!$H$48,-2)</f>
        <v>57100</v>
      </c>
      <c r="BJ476" s="7">
        <f>IF(Wapato_Inventory[[#This Row],[bldg_style]]="",0,Lookups!$B$2*0.5)</f>
        <v>53765.27</v>
      </c>
      <c r="BK476" s="7">
        <f>_xlfn.IFNA(VLOOKUP(Wapato_Inventory[[#This Row],[quality]],Lookups!$H$2:$J$14,3,FALSE),0)</f>
        <v>50405</v>
      </c>
      <c r="BL476" s="7">
        <f>_xlfn.IFNA(VLOOKUP(Wapato_Inventory[[#This Row],[condition]],Lookups!$H$17:$J$24,3,FALSE),0)</f>
        <v>74543</v>
      </c>
      <c r="BM476" s="7">
        <f>Wapato_Inventory[[#This Row],[Age]]*Lookups!$B$16</f>
        <v>-21499.190600000002</v>
      </c>
      <c r="BN476" s="7">
        <f>Wapato_Inventory[[#This Row],[Main Floor]]*Lookups!$B$17</f>
        <v>58521.034599999999</v>
      </c>
      <c r="BO476" s="7">
        <f>Wapato_Inventory[[#This Row],[Upper Floor]]*Lookups!$B$18</f>
        <v>0</v>
      </c>
      <c r="BP476" s="7">
        <f>Wapato_Inventory[[#This Row],[Fin BSMT]]*Lookups!$B$19</f>
        <v>0</v>
      </c>
      <c r="BQ476" s="7">
        <f>(Wapato_Inventory[[#This Row],[att_gar]]+Wapato_Inventory[[#This Row],[blt_gar]])*Lookups!$B$20</f>
        <v>0</v>
      </c>
      <c r="BR476" s="7">
        <f>Wapato_Inventory[[#This Row],[Patio]]*Lookups!$B$21</f>
        <v>0</v>
      </c>
      <c r="BS476" s="7">
        <f>SUM(Wapato_Inventory[[#This Row],[intercept]:[patio_value]])*Wapato_Inventory[[#This Row],[res_pct]]</f>
        <v>215735.114</v>
      </c>
      <c r="BT476" s="7">
        <f>Wapato_Inventory[[#This Row],[land_value]]</f>
        <v>57100</v>
      </c>
      <c r="BU476" s="2">
        <f>_xlfn.IFNA(VLOOKUP(Wapato_Inventory[[#This Row],[quality]],Lookups!$A$28:$C$37,3,FALSE),1)</f>
        <v>0.97993206410140754</v>
      </c>
      <c r="BV476" s="2">
        <f>_xlfn.IFNA(VLOOKUP(Wapato_Inventory[[#This Row],[condition]],Lookups!$A$41:$C$48,3,FALSE),1)</f>
        <v>0.98442438223270734</v>
      </c>
      <c r="BW476" s="2">
        <f>IF(Wapato_Inventory[[#This Row],[decade]]="",1,_xlfn.IFNA(VLOOKUP(Wapato_Inventory[[#This Row],[decade]],Lookups!$F$28:$H$45,3,FALSE),1))</f>
        <v>1.035341704162583</v>
      </c>
      <c r="BX476" s="2">
        <f>_xlfn.IFNA(VLOOKUP(Wapato_Inventory[[#This Row],[living_area_range]],Lookups!$K$28:$M$37,3,FALSE),1)</f>
        <v>1.0061411172456287</v>
      </c>
      <c r="BY476" s="2">
        <f>AVERAGE(Wapato_Inventory[[#This Row],[qual_adj]:[range_adj]])</f>
        <v>1.0014598169355817</v>
      </c>
      <c r="BZ476" s="7">
        <f>(Wapato_Inventory[[#This Row],[sum_land]]-IF(Wapato_Inventory[[#This Row],[no_utilities]]=1,12000,0))/IF(Wapato_Inventory[[#This Row],[unbuildable]]=1,2,1)</f>
        <v>57100</v>
      </c>
      <c r="CA476" s="7">
        <f>Wapato_Inventory[[#This Row],[pre_res]]*Wapato_Inventory[[#This Row],[overall_adj]]</f>
        <v>216050.04777301685</v>
      </c>
      <c r="CB476" s="3">
        <f>IF(ROUND(Wapato_Inventory[[#This Row],[adj_land]]*Lookups!$H$48,-2)&lt;Wapato_Inventory[[#This Row],[min_land]],Wapato_Inventory[[#This Row],[min_land]],ROUND(Wapato_Inventory[[#This Row],[adj_land]]*Lookups!$H$48,-2))</f>
        <v>54200</v>
      </c>
      <c r="CC476" s="3">
        <f>IF(ROUND(Wapato_Inventory[[#This Row],[adj_res]]*Lookups!$H$48,-2)&lt;Wapato_Inventory[[#This Row],[min_res]],Wapato_Inventory[[#This Row],[min_res]],ROUND(Wapato_Inventory[[#This Row],[adj_res]]*Lookups!$H$48,-2))</f>
        <v>205200</v>
      </c>
      <c r="CD476" s="3">
        <f>ROUND(Wapato_Inventory[[#This Row],[det_value]]*Lookups!$H$48,-2)</f>
        <v>0</v>
      </c>
      <c r="CE476" s="3">
        <f>Wapato_Inventory[[#This Row],[final_res]]+Wapato_Inventory[[#This Row],[final_det]]</f>
        <v>205200</v>
      </c>
      <c r="CF476" s="3">
        <f>Wapato_Inventory[[#This Row],[crop_value]]+Wapato_Inventory[[#This Row],[final_land]]+Wapato_Inventory[[#This Row],[final_imp]]</f>
        <v>259400</v>
      </c>
      <c r="CH476" t="str">
        <f t="shared" si="7"/>
        <v>update valuation set market_land =54200, market_bldg=205200, market_total =259400, market_mdno =405, market_date ='9/10/2023' where link_id = (select link_id from parcel where parcel_year = '2024' and parcel_id = '19111433424');</v>
      </c>
    </row>
    <row r="477" spans="1:86" x14ac:dyDescent="0.25">
      <c r="A477">
        <v>19111511479</v>
      </c>
      <c r="B477">
        <v>0.14000000000000001</v>
      </c>
      <c r="C477">
        <v>6140</v>
      </c>
      <c r="D477" t="s">
        <v>144</v>
      </c>
      <c r="E477" t="s">
        <v>54</v>
      </c>
      <c r="F477" t="s">
        <v>54</v>
      </c>
      <c r="G477">
        <v>3</v>
      </c>
      <c r="H477" t="s">
        <v>55</v>
      </c>
      <c r="I477">
        <v>194700</v>
      </c>
      <c r="J477">
        <v>31900</v>
      </c>
      <c r="K477">
        <v>0.14000000000000001</v>
      </c>
      <c r="L477">
        <f>IF(Wapato_Inventory[[#This Row],[parcel_acres]]-Wapato_Inventory[[#This Row],[non_valued_acres]] =0,0,LN(Wapato_Inventory[[#This Row],[parcel_acres]]-Wapato_Inventory[[#This Row],[non_valued_acres]]))</f>
        <v>-1.9661128563728327</v>
      </c>
      <c r="M477">
        <v>0</v>
      </c>
      <c r="N477">
        <v>0</v>
      </c>
      <c r="O477">
        <v>0</v>
      </c>
      <c r="P477">
        <v>27904.037</v>
      </c>
      <c r="Q477">
        <v>74398</v>
      </c>
      <c r="R477" s="3">
        <f>(Wapato_Inventory[[#This Row],[ln_acres]]*Wapato_Inventory[[#This Row],[coeff]])+Wapato_Inventory[[#This Row],[const]]</f>
        <v>19535.514109596792</v>
      </c>
      <c r="S477" t="s">
        <v>145</v>
      </c>
      <c r="T477">
        <v>1</v>
      </c>
      <c r="U477" t="s">
        <v>67</v>
      </c>
      <c r="V477" t="s">
        <v>69</v>
      </c>
      <c r="W477">
        <v>0</v>
      </c>
      <c r="X477">
        <v>0</v>
      </c>
      <c r="Y477">
        <v>53</v>
      </c>
      <c r="Z477">
        <v>93</v>
      </c>
      <c r="AA477">
        <v>100</v>
      </c>
      <c r="AB477">
        <v>2000</v>
      </c>
      <c r="AC477">
        <v>1872</v>
      </c>
      <c r="AD477">
        <v>936</v>
      </c>
      <c r="AE477">
        <v>0</v>
      </c>
      <c r="AF477">
        <v>0</v>
      </c>
      <c r="AG477">
        <v>936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200</v>
      </c>
      <c r="AN477">
        <v>35</v>
      </c>
      <c r="AO477">
        <v>200</v>
      </c>
      <c r="AP477">
        <v>8</v>
      </c>
      <c r="AQ477">
        <v>0</v>
      </c>
      <c r="AR477">
        <v>1</v>
      </c>
      <c r="AS477" t="s">
        <v>59</v>
      </c>
      <c r="AT477">
        <v>1</v>
      </c>
      <c r="AU477" t="s">
        <v>64</v>
      </c>
      <c r="AV477" t="s">
        <v>61</v>
      </c>
      <c r="AW477">
        <v>1</v>
      </c>
      <c r="AX477">
        <v>4</v>
      </c>
      <c r="AY477">
        <v>0</v>
      </c>
      <c r="AZ477">
        <v>5600</v>
      </c>
      <c r="BA477">
        <v>100</v>
      </c>
      <c r="BB477">
        <v>100</v>
      </c>
      <c r="BC477">
        <v>100</v>
      </c>
      <c r="BD477">
        <v>100</v>
      </c>
      <c r="BE477">
        <v>1</v>
      </c>
      <c r="BF477">
        <v>15000</v>
      </c>
      <c r="BG477">
        <v>1000</v>
      </c>
      <c r="BH477" s="7">
        <f>ROUND(Wapato_Inventory[[#This Row],[detatched_value]]*Lookups!$B$22*Lookups!$H$48,-2)</f>
        <v>5000</v>
      </c>
      <c r="BI477" s="7">
        <f>ROUND(((Wapato_Inventory[[#This Row],[land_extract]]*Lookups!$B$3) +(Lookups!$B$2*0.5))*Lookups!$H$48,-2)</f>
        <v>53000</v>
      </c>
      <c r="BJ477" s="7">
        <f>IF(Wapato_Inventory[[#This Row],[bldg_style]]="",0,Lookups!$B$2*0.5)</f>
        <v>53765.27</v>
      </c>
      <c r="BK477" s="7">
        <f>_xlfn.IFNA(VLOOKUP(Wapato_Inventory[[#This Row],[quality]],Lookups!$H$2:$J$14,3,FALSE),0)</f>
        <v>50405</v>
      </c>
      <c r="BL477" s="7">
        <f>_xlfn.IFNA(VLOOKUP(Wapato_Inventory[[#This Row],[condition]],Lookups!$H$17:$J$24,3,FALSE),0)</f>
        <v>74543</v>
      </c>
      <c r="BM477" s="7">
        <f>Wapato_Inventory[[#This Row],[Age]]*Lookups!$B$16</f>
        <v>-34472.840100000001</v>
      </c>
      <c r="BN477" s="7">
        <f>Wapato_Inventory[[#This Row],[Main Floor]]*Lookups!$B$17</f>
        <v>39125.491704</v>
      </c>
      <c r="BO477" s="7">
        <f>Wapato_Inventory[[#This Row],[Upper Floor]]*Lookups!$B$18</f>
        <v>0</v>
      </c>
      <c r="BP477" s="7">
        <f>Wapato_Inventory[[#This Row],[Fin BSMT]]*Lookups!$B$19</f>
        <v>22807.268639999998</v>
      </c>
      <c r="BQ477" s="7">
        <f>(Wapato_Inventory[[#This Row],[att_gar]]+Wapato_Inventory[[#This Row],[blt_gar]])*Lookups!$B$20</f>
        <v>0</v>
      </c>
      <c r="BR477" s="7">
        <f>Wapato_Inventory[[#This Row],[Patio]]*Lookups!$B$21</f>
        <v>8664.7957999999999</v>
      </c>
      <c r="BS477" s="7">
        <f>SUM(Wapato_Inventory[[#This Row],[intercept]:[patio_value]])*Wapato_Inventory[[#This Row],[res_pct]]</f>
        <v>214837.98604399996</v>
      </c>
      <c r="BT477" s="7">
        <f>Wapato_Inventory[[#This Row],[land_value]]</f>
        <v>53000</v>
      </c>
      <c r="BU477" s="2">
        <f>_xlfn.IFNA(VLOOKUP(Wapato_Inventory[[#This Row],[quality]],Lookups!$A$28:$C$37,3,FALSE),1)</f>
        <v>0.97993206410140754</v>
      </c>
      <c r="BV477" s="2">
        <f>_xlfn.IFNA(VLOOKUP(Wapato_Inventory[[#This Row],[condition]],Lookups!$A$41:$C$48,3,FALSE),1)</f>
        <v>0.98442438223270734</v>
      </c>
      <c r="BW477" s="2">
        <f>IF(Wapato_Inventory[[#This Row],[decade]]="",1,_xlfn.IFNA(VLOOKUP(Wapato_Inventory[[#This Row],[decade]],Lookups!$F$28:$H$45,3,FALSE),1))</f>
        <v>1.0114203040664467</v>
      </c>
      <c r="BX477" s="2">
        <f>_xlfn.IFNA(VLOOKUP(Wapato_Inventory[[#This Row],[living_area_range]],Lookups!$K$28:$M$37,3,FALSE),1)</f>
        <v>0.99330894324714125</v>
      </c>
      <c r="BY477" s="2">
        <f>AVERAGE(Wapato_Inventory[[#This Row],[qual_adj]:[range_adj]])</f>
        <v>0.99227142341192576</v>
      </c>
      <c r="BZ477" s="7">
        <f>(Wapato_Inventory[[#This Row],[sum_land]]-IF(Wapato_Inventory[[#This Row],[no_utilities]]=1,12000,0))/IF(Wapato_Inventory[[#This Row],[unbuildable]]=1,2,1)</f>
        <v>53000</v>
      </c>
      <c r="CA477" s="7">
        <f>Wapato_Inventory[[#This Row],[pre_res]]*Wapato_Inventory[[#This Row],[overall_adj]]</f>
        <v>213177.59421483128</v>
      </c>
      <c r="CB47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477" s="3">
        <f>IF(ROUND(Wapato_Inventory[[#This Row],[adj_res]]*Lookups!$H$48,-2)&lt;Wapato_Inventory[[#This Row],[min_res]],Wapato_Inventory[[#This Row],[min_res]],ROUND(Wapato_Inventory[[#This Row],[adj_res]]*Lookups!$H$48,-2))</f>
        <v>202500</v>
      </c>
      <c r="CD477" s="3">
        <f>ROUND(Wapato_Inventory[[#This Row],[det_value]]*Lookups!$H$48,-2)</f>
        <v>4800</v>
      </c>
      <c r="CE477" s="3">
        <f>Wapato_Inventory[[#This Row],[final_res]]+Wapato_Inventory[[#This Row],[final_det]]</f>
        <v>207300</v>
      </c>
      <c r="CF477" s="3">
        <f>Wapato_Inventory[[#This Row],[crop_value]]+Wapato_Inventory[[#This Row],[final_land]]+Wapato_Inventory[[#This Row],[final_imp]]</f>
        <v>257700</v>
      </c>
      <c r="CH477" t="str">
        <f t="shared" si="7"/>
        <v>update valuation set market_land =50400, market_bldg=207300, market_total =257700, market_mdno =405, market_date ='9/10/2023' where link_id = (select link_id from parcel where parcel_year = '2024' and parcel_id = '19111511479');</v>
      </c>
    </row>
    <row r="478" spans="1:86" x14ac:dyDescent="0.25">
      <c r="A478">
        <v>19111511480</v>
      </c>
      <c r="B478">
        <v>0.08</v>
      </c>
      <c r="C478">
        <v>3390</v>
      </c>
      <c r="D478" t="s">
        <v>144</v>
      </c>
      <c r="E478" t="s">
        <v>54</v>
      </c>
      <c r="F478" t="s">
        <v>54</v>
      </c>
      <c r="G478">
        <v>3</v>
      </c>
      <c r="H478" t="s">
        <v>55</v>
      </c>
      <c r="I478">
        <v>117300</v>
      </c>
      <c r="J478">
        <v>27900</v>
      </c>
      <c r="K478">
        <v>0.08</v>
      </c>
      <c r="L478">
        <f>IF(Wapato_Inventory[[#This Row],[parcel_acres]]-Wapato_Inventory[[#This Row],[non_valued_acres]] =0,0,LN(Wapato_Inventory[[#This Row],[parcel_acres]]-Wapato_Inventory[[#This Row],[non_valued_acres]]))</f>
        <v>-2.5257286443082556</v>
      </c>
      <c r="M478">
        <v>0</v>
      </c>
      <c r="N478">
        <v>0</v>
      </c>
      <c r="O478">
        <v>0</v>
      </c>
      <c r="P478">
        <v>27904.037</v>
      </c>
      <c r="Q478">
        <v>74398</v>
      </c>
      <c r="R478" s="3">
        <f>(Wapato_Inventory[[#This Row],[ln_acres]]*Wapato_Inventory[[#This Row],[coeff]])+Wapato_Inventory[[#This Row],[const]]</f>
        <v>3919.9744572625932</v>
      </c>
      <c r="S478" t="s">
        <v>66</v>
      </c>
      <c r="T478">
        <v>1</v>
      </c>
      <c r="U478" t="s">
        <v>71</v>
      </c>
      <c r="V478" t="s">
        <v>68</v>
      </c>
      <c r="W478">
        <v>0</v>
      </c>
      <c r="X478">
        <v>0</v>
      </c>
      <c r="Y478">
        <v>57</v>
      </c>
      <c r="Z478">
        <v>103</v>
      </c>
      <c r="AA478">
        <v>110</v>
      </c>
      <c r="AB478">
        <v>1500</v>
      </c>
      <c r="AC478">
        <v>1122</v>
      </c>
      <c r="AD478">
        <v>1122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216</v>
      </c>
      <c r="AL478">
        <v>0</v>
      </c>
      <c r="AM478">
        <v>0</v>
      </c>
      <c r="AN478">
        <v>108</v>
      </c>
      <c r="AO478">
        <v>0</v>
      </c>
      <c r="AP478">
        <v>5</v>
      </c>
      <c r="AQ478">
        <v>0</v>
      </c>
      <c r="AR478">
        <v>0</v>
      </c>
      <c r="AS478" t="s">
        <v>59</v>
      </c>
      <c r="AT478">
        <v>1</v>
      </c>
      <c r="AU478" t="s">
        <v>72</v>
      </c>
      <c r="AV478" t="s">
        <v>61</v>
      </c>
      <c r="AW478">
        <v>0</v>
      </c>
      <c r="AX478">
        <v>3</v>
      </c>
      <c r="AY478">
        <v>0</v>
      </c>
      <c r="AZ478">
        <v>5300</v>
      </c>
      <c r="BA478">
        <v>100</v>
      </c>
      <c r="BB478">
        <v>100</v>
      </c>
      <c r="BC478">
        <v>100</v>
      </c>
      <c r="BD478">
        <v>100</v>
      </c>
      <c r="BE478">
        <v>1</v>
      </c>
      <c r="BF478">
        <v>15000</v>
      </c>
      <c r="BG478">
        <v>1000</v>
      </c>
      <c r="BH478" s="7">
        <f>ROUND(Wapato_Inventory[[#This Row],[detatched_value]]*Lookups!$B$22*Lookups!$H$48,-2)</f>
        <v>4700</v>
      </c>
      <c r="BI478" s="7">
        <f>ROUND(((Wapato_Inventory[[#This Row],[land_extract]]*Lookups!$B$3) +(Lookups!$B$2*0.5))*Lookups!$H$48,-2)</f>
        <v>51500</v>
      </c>
      <c r="BJ478" s="7">
        <f>IF(Wapato_Inventory[[#This Row],[bldg_style]]="",0,Lookups!$B$2*0.5)</f>
        <v>53765.27</v>
      </c>
      <c r="BK478" s="7">
        <f>_xlfn.IFNA(VLOOKUP(Wapato_Inventory[[#This Row],[quality]],Lookups!$H$2:$J$14,3,FALSE),0)</f>
        <v>28034</v>
      </c>
      <c r="BL478" s="7">
        <f>_xlfn.IFNA(VLOOKUP(Wapato_Inventory[[#This Row],[condition]],Lookups!$H$17:$J$24,3,FALSE),0)</f>
        <v>52231</v>
      </c>
      <c r="BM478" s="7">
        <f>Wapato_Inventory[[#This Row],[Age]]*Lookups!$B$16</f>
        <v>-38179.597099999999</v>
      </c>
      <c r="BN478" s="7">
        <f>Wapato_Inventory[[#This Row],[Main Floor]]*Lookups!$B$17</f>
        <v>46900.429157999999</v>
      </c>
      <c r="BO478" s="7">
        <f>Wapato_Inventory[[#This Row],[Upper Floor]]*Lookups!$B$18</f>
        <v>0</v>
      </c>
      <c r="BP478" s="7">
        <f>Wapato_Inventory[[#This Row],[Fin BSMT]]*Lookups!$B$19</f>
        <v>0</v>
      </c>
      <c r="BQ478" s="7">
        <f>(Wapato_Inventory[[#This Row],[att_gar]]+Wapato_Inventory[[#This Row],[blt_gar]])*Lookups!$B$20</f>
        <v>0</v>
      </c>
      <c r="BR478" s="7">
        <f>Wapato_Inventory[[#This Row],[Patio]]*Lookups!$B$21</f>
        <v>0</v>
      </c>
      <c r="BS478" s="7">
        <f>SUM(Wapato_Inventory[[#This Row],[intercept]:[patio_value]])*Wapato_Inventory[[#This Row],[res_pct]]</f>
        <v>142751.10205799999</v>
      </c>
      <c r="BT478" s="7">
        <f>Wapato_Inventory[[#This Row],[land_value]]</f>
        <v>51500</v>
      </c>
      <c r="BU478" s="2">
        <f>_xlfn.IFNA(VLOOKUP(Wapato_Inventory[[#This Row],[quality]],Lookups!$A$28:$C$37,3,FALSE),1)</f>
        <v>0.96265813922927435</v>
      </c>
      <c r="BV478" s="2">
        <f>_xlfn.IFNA(VLOOKUP(Wapato_Inventory[[#This Row],[condition]],Lookups!$A$41:$C$48,3,FALSE),1)</f>
        <v>0.9832333997567807</v>
      </c>
      <c r="BW478" s="2">
        <f>IF(Wapato_Inventory[[#This Row],[decade]]="",1,_xlfn.IFNA(VLOOKUP(Wapato_Inventory[[#This Row],[decade]],Lookups!$F$28:$H$45,3,FALSE),1))</f>
        <v>0.93664589651353292</v>
      </c>
      <c r="BX478" s="2">
        <f>_xlfn.IFNA(VLOOKUP(Wapato_Inventory[[#This Row],[living_area_range]],Lookups!$K$28:$M$37,3,FALSE),1)</f>
        <v>1.0061411172456287</v>
      </c>
      <c r="BY478" s="2">
        <f>AVERAGE(Wapato_Inventory[[#This Row],[qual_adj]:[range_adj]])</f>
        <v>0.97216963818630409</v>
      </c>
      <c r="BZ478" s="7">
        <f>(Wapato_Inventory[[#This Row],[sum_land]]-IF(Wapato_Inventory[[#This Row],[no_utilities]]=1,12000,0))/IF(Wapato_Inventory[[#This Row],[unbuildable]]=1,2,1)</f>
        <v>51500</v>
      </c>
      <c r="CA478" s="7">
        <f>Wapato_Inventory[[#This Row],[pre_res]]*Wapato_Inventory[[#This Row],[overall_adj]]</f>
        <v>138778.28723842202</v>
      </c>
      <c r="CB478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478" s="3">
        <f>IF(ROUND(Wapato_Inventory[[#This Row],[adj_res]]*Lookups!$H$48,-2)&lt;Wapato_Inventory[[#This Row],[min_res]],Wapato_Inventory[[#This Row],[min_res]],ROUND(Wapato_Inventory[[#This Row],[adj_res]]*Lookups!$H$48,-2))</f>
        <v>131800</v>
      </c>
      <c r="CD478" s="3">
        <f>ROUND(Wapato_Inventory[[#This Row],[det_value]]*Lookups!$H$48,-2)</f>
        <v>4500</v>
      </c>
      <c r="CE478" s="3">
        <f>Wapato_Inventory[[#This Row],[final_res]]+Wapato_Inventory[[#This Row],[final_det]]</f>
        <v>136300</v>
      </c>
      <c r="CF478" s="3">
        <f>Wapato_Inventory[[#This Row],[crop_value]]+Wapato_Inventory[[#This Row],[final_land]]+Wapato_Inventory[[#This Row],[final_imp]]</f>
        <v>185200</v>
      </c>
      <c r="CH478" t="str">
        <f t="shared" si="7"/>
        <v>update valuation set market_land =48900, market_bldg=136300, market_total =185200, market_mdno =405, market_date ='9/10/2023' where link_id = (select link_id from parcel where parcel_year = '2024' and parcel_id = '19111511480');</v>
      </c>
    </row>
    <row r="479" spans="1:86" x14ac:dyDescent="0.25">
      <c r="A479">
        <v>19111511481</v>
      </c>
      <c r="B479">
        <v>0.06</v>
      </c>
      <c r="C479">
        <v>2792</v>
      </c>
      <c r="D479" t="s">
        <v>144</v>
      </c>
      <c r="E479" t="s">
        <v>54</v>
      </c>
      <c r="F479" t="s">
        <v>54</v>
      </c>
      <c r="G479">
        <v>3</v>
      </c>
      <c r="H479" t="s">
        <v>55</v>
      </c>
      <c r="I479">
        <v>114800</v>
      </c>
      <c r="J479">
        <v>25800</v>
      </c>
      <c r="K479">
        <v>0.06</v>
      </c>
      <c r="L479">
        <f>IF(Wapato_Inventory[[#This Row],[parcel_acres]]-Wapato_Inventory[[#This Row],[non_valued_acres]] =0,0,LN(Wapato_Inventory[[#This Row],[parcel_acres]]-Wapato_Inventory[[#This Row],[non_valued_acres]]))</f>
        <v>-2.8134107167600364</v>
      </c>
      <c r="M479">
        <v>0</v>
      </c>
      <c r="N479">
        <v>0</v>
      </c>
      <c r="O479">
        <v>0</v>
      </c>
      <c r="P479">
        <v>27904.037</v>
      </c>
      <c r="Q479">
        <v>74398</v>
      </c>
      <c r="R479" s="3">
        <f>(Wapato_Inventory[[#This Row],[ln_acres]]*Wapato_Inventory[[#This Row],[coeff]])+Wapato_Inventory[[#This Row],[const]]</f>
        <v>-4107.5167366685782</v>
      </c>
      <c r="S479" t="s">
        <v>66</v>
      </c>
      <c r="T479">
        <v>1</v>
      </c>
      <c r="U479" t="s">
        <v>71</v>
      </c>
      <c r="V479" t="s">
        <v>69</v>
      </c>
      <c r="W479">
        <v>0</v>
      </c>
      <c r="X479">
        <v>0</v>
      </c>
      <c r="Y479">
        <v>65</v>
      </c>
      <c r="Z479">
        <v>113</v>
      </c>
      <c r="AA479">
        <v>120</v>
      </c>
      <c r="AB479">
        <v>1000</v>
      </c>
      <c r="AC479">
        <v>632</v>
      </c>
      <c r="AD479">
        <v>632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98</v>
      </c>
      <c r="AN479">
        <v>80</v>
      </c>
      <c r="AO479">
        <v>98</v>
      </c>
      <c r="AP479">
        <v>5</v>
      </c>
      <c r="AQ479">
        <v>0</v>
      </c>
      <c r="AR479">
        <v>0</v>
      </c>
      <c r="AS479" t="s">
        <v>59</v>
      </c>
      <c r="AT479">
        <v>1</v>
      </c>
      <c r="AU479" t="s">
        <v>72</v>
      </c>
      <c r="AV479" t="s">
        <v>61</v>
      </c>
      <c r="AW479">
        <v>0</v>
      </c>
      <c r="AX479">
        <v>2</v>
      </c>
      <c r="AY479">
        <v>0</v>
      </c>
      <c r="AZ479">
        <v>0</v>
      </c>
      <c r="BA479">
        <v>100</v>
      </c>
      <c r="BB479">
        <v>100</v>
      </c>
      <c r="BC479">
        <v>100</v>
      </c>
      <c r="BD479">
        <v>100</v>
      </c>
      <c r="BE479">
        <v>1</v>
      </c>
      <c r="BF479">
        <v>15000</v>
      </c>
      <c r="BG479">
        <v>1000</v>
      </c>
      <c r="BH479" s="7">
        <f>ROUND(Wapato_Inventory[[#This Row],[detatched_value]]*Lookups!$B$22*Lookups!$H$48,-2)</f>
        <v>0</v>
      </c>
      <c r="BI479" s="7">
        <f>ROUND(((Wapato_Inventory[[#This Row],[land_extract]]*Lookups!$B$3) +(Lookups!$B$2*0.5))*Lookups!$H$48,-2)</f>
        <v>50700</v>
      </c>
      <c r="BJ479" s="7">
        <f>IF(Wapato_Inventory[[#This Row],[bldg_style]]="",0,Lookups!$B$2*0.5)</f>
        <v>53765.27</v>
      </c>
      <c r="BK479" s="7">
        <f>_xlfn.IFNA(VLOOKUP(Wapato_Inventory[[#This Row],[quality]],Lookups!$H$2:$J$14,3,FALSE),0)</f>
        <v>28034</v>
      </c>
      <c r="BL479" s="7">
        <f>_xlfn.IFNA(VLOOKUP(Wapato_Inventory[[#This Row],[condition]],Lookups!$H$17:$J$24,3,FALSE),0)</f>
        <v>74543</v>
      </c>
      <c r="BM479" s="7">
        <f>Wapato_Inventory[[#This Row],[Age]]*Lookups!$B$16</f>
        <v>-41886.354100000004</v>
      </c>
      <c r="BN479" s="7">
        <f>Wapato_Inventory[[#This Row],[Main Floor]]*Lookups!$B$17</f>
        <v>26418.067048000001</v>
      </c>
      <c r="BO479" s="7">
        <f>Wapato_Inventory[[#This Row],[Upper Floor]]*Lookups!$B$18</f>
        <v>0</v>
      </c>
      <c r="BP479" s="7">
        <f>Wapato_Inventory[[#This Row],[Fin BSMT]]*Lookups!$B$19</f>
        <v>0</v>
      </c>
      <c r="BQ479" s="7">
        <f>(Wapato_Inventory[[#This Row],[att_gar]]+Wapato_Inventory[[#This Row],[blt_gar]])*Lookups!$B$20</f>
        <v>0</v>
      </c>
      <c r="BR479" s="7">
        <f>Wapato_Inventory[[#This Row],[Patio]]*Lookups!$B$21</f>
        <v>4245.7499420000004</v>
      </c>
      <c r="BS479" s="7">
        <f>SUM(Wapato_Inventory[[#This Row],[intercept]:[patio_value]])*Wapato_Inventory[[#This Row],[res_pct]]</f>
        <v>145119.73288999998</v>
      </c>
      <c r="BT479" s="7">
        <f>Wapato_Inventory[[#This Row],[land_value]]</f>
        <v>50700</v>
      </c>
      <c r="BU479" s="2">
        <f>_xlfn.IFNA(VLOOKUP(Wapato_Inventory[[#This Row],[quality]],Lookups!$A$28:$C$37,3,FALSE),1)</f>
        <v>0.96265813922927435</v>
      </c>
      <c r="BV479" s="2">
        <f>_xlfn.IFNA(VLOOKUP(Wapato_Inventory[[#This Row],[condition]],Lookups!$A$41:$C$48,3,FALSE),1)</f>
        <v>0.98442438223270734</v>
      </c>
      <c r="BW479" s="2">
        <f>IF(Wapato_Inventory[[#This Row],[decade]]="",1,_xlfn.IFNA(VLOOKUP(Wapato_Inventory[[#This Row],[decade]],Lookups!$F$28:$H$45,3,FALSE),1))</f>
        <v>0.93664589651353292</v>
      </c>
      <c r="BX479" s="2">
        <f>_xlfn.IFNA(VLOOKUP(Wapato_Inventory[[#This Row],[living_area_range]],Lookups!$K$28:$M$37,3,FALSE),1)</f>
        <v>0.99022994770196116</v>
      </c>
      <c r="BY479" s="2">
        <f>AVERAGE(Wapato_Inventory[[#This Row],[qual_adj]:[range_adj]])</f>
        <v>0.96848959141936886</v>
      </c>
      <c r="BZ479" s="7">
        <f>(Wapato_Inventory[[#This Row],[sum_land]]-IF(Wapato_Inventory[[#This Row],[no_utilities]]=1,12000,0))/IF(Wapato_Inventory[[#This Row],[unbuildable]]=1,2,1)</f>
        <v>50700</v>
      </c>
      <c r="CA479" s="7">
        <f>Wapato_Inventory[[#This Row],[pre_res]]*Wapato_Inventory[[#This Row],[overall_adj]]</f>
        <v>140546.95081352402</v>
      </c>
      <c r="CB479" s="3">
        <f>IF(ROUND(Wapato_Inventory[[#This Row],[adj_land]]*Lookups!$H$48,-2)&lt;Wapato_Inventory[[#This Row],[min_land]],Wapato_Inventory[[#This Row],[min_land]],ROUND(Wapato_Inventory[[#This Row],[adj_land]]*Lookups!$H$48,-2))</f>
        <v>48200</v>
      </c>
      <c r="CC479" s="3">
        <f>IF(ROUND(Wapato_Inventory[[#This Row],[adj_res]]*Lookups!$H$48,-2)&lt;Wapato_Inventory[[#This Row],[min_res]],Wapato_Inventory[[#This Row],[min_res]],ROUND(Wapato_Inventory[[#This Row],[adj_res]]*Lookups!$H$48,-2))</f>
        <v>133500</v>
      </c>
      <c r="CD479" s="3">
        <f>ROUND(Wapato_Inventory[[#This Row],[det_value]]*Lookups!$H$48,-2)</f>
        <v>0</v>
      </c>
      <c r="CE479" s="3">
        <f>Wapato_Inventory[[#This Row],[final_res]]+Wapato_Inventory[[#This Row],[final_det]]</f>
        <v>133500</v>
      </c>
      <c r="CF479" s="3">
        <f>Wapato_Inventory[[#This Row],[crop_value]]+Wapato_Inventory[[#This Row],[final_land]]+Wapato_Inventory[[#This Row],[final_imp]]</f>
        <v>181700</v>
      </c>
      <c r="CH479" t="str">
        <f t="shared" si="7"/>
        <v>update valuation set market_land =48200, market_bldg=133500, market_total =181700, market_mdno =405, market_date ='9/10/2023' where link_id = (select link_id from parcel where parcel_year = '2024' and parcel_id = '19111511481');</v>
      </c>
    </row>
    <row r="480" spans="1:86" x14ac:dyDescent="0.25">
      <c r="A480">
        <v>19111511482</v>
      </c>
      <c r="B480">
        <v>0.14000000000000001</v>
      </c>
      <c r="C480">
        <v>6028</v>
      </c>
      <c r="D480" t="s">
        <v>144</v>
      </c>
      <c r="E480" t="s">
        <v>54</v>
      </c>
      <c r="F480" t="s">
        <v>54</v>
      </c>
      <c r="G480">
        <v>3</v>
      </c>
      <c r="H480" t="s">
        <v>55</v>
      </c>
      <c r="I480">
        <v>126900</v>
      </c>
      <c r="J480">
        <v>31900</v>
      </c>
      <c r="K480">
        <v>0.14000000000000001</v>
      </c>
      <c r="L480">
        <f>IF(Wapato_Inventory[[#This Row],[parcel_acres]]-Wapato_Inventory[[#This Row],[non_valued_acres]] =0,0,LN(Wapato_Inventory[[#This Row],[parcel_acres]]-Wapato_Inventory[[#This Row],[non_valued_acres]]))</f>
        <v>-1.9661128563728327</v>
      </c>
      <c r="M480">
        <v>0</v>
      </c>
      <c r="N480">
        <v>0</v>
      </c>
      <c r="O480">
        <v>0</v>
      </c>
      <c r="P480">
        <v>27904.037</v>
      </c>
      <c r="Q480">
        <v>74398</v>
      </c>
      <c r="R480" s="3">
        <f>(Wapato_Inventory[[#This Row],[ln_acres]]*Wapato_Inventory[[#This Row],[coeff]])+Wapato_Inventory[[#This Row],[const]]</f>
        <v>19535.514109596792</v>
      </c>
      <c r="S480" t="s">
        <v>66</v>
      </c>
      <c r="T480">
        <v>1</v>
      </c>
      <c r="U480" t="s">
        <v>71</v>
      </c>
      <c r="V480" t="s">
        <v>68</v>
      </c>
      <c r="W480">
        <v>0</v>
      </c>
      <c r="X480">
        <v>0</v>
      </c>
      <c r="Y480">
        <v>57</v>
      </c>
      <c r="Z480">
        <v>103</v>
      </c>
      <c r="AA480">
        <v>110</v>
      </c>
      <c r="AB480">
        <v>1500</v>
      </c>
      <c r="AC480">
        <v>1248</v>
      </c>
      <c r="AD480">
        <v>1248</v>
      </c>
      <c r="AE480">
        <v>0</v>
      </c>
      <c r="AF480">
        <v>0</v>
      </c>
      <c r="AG480">
        <v>0</v>
      </c>
      <c r="AH480">
        <v>460</v>
      </c>
      <c r="AI480">
        <v>0</v>
      </c>
      <c r="AJ480">
        <v>0</v>
      </c>
      <c r="AK480">
        <v>0</v>
      </c>
      <c r="AL480">
        <v>0</v>
      </c>
      <c r="AM480">
        <v>48</v>
      </c>
      <c r="AN480">
        <v>198</v>
      </c>
      <c r="AO480">
        <v>0</v>
      </c>
      <c r="AP480">
        <v>8</v>
      </c>
      <c r="AQ480">
        <v>0</v>
      </c>
      <c r="AR480">
        <v>0</v>
      </c>
      <c r="AS480" t="s">
        <v>59</v>
      </c>
      <c r="AT480">
        <v>1</v>
      </c>
      <c r="AU480" t="s">
        <v>72</v>
      </c>
      <c r="AV480" t="s">
        <v>61</v>
      </c>
      <c r="AW480">
        <v>0</v>
      </c>
      <c r="AX480">
        <v>3</v>
      </c>
      <c r="AY480">
        <v>0</v>
      </c>
      <c r="AZ480">
        <v>6200</v>
      </c>
      <c r="BA480">
        <v>100</v>
      </c>
      <c r="BB480">
        <v>100</v>
      </c>
      <c r="BC480">
        <v>100</v>
      </c>
      <c r="BD480">
        <v>100</v>
      </c>
      <c r="BE480">
        <v>1</v>
      </c>
      <c r="BF480">
        <v>15000</v>
      </c>
      <c r="BG480">
        <v>1000</v>
      </c>
      <c r="BH480" s="7">
        <f>ROUND(Wapato_Inventory[[#This Row],[detatched_value]]*Lookups!$B$22*Lookups!$H$48,-2)</f>
        <v>5500</v>
      </c>
      <c r="BI480" s="7">
        <f>ROUND(((Wapato_Inventory[[#This Row],[land_extract]]*Lookups!$B$3) +(Lookups!$B$2*0.5))*Lookups!$H$48,-2)</f>
        <v>53000</v>
      </c>
      <c r="BJ480" s="7">
        <f>IF(Wapato_Inventory[[#This Row],[bldg_style]]="",0,Lookups!$B$2*0.5)</f>
        <v>53765.27</v>
      </c>
      <c r="BK480" s="7">
        <f>_xlfn.IFNA(VLOOKUP(Wapato_Inventory[[#This Row],[quality]],Lookups!$H$2:$J$14,3,FALSE),0)</f>
        <v>28034</v>
      </c>
      <c r="BL480" s="7">
        <f>_xlfn.IFNA(VLOOKUP(Wapato_Inventory[[#This Row],[condition]],Lookups!$H$17:$J$24,3,FALSE),0)</f>
        <v>52231</v>
      </c>
      <c r="BM480" s="7">
        <f>Wapato_Inventory[[#This Row],[Age]]*Lookups!$B$16</f>
        <v>-38179.597099999999</v>
      </c>
      <c r="BN480" s="7">
        <f>Wapato_Inventory[[#This Row],[Main Floor]]*Lookups!$B$17</f>
        <v>52167.322271999998</v>
      </c>
      <c r="BO480" s="7">
        <f>Wapato_Inventory[[#This Row],[Upper Floor]]*Lookups!$B$18</f>
        <v>0</v>
      </c>
      <c r="BP480" s="7">
        <f>Wapato_Inventory[[#This Row],[Fin BSMT]]*Lookups!$B$19</f>
        <v>0</v>
      </c>
      <c r="BQ480" s="7">
        <f>(Wapato_Inventory[[#This Row],[att_gar]]+Wapato_Inventory[[#This Row],[blt_gar]])*Lookups!$B$20</f>
        <v>0</v>
      </c>
      <c r="BR480" s="7">
        <f>Wapato_Inventory[[#This Row],[Patio]]*Lookups!$B$21</f>
        <v>2079.550992</v>
      </c>
      <c r="BS480" s="7">
        <f>SUM(Wapato_Inventory[[#This Row],[intercept]:[patio_value]])*Wapato_Inventory[[#This Row],[res_pct]]</f>
        <v>150097.546164</v>
      </c>
      <c r="BT480" s="7">
        <f>Wapato_Inventory[[#This Row],[land_value]]</f>
        <v>53000</v>
      </c>
      <c r="BU480" s="2">
        <f>_xlfn.IFNA(VLOOKUP(Wapato_Inventory[[#This Row],[quality]],Lookups!$A$28:$C$37,3,FALSE),1)</f>
        <v>0.96265813922927435</v>
      </c>
      <c r="BV480" s="2">
        <f>_xlfn.IFNA(VLOOKUP(Wapato_Inventory[[#This Row],[condition]],Lookups!$A$41:$C$48,3,FALSE),1)</f>
        <v>0.9832333997567807</v>
      </c>
      <c r="BW480" s="2">
        <f>IF(Wapato_Inventory[[#This Row],[decade]]="",1,_xlfn.IFNA(VLOOKUP(Wapato_Inventory[[#This Row],[decade]],Lookups!$F$28:$H$45,3,FALSE),1))</f>
        <v>0.93664589651353292</v>
      </c>
      <c r="BX480" s="2">
        <f>_xlfn.IFNA(VLOOKUP(Wapato_Inventory[[#This Row],[living_area_range]],Lookups!$K$28:$M$37,3,FALSE),1)</f>
        <v>1.0061411172456287</v>
      </c>
      <c r="BY480" s="2">
        <f>AVERAGE(Wapato_Inventory[[#This Row],[qual_adj]:[range_adj]])</f>
        <v>0.97216963818630409</v>
      </c>
      <c r="BZ480" s="7">
        <f>(Wapato_Inventory[[#This Row],[sum_land]]-IF(Wapato_Inventory[[#This Row],[no_utilities]]=1,12000,0))/IF(Wapato_Inventory[[#This Row],[unbuildable]]=1,2,1)</f>
        <v>53000</v>
      </c>
      <c r="CA480" s="7">
        <f>Wapato_Inventory[[#This Row],[pre_res]]*Wapato_Inventory[[#This Row],[overall_adj]]</f>
        <v>145920.27714690796</v>
      </c>
      <c r="CB48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480" s="3">
        <f>IF(ROUND(Wapato_Inventory[[#This Row],[adj_res]]*Lookups!$H$48,-2)&lt;Wapato_Inventory[[#This Row],[min_res]],Wapato_Inventory[[#This Row],[min_res]],ROUND(Wapato_Inventory[[#This Row],[adj_res]]*Lookups!$H$48,-2))</f>
        <v>138600</v>
      </c>
      <c r="CD480" s="3">
        <f>ROUND(Wapato_Inventory[[#This Row],[det_value]]*Lookups!$H$48,-2)</f>
        <v>5200</v>
      </c>
      <c r="CE480" s="3">
        <f>Wapato_Inventory[[#This Row],[final_res]]+Wapato_Inventory[[#This Row],[final_det]]</f>
        <v>143800</v>
      </c>
      <c r="CF480" s="3">
        <f>Wapato_Inventory[[#This Row],[crop_value]]+Wapato_Inventory[[#This Row],[final_land]]+Wapato_Inventory[[#This Row],[final_imp]]</f>
        <v>194200</v>
      </c>
      <c r="CH480" t="str">
        <f t="shared" si="7"/>
        <v>update valuation set market_land =50400, market_bldg=143800, market_total =194200, market_mdno =405, market_date ='9/10/2023' where link_id = (select link_id from parcel where parcel_year = '2024' and parcel_id = '19111511482');</v>
      </c>
    </row>
    <row r="481" spans="1:86" x14ac:dyDescent="0.25">
      <c r="A481">
        <v>19111511486</v>
      </c>
      <c r="B481">
        <v>0.13</v>
      </c>
      <c r="C481">
        <v>5859</v>
      </c>
      <c r="D481" t="s">
        <v>144</v>
      </c>
      <c r="E481" t="s">
        <v>54</v>
      </c>
      <c r="F481" t="s">
        <v>54</v>
      </c>
      <c r="G481">
        <v>3</v>
      </c>
      <c r="H481" t="s">
        <v>55</v>
      </c>
      <c r="I481">
        <v>135700</v>
      </c>
      <c r="J481">
        <v>31400</v>
      </c>
      <c r="K481">
        <v>0.13</v>
      </c>
      <c r="L481">
        <f>IF(Wapato_Inventory[[#This Row],[parcel_acres]]-Wapato_Inventory[[#This Row],[non_valued_acres]] =0,0,LN(Wapato_Inventory[[#This Row],[parcel_acres]]-Wapato_Inventory[[#This Row],[non_valued_acres]]))</f>
        <v>-2.0402208285265546</v>
      </c>
      <c r="M481">
        <v>0</v>
      </c>
      <c r="N481">
        <v>0</v>
      </c>
      <c r="O481">
        <v>0</v>
      </c>
      <c r="P481">
        <v>27904.037</v>
      </c>
      <c r="Q481">
        <v>74398</v>
      </c>
      <c r="R481" s="3">
        <f>(Wapato_Inventory[[#This Row],[ln_acres]]*Wapato_Inventory[[#This Row],[coeff]])+Wapato_Inventory[[#This Row],[const]]</f>
        <v>17467.602512624362</v>
      </c>
      <c r="S481" t="s">
        <v>66</v>
      </c>
      <c r="T481">
        <v>1</v>
      </c>
      <c r="U481" t="s">
        <v>75</v>
      </c>
      <c r="V481" t="s">
        <v>69</v>
      </c>
      <c r="W481">
        <v>0</v>
      </c>
      <c r="X481">
        <v>0</v>
      </c>
      <c r="Y481">
        <v>75</v>
      </c>
      <c r="Z481">
        <v>123</v>
      </c>
      <c r="AA481">
        <v>130</v>
      </c>
      <c r="AB481">
        <v>1000</v>
      </c>
      <c r="AC481">
        <v>724</v>
      </c>
      <c r="AD481">
        <v>724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506</v>
      </c>
      <c r="AL481">
        <v>0</v>
      </c>
      <c r="AM481">
        <v>0</v>
      </c>
      <c r="AN481">
        <v>140</v>
      </c>
      <c r="AO481">
        <v>0</v>
      </c>
      <c r="AP481">
        <v>5</v>
      </c>
      <c r="AQ481">
        <v>1</v>
      </c>
      <c r="AR481">
        <v>0</v>
      </c>
      <c r="AS481" t="s">
        <v>59</v>
      </c>
      <c r="AT481">
        <v>1</v>
      </c>
      <c r="AU481" t="s">
        <v>72</v>
      </c>
      <c r="AV481" t="s">
        <v>65</v>
      </c>
      <c r="AW481">
        <v>0</v>
      </c>
      <c r="AX481">
        <v>2</v>
      </c>
      <c r="AY481">
        <v>0</v>
      </c>
      <c r="AZ481">
        <v>0</v>
      </c>
      <c r="BA481">
        <v>100</v>
      </c>
      <c r="BB481">
        <v>100</v>
      </c>
      <c r="BC481">
        <v>100</v>
      </c>
      <c r="BD481">
        <v>100</v>
      </c>
      <c r="BE481">
        <v>1</v>
      </c>
      <c r="BF481">
        <v>15000</v>
      </c>
      <c r="BG481">
        <v>1000</v>
      </c>
      <c r="BH481" s="7">
        <f>ROUND(Wapato_Inventory[[#This Row],[detatched_value]]*Lookups!$B$22*Lookups!$H$48,-2)</f>
        <v>0</v>
      </c>
      <c r="BI481" s="7">
        <f>ROUND(((Wapato_Inventory[[#This Row],[land_extract]]*Lookups!$B$3) +(Lookups!$B$2*0.5))*Lookups!$H$48,-2)</f>
        <v>52800</v>
      </c>
      <c r="BJ481" s="7">
        <f>IF(Wapato_Inventory[[#This Row],[bldg_style]]="",0,Lookups!$B$2*0.5)</f>
        <v>53765.27</v>
      </c>
      <c r="BK481" s="7">
        <f>_xlfn.IFNA(VLOOKUP(Wapato_Inventory[[#This Row],[quality]],Lookups!$H$2:$J$14,3,FALSE),0)</f>
        <v>48043</v>
      </c>
      <c r="BL481" s="7">
        <f>_xlfn.IFNA(VLOOKUP(Wapato_Inventory[[#This Row],[condition]],Lookups!$H$17:$J$24,3,FALSE),0)</f>
        <v>74543</v>
      </c>
      <c r="BM481" s="7">
        <f>Wapato_Inventory[[#This Row],[Age]]*Lookups!$B$16</f>
        <v>-45593.111100000002</v>
      </c>
      <c r="BN481" s="7">
        <f>Wapato_Inventory[[#This Row],[Main Floor]]*Lookups!$B$17</f>
        <v>30263.735036000002</v>
      </c>
      <c r="BO481" s="7">
        <f>Wapato_Inventory[[#This Row],[Upper Floor]]*Lookups!$B$18</f>
        <v>0</v>
      </c>
      <c r="BP481" s="7">
        <f>Wapato_Inventory[[#This Row],[Fin BSMT]]*Lookups!$B$19</f>
        <v>0</v>
      </c>
      <c r="BQ481" s="7">
        <f>(Wapato_Inventory[[#This Row],[att_gar]]+Wapato_Inventory[[#This Row],[blt_gar]])*Lookups!$B$20</f>
        <v>0</v>
      </c>
      <c r="BR481" s="7">
        <f>Wapato_Inventory[[#This Row],[Patio]]*Lookups!$B$21</f>
        <v>0</v>
      </c>
      <c r="BS481" s="7">
        <f>SUM(Wapato_Inventory[[#This Row],[intercept]:[patio_value]])*Wapato_Inventory[[#This Row],[res_pct]]</f>
        <v>161021.89393599998</v>
      </c>
      <c r="BT481" s="7">
        <f>Wapato_Inventory[[#This Row],[land_value]]</f>
        <v>52800</v>
      </c>
      <c r="BU481" s="2">
        <f>_xlfn.IFNA(VLOOKUP(Wapato_Inventory[[#This Row],[quality]],Lookups!$A$28:$C$37,3,FALSE),1)</f>
        <v>0.98196844879778955</v>
      </c>
      <c r="BV481" s="2">
        <f>_xlfn.IFNA(VLOOKUP(Wapato_Inventory[[#This Row],[condition]],Lookups!$A$41:$C$48,3,FALSE),1)</f>
        <v>0.98442438223270734</v>
      </c>
      <c r="BW481" s="2">
        <f>IF(Wapato_Inventory[[#This Row],[decade]]="",1,_xlfn.IFNA(VLOOKUP(Wapato_Inventory[[#This Row],[decade]],Lookups!$F$28:$H$45,3,FALSE),1))</f>
        <v>0.93664589651353292</v>
      </c>
      <c r="BX481" s="2">
        <f>_xlfn.IFNA(VLOOKUP(Wapato_Inventory[[#This Row],[living_area_range]],Lookups!$K$28:$M$37,3,FALSE),1)</f>
        <v>0.99022994770196116</v>
      </c>
      <c r="BY481" s="2">
        <f>AVERAGE(Wapato_Inventory[[#This Row],[qual_adj]:[range_adj]])</f>
        <v>0.97331716881149777</v>
      </c>
      <c r="BZ481" s="7">
        <f>(Wapato_Inventory[[#This Row],[sum_land]]-IF(Wapato_Inventory[[#This Row],[no_utilities]]=1,12000,0))/IF(Wapato_Inventory[[#This Row],[unbuildable]]=1,2,1)</f>
        <v>52800</v>
      </c>
      <c r="CA481" s="7">
        <f>Wapato_Inventory[[#This Row],[pre_res]]*Wapato_Inventory[[#This Row],[overall_adj]]</f>
        <v>156725.37392245277</v>
      </c>
      <c r="CB481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481" s="3">
        <f>IF(ROUND(Wapato_Inventory[[#This Row],[adj_res]]*Lookups!$H$48,-2)&lt;Wapato_Inventory[[#This Row],[min_res]],Wapato_Inventory[[#This Row],[min_res]],ROUND(Wapato_Inventory[[#This Row],[adj_res]]*Lookups!$H$48,-2))</f>
        <v>148900</v>
      </c>
      <c r="CD481" s="3">
        <f>ROUND(Wapato_Inventory[[#This Row],[det_value]]*Lookups!$H$48,-2)</f>
        <v>0</v>
      </c>
      <c r="CE481" s="3">
        <f>Wapato_Inventory[[#This Row],[final_res]]+Wapato_Inventory[[#This Row],[final_det]]</f>
        <v>148900</v>
      </c>
      <c r="CF481" s="3">
        <f>Wapato_Inventory[[#This Row],[crop_value]]+Wapato_Inventory[[#This Row],[final_land]]+Wapato_Inventory[[#This Row],[final_imp]]</f>
        <v>199100</v>
      </c>
      <c r="CH481" t="str">
        <f t="shared" si="7"/>
        <v>update valuation set market_land =50200, market_bldg=148900, market_total =199100, market_mdno =405, market_date ='9/10/2023' where link_id = (select link_id from parcel where parcel_year = '2024' and parcel_id = '19111511486');</v>
      </c>
    </row>
    <row r="482" spans="1:86" x14ac:dyDescent="0.25">
      <c r="A482">
        <v>19111511487</v>
      </c>
      <c r="B482">
        <v>0.13</v>
      </c>
      <c r="C482">
        <v>5681</v>
      </c>
      <c r="D482" t="s">
        <v>144</v>
      </c>
      <c r="E482" t="s">
        <v>54</v>
      </c>
      <c r="F482" t="s">
        <v>54</v>
      </c>
      <c r="G482">
        <v>3</v>
      </c>
      <c r="H482" t="s">
        <v>55</v>
      </c>
      <c r="I482">
        <v>163300</v>
      </c>
      <c r="J482">
        <v>31400</v>
      </c>
      <c r="K482">
        <v>0.13</v>
      </c>
      <c r="L482">
        <f>IF(Wapato_Inventory[[#This Row],[parcel_acres]]-Wapato_Inventory[[#This Row],[non_valued_acres]] =0,0,LN(Wapato_Inventory[[#This Row],[parcel_acres]]-Wapato_Inventory[[#This Row],[non_valued_acres]]))</f>
        <v>-2.0402208285265546</v>
      </c>
      <c r="M482">
        <v>0</v>
      </c>
      <c r="N482">
        <v>0</v>
      </c>
      <c r="O482">
        <v>0</v>
      </c>
      <c r="P482">
        <v>27904.037</v>
      </c>
      <c r="Q482">
        <v>74398</v>
      </c>
      <c r="R482" s="3">
        <f>(Wapato_Inventory[[#This Row],[ln_acres]]*Wapato_Inventory[[#This Row],[coeff]])+Wapato_Inventory[[#This Row],[const]]</f>
        <v>17467.602512624362</v>
      </c>
      <c r="S482" t="s">
        <v>66</v>
      </c>
      <c r="T482">
        <v>1</v>
      </c>
      <c r="U482" t="s">
        <v>75</v>
      </c>
      <c r="V482" t="s">
        <v>68</v>
      </c>
      <c r="W482">
        <v>0</v>
      </c>
      <c r="X482">
        <v>0</v>
      </c>
      <c r="Y482">
        <v>75</v>
      </c>
      <c r="Z482">
        <v>123</v>
      </c>
      <c r="AA482">
        <v>130</v>
      </c>
      <c r="AB482">
        <v>1500</v>
      </c>
      <c r="AC482">
        <v>1216</v>
      </c>
      <c r="AD482">
        <v>1216</v>
      </c>
      <c r="AE482">
        <v>0</v>
      </c>
      <c r="AF482">
        <v>0</v>
      </c>
      <c r="AG482">
        <v>0</v>
      </c>
      <c r="AH482">
        <v>0</v>
      </c>
      <c r="AI482">
        <v>360</v>
      </c>
      <c r="AJ482">
        <v>0</v>
      </c>
      <c r="AK482">
        <v>0</v>
      </c>
      <c r="AL482">
        <v>0</v>
      </c>
      <c r="AM482">
        <v>0</v>
      </c>
      <c r="AN482">
        <v>104</v>
      </c>
      <c r="AO482">
        <v>0</v>
      </c>
      <c r="AP482">
        <v>7</v>
      </c>
      <c r="AQ482">
        <v>0</v>
      </c>
      <c r="AR482">
        <v>0</v>
      </c>
      <c r="AS482" t="s">
        <v>59</v>
      </c>
      <c r="AT482">
        <v>0</v>
      </c>
      <c r="AU482" t="s">
        <v>80</v>
      </c>
      <c r="AV482" t="s">
        <v>61</v>
      </c>
      <c r="AW482">
        <v>0</v>
      </c>
      <c r="AX482">
        <v>4</v>
      </c>
      <c r="AY482">
        <v>0</v>
      </c>
      <c r="AZ482">
        <v>0</v>
      </c>
      <c r="BA482">
        <v>100</v>
      </c>
      <c r="BB482">
        <v>100</v>
      </c>
      <c r="BC482">
        <v>100</v>
      </c>
      <c r="BD482">
        <v>100</v>
      </c>
      <c r="BE482">
        <v>1</v>
      </c>
      <c r="BF482">
        <v>15000</v>
      </c>
      <c r="BG482">
        <v>1000</v>
      </c>
      <c r="BH482" s="7">
        <f>ROUND(Wapato_Inventory[[#This Row],[detatched_value]]*Lookups!$B$22*Lookups!$H$48,-2)</f>
        <v>0</v>
      </c>
      <c r="BI482" s="7">
        <f>ROUND(((Wapato_Inventory[[#This Row],[land_extract]]*Lookups!$B$3) +(Lookups!$B$2*0.5))*Lookups!$H$48,-2)</f>
        <v>52800</v>
      </c>
      <c r="BJ482" s="7">
        <f>IF(Wapato_Inventory[[#This Row],[bldg_style]]="",0,Lookups!$B$2*0.5)</f>
        <v>53765.27</v>
      </c>
      <c r="BK482" s="7">
        <f>_xlfn.IFNA(VLOOKUP(Wapato_Inventory[[#This Row],[quality]],Lookups!$H$2:$J$14,3,FALSE),0)</f>
        <v>48043</v>
      </c>
      <c r="BL482" s="7">
        <f>_xlfn.IFNA(VLOOKUP(Wapato_Inventory[[#This Row],[condition]],Lookups!$H$17:$J$24,3,FALSE),0)</f>
        <v>52231</v>
      </c>
      <c r="BM482" s="7">
        <f>Wapato_Inventory[[#This Row],[Age]]*Lookups!$B$16</f>
        <v>-45593.111100000002</v>
      </c>
      <c r="BN482" s="7">
        <f>Wapato_Inventory[[#This Row],[Main Floor]]*Lookups!$B$17</f>
        <v>50829.698623999997</v>
      </c>
      <c r="BO482" s="7">
        <f>Wapato_Inventory[[#This Row],[Upper Floor]]*Lookups!$B$18</f>
        <v>0</v>
      </c>
      <c r="BP482" s="7">
        <f>Wapato_Inventory[[#This Row],[Fin BSMT]]*Lookups!$B$19</f>
        <v>0</v>
      </c>
      <c r="BQ482" s="7">
        <f>(Wapato_Inventory[[#This Row],[att_gar]]+Wapato_Inventory[[#This Row],[blt_gar]])*Lookups!$B$20</f>
        <v>13323.15072</v>
      </c>
      <c r="BR482" s="7">
        <f>Wapato_Inventory[[#This Row],[Patio]]*Lookups!$B$21</f>
        <v>0</v>
      </c>
      <c r="BS482" s="7">
        <f>SUM(Wapato_Inventory[[#This Row],[intercept]:[patio_value]])*Wapato_Inventory[[#This Row],[res_pct]]</f>
        <v>172599.008244</v>
      </c>
      <c r="BT482" s="7">
        <f>Wapato_Inventory[[#This Row],[land_value]]</f>
        <v>52800</v>
      </c>
      <c r="BU482" s="2">
        <f>_xlfn.IFNA(VLOOKUP(Wapato_Inventory[[#This Row],[quality]],Lookups!$A$28:$C$37,3,FALSE),1)</f>
        <v>0.98196844879778955</v>
      </c>
      <c r="BV482" s="2">
        <f>_xlfn.IFNA(VLOOKUP(Wapato_Inventory[[#This Row],[condition]],Lookups!$A$41:$C$48,3,FALSE),1)</f>
        <v>0.9832333997567807</v>
      </c>
      <c r="BW482" s="2">
        <f>IF(Wapato_Inventory[[#This Row],[decade]]="",1,_xlfn.IFNA(VLOOKUP(Wapato_Inventory[[#This Row],[decade]],Lookups!$F$28:$H$45,3,FALSE),1))</f>
        <v>0.93664589651353292</v>
      </c>
      <c r="BX482" s="2">
        <f>_xlfn.IFNA(VLOOKUP(Wapato_Inventory[[#This Row],[living_area_range]],Lookups!$K$28:$M$37,3,FALSE),1)</f>
        <v>1.0061411172456287</v>
      </c>
      <c r="BY482" s="2">
        <f>AVERAGE(Wapato_Inventory[[#This Row],[qual_adj]:[range_adj]])</f>
        <v>0.976997215578433</v>
      </c>
      <c r="BZ482" s="7">
        <f>(Wapato_Inventory[[#This Row],[sum_land]]-IF(Wapato_Inventory[[#This Row],[no_utilities]]=1,12000,0))/IF(Wapato_Inventory[[#This Row],[unbuildable]]=1,2,1)</f>
        <v>52800</v>
      </c>
      <c r="CA482" s="7">
        <f>Wapato_Inventory[[#This Row],[pre_res]]*Wapato_Inventory[[#This Row],[overall_adj]]</f>
        <v>168628.75046598699</v>
      </c>
      <c r="CB482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482" s="3">
        <f>IF(ROUND(Wapato_Inventory[[#This Row],[adj_res]]*Lookups!$H$48,-2)&lt;Wapato_Inventory[[#This Row],[min_res]],Wapato_Inventory[[#This Row],[min_res]],ROUND(Wapato_Inventory[[#This Row],[adj_res]]*Lookups!$H$48,-2))</f>
        <v>160200</v>
      </c>
      <c r="CD482" s="3">
        <f>ROUND(Wapato_Inventory[[#This Row],[det_value]]*Lookups!$H$48,-2)</f>
        <v>0</v>
      </c>
      <c r="CE482" s="3">
        <f>Wapato_Inventory[[#This Row],[final_res]]+Wapato_Inventory[[#This Row],[final_det]]</f>
        <v>160200</v>
      </c>
      <c r="CF482" s="3">
        <f>Wapato_Inventory[[#This Row],[crop_value]]+Wapato_Inventory[[#This Row],[final_land]]+Wapato_Inventory[[#This Row],[final_imp]]</f>
        <v>210400</v>
      </c>
      <c r="CH482" t="str">
        <f t="shared" si="7"/>
        <v>update valuation set market_land =50200, market_bldg=160200, market_total =210400, market_mdno =405, market_date ='9/10/2023' where link_id = (select link_id from parcel where parcel_year = '2024' and parcel_id = '19111511487');</v>
      </c>
    </row>
    <row r="483" spans="1:86" x14ac:dyDescent="0.25">
      <c r="A483">
        <v>19111511488</v>
      </c>
      <c r="B483">
        <v>0.14000000000000001</v>
      </c>
      <c r="C483">
        <v>6102</v>
      </c>
      <c r="D483" t="s">
        <v>144</v>
      </c>
      <c r="E483" t="s">
        <v>54</v>
      </c>
      <c r="F483" t="s">
        <v>54</v>
      </c>
      <c r="G483">
        <v>3</v>
      </c>
      <c r="H483" t="s">
        <v>55</v>
      </c>
      <c r="I483">
        <v>53600</v>
      </c>
      <c r="J483">
        <v>31900</v>
      </c>
      <c r="K483">
        <v>0.14000000000000001</v>
      </c>
      <c r="L483">
        <f>IF(Wapato_Inventory[[#This Row],[parcel_acres]]-Wapato_Inventory[[#This Row],[non_valued_acres]] =0,0,LN(Wapato_Inventory[[#This Row],[parcel_acres]]-Wapato_Inventory[[#This Row],[non_valued_acres]]))</f>
        <v>-1.9661128563728327</v>
      </c>
      <c r="M483">
        <v>0</v>
      </c>
      <c r="N483">
        <v>0</v>
      </c>
      <c r="O483">
        <v>0</v>
      </c>
      <c r="P483">
        <v>27904.037</v>
      </c>
      <c r="Q483">
        <v>74398</v>
      </c>
      <c r="R483" s="3">
        <f>(Wapato_Inventory[[#This Row],[ln_acres]]*Wapato_Inventory[[#This Row],[coeff]])+Wapato_Inventory[[#This Row],[const]]</f>
        <v>19535.514109596792</v>
      </c>
      <c r="S483" t="s">
        <v>66</v>
      </c>
      <c r="T483">
        <v>1</v>
      </c>
      <c r="U483" t="s">
        <v>71</v>
      </c>
      <c r="V483" t="s">
        <v>73</v>
      </c>
      <c r="W483">
        <v>0</v>
      </c>
      <c r="X483">
        <v>0</v>
      </c>
      <c r="Y483">
        <v>52</v>
      </c>
      <c r="Z483">
        <v>88</v>
      </c>
      <c r="AA483">
        <v>90</v>
      </c>
      <c r="AB483">
        <v>1000</v>
      </c>
      <c r="AC483">
        <v>560</v>
      </c>
      <c r="AD483">
        <v>560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5</v>
      </c>
      <c r="AQ483">
        <v>0</v>
      </c>
      <c r="AR483">
        <v>0</v>
      </c>
      <c r="AS483" t="s">
        <v>59</v>
      </c>
      <c r="AT483">
        <v>1</v>
      </c>
      <c r="AU483" t="s">
        <v>72</v>
      </c>
      <c r="AV483" t="s">
        <v>61</v>
      </c>
      <c r="AW483">
        <v>0</v>
      </c>
      <c r="AX483">
        <v>1</v>
      </c>
      <c r="AY483">
        <v>0</v>
      </c>
      <c r="AZ483">
        <v>0</v>
      </c>
      <c r="BA483">
        <v>100</v>
      </c>
      <c r="BB483">
        <v>100</v>
      </c>
      <c r="BC483">
        <v>100</v>
      </c>
      <c r="BD483">
        <v>100</v>
      </c>
      <c r="BE483">
        <v>1</v>
      </c>
      <c r="BF483">
        <v>15000</v>
      </c>
      <c r="BG483">
        <v>1000</v>
      </c>
      <c r="BH483" s="7">
        <f>ROUND(Wapato_Inventory[[#This Row],[detatched_value]]*Lookups!$B$22*Lookups!$H$48,-2)</f>
        <v>0</v>
      </c>
      <c r="BI483" s="7">
        <f>ROUND(((Wapato_Inventory[[#This Row],[land_extract]]*Lookups!$B$3) +(Lookups!$B$2*0.5))*Lookups!$H$48,-2)</f>
        <v>53000</v>
      </c>
      <c r="BJ483" s="7">
        <f>IF(Wapato_Inventory[[#This Row],[bldg_style]]="",0,Lookups!$B$2*0.5)</f>
        <v>53765.27</v>
      </c>
      <c r="BK483" s="7">
        <f>_xlfn.IFNA(VLOOKUP(Wapato_Inventory[[#This Row],[quality]],Lookups!$H$2:$J$14,3,FALSE),0)</f>
        <v>28034</v>
      </c>
      <c r="BL483" s="7">
        <f>_xlfn.IFNA(VLOOKUP(Wapato_Inventory[[#This Row],[condition]],Lookups!$H$17:$J$24,3,FALSE),0)</f>
        <v>16276</v>
      </c>
      <c r="BM483" s="7">
        <f>Wapato_Inventory[[#This Row],[Age]]*Lookups!$B$16</f>
        <v>-32619.461600000002</v>
      </c>
      <c r="BN483" s="7">
        <f>Wapato_Inventory[[#This Row],[Main Floor]]*Lookups!$B$17</f>
        <v>23408.413840000001</v>
      </c>
      <c r="BO483" s="7">
        <f>Wapato_Inventory[[#This Row],[Upper Floor]]*Lookups!$B$18</f>
        <v>0</v>
      </c>
      <c r="BP483" s="7">
        <f>Wapato_Inventory[[#This Row],[Fin BSMT]]*Lookups!$B$19</f>
        <v>0</v>
      </c>
      <c r="BQ483" s="7">
        <f>(Wapato_Inventory[[#This Row],[att_gar]]+Wapato_Inventory[[#This Row],[blt_gar]])*Lookups!$B$20</f>
        <v>0</v>
      </c>
      <c r="BR483" s="7">
        <f>Wapato_Inventory[[#This Row],[Patio]]*Lookups!$B$21</f>
        <v>0</v>
      </c>
      <c r="BS483" s="7">
        <f>SUM(Wapato_Inventory[[#This Row],[intercept]:[patio_value]])*Wapato_Inventory[[#This Row],[res_pct]]</f>
        <v>88864.222239999988</v>
      </c>
      <c r="BT483" s="7">
        <f>Wapato_Inventory[[#This Row],[land_value]]</f>
        <v>53000</v>
      </c>
      <c r="BU483" s="2">
        <f>_xlfn.IFNA(VLOOKUP(Wapato_Inventory[[#This Row],[quality]],Lookups!$A$28:$C$37,3,FALSE),1)</f>
        <v>0.96265813922927435</v>
      </c>
      <c r="BV483" s="2">
        <f>_xlfn.IFNA(VLOOKUP(Wapato_Inventory[[#This Row],[condition]],Lookups!$A$41:$C$48,3,FALSE),1)</f>
        <v>0.93399385491337139</v>
      </c>
      <c r="BW483" s="2">
        <f>IF(Wapato_Inventory[[#This Row],[decade]]="",1,_xlfn.IFNA(VLOOKUP(Wapato_Inventory[[#This Row],[decade]],Lookups!$F$28:$H$45,3,FALSE),1))</f>
        <v>0.94742695999815718</v>
      </c>
      <c r="BX483" s="2">
        <f>_xlfn.IFNA(VLOOKUP(Wapato_Inventory[[#This Row],[living_area_range]],Lookups!$K$28:$M$37,3,FALSE),1)</f>
        <v>0.99022994770196116</v>
      </c>
      <c r="BY483" s="2">
        <f>AVERAGE(Wapato_Inventory[[#This Row],[qual_adj]:[range_adj]])</f>
        <v>0.95857722546069102</v>
      </c>
      <c r="BZ483" s="7">
        <f>(Wapato_Inventory[[#This Row],[sum_land]]-IF(Wapato_Inventory[[#This Row],[no_utilities]]=1,12000,0))/IF(Wapato_Inventory[[#This Row],[unbuildable]]=1,2,1)</f>
        <v>53000</v>
      </c>
      <c r="CA483" s="7">
        <f>Wapato_Inventory[[#This Row],[pre_res]]*Wapato_Inventory[[#This Row],[overall_adj]]</f>
        <v>85183.219597541422</v>
      </c>
      <c r="CB48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483" s="3">
        <f>IF(ROUND(Wapato_Inventory[[#This Row],[adj_res]]*Lookups!$H$48,-2)&lt;Wapato_Inventory[[#This Row],[min_res]],Wapato_Inventory[[#This Row],[min_res]],ROUND(Wapato_Inventory[[#This Row],[adj_res]]*Lookups!$H$48,-2))</f>
        <v>80900</v>
      </c>
      <c r="CD483" s="3">
        <f>ROUND(Wapato_Inventory[[#This Row],[det_value]]*Lookups!$H$48,-2)</f>
        <v>0</v>
      </c>
      <c r="CE483" s="3">
        <f>Wapato_Inventory[[#This Row],[final_res]]+Wapato_Inventory[[#This Row],[final_det]]</f>
        <v>80900</v>
      </c>
      <c r="CF483" s="3">
        <f>Wapato_Inventory[[#This Row],[crop_value]]+Wapato_Inventory[[#This Row],[final_land]]+Wapato_Inventory[[#This Row],[final_imp]]</f>
        <v>131300</v>
      </c>
      <c r="CH483" t="str">
        <f t="shared" si="7"/>
        <v>update valuation set market_land =50400, market_bldg=80900, market_total =131300, market_mdno =405, market_date ='9/10/2023' where link_id = (select link_id from parcel where parcel_year = '2024' and parcel_id = '19111511488');</v>
      </c>
    </row>
    <row r="484" spans="1:86" x14ac:dyDescent="0.25">
      <c r="A484">
        <v>19111511513</v>
      </c>
      <c r="B484" t="s">
        <v>144</v>
      </c>
      <c r="C484">
        <v>6000</v>
      </c>
      <c r="D484" t="s">
        <v>144</v>
      </c>
      <c r="E484" t="s">
        <v>54</v>
      </c>
      <c r="F484" t="s">
        <v>54</v>
      </c>
      <c r="G484">
        <v>3</v>
      </c>
      <c r="H484" t="s">
        <v>55</v>
      </c>
      <c r="I484">
        <v>158200</v>
      </c>
      <c r="J484">
        <v>31800</v>
      </c>
      <c r="K484">
        <v>0.14000000000000001</v>
      </c>
      <c r="L484">
        <f>IF(Wapato_Inventory[[#This Row],[parcel_acres]]-Wapato_Inventory[[#This Row],[non_valued_acres]] =0,0,LN(Wapato_Inventory[[#This Row],[parcel_acres]]-Wapato_Inventory[[#This Row],[non_valued_acres]]))</f>
        <v>-1.9661128563728327</v>
      </c>
      <c r="M484">
        <v>0</v>
      </c>
      <c r="N484">
        <v>0</v>
      </c>
      <c r="O484">
        <v>0</v>
      </c>
      <c r="P484">
        <v>27904.037</v>
      </c>
      <c r="Q484">
        <v>74398</v>
      </c>
      <c r="R484" s="3">
        <f>(Wapato_Inventory[[#This Row],[ln_acres]]*Wapato_Inventory[[#This Row],[coeff]])+Wapato_Inventory[[#This Row],[const]]</f>
        <v>19535.514109596792</v>
      </c>
      <c r="S484" t="s">
        <v>66</v>
      </c>
      <c r="T484">
        <v>1</v>
      </c>
      <c r="U484" t="s">
        <v>67</v>
      </c>
      <c r="V484" t="s">
        <v>68</v>
      </c>
      <c r="W484">
        <v>0</v>
      </c>
      <c r="X484">
        <v>0</v>
      </c>
      <c r="Y484">
        <v>3</v>
      </c>
      <c r="Z484">
        <v>98</v>
      </c>
      <c r="AA484">
        <v>100</v>
      </c>
      <c r="AB484">
        <v>1500</v>
      </c>
      <c r="AC484">
        <v>1288</v>
      </c>
      <c r="AD484">
        <v>1288</v>
      </c>
      <c r="AE484">
        <v>0</v>
      </c>
      <c r="AF484">
        <v>0</v>
      </c>
      <c r="AG484">
        <v>0</v>
      </c>
      <c r="AH484">
        <v>1288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128</v>
      </c>
      <c r="AO484">
        <v>0</v>
      </c>
      <c r="AP484">
        <v>5</v>
      </c>
      <c r="AQ484">
        <v>0</v>
      </c>
      <c r="AR484">
        <v>0</v>
      </c>
      <c r="AS484" t="s">
        <v>59</v>
      </c>
      <c r="AT484">
        <v>1</v>
      </c>
      <c r="AU484" t="s">
        <v>64</v>
      </c>
      <c r="AV484" t="s">
        <v>61</v>
      </c>
      <c r="AW484">
        <v>0</v>
      </c>
      <c r="AX484">
        <v>2</v>
      </c>
      <c r="AY484">
        <v>0</v>
      </c>
      <c r="AZ484">
        <v>0</v>
      </c>
      <c r="BA484">
        <v>100</v>
      </c>
      <c r="BB484">
        <v>100</v>
      </c>
      <c r="BC484">
        <v>100</v>
      </c>
      <c r="BD484">
        <v>100</v>
      </c>
      <c r="BE484">
        <v>1</v>
      </c>
      <c r="BF484">
        <v>15000</v>
      </c>
      <c r="BG484">
        <v>1000</v>
      </c>
      <c r="BH484" s="7">
        <f>ROUND(Wapato_Inventory[[#This Row],[detatched_value]]*Lookups!$B$22*Lookups!$H$48,-2)</f>
        <v>0</v>
      </c>
      <c r="BI484" s="7">
        <f>ROUND(((Wapato_Inventory[[#This Row],[land_extract]]*Lookups!$B$3) +(Lookups!$B$2*0.5))*Lookups!$H$48,-2)</f>
        <v>53000</v>
      </c>
      <c r="BJ484" s="7">
        <f>IF(Wapato_Inventory[[#This Row],[bldg_style]]="",0,Lookups!$B$2*0.5)</f>
        <v>53765.27</v>
      </c>
      <c r="BK484" s="7">
        <f>_xlfn.IFNA(VLOOKUP(Wapato_Inventory[[#This Row],[quality]],Lookups!$H$2:$J$14,3,FALSE),0)</f>
        <v>50405</v>
      </c>
      <c r="BL484" s="7">
        <f>_xlfn.IFNA(VLOOKUP(Wapato_Inventory[[#This Row],[condition]],Lookups!$H$17:$J$24,3,FALSE),0)</f>
        <v>52231</v>
      </c>
      <c r="BM484" s="7">
        <f>Wapato_Inventory[[#This Row],[Age]]*Lookups!$B$16</f>
        <v>-36326.2186</v>
      </c>
      <c r="BN484" s="7">
        <f>Wapato_Inventory[[#This Row],[Main Floor]]*Lookups!$B$17</f>
        <v>53839.351832</v>
      </c>
      <c r="BO484" s="7">
        <f>Wapato_Inventory[[#This Row],[Upper Floor]]*Lookups!$B$18</f>
        <v>0</v>
      </c>
      <c r="BP484" s="7">
        <f>Wapato_Inventory[[#This Row],[Fin BSMT]]*Lookups!$B$19</f>
        <v>0</v>
      </c>
      <c r="BQ484" s="7">
        <f>(Wapato_Inventory[[#This Row],[att_gar]]+Wapato_Inventory[[#This Row],[blt_gar]])*Lookups!$B$20</f>
        <v>0</v>
      </c>
      <c r="BR484" s="7">
        <f>Wapato_Inventory[[#This Row],[Patio]]*Lookups!$B$21</f>
        <v>0</v>
      </c>
      <c r="BS484" s="7">
        <f>SUM(Wapato_Inventory[[#This Row],[intercept]:[patio_value]])*Wapato_Inventory[[#This Row],[res_pct]]</f>
        <v>173914.40323200001</v>
      </c>
      <c r="BT484" s="7">
        <f>Wapato_Inventory[[#This Row],[land_value]]</f>
        <v>53000</v>
      </c>
      <c r="BU484" s="2">
        <f>_xlfn.IFNA(VLOOKUP(Wapato_Inventory[[#This Row],[quality]],Lookups!$A$28:$C$37,3,FALSE),1)</f>
        <v>0.97993206410140754</v>
      </c>
      <c r="BV484" s="2">
        <f>_xlfn.IFNA(VLOOKUP(Wapato_Inventory[[#This Row],[condition]],Lookups!$A$41:$C$48,3,FALSE),1)</f>
        <v>0.9832333997567807</v>
      </c>
      <c r="BW484" s="2">
        <f>IF(Wapato_Inventory[[#This Row],[decade]]="",1,_xlfn.IFNA(VLOOKUP(Wapato_Inventory[[#This Row],[decade]],Lookups!$F$28:$H$45,3,FALSE),1))</f>
        <v>1.0114203040664467</v>
      </c>
      <c r="BX484" s="2">
        <f>_xlfn.IFNA(VLOOKUP(Wapato_Inventory[[#This Row],[living_area_range]],Lookups!$K$28:$M$37,3,FALSE),1)</f>
        <v>1.0061411172456287</v>
      </c>
      <c r="BY484" s="2">
        <f>AVERAGE(Wapato_Inventory[[#This Row],[qual_adj]:[range_adj]])</f>
        <v>0.99518172129256599</v>
      </c>
      <c r="BZ484" s="7">
        <f>(Wapato_Inventory[[#This Row],[sum_land]]-IF(Wapato_Inventory[[#This Row],[no_utilities]]=1,12000,0))/IF(Wapato_Inventory[[#This Row],[unbuildable]]=1,2,1)</f>
        <v>53000</v>
      </c>
      <c r="CA484" s="7">
        <f>Wapato_Inventory[[#This Row],[pre_res]]*Wapato_Inventory[[#This Row],[overall_adj]]</f>
        <v>173076.43516599116</v>
      </c>
      <c r="CB48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484" s="3">
        <f>IF(ROUND(Wapato_Inventory[[#This Row],[adj_res]]*Lookups!$H$48,-2)&lt;Wapato_Inventory[[#This Row],[min_res]],Wapato_Inventory[[#This Row],[min_res]],ROUND(Wapato_Inventory[[#This Row],[adj_res]]*Lookups!$H$48,-2))</f>
        <v>164400</v>
      </c>
      <c r="CD484" s="3">
        <f>ROUND(Wapato_Inventory[[#This Row],[det_value]]*Lookups!$H$48,-2)</f>
        <v>0</v>
      </c>
      <c r="CE484" s="3">
        <f>Wapato_Inventory[[#This Row],[final_res]]+Wapato_Inventory[[#This Row],[final_det]]</f>
        <v>164400</v>
      </c>
      <c r="CF484" s="3">
        <f>Wapato_Inventory[[#This Row],[crop_value]]+Wapato_Inventory[[#This Row],[final_land]]+Wapato_Inventory[[#This Row],[final_imp]]</f>
        <v>214800</v>
      </c>
      <c r="CH484" t="str">
        <f t="shared" si="7"/>
        <v>update valuation set market_land =50400, market_bldg=164400, market_total =214800, market_mdno =405, market_date ='9/10/2023' where link_id = (select link_id from parcel where parcel_year = '2024' and parcel_id = '19111511513');</v>
      </c>
    </row>
    <row r="485" spans="1:86" x14ac:dyDescent="0.25">
      <c r="A485">
        <v>19111511519</v>
      </c>
      <c r="B485">
        <v>7.0000000000000007E-2</v>
      </c>
      <c r="C485">
        <v>3030</v>
      </c>
      <c r="D485" t="s">
        <v>144</v>
      </c>
      <c r="E485" t="s">
        <v>54</v>
      </c>
      <c r="F485" t="s">
        <v>54</v>
      </c>
      <c r="G485">
        <v>3</v>
      </c>
      <c r="H485" t="s">
        <v>55</v>
      </c>
      <c r="I485">
        <v>99100</v>
      </c>
      <c r="J485">
        <v>26900</v>
      </c>
      <c r="K485">
        <v>7.0000000000000007E-2</v>
      </c>
      <c r="L485">
        <f>IF(Wapato_Inventory[[#This Row],[parcel_acres]]-Wapato_Inventory[[#This Row],[non_valued_acres]] =0,0,LN(Wapato_Inventory[[#This Row],[parcel_acres]]-Wapato_Inventory[[#This Row],[non_valued_acres]]))</f>
        <v>-2.6592600369327779</v>
      </c>
      <c r="M485">
        <v>0</v>
      </c>
      <c r="N485">
        <v>0</v>
      </c>
      <c r="O485">
        <v>0</v>
      </c>
      <c r="P485">
        <v>27904.037</v>
      </c>
      <c r="Q485">
        <v>74398</v>
      </c>
      <c r="R485" s="3">
        <f>(Wapato_Inventory[[#This Row],[ln_acres]]*Wapato_Inventory[[#This Row],[coeff]])+Wapato_Inventory[[#This Row],[const]]</f>
        <v>193.90953680640087</v>
      </c>
      <c r="S485" t="s">
        <v>66</v>
      </c>
      <c r="T485">
        <v>1</v>
      </c>
      <c r="U485" t="s">
        <v>71</v>
      </c>
      <c r="V485" t="s">
        <v>68</v>
      </c>
      <c r="W485">
        <v>0</v>
      </c>
      <c r="X485">
        <v>0</v>
      </c>
      <c r="Y485">
        <v>53</v>
      </c>
      <c r="Z485">
        <v>93</v>
      </c>
      <c r="AA485">
        <v>100</v>
      </c>
      <c r="AB485">
        <v>1500</v>
      </c>
      <c r="AC485">
        <v>1080</v>
      </c>
      <c r="AD485">
        <v>540</v>
      </c>
      <c r="AE485">
        <v>0</v>
      </c>
      <c r="AF485">
        <v>0</v>
      </c>
      <c r="AG485">
        <v>540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48</v>
      </c>
      <c r="AO485">
        <v>0</v>
      </c>
      <c r="AP485">
        <v>5</v>
      </c>
      <c r="AQ485">
        <v>0</v>
      </c>
      <c r="AR485">
        <v>0</v>
      </c>
      <c r="AS485" t="s">
        <v>59</v>
      </c>
      <c r="AT485">
        <v>1</v>
      </c>
      <c r="AU485" t="s">
        <v>72</v>
      </c>
      <c r="AV485" t="s">
        <v>61</v>
      </c>
      <c r="AW485">
        <v>0</v>
      </c>
      <c r="AX485">
        <v>1</v>
      </c>
      <c r="AY485">
        <v>0</v>
      </c>
      <c r="AZ485">
        <v>12400</v>
      </c>
      <c r="BA485">
        <v>100</v>
      </c>
      <c r="BB485">
        <v>100</v>
      </c>
      <c r="BC485">
        <v>100</v>
      </c>
      <c r="BD485">
        <v>100</v>
      </c>
      <c r="BE485">
        <v>1</v>
      </c>
      <c r="BF485">
        <v>15000</v>
      </c>
      <c r="BG485">
        <v>1000</v>
      </c>
      <c r="BH485" s="7">
        <f>ROUND(Wapato_Inventory[[#This Row],[detatched_value]]*Lookups!$B$22*Lookups!$H$48,-2)</f>
        <v>11100</v>
      </c>
      <c r="BI485" s="7">
        <f>ROUND(((Wapato_Inventory[[#This Row],[land_extract]]*Lookups!$B$3) +(Lookups!$B$2*0.5))*Lookups!$H$48,-2)</f>
        <v>51100</v>
      </c>
      <c r="BJ485" s="7">
        <f>IF(Wapato_Inventory[[#This Row],[bldg_style]]="",0,Lookups!$B$2*0.5)</f>
        <v>53765.27</v>
      </c>
      <c r="BK485" s="7">
        <f>_xlfn.IFNA(VLOOKUP(Wapato_Inventory[[#This Row],[quality]],Lookups!$H$2:$J$14,3,FALSE),0)</f>
        <v>28034</v>
      </c>
      <c r="BL485" s="7">
        <f>_xlfn.IFNA(VLOOKUP(Wapato_Inventory[[#This Row],[condition]],Lookups!$H$17:$J$24,3,FALSE),0)</f>
        <v>52231</v>
      </c>
      <c r="BM485" s="7">
        <f>Wapato_Inventory[[#This Row],[Age]]*Lookups!$B$16</f>
        <v>-34472.840100000001</v>
      </c>
      <c r="BN485" s="7">
        <f>Wapato_Inventory[[#This Row],[Main Floor]]*Lookups!$B$17</f>
        <v>22572.39906</v>
      </c>
      <c r="BO485" s="7">
        <f>Wapato_Inventory[[#This Row],[Upper Floor]]*Lookups!$B$18</f>
        <v>0</v>
      </c>
      <c r="BP485" s="7">
        <f>Wapato_Inventory[[#This Row],[Fin BSMT]]*Lookups!$B$19</f>
        <v>13158.0396</v>
      </c>
      <c r="BQ485" s="7">
        <f>(Wapato_Inventory[[#This Row],[att_gar]]+Wapato_Inventory[[#This Row],[blt_gar]])*Lookups!$B$20</f>
        <v>0</v>
      </c>
      <c r="BR485" s="7">
        <f>Wapato_Inventory[[#This Row],[Patio]]*Lookups!$B$21</f>
        <v>0</v>
      </c>
      <c r="BS485" s="7">
        <f>SUM(Wapato_Inventory[[#This Row],[intercept]:[patio_value]])*Wapato_Inventory[[#This Row],[res_pct]]</f>
        <v>135287.86855999997</v>
      </c>
      <c r="BT485" s="7">
        <f>Wapato_Inventory[[#This Row],[land_value]]</f>
        <v>51100</v>
      </c>
      <c r="BU485" s="2">
        <f>_xlfn.IFNA(VLOOKUP(Wapato_Inventory[[#This Row],[quality]],Lookups!$A$28:$C$37,3,FALSE),1)</f>
        <v>0.96265813922927435</v>
      </c>
      <c r="BV485" s="2">
        <f>_xlfn.IFNA(VLOOKUP(Wapato_Inventory[[#This Row],[condition]],Lookups!$A$41:$C$48,3,FALSE),1)</f>
        <v>0.9832333997567807</v>
      </c>
      <c r="BW485" s="2">
        <f>IF(Wapato_Inventory[[#This Row],[decade]]="",1,_xlfn.IFNA(VLOOKUP(Wapato_Inventory[[#This Row],[decade]],Lookups!$F$28:$H$45,3,FALSE),1))</f>
        <v>1.0114203040664467</v>
      </c>
      <c r="BX485" s="2">
        <f>_xlfn.IFNA(VLOOKUP(Wapato_Inventory[[#This Row],[living_area_range]],Lookups!$K$28:$M$37,3,FALSE),1)</f>
        <v>1.0061411172456287</v>
      </c>
      <c r="BY485" s="2">
        <f>AVERAGE(Wapato_Inventory[[#This Row],[qual_adj]:[range_adj]])</f>
        <v>0.99086324007453253</v>
      </c>
      <c r="BZ485" s="7">
        <f>(Wapato_Inventory[[#This Row],[sum_land]]-IF(Wapato_Inventory[[#This Row],[no_utilities]]=1,12000,0))/IF(Wapato_Inventory[[#This Row],[unbuildable]]=1,2,1)</f>
        <v>51100</v>
      </c>
      <c r="CA485" s="7">
        <f>Wapato_Inventory[[#This Row],[pre_res]]*Wapato_Inventory[[#This Row],[overall_adj]]</f>
        <v>134051.77578413906</v>
      </c>
      <c r="CB485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485" s="3">
        <f>IF(ROUND(Wapato_Inventory[[#This Row],[adj_res]]*Lookups!$H$48,-2)&lt;Wapato_Inventory[[#This Row],[min_res]],Wapato_Inventory[[#This Row],[min_res]],ROUND(Wapato_Inventory[[#This Row],[adj_res]]*Lookups!$H$48,-2))</f>
        <v>127300</v>
      </c>
      <c r="CD485" s="3">
        <f>ROUND(Wapato_Inventory[[#This Row],[det_value]]*Lookups!$H$48,-2)</f>
        <v>10500</v>
      </c>
      <c r="CE485" s="3">
        <f>Wapato_Inventory[[#This Row],[final_res]]+Wapato_Inventory[[#This Row],[final_det]]</f>
        <v>137800</v>
      </c>
      <c r="CF485" s="3">
        <f>Wapato_Inventory[[#This Row],[crop_value]]+Wapato_Inventory[[#This Row],[final_land]]+Wapato_Inventory[[#This Row],[final_imp]]</f>
        <v>186300</v>
      </c>
      <c r="CH485" t="str">
        <f t="shared" si="7"/>
        <v>update valuation set market_land =48500, market_bldg=137800, market_total =186300, market_mdno =405, market_date ='9/10/2023' where link_id = (select link_id from parcel where parcel_year = '2024' and parcel_id = '19111511519');</v>
      </c>
    </row>
    <row r="486" spans="1:86" x14ac:dyDescent="0.25">
      <c r="A486">
        <v>19111511524</v>
      </c>
      <c r="B486">
        <v>0.14000000000000001</v>
      </c>
      <c r="C486">
        <v>5891</v>
      </c>
      <c r="D486" t="s">
        <v>144</v>
      </c>
      <c r="E486" t="s">
        <v>54</v>
      </c>
      <c r="F486" t="s">
        <v>54</v>
      </c>
      <c r="G486">
        <v>3</v>
      </c>
      <c r="H486" t="s">
        <v>55</v>
      </c>
      <c r="I486">
        <v>160700</v>
      </c>
      <c r="J486">
        <v>31900</v>
      </c>
      <c r="K486">
        <v>0.14000000000000001</v>
      </c>
      <c r="L486">
        <f>IF(Wapato_Inventory[[#This Row],[parcel_acres]]-Wapato_Inventory[[#This Row],[non_valued_acres]] =0,0,LN(Wapato_Inventory[[#This Row],[parcel_acres]]-Wapato_Inventory[[#This Row],[non_valued_acres]]))</f>
        <v>-1.9661128563728327</v>
      </c>
      <c r="M486">
        <v>0</v>
      </c>
      <c r="N486">
        <v>0</v>
      </c>
      <c r="O486">
        <v>0</v>
      </c>
      <c r="P486">
        <v>27904.037</v>
      </c>
      <c r="Q486">
        <v>74398</v>
      </c>
      <c r="R486" s="3">
        <f>(Wapato_Inventory[[#This Row],[ln_acres]]*Wapato_Inventory[[#This Row],[coeff]])+Wapato_Inventory[[#This Row],[const]]</f>
        <v>19535.514109596792</v>
      </c>
      <c r="S486" t="s">
        <v>66</v>
      </c>
      <c r="T486">
        <v>1</v>
      </c>
      <c r="U486" t="s">
        <v>71</v>
      </c>
      <c r="V486" t="s">
        <v>68</v>
      </c>
      <c r="W486">
        <v>0</v>
      </c>
      <c r="X486">
        <v>0</v>
      </c>
      <c r="Y486">
        <v>55</v>
      </c>
      <c r="Z486">
        <v>98</v>
      </c>
      <c r="AA486">
        <v>100</v>
      </c>
      <c r="AB486">
        <v>2000</v>
      </c>
      <c r="AC486">
        <v>1780</v>
      </c>
      <c r="AD486">
        <v>1780</v>
      </c>
      <c r="AE486">
        <v>0</v>
      </c>
      <c r="AF486">
        <v>0</v>
      </c>
      <c r="AG486">
        <v>0</v>
      </c>
      <c r="AH486">
        <v>900</v>
      </c>
      <c r="AI486">
        <v>0</v>
      </c>
      <c r="AJ486">
        <v>0</v>
      </c>
      <c r="AK486">
        <v>324</v>
      </c>
      <c r="AL486">
        <v>0</v>
      </c>
      <c r="AM486">
        <v>396</v>
      </c>
      <c r="AN486">
        <v>0</v>
      </c>
      <c r="AO486">
        <v>144</v>
      </c>
      <c r="AP486">
        <v>5</v>
      </c>
      <c r="AQ486">
        <v>0</v>
      </c>
      <c r="AR486">
        <v>0</v>
      </c>
      <c r="AS486" t="s">
        <v>59</v>
      </c>
      <c r="AT486">
        <v>1</v>
      </c>
      <c r="AU486" t="s">
        <v>72</v>
      </c>
      <c r="AV486" t="s">
        <v>61</v>
      </c>
      <c r="AW486">
        <v>0</v>
      </c>
      <c r="AX486">
        <v>2</v>
      </c>
      <c r="AY486">
        <v>0</v>
      </c>
      <c r="AZ486">
        <v>5300</v>
      </c>
      <c r="BA486">
        <v>100</v>
      </c>
      <c r="BB486">
        <v>100</v>
      </c>
      <c r="BC486">
        <v>100</v>
      </c>
      <c r="BD486">
        <v>100</v>
      </c>
      <c r="BE486">
        <v>1</v>
      </c>
      <c r="BF486">
        <v>15000</v>
      </c>
      <c r="BG486">
        <v>1000</v>
      </c>
      <c r="BH486" s="7">
        <f>ROUND(Wapato_Inventory[[#This Row],[detatched_value]]*Lookups!$B$22*Lookups!$H$48,-2)</f>
        <v>4700</v>
      </c>
      <c r="BI486" s="7">
        <f>ROUND(((Wapato_Inventory[[#This Row],[land_extract]]*Lookups!$B$3) +(Lookups!$B$2*0.5))*Lookups!$H$48,-2)</f>
        <v>53000</v>
      </c>
      <c r="BJ486" s="7">
        <f>IF(Wapato_Inventory[[#This Row],[bldg_style]]="",0,Lookups!$B$2*0.5)</f>
        <v>53765.27</v>
      </c>
      <c r="BK486" s="7">
        <f>_xlfn.IFNA(VLOOKUP(Wapato_Inventory[[#This Row],[quality]],Lookups!$H$2:$J$14,3,FALSE),0)</f>
        <v>28034</v>
      </c>
      <c r="BL486" s="7">
        <f>_xlfn.IFNA(VLOOKUP(Wapato_Inventory[[#This Row],[condition]],Lookups!$H$17:$J$24,3,FALSE),0)</f>
        <v>52231</v>
      </c>
      <c r="BM486" s="7">
        <f>Wapato_Inventory[[#This Row],[Age]]*Lookups!$B$16</f>
        <v>-36326.2186</v>
      </c>
      <c r="BN486" s="7">
        <f>Wapato_Inventory[[#This Row],[Main Floor]]*Lookups!$B$17</f>
        <v>74405.315419999999</v>
      </c>
      <c r="BO486" s="7">
        <f>Wapato_Inventory[[#This Row],[Upper Floor]]*Lookups!$B$18</f>
        <v>0</v>
      </c>
      <c r="BP486" s="7">
        <f>Wapato_Inventory[[#This Row],[Fin BSMT]]*Lookups!$B$19</f>
        <v>0</v>
      </c>
      <c r="BQ486" s="7">
        <f>(Wapato_Inventory[[#This Row],[att_gar]]+Wapato_Inventory[[#This Row],[blt_gar]])*Lookups!$B$20</f>
        <v>0</v>
      </c>
      <c r="BR486" s="7">
        <f>Wapato_Inventory[[#This Row],[Patio]]*Lookups!$B$21</f>
        <v>17156.295684000001</v>
      </c>
      <c r="BS486" s="7">
        <f>SUM(Wapato_Inventory[[#This Row],[intercept]:[patio_value]])*Wapato_Inventory[[#This Row],[res_pct]]</f>
        <v>189265.66250400001</v>
      </c>
      <c r="BT486" s="7">
        <f>Wapato_Inventory[[#This Row],[land_value]]</f>
        <v>53000</v>
      </c>
      <c r="BU486" s="2">
        <f>_xlfn.IFNA(VLOOKUP(Wapato_Inventory[[#This Row],[quality]],Lookups!$A$28:$C$37,3,FALSE),1)</f>
        <v>0.96265813922927435</v>
      </c>
      <c r="BV486" s="2">
        <f>_xlfn.IFNA(VLOOKUP(Wapato_Inventory[[#This Row],[condition]],Lookups!$A$41:$C$48,3,FALSE),1)</f>
        <v>0.9832333997567807</v>
      </c>
      <c r="BW486" s="2">
        <f>IF(Wapato_Inventory[[#This Row],[decade]]="",1,_xlfn.IFNA(VLOOKUP(Wapato_Inventory[[#This Row],[decade]],Lookups!$F$28:$H$45,3,FALSE),1))</f>
        <v>1.0114203040664467</v>
      </c>
      <c r="BX486" s="2">
        <f>_xlfn.IFNA(VLOOKUP(Wapato_Inventory[[#This Row],[living_area_range]],Lookups!$K$28:$M$37,3,FALSE),1)</f>
        <v>0.99330894324714125</v>
      </c>
      <c r="BY486" s="2">
        <f>AVERAGE(Wapato_Inventory[[#This Row],[qual_adj]:[range_adj]])</f>
        <v>0.98765519657491063</v>
      </c>
      <c r="BZ486" s="7">
        <f>(Wapato_Inventory[[#This Row],[sum_land]]-IF(Wapato_Inventory[[#This Row],[no_utilities]]=1,12000,0))/IF(Wapato_Inventory[[#This Row],[unbuildable]]=1,2,1)</f>
        <v>53000</v>
      </c>
      <c r="CA486" s="7">
        <f>Wapato_Inventory[[#This Row],[pre_res]]*Wapato_Inventory[[#This Row],[overall_adj]]</f>
        <v>186929.21510526881</v>
      </c>
      <c r="CB48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486" s="3">
        <f>IF(ROUND(Wapato_Inventory[[#This Row],[adj_res]]*Lookups!$H$48,-2)&lt;Wapato_Inventory[[#This Row],[min_res]],Wapato_Inventory[[#This Row],[min_res]],ROUND(Wapato_Inventory[[#This Row],[adj_res]]*Lookups!$H$48,-2))</f>
        <v>177600</v>
      </c>
      <c r="CD486" s="3">
        <f>ROUND(Wapato_Inventory[[#This Row],[det_value]]*Lookups!$H$48,-2)</f>
        <v>4500</v>
      </c>
      <c r="CE486" s="3">
        <f>Wapato_Inventory[[#This Row],[final_res]]+Wapato_Inventory[[#This Row],[final_det]]</f>
        <v>182100</v>
      </c>
      <c r="CF486" s="3">
        <f>Wapato_Inventory[[#This Row],[crop_value]]+Wapato_Inventory[[#This Row],[final_land]]+Wapato_Inventory[[#This Row],[final_imp]]</f>
        <v>232500</v>
      </c>
      <c r="CH486" t="str">
        <f t="shared" si="7"/>
        <v>update valuation set market_land =50400, market_bldg=182100, market_total =232500, market_mdno =405, market_date ='9/10/2023' where link_id = (select link_id from parcel where parcel_year = '2024' and parcel_id = '19111511524');</v>
      </c>
    </row>
    <row r="487" spans="1:86" x14ac:dyDescent="0.25">
      <c r="A487">
        <v>19111511526</v>
      </c>
      <c r="B487">
        <v>0.1</v>
      </c>
      <c r="C487">
        <v>4332</v>
      </c>
      <c r="D487" t="s">
        <v>144</v>
      </c>
      <c r="E487" t="s">
        <v>54</v>
      </c>
      <c r="F487" t="s">
        <v>54</v>
      </c>
      <c r="G487">
        <v>3</v>
      </c>
      <c r="H487" t="s">
        <v>55</v>
      </c>
      <c r="I487">
        <v>126800</v>
      </c>
      <c r="J487">
        <v>29500</v>
      </c>
      <c r="K487">
        <v>0.1</v>
      </c>
      <c r="L487">
        <f>IF(Wapato_Inventory[[#This Row],[parcel_acres]]-Wapato_Inventory[[#This Row],[non_valued_acres]] =0,0,LN(Wapato_Inventory[[#This Row],[parcel_acres]]-Wapato_Inventory[[#This Row],[non_valued_acres]]))</f>
        <v>-2.3025850929940455</v>
      </c>
      <c r="M487">
        <v>0</v>
      </c>
      <c r="N487">
        <v>0</v>
      </c>
      <c r="O487">
        <v>0</v>
      </c>
      <c r="P487">
        <v>27904.037</v>
      </c>
      <c r="Q487">
        <v>74398</v>
      </c>
      <c r="R487" s="3">
        <f>(Wapato_Inventory[[#This Row],[ln_acres]]*Wapato_Inventory[[#This Row],[coeff]])+Wapato_Inventory[[#This Row],[const]]</f>
        <v>10146.580369445714</v>
      </c>
      <c r="S487" t="s">
        <v>66</v>
      </c>
      <c r="T487">
        <v>1</v>
      </c>
      <c r="U487" t="s">
        <v>71</v>
      </c>
      <c r="V487" t="s">
        <v>68</v>
      </c>
      <c r="W487">
        <v>0</v>
      </c>
      <c r="X487">
        <v>0</v>
      </c>
      <c r="Y487">
        <v>53</v>
      </c>
      <c r="Z487">
        <v>93</v>
      </c>
      <c r="AA487">
        <v>100</v>
      </c>
      <c r="AB487">
        <v>1500</v>
      </c>
      <c r="AC487">
        <v>1126</v>
      </c>
      <c r="AD487">
        <v>1126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70</v>
      </c>
      <c r="AO487">
        <v>0</v>
      </c>
      <c r="AP487">
        <v>5</v>
      </c>
      <c r="AQ487">
        <v>0</v>
      </c>
      <c r="AR487">
        <v>0</v>
      </c>
      <c r="AS487" t="s">
        <v>59</v>
      </c>
      <c r="AT487">
        <v>0</v>
      </c>
      <c r="AU487" t="s">
        <v>80</v>
      </c>
      <c r="AV487" t="s">
        <v>61</v>
      </c>
      <c r="AW487">
        <v>0</v>
      </c>
      <c r="AX487">
        <v>4</v>
      </c>
      <c r="AY487">
        <v>0</v>
      </c>
      <c r="AZ487">
        <v>0</v>
      </c>
      <c r="BA487">
        <v>100</v>
      </c>
      <c r="BB487">
        <v>100</v>
      </c>
      <c r="BC487">
        <v>100</v>
      </c>
      <c r="BD487">
        <v>100</v>
      </c>
      <c r="BE487">
        <v>1</v>
      </c>
      <c r="BF487">
        <v>15000</v>
      </c>
      <c r="BG487">
        <v>1000</v>
      </c>
      <c r="BH487" s="7">
        <f>ROUND(Wapato_Inventory[[#This Row],[detatched_value]]*Lookups!$B$22*Lookups!$H$48,-2)</f>
        <v>0</v>
      </c>
      <c r="BI487" s="7">
        <f>ROUND(((Wapato_Inventory[[#This Row],[land_extract]]*Lookups!$B$3) +(Lookups!$B$2*0.5))*Lookups!$H$48,-2)</f>
        <v>52100</v>
      </c>
      <c r="BJ487" s="7">
        <f>IF(Wapato_Inventory[[#This Row],[bldg_style]]="",0,Lookups!$B$2*0.5)</f>
        <v>53765.27</v>
      </c>
      <c r="BK487" s="7">
        <f>_xlfn.IFNA(VLOOKUP(Wapato_Inventory[[#This Row],[quality]],Lookups!$H$2:$J$14,3,FALSE),0)</f>
        <v>28034</v>
      </c>
      <c r="BL487" s="7">
        <f>_xlfn.IFNA(VLOOKUP(Wapato_Inventory[[#This Row],[condition]],Lookups!$H$17:$J$24,3,FALSE),0)</f>
        <v>52231</v>
      </c>
      <c r="BM487" s="7">
        <f>Wapato_Inventory[[#This Row],[Age]]*Lookups!$B$16</f>
        <v>-34472.840100000001</v>
      </c>
      <c r="BN487" s="7">
        <f>Wapato_Inventory[[#This Row],[Main Floor]]*Lookups!$B$17</f>
        <v>47067.632114</v>
      </c>
      <c r="BO487" s="7">
        <f>Wapato_Inventory[[#This Row],[Upper Floor]]*Lookups!$B$18</f>
        <v>0</v>
      </c>
      <c r="BP487" s="7">
        <f>Wapato_Inventory[[#This Row],[Fin BSMT]]*Lookups!$B$19</f>
        <v>0</v>
      </c>
      <c r="BQ487" s="7">
        <f>(Wapato_Inventory[[#This Row],[att_gar]]+Wapato_Inventory[[#This Row],[blt_gar]])*Lookups!$B$20</f>
        <v>0</v>
      </c>
      <c r="BR487" s="7">
        <f>Wapato_Inventory[[#This Row],[Patio]]*Lookups!$B$21</f>
        <v>0</v>
      </c>
      <c r="BS487" s="7">
        <f>SUM(Wapato_Inventory[[#This Row],[intercept]:[patio_value]])*Wapato_Inventory[[#This Row],[res_pct]]</f>
        <v>146625.062014</v>
      </c>
      <c r="BT487" s="7">
        <f>Wapato_Inventory[[#This Row],[land_value]]</f>
        <v>52100</v>
      </c>
      <c r="BU487" s="2">
        <f>_xlfn.IFNA(VLOOKUP(Wapato_Inventory[[#This Row],[quality]],Lookups!$A$28:$C$37,3,FALSE),1)</f>
        <v>0.96265813922927435</v>
      </c>
      <c r="BV487" s="2">
        <f>_xlfn.IFNA(VLOOKUP(Wapato_Inventory[[#This Row],[condition]],Lookups!$A$41:$C$48,3,FALSE),1)</f>
        <v>0.9832333997567807</v>
      </c>
      <c r="BW487" s="2">
        <f>IF(Wapato_Inventory[[#This Row],[decade]]="",1,_xlfn.IFNA(VLOOKUP(Wapato_Inventory[[#This Row],[decade]],Lookups!$F$28:$H$45,3,FALSE),1))</f>
        <v>1.0114203040664467</v>
      </c>
      <c r="BX487" s="2">
        <f>_xlfn.IFNA(VLOOKUP(Wapato_Inventory[[#This Row],[living_area_range]],Lookups!$K$28:$M$37,3,FALSE),1)</f>
        <v>1.0061411172456287</v>
      </c>
      <c r="BY487" s="2">
        <f>AVERAGE(Wapato_Inventory[[#This Row],[qual_adj]:[range_adj]])</f>
        <v>0.99086324007453253</v>
      </c>
      <c r="BZ487" s="7">
        <f>(Wapato_Inventory[[#This Row],[sum_land]]-IF(Wapato_Inventory[[#This Row],[no_utilities]]=1,12000,0))/IF(Wapato_Inventory[[#This Row],[unbuildable]]=1,2,1)</f>
        <v>52100</v>
      </c>
      <c r="CA487" s="7">
        <f>Wapato_Inventory[[#This Row],[pre_res]]*Wapato_Inventory[[#This Row],[overall_adj]]</f>
        <v>145285.3840233213</v>
      </c>
      <c r="CB487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487" s="3">
        <f>IF(ROUND(Wapato_Inventory[[#This Row],[adj_res]]*Lookups!$H$48,-2)&lt;Wapato_Inventory[[#This Row],[min_res]],Wapato_Inventory[[#This Row],[min_res]],ROUND(Wapato_Inventory[[#This Row],[adj_res]]*Lookups!$H$48,-2))</f>
        <v>138000</v>
      </c>
      <c r="CD487" s="3">
        <f>ROUND(Wapato_Inventory[[#This Row],[det_value]]*Lookups!$H$48,-2)</f>
        <v>0</v>
      </c>
      <c r="CE487" s="3">
        <f>Wapato_Inventory[[#This Row],[final_res]]+Wapato_Inventory[[#This Row],[final_det]]</f>
        <v>138000</v>
      </c>
      <c r="CF487" s="3">
        <f>Wapato_Inventory[[#This Row],[crop_value]]+Wapato_Inventory[[#This Row],[final_land]]+Wapato_Inventory[[#This Row],[final_imp]]</f>
        <v>187500</v>
      </c>
      <c r="CH487" t="str">
        <f t="shared" si="7"/>
        <v>update valuation set market_land =49500, market_bldg=138000, market_total =187500, market_mdno =405, market_date ='9/10/2023' where link_id = (select link_id from parcel where parcel_year = '2024' and parcel_id = '19111511526');</v>
      </c>
    </row>
    <row r="488" spans="1:86" x14ac:dyDescent="0.25">
      <c r="A488">
        <v>19111511528</v>
      </c>
      <c r="B488">
        <v>0.1</v>
      </c>
      <c r="C488">
        <v>4162</v>
      </c>
      <c r="D488" t="s">
        <v>144</v>
      </c>
      <c r="E488" t="s">
        <v>54</v>
      </c>
      <c r="F488" t="s">
        <v>54</v>
      </c>
      <c r="G488">
        <v>3</v>
      </c>
      <c r="H488" t="s">
        <v>55</v>
      </c>
      <c r="I488">
        <v>141800</v>
      </c>
      <c r="J488">
        <v>29500</v>
      </c>
      <c r="K488">
        <v>0.1</v>
      </c>
      <c r="L488">
        <f>IF(Wapato_Inventory[[#This Row],[parcel_acres]]-Wapato_Inventory[[#This Row],[non_valued_acres]] =0,0,LN(Wapato_Inventory[[#This Row],[parcel_acres]]-Wapato_Inventory[[#This Row],[non_valued_acres]]))</f>
        <v>-2.3025850929940455</v>
      </c>
      <c r="M488">
        <v>0</v>
      </c>
      <c r="N488">
        <v>0</v>
      </c>
      <c r="O488">
        <v>0</v>
      </c>
      <c r="P488">
        <v>27904.037</v>
      </c>
      <c r="Q488">
        <v>74398</v>
      </c>
      <c r="R488" s="3">
        <f>(Wapato_Inventory[[#This Row],[ln_acres]]*Wapato_Inventory[[#This Row],[coeff]])+Wapato_Inventory[[#This Row],[const]]</f>
        <v>10146.580369445714</v>
      </c>
      <c r="S488" t="s">
        <v>66</v>
      </c>
      <c r="T488">
        <v>1</v>
      </c>
      <c r="U488" t="s">
        <v>71</v>
      </c>
      <c r="V488" t="s">
        <v>69</v>
      </c>
      <c r="W488">
        <v>0</v>
      </c>
      <c r="X488">
        <v>0</v>
      </c>
      <c r="Y488">
        <v>52</v>
      </c>
      <c r="Z488">
        <v>88</v>
      </c>
      <c r="AA488">
        <v>90</v>
      </c>
      <c r="AB488">
        <v>1500</v>
      </c>
      <c r="AC488">
        <v>1107</v>
      </c>
      <c r="AD488">
        <v>1107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5</v>
      </c>
      <c r="AQ488">
        <v>0</v>
      </c>
      <c r="AR488">
        <v>0</v>
      </c>
      <c r="AS488" t="s">
        <v>59</v>
      </c>
      <c r="AT488">
        <v>1</v>
      </c>
      <c r="AU488" t="s">
        <v>72</v>
      </c>
      <c r="AV488" t="s">
        <v>65</v>
      </c>
      <c r="AW488">
        <v>0</v>
      </c>
      <c r="AX488">
        <v>2</v>
      </c>
      <c r="AY488">
        <v>0</v>
      </c>
      <c r="AZ488">
        <v>0</v>
      </c>
      <c r="BA488">
        <v>100</v>
      </c>
      <c r="BB488">
        <v>100</v>
      </c>
      <c r="BC488">
        <v>100</v>
      </c>
      <c r="BD488">
        <v>100</v>
      </c>
      <c r="BE488">
        <v>1</v>
      </c>
      <c r="BF488">
        <v>15000</v>
      </c>
      <c r="BG488">
        <v>1000</v>
      </c>
      <c r="BH488" s="7">
        <f>ROUND(Wapato_Inventory[[#This Row],[detatched_value]]*Lookups!$B$22*Lookups!$H$48,-2)</f>
        <v>0</v>
      </c>
      <c r="BI488" s="7">
        <f>ROUND(((Wapato_Inventory[[#This Row],[land_extract]]*Lookups!$B$3) +(Lookups!$B$2*0.5))*Lookups!$H$48,-2)</f>
        <v>52100</v>
      </c>
      <c r="BJ488" s="7">
        <f>IF(Wapato_Inventory[[#This Row],[bldg_style]]="",0,Lookups!$B$2*0.5)</f>
        <v>53765.27</v>
      </c>
      <c r="BK488" s="7">
        <f>_xlfn.IFNA(VLOOKUP(Wapato_Inventory[[#This Row],[quality]],Lookups!$H$2:$J$14,3,FALSE),0)</f>
        <v>28034</v>
      </c>
      <c r="BL488" s="7">
        <f>_xlfn.IFNA(VLOOKUP(Wapato_Inventory[[#This Row],[condition]],Lookups!$H$17:$J$24,3,FALSE),0)</f>
        <v>74543</v>
      </c>
      <c r="BM488" s="7">
        <f>Wapato_Inventory[[#This Row],[Age]]*Lookups!$B$16</f>
        <v>-32619.461600000002</v>
      </c>
      <c r="BN488" s="7">
        <f>Wapato_Inventory[[#This Row],[Main Floor]]*Lookups!$B$17</f>
        <v>46273.418073000001</v>
      </c>
      <c r="BO488" s="7">
        <f>Wapato_Inventory[[#This Row],[Upper Floor]]*Lookups!$B$18</f>
        <v>0</v>
      </c>
      <c r="BP488" s="7">
        <f>Wapato_Inventory[[#This Row],[Fin BSMT]]*Lookups!$B$19</f>
        <v>0</v>
      </c>
      <c r="BQ488" s="7">
        <f>(Wapato_Inventory[[#This Row],[att_gar]]+Wapato_Inventory[[#This Row],[blt_gar]])*Lookups!$B$20</f>
        <v>0</v>
      </c>
      <c r="BR488" s="7">
        <f>Wapato_Inventory[[#This Row],[Patio]]*Lookups!$B$21</f>
        <v>0</v>
      </c>
      <c r="BS488" s="7">
        <f>SUM(Wapato_Inventory[[#This Row],[intercept]:[patio_value]])*Wapato_Inventory[[#This Row],[res_pct]]</f>
        <v>169996.22647299999</v>
      </c>
      <c r="BT488" s="7">
        <f>Wapato_Inventory[[#This Row],[land_value]]</f>
        <v>52100</v>
      </c>
      <c r="BU488" s="2">
        <f>_xlfn.IFNA(VLOOKUP(Wapato_Inventory[[#This Row],[quality]],Lookups!$A$28:$C$37,3,FALSE),1)</f>
        <v>0.96265813922927435</v>
      </c>
      <c r="BV488" s="2">
        <f>_xlfn.IFNA(VLOOKUP(Wapato_Inventory[[#This Row],[condition]],Lookups!$A$41:$C$48,3,FALSE),1)</f>
        <v>0.98442438223270734</v>
      </c>
      <c r="BW488" s="2">
        <f>IF(Wapato_Inventory[[#This Row],[decade]]="",1,_xlfn.IFNA(VLOOKUP(Wapato_Inventory[[#This Row],[decade]],Lookups!$F$28:$H$45,3,FALSE),1))</f>
        <v>0.94742695999815718</v>
      </c>
      <c r="BX488" s="2">
        <f>_xlfn.IFNA(VLOOKUP(Wapato_Inventory[[#This Row],[living_area_range]],Lookups!$K$28:$M$37,3,FALSE),1)</f>
        <v>1.0061411172456287</v>
      </c>
      <c r="BY488" s="2">
        <f>AVERAGE(Wapato_Inventory[[#This Row],[qual_adj]:[range_adj]])</f>
        <v>0.97516264967644184</v>
      </c>
      <c r="BZ488" s="7">
        <f>(Wapato_Inventory[[#This Row],[sum_land]]-IF(Wapato_Inventory[[#This Row],[no_utilities]]=1,12000,0))/IF(Wapato_Inventory[[#This Row],[unbuildable]]=1,2,1)</f>
        <v>52100</v>
      </c>
      <c r="CA488" s="7">
        <f>Wapato_Inventory[[#This Row],[pre_res]]*Wapato_Inventory[[#This Row],[overall_adj]]</f>
        <v>165773.97064240716</v>
      </c>
      <c r="CB488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488" s="3">
        <f>IF(ROUND(Wapato_Inventory[[#This Row],[adj_res]]*Lookups!$H$48,-2)&lt;Wapato_Inventory[[#This Row],[min_res]],Wapato_Inventory[[#This Row],[min_res]],ROUND(Wapato_Inventory[[#This Row],[adj_res]]*Lookups!$H$48,-2))</f>
        <v>157500</v>
      </c>
      <c r="CD488" s="3">
        <f>ROUND(Wapato_Inventory[[#This Row],[det_value]]*Lookups!$H$48,-2)</f>
        <v>0</v>
      </c>
      <c r="CE488" s="3">
        <f>Wapato_Inventory[[#This Row],[final_res]]+Wapato_Inventory[[#This Row],[final_det]]</f>
        <v>157500</v>
      </c>
      <c r="CF488" s="3">
        <f>Wapato_Inventory[[#This Row],[crop_value]]+Wapato_Inventory[[#This Row],[final_land]]+Wapato_Inventory[[#This Row],[final_imp]]</f>
        <v>207000</v>
      </c>
      <c r="CH488" t="str">
        <f t="shared" si="7"/>
        <v>update valuation set market_land =49500, market_bldg=157500, market_total =207000, market_mdno =405, market_date ='9/10/2023' where link_id = (select link_id from parcel where parcel_year = '2024' and parcel_id = '19111511528');</v>
      </c>
    </row>
    <row r="489" spans="1:86" x14ac:dyDescent="0.25">
      <c r="A489">
        <v>19111511532</v>
      </c>
      <c r="B489">
        <v>0.14000000000000001</v>
      </c>
      <c r="C489">
        <v>6159</v>
      </c>
      <c r="D489" t="s">
        <v>144</v>
      </c>
      <c r="E489" t="s">
        <v>54</v>
      </c>
      <c r="F489" t="s">
        <v>54</v>
      </c>
      <c r="G489">
        <v>3</v>
      </c>
      <c r="H489" t="s">
        <v>55</v>
      </c>
      <c r="I489">
        <v>191200</v>
      </c>
      <c r="J489">
        <v>31900</v>
      </c>
      <c r="K489">
        <v>0.14000000000000001</v>
      </c>
      <c r="L489">
        <f>IF(Wapato_Inventory[[#This Row],[parcel_acres]]-Wapato_Inventory[[#This Row],[non_valued_acres]] =0,0,LN(Wapato_Inventory[[#This Row],[parcel_acres]]-Wapato_Inventory[[#This Row],[non_valued_acres]]))</f>
        <v>-1.9661128563728327</v>
      </c>
      <c r="M489">
        <v>0</v>
      </c>
      <c r="N489">
        <v>0</v>
      </c>
      <c r="O489">
        <v>0</v>
      </c>
      <c r="P489">
        <v>27904.037</v>
      </c>
      <c r="Q489">
        <v>74398</v>
      </c>
      <c r="R489" s="3">
        <f>(Wapato_Inventory[[#This Row],[ln_acres]]*Wapato_Inventory[[#This Row],[coeff]])+Wapato_Inventory[[#This Row],[const]]</f>
        <v>19535.514109596792</v>
      </c>
      <c r="S489" t="s">
        <v>66</v>
      </c>
      <c r="T489">
        <v>1</v>
      </c>
      <c r="U489" t="s">
        <v>71</v>
      </c>
      <c r="V489" t="s">
        <v>68</v>
      </c>
      <c r="W489">
        <v>0</v>
      </c>
      <c r="X489">
        <v>0</v>
      </c>
      <c r="Y489">
        <v>55</v>
      </c>
      <c r="Z489">
        <v>97</v>
      </c>
      <c r="AA489">
        <v>100</v>
      </c>
      <c r="AB489">
        <v>2500</v>
      </c>
      <c r="AC489">
        <v>2440</v>
      </c>
      <c r="AD489">
        <v>2440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7</v>
      </c>
      <c r="AQ489">
        <v>0</v>
      </c>
      <c r="AR489">
        <v>0</v>
      </c>
      <c r="AS489" t="s">
        <v>59</v>
      </c>
      <c r="AT489">
        <v>1</v>
      </c>
      <c r="AU489" t="s">
        <v>64</v>
      </c>
      <c r="AV489" t="s">
        <v>65</v>
      </c>
      <c r="AW489">
        <v>0</v>
      </c>
      <c r="AX489">
        <v>3</v>
      </c>
      <c r="AY489">
        <v>0</v>
      </c>
      <c r="AZ489">
        <v>2100</v>
      </c>
      <c r="BA489">
        <v>100</v>
      </c>
      <c r="BB489">
        <v>100</v>
      </c>
      <c r="BC489">
        <v>100</v>
      </c>
      <c r="BD489">
        <v>100</v>
      </c>
      <c r="BE489">
        <v>1</v>
      </c>
      <c r="BF489">
        <v>15000</v>
      </c>
      <c r="BG489">
        <v>1000</v>
      </c>
      <c r="BH489" s="7">
        <f>ROUND(Wapato_Inventory[[#This Row],[detatched_value]]*Lookups!$B$22*Lookups!$H$48,-2)</f>
        <v>1900</v>
      </c>
      <c r="BI489" s="7">
        <f>ROUND(((Wapato_Inventory[[#This Row],[land_extract]]*Lookups!$B$3) +(Lookups!$B$2*0.5))*Lookups!$H$48,-2)</f>
        <v>53000</v>
      </c>
      <c r="BJ489" s="7">
        <f>IF(Wapato_Inventory[[#This Row],[bldg_style]]="",0,Lookups!$B$2*0.5)</f>
        <v>53765.27</v>
      </c>
      <c r="BK489" s="7">
        <f>_xlfn.IFNA(VLOOKUP(Wapato_Inventory[[#This Row],[quality]],Lookups!$H$2:$J$14,3,FALSE),0)</f>
        <v>28034</v>
      </c>
      <c r="BL489" s="7">
        <f>_xlfn.IFNA(VLOOKUP(Wapato_Inventory[[#This Row],[condition]],Lookups!$H$17:$J$24,3,FALSE),0)</f>
        <v>52231</v>
      </c>
      <c r="BM489" s="7">
        <f>Wapato_Inventory[[#This Row],[Age]]*Lookups!$B$16</f>
        <v>-35955.5429</v>
      </c>
      <c r="BN489" s="7">
        <f>Wapato_Inventory[[#This Row],[Main Floor]]*Lookups!$B$17</f>
        <v>101993.80316</v>
      </c>
      <c r="BO489" s="7">
        <f>Wapato_Inventory[[#This Row],[Upper Floor]]*Lookups!$B$18</f>
        <v>0</v>
      </c>
      <c r="BP489" s="7">
        <f>Wapato_Inventory[[#This Row],[Fin BSMT]]*Lookups!$B$19</f>
        <v>0</v>
      </c>
      <c r="BQ489" s="7">
        <f>(Wapato_Inventory[[#This Row],[att_gar]]+Wapato_Inventory[[#This Row],[blt_gar]])*Lookups!$B$20</f>
        <v>0</v>
      </c>
      <c r="BR489" s="7">
        <f>Wapato_Inventory[[#This Row],[Patio]]*Lookups!$B$21</f>
        <v>0</v>
      </c>
      <c r="BS489" s="7">
        <f>SUM(Wapato_Inventory[[#This Row],[intercept]:[patio_value]])*Wapato_Inventory[[#This Row],[res_pct]]</f>
        <v>200068.53025999997</v>
      </c>
      <c r="BT489" s="7">
        <f>Wapato_Inventory[[#This Row],[land_value]]</f>
        <v>53000</v>
      </c>
      <c r="BU489" s="2">
        <f>_xlfn.IFNA(VLOOKUP(Wapato_Inventory[[#This Row],[quality]],Lookups!$A$28:$C$37,3,FALSE),1)</f>
        <v>0.96265813922927435</v>
      </c>
      <c r="BV489" s="2">
        <f>_xlfn.IFNA(VLOOKUP(Wapato_Inventory[[#This Row],[condition]],Lookups!$A$41:$C$48,3,FALSE),1)</f>
        <v>0.9832333997567807</v>
      </c>
      <c r="BW489" s="2">
        <f>IF(Wapato_Inventory[[#This Row],[decade]]="",1,_xlfn.IFNA(VLOOKUP(Wapato_Inventory[[#This Row],[decade]],Lookups!$F$28:$H$45,3,FALSE),1))</f>
        <v>1.0114203040664467</v>
      </c>
      <c r="BX489" s="2">
        <f>_xlfn.IFNA(VLOOKUP(Wapato_Inventory[[#This Row],[living_area_range]],Lookups!$K$28:$M$37,3,FALSE),1)</f>
        <v>0.90813907160181651</v>
      </c>
      <c r="BY489" s="2">
        <f>AVERAGE(Wapato_Inventory[[#This Row],[qual_adj]:[range_adj]])</f>
        <v>0.96636272866357942</v>
      </c>
      <c r="BZ489" s="7">
        <f>(Wapato_Inventory[[#This Row],[sum_land]]-IF(Wapato_Inventory[[#This Row],[no_utilities]]=1,12000,0))/IF(Wapato_Inventory[[#This Row],[unbuildable]]=1,2,1)</f>
        <v>53000</v>
      </c>
      <c r="CA489" s="7">
        <f>Wapato_Inventory[[#This Row],[pre_res]]*Wapato_Inventory[[#This Row],[overall_adj]]</f>
        <v>193338.77082176547</v>
      </c>
      <c r="CB48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489" s="3">
        <f>IF(ROUND(Wapato_Inventory[[#This Row],[adj_res]]*Lookups!$H$48,-2)&lt;Wapato_Inventory[[#This Row],[min_res]],Wapato_Inventory[[#This Row],[min_res]],ROUND(Wapato_Inventory[[#This Row],[adj_res]]*Lookups!$H$48,-2))</f>
        <v>183700</v>
      </c>
      <c r="CD489" s="3">
        <f>ROUND(Wapato_Inventory[[#This Row],[det_value]]*Lookups!$H$48,-2)</f>
        <v>1800</v>
      </c>
      <c r="CE489" s="3">
        <f>Wapato_Inventory[[#This Row],[final_res]]+Wapato_Inventory[[#This Row],[final_det]]</f>
        <v>185500</v>
      </c>
      <c r="CF489" s="3">
        <f>Wapato_Inventory[[#This Row],[crop_value]]+Wapato_Inventory[[#This Row],[final_land]]+Wapato_Inventory[[#This Row],[final_imp]]</f>
        <v>235900</v>
      </c>
      <c r="CH489" t="str">
        <f t="shared" si="7"/>
        <v>update valuation set market_land =50400, market_bldg=185500, market_total =235900, market_mdno =405, market_date ='9/10/2023' where link_id = (select link_id from parcel where parcel_year = '2024' and parcel_id = '19111511532');</v>
      </c>
    </row>
    <row r="490" spans="1:86" x14ac:dyDescent="0.25">
      <c r="A490">
        <v>19111511533</v>
      </c>
      <c r="B490">
        <v>0.13</v>
      </c>
      <c r="C490">
        <v>5484</v>
      </c>
      <c r="D490" t="s">
        <v>144</v>
      </c>
      <c r="E490" t="s">
        <v>54</v>
      </c>
      <c r="F490" t="s">
        <v>54</v>
      </c>
      <c r="G490">
        <v>3</v>
      </c>
      <c r="H490" t="s">
        <v>55</v>
      </c>
      <c r="I490">
        <v>162500</v>
      </c>
      <c r="J490">
        <v>31400</v>
      </c>
      <c r="K490">
        <v>0.13</v>
      </c>
      <c r="L490">
        <f>IF(Wapato_Inventory[[#This Row],[parcel_acres]]-Wapato_Inventory[[#This Row],[non_valued_acres]] =0,0,LN(Wapato_Inventory[[#This Row],[parcel_acres]]-Wapato_Inventory[[#This Row],[non_valued_acres]]))</f>
        <v>-2.0402208285265546</v>
      </c>
      <c r="M490">
        <v>0</v>
      </c>
      <c r="N490">
        <v>0</v>
      </c>
      <c r="O490">
        <v>0</v>
      </c>
      <c r="P490">
        <v>27904.037</v>
      </c>
      <c r="Q490">
        <v>74398</v>
      </c>
      <c r="R490" s="3">
        <f>(Wapato_Inventory[[#This Row],[ln_acres]]*Wapato_Inventory[[#This Row],[coeff]])+Wapato_Inventory[[#This Row],[const]]</f>
        <v>17467.602512624362</v>
      </c>
      <c r="S490" t="s">
        <v>66</v>
      </c>
      <c r="T490">
        <v>1</v>
      </c>
      <c r="U490" t="s">
        <v>75</v>
      </c>
      <c r="V490" t="s">
        <v>68</v>
      </c>
      <c r="W490">
        <v>0</v>
      </c>
      <c r="X490">
        <v>0</v>
      </c>
      <c r="Y490">
        <v>55</v>
      </c>
      <c r="Z490">
        <v>98</v>
      </c>
      <c r="AA490">
        <v>100</v>
      </c>
      <c r="AB490">
        <v>1500</v>
      </c>
      <c r="AC490">
        <v>1116</v>
      </c>
      <c r="AD490">
        <v>1116</v>
      </c>
      <c r="AE490">
        <v>0</v>
      </c>
      <c r="AF490">
        <v>0</v>
      </c>
      <c r="AG490">
        <v>0</v>
      </c>
      <c r="AH490">
        <v>570</v>
      </c>
      <c r="AI490">
        <v>0</v>
      </c>
      <c r="AJ490">
        <v>0</v>
      </c>
      <c r="AK490">
        <v>0</v>
      </c>
      <c r="AL490">
        <v>0</v>
      </c>
      <c r="AM490">
        <v>252</v>
      </c>
      <c r="AN490">
        <v>0</v>
      </c>
      <c r="AO490">
        <v>192</v>
      </c>
      <c r="AP490">
        <v>5</v>
      </c>
      <c r="AQ490">
        <v>0</v>
      </c>
      <c r="AR490">
        <v>1</v>
      </c>
      <c r="AS490" t="s">
        <v>59</v>
      </c>
      <c r="AT490">
        <v>1</v>
      </c>
      <c r="AU490" t="s">
        <v>64</v>
      </c>
      <c r="AV490" t="s">
        <v>61</v>
      </c>
      <c r="AW490">
        <v>0</v>
      </c>
      <c r="AX490">
        <v>3</v>
      </c>
      <c r="AY490">
        <v>0</v>
      </c>
      <c r="AZ490">
        <v>3100</v>
      </c>
      <c r="BA490">
        <v>100</v>
      </c>
      <c r="BB490">
        <v>100</v>
      </c>
      <c r="BC490">
        <v>100</v>
      </c>
      <c r="BD490">
        <v>100</v>
      </c>
      <c r="BE490">
        <v>1</v>
      </c>
      <c r="BF490">
        <v>15000</v>
      </c>
      <c r="BG490">
        <v>1000</v>
      </c>
      <c r="BH490" s="7">
        <f>ROUND(Wapato_Inventory[[#This Row],[detatched_value]]*Lookups!$B$22*Lookups!$H$48,-2)</f>
        <v>2800</v>
      </c>
      <c r="BI490" s="7">
        <f>ROUND(((Wapato_Inventory[[#This Row],[land_extract]]*Lookups!$B$3) +(Lookups!$B$2*0.5))*Lookups!$H$48,-2)</f>
        <v>52800</v>
      </c>
      <c r="BJ490" s="7">
        <f>IF(Wapato_Inventory[[#This Row],[bldg_style]]="",0,Lookups!$B$2*0.5)</f>
        <v>53765.27</v>
      </c>
      <c r="BK490" s="7">
        <f>_xlfn.IFNA(VLOOKUP(Wapato_Inventory[[#This Row],[quality]],Lookups!$H$2:$J$14,3,FALSE),0)</f>
        <v>48043</v>
      </c>
      <c r="BL490" s="7">
        <f>_xlfn.IFNA(VLOOKUP(Wapato_Inventory[[#This Row],[condition]],Lookups!$H$17:$J$24,3,FALSE),0)</f>
        <v>52231</v>
      </c>
      <c r="BM490" s="7">
        <f>Wapato_Inventory[[#This Row],[Age]]*Lookups!$B$16</f>
        <v>-36326.2186</v>
      </c>
      <c r="BN490" s="7">
        <f>Wapato_Inventory[[#This Row],[Main Floor]]*Lookups!$B$17</f>
        <v>46649.624724000001</v>
      </c>
      <c r="BO490" s="7">
        <f>Wapato_Inventory[[#This Row],[Upper Floor]]*Lookups!$B$18</f>
        <v>0</v>
      </c>
      <c r="BP490" s="7">
        <f>Wapato_Inventory[[#This Row],[Fin BSMT]]*Lookups!$B$19</f>
        <v>0</v>
      </c>
      <c r="BQ490" s="7">
        <f>(Wapato_Inventory[[#This Row],[att_gar]]+Wapato_Inventory[[#This Row],[blt_gar]])*Lookups!$B$20</f>
        <v>0</v>
      </c>
      <c r="BR490" s="7">
        <f>Wapato_Inventory[[#This Row],[Patio]]*Lookups!$B$21</f>
        <v>10917.642708000001</v>
      </c>
      <c r="BS490" s="7">
        <f>SUM(Wapato_Inventory[[#This Row],[intercept]:[patio_value]])*Wapato_Inventory[[#This Row],[res_pct]]</f>
        <v>175280.31883199999</v>
      </c>
      <c r="BT490" s="7">
        <f>Wapato_Inventory[[#This Row],[land_value]]</f>
        <v>52800</v>
      </c>
      <c r="BU490" s="2">
        <f>_xlfn.IFNA(VLOOKUP(Wapato_Inventory[[#This Row],[quality]],Lookups!$A$28:$C$37,3,FALSE),1)</f>
        <v>0.98196844879778955</v>
      </c>
      <c r="BV490" s="2">
        <f>_xlfn.IFNA(VLOOKUP(Wapato_Inventory[[#This Row],[condition]],Lookups!$A$41:$C$48,3,FALSE),1)</f>
        <v>0.9832333997567807</v>
      </c>
      <c r="BW490" s="2">
        <f>IF(Wapato_Inventory[[#This Row],[decade]]="",1,_xlfn.IFNA(VLOOKUP(Wapato_Inventory[[#This Row],[decade]],Lookups!$F$28:$H$45,3,FALSE),1))</f>
        <v>1.0114203040664467</v>
      </c>
      <c r="BX490" s="2">
        <f>_xlfn.IFNA(VLOOKUP(Wapato_Inventory[[#This Row],[living_area_range]],Lookups!$K$28:$M$37,3,FALSE),1)</f>
        <v>1.0061411172456287</v>
      </c>
      <c r="BY490" s="2">
        <f>AVERAGE(Wapato_Inventory[[#This Row],[qual_adj]:[range_adj]])</f>
        <v>0.99569081746666144</v>
      </c>
      <c r="BZ490" s="7">
        <f>(Wapato_Inventory[[#This Row],[sum_land]]-IF(Wapato_Inventory[[#This Row],[no_utilities]]=1,12000,0))/IF(Wapato_Inventory[[#This Row],[unbuildable]]=1,2,1)</f>
        <v>52800</v>
      </c>
      <c r="CA490" s="7">
        <f>Wapato_Inventory[[#This Row],[pre_res]]*Wapato_Inventory[[#This Row],[overall_adj]]</f>
        <v>174525.00394365113</v>
      </c>
      <c r="CB490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490" s="3">
        <f>IF(ROUND(Wapato_Inventory[[#This Row],[adj_res]]*Lookups!$H$48,-2)&lt;Wapato_Inventory[[#This Row],[min_res]],Wapato_Inventory[[#This Row],[min_res]],ROUND(Wapato_Inventory[[#This Row],[adj_res]]*Lookups!$H$48,-2))</f>
        <v>165800</v>
      </c>
      <c r="CD490" s="3">
        <f>ROUND(Wapato_Inventory[[#This Row],[det_value]]*Lookups!$H$48,-2)</f>
        <v>2700</v>
      </c>
      <c r="CE490" s="3">
        <f>Wapato_Inventory[[#This Row],[final_res]]+Wapato_Inventory[[#This Row],[final_det]]</f>
        <v>168500</v>
      </c>
      <c r="CF490" s="3">
        <f>Wapato_Inventory[[#This Row],[crop_value]]+Wapato_Inventory[[#This Row],[final_land]]+Wapato_Inventory[[#This Row],[final_imp]]</f>
        <v>218700</v>
      </c>
      <c r="CH490" t="str">
        <f t="shared" si="7"/>
        <v>update valuation set market_land =50200, market_bldg=168500, market_total =218700, market_mdno =405, market_date ='9/10/2023' where link_id = (select link_id from parcel where parcel_year = '2024' and parcel_id = '19111511533');</v>
      </c>
    </row>
    <row r="491" spans="1:86" x14ac:dyDescent="0.25">
      <c r="A491">
        <v>19111511534</v>
      </c>
      <c r="B491">
        <v>0.14000000000000001</v>
      </c>
      <c r="C491">
        <v>5931</v>
      </c>
      <c r="D491" t="s">
        <v>144</v>
      </c>
      <c r="E491" t="s">
        <v>54</v>
      </c>
      <c r="F491" t="s">
        <v>54</v>
      </c>
      <c r="G491">
        <v>3</v>
      </c>
      <c r="H491" t="s">
        <v>55</v>
      </c>
      <c r="I491">
        <v>165300</v>
      </c>
      <c r="J491">
        <v>31900</v>
      </c>
      <c r="K491">
        <v>0.14000000000000001</v>
      </c>
      <c r="L491">
        <f>IF(Wapato_Inventory[[#This Row],[parcel_acres]]-Wapato_Inventory[[#This Row],[non_valued_acres]] =0,0,LN(Wapato_Inventory[[#This Row],[parcel_acres]]-Wapato_Inventory[[#This Row],[non_valued_acres]]))</f>
        <v>-1.9661128563728327</v>
      </c>
      <c r="M491">
        <v>0</v>
      </c>
      <c r="N491">
        <v>0</v>
      </c>
      <c r="O491">
        <v>0</v>
      </c>
      <c r="P491">
        <v>27904.037</v>
      </c>
      <c r="Q491">
        <v>74398</v>
      </c>
      <c r="R491" s="3">
        <f>(Wapato_Inventory[[#This Row],[ln_acres]]*Wapato_Inventory[[#This Row],[coeff]])+Wapato_Inventory[[#This Row],[const]]</f>
        <v>19535.514109596792</v>
      </c>
      <c r="S491" t="s">
        <v>66</v>
      </c>
      <c r="T491">
        <v>1</v>
      </c>
      <c r="U491" t="s">
        <v>67</v>
      </c>
      <c r="V491" t="s">
        <v>68</v>
      </c>
      <c r="W491">
        <v>0</v>
      </c>
      <c r="X491">
        <v>0</v>
      </c>
      <c r="Y491">
        <v>57</v>
      </c>
      <c r="Z491">
        <v>103</v>
      </c>
      <c r="AA491">
        <v>110</v>
      </c>
      <c r="AB491">
        <v>1500</v>
      </c>
      <c r="AC491">
        <v>1374</v>
      </c>
      <c r="AD491">
        <v>1374</v>
      </c>
      <c r="AE491">
        <v>0</v>
      </c>
      <c r="AF491">
        <v>0</v>
      </c>
      <c r="AG491">
        <v>0</v>
      </c>
      <c r="AH491">
        <v>600</v>
      </c>
      <c r="AI491">
        <v>0</v>
      </c>
      <c r="AJ491">
        <v>0</v>
      </c>
      <c r="AK491">
        <v>0</v>
      </c>
      <c r="AL491">
        <v>437</v>
      </c>
      <c r="AM491">
        <v>0</v>
      </c>
      <c r="AN491">
        <v>66</v>
      </c>
      <c r="AO491">
        <v>0</v>
      </c>
      <c r="AP491">
        <v>8</v>
      </c>
      <c r="AQ491">
        <v>0</v>
      </c>
      <c r="AR491">
        <v>1</v>
      </c>
      <c r="AS491" t="s">
        <v>59</v>
      </c>
      <c r="AT491">
        <v>1</v>
      </c>
      <c r="AU491" t="s">
        <v>64</v>
      </c>
      <c r="AV491" t="s">
        <v>65</v>
      </c>
      <c r="AW491">
        <v>1</v>
      </c>
      <c r="AX491">
        <v>3</v>
      </c>
      <c r="AY491">
        <v>0</v>
      </c>
      <c r="AZ491">
        <v>0</v>
      </c>
      <c r="BA491">
        <v>100</v>
      </c>
      <c r="BB491">
        <v>100</v>
      </c>
      <c r="BC491">
        <v>100</v>
      </c>
      <c r="BD491">
        <v>100</v>
      </c>
      <c r="BE491">
        <v>1</v>
      </c>
      <c r="BF491">
        <v>15000</v>
      </c>
      <c r="BG491">
        <v>1000</v>
      </c>
      <c r="BH491" s="7">
        <f>ROUND(Wapato_Inventory[[#This Row],[detatched_value]]*Lookups!$B$22*Lookups!$H$48,-2)</f>
        <v>0</v>
      </c>
      <c r="BI491" s="7">
        <f>ROUND(((Wapato_Inventory[[#This Row],[land_extract]]*Lookups!$B$3) +(Lookups!$B$2*0.5))*Lookups!$H$48,-2)</f>
        <v>53000</v>
      </c>
      <c r="BJ491" s="7">
        <f>IF(Wapato_Inventory[[#This Row],[bldg_style]]="",0,Lookups!$B$2*0.5)</f>
        <v>53765.27</v>
      </c>
      <c r="BK491" s="7">
        <f>_xlfn.IFNA(VLOOKUP(Wapato_Inventory[[#This Row],[quality]],Lookups!$H$2:$J$14,3,FALSE),0)</f>
        <v>50405</v>
      </c>
      <c r="BL491" s="7">
        <f>_xlfn.IFNA(VLOOKUP(Wapato_Inventory[[#This Row],[condition]],Lookups!$H$17:$J$24,3,FALSE),0)</f>
        <v>52231</v>
      </c>
      <c r="BM491" s="7">
        <f>Wapato_Inventory[[#This Row],[Age]]*Lookups!$B$16</f>
        <v>-38179.597099999999</v>
      </c>
      <c r="BN491" s="7">
        <f>Wapato_Inventory[[#This Row],[Main Floor]]*Lookups!$B$17</f>
        <v>57434.215386000003</v>
      </c>
      <c r="BO491" s="7">
        <f>Wapato_Inventory[[#This Row],[Upper Floor]]*Lookups!$B$18</f>
        <v>0</v>
      </c>
      <c r="BP491" s="7">
        <f>Wapato_Inventory[[#This Row],[Fin BSMT]]*Lookups!$B$19</f>
        <v>0</v>
      </c>
      <c r="BQ491" s="7">
        <f>(Wapato_Inventory[[#This Row],[att_gar]]+Wapato_Inventory[[#This Row],[blt_gar]])*Lookups!$B$20</f>
        <v>0</v>
      </c>
      <c r="BR491" s="7">
        <f>Wapato_Inventory[[#This Row],[Patio]]*Lookups!$B$21</f>
        <v>0</v>
      </c>
      <c r="BS491" s="7">
        <f>SUM(Wapato_Inventory[[#This Row],[intercept]:[patio_value]])*Wapato_Inventory[[#This Row],[res_pct]]</f>
        <v>175655.888286</v>
      </c>
      <c r="BT491" s="7">
        <f>Wapato_Inventory[[#This Row],[land_value]]</f>
        <v>53000</v>
      </c>
      <c r="BU491" s="2">
        <f>_xlfn.IFNA(VLOOKUP(Wapato_Inventory[[#This Row],[quality]],Lookups!$A$28:$C$37,3,FALSE),1)</f>
        <v>0.97993206410140754</v>
      </c>
      <c r="BV491" s="2">
        <f>_xlfn.IFNA(VLOOKUP(Wapato_Inventory[[#This Row],[condition]],Lookups!$A$41:$C$48,3,FALSE),1)</f>
        <v>0.9832333997567807</v>
      </c>
      <c r="BW491" s="2">
        <f>IF(Wapato_Inventory[[#This Row],[decade]]="",1,_xlfn.IFNA(VLOOKUP(Wapato_Inventory[[#This Row],[decade]],Lookups!$F$28:$H$45,3,FALSE),1))</f>
        <v>0.93664589651353292</v>
      </c>
      <c r="BX491" s="2">
        <f>_xlfn.IFNA(VLOOKUP(Wapato_Inventory[[#This Row],[living_area_range]],Lookups!$K$28:$M$37,3,FALSE),1)</f>
        <v>1.0061411172456287</v>
      </c>
      <c r="BY491" s="2">
        <f>AVERAGE(Wapato_Inventory[[#This Row],[qual_adj]:[range_adj]])</f>
        <v>0.97648811940433755</v>
      </c>
      <c r="BZ491" s="7">
        <f>(Wapato_Inventory[[#This Row],[sum_land]]-IF(Wapato_Inventory[[#This Row],[no_utilities]]=1,12000,0))/IF(Wapato_Inventory[[#This Row],[unbuildable]]=1,2,1)</f>
        <v>53000</v>
      </c>
      <c r="CA491" s="7">
        <f>Wapato_Inventory[[#This Row],[pre_res]]*Wapato_Inventory[[#This Row],[overall_adj]]</f>
        <v>171525.88801469456</v>
      </c>
      <c r="CB49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491" s="3">
        <f>IF(ROUND(Wapato_Inventory[[#This Row],[adj_res]]*Lookups!$H$48,-2)&lt;Wapato_Inventory[[#This Row],[min_res]],Wapato_Inventory[[#This Row],[min_res]],ROUND(Wapato_Inventory[[#This Row],[adj_res]]*Lookups!$H$48,-2))</f>
        <v>162900</v>
      </c>
      <c r="CD491" s="3">
        <f>ROUND(Wapato_Inventory[[#This Row],[det_value]]*Lookups!$H$48,-2)</f>
        <v>0</v>
      </c>
      <c r="CE491" s="3">
        <f>Wapato_Inventory[[#This Row],[final_res]]+Wapato_Inventory[[#This Row],[final_det]]</f>
        <v>162900</v>
      </c>
      <c r="CF491" s="3">
        <f>Wapato_Inventory[[#This Row],[crop_value]]+Wapato_Inventory[[#This Row],[final_land]]+Wapato_Inventory[[#This Row],[final_imp]]</f>
        <v>213300</v>
      </c>
      <c r="CH491" t="str">
        <f t="shared" si="7"/>
        <v>update valuation set market_land =50400, market_bldg=162900, market_total =213300, market_mdno =405, market_date ='9/10/2023' where link_id = (select link_id from parcel where parcel_year = '2024' and parcel_id = '19111511534');</v>
      </c>
    </row>
    <row r="492" spans="1:86" x14ac:dyDescent="0.25">
      <c r="A492">
        <v>19111511535</v>
      </c>
      <c r="B492">
        <v>0.14000000000000001</v>
      </c>
      <c r="C492">
        <v>5933</v>
      </c>
      <c r="D492" t="s">
        <v>144</v>
      </c>
      <c r="E492" t="s">
        <v>54</v>
      </c>
      <c r="F492" t="s">
        <v>54</v>
      </c>
      <c r="G492">
        <v>3</v>
      </c>
      <c r="H492" t="s">
        <v>55</v>
      </c>
      <c r="I492">
        <v>103000</v>
      </c>
      <c r="J492">
        <v>31900</v>
      </c>
      <c r="K492">
        <v>0.14000000000000001</v>
      </c>
      <c r="L492">
        <f>IF(Wapato_Inventory[[#This Row],[parcel_acres]]-Wapato_Inventory[[#This Row],[non_valued_acres]] =0,0,LN(Wapato_Inventory[[#This Row],[parcel_acres]]-Wapato_Inventory[[#This Row],[non_valued_acres]]))</f>
        <v>-1.9661128563728327</v>
      </c>
      <c r="M492">
        <v>0</v>
      </c>
      <c r="N492">
        <v>0</v>
      </c>
      <c r="O492">
        <v>0</v>
      </c>
      <c r="P492">
        <v>27904.037</v>
      </c>
      <c r="Q492">
        <v>74398</v>
      </c>
      <c r="R492" s="3">
        <f>(Wapato_Inventory[[#This Row],[ln_acres]]*Wapato_Inventory[[#This Row],[coeff]])+Wapato_Inventory[[#This Row],[const]]</f>
        <v>19535.514109596792</v>
      </c>
      <c r="S492" t="s">
        <v>66</v>
      </c>
      <c r="T492">
        <v>1</v>
      </c>
      <c r="U492" t="s">
        <v>71</v>
      </c>
      <c r="V492" t="s">
        <v>68</v>
      </c>
      <c r="W492">
        <v>0</v>
      </c>
      <c r="X492">
        <v>0</v>
      </c>
      <c r="Y492">
        <v>57</v>
      </c>
      <c r="Z492">
        <v>103</v>
      </c>
      <c r="AA492">
        <v>110</v>
      </c>
      <c r="AB492">
        <v>1000</v>
      </c>
      <c r="AC492">
        <v>888</v>
      </c>
      <c r="AD492">
        <v>888</v>
      </c>
      <c r="AE492">
        <v>0</v>
      </c>
      <c r="AF492">
        <v>0</v>
      </c>
      <c r="AG492">
        <v>0</v>
      </c>
      <c r="AH492">
        <v>300</v>
      </c>
      <c r="AI492">
        <v>0</v>
      </c>
      <c r="AJ492">
        <v>0</v>
      </c>
      <c r="AK492">
        <v>0</v>
      </c>
      <c r="AL492">
        <v>0</v>
      </c>
      <c r="AM492">
        <v>126</v>
      </c>
      <c r="AN492">
        <v>0</v>
      </c>
      <c r="AO492">
        <v>0</v>
      </c>
      <c r="AP492">
        <v>5</v>
      </c>
      <c r="AQ492">
        <v>0</v>
      </c>
      <c r="AR492">
        <v>0</v>
      </c>
      <c r="AS492" t="s">
        <v>59</v>
      </c>
      <c r="AT492">
        <v>1</v>
      </c>
      <c r="AU492" t="s">
        <v>64</v>
      </c>
      <c r="AV492" t="s">
        <v>65</v>
      </c>
      <c r="AW492">
        <v>0</v>
      </c>
      <c r="AX492">
        <v>2</v>
      </c>
      <c r="AY492">
        <v>0</v>
      </c>
      <c r="AZ492">
        <v>5800</v>
      </c>
      <c r="BA492">
        <v>100</v>
      </c>
      <c r="BB492">
        <v>100</v>
      </c>
      <c r="BC492">
        <v>100</v>
      </c>
      <c r="BD492">
        <v>100</v>
      </c>
      <c r="BE492">
        <v>1</v>
      </c>
      <c r="BF492">
        <v>15000</v>
      </c>
      <c r="BG492">
        <v>1000</v>
      </c>
      <c r="BH492" s="7">
        <f>ROUND(Wapato_Inventory[[#This Row],[detatched_value]]*Lookups!$B$22*Lookups!$H$48,-2)</f>
        <v>5200</v>
      </c>
      <c r="BI492" s="7">
        <f>ROUND(((Wapato_Inventory[[#This Row],[land_extract]]*Lookups!$B$3) +(Lookups!$B$2*0.5))*Lookups!$H$48,-2)</f>
        <v>53000</v>
      </c>
      <c r="BJ492" s="7">
        <f>IF(Wapato_Inventory[[#This Row],[bldg_style]]="",0,Lookups!$B$2*0.5)</f>
        <v>53765.27</v>
      </c>
      <c r="BK492" s="7">
        <f>_xlfn.IFNA(VLOOKUP(Wapato_Inventory[[#This Row],[quality]],Lookups!$H$2:$J$14,3,FALSE),0)</f>
        <v>28034</v>
      </c>
      <c r="BL492" s="7">
        <f>_xlfn.IFNA(VLOOKUP(Wapato_Inventory[[#This Row],[condition]],Lookups!$H$17:$J$24,3,FALSE),0)</f>
        <v>52231</v>
      </c>
      <c r="BM492" s="7">
        <f>Wapato_Inventory[[#This Row],[Age]]*Lookups!$B$16</f>
        <v>-38179.597099999999</v>
      </c>
      <c r="BN492" s="7">
        <f>Wapato_Inventory[[#This Row],[Main Floor]]*Lookups!$B$17</f>
        <v>37119.056232000003</v>
      </c>
      <c r="BO492" s="7">
        <f>Wapato_Inventory[[#This Row],[Upper Floor]]*Lookups!$B$18</f>
        <v>0</v>
      </c>
      <c r="BP492" s="7">
        <f>Wapato_Inventory[[#This Row],[Fin BSMT]]*Lookups!$B$19</f>
        <v>0</v>
      </c>
      <c r="BQ492" s="7">
        <f>(Wapato_Inventory[[#This Row],[att_gar]]+Wapato_Inventory[[#This Row],[blt_gar]])*Lookups!$B$20</f>
        <v>0</v>
      </c>
      <c r="BR492" s="7">
        <f>Wapato_Inventory[[#This Row],[Patio]]*Lookups!$B$21</f>
        <v>5458.8213540000006</v>
      </c>
      <c r="BS492" s="7">
        <f>SUM(Wapato_Inventory[[#This Row],[intercept]:[patio_value]])*Wapato_Inventory[[#This Row],[res_pct]]</f>
        <v>138428.55048600002</v>
      </c>
      <c r="BT492" s="7">
        <f>Wapato_Inventory[[#This Row],[land_value]]</f>
        <v>53000</v>
      </c>
      <c r="BU492" s="2">
        <f>_xlfn.IFNA(VLOOKUP(Wapato_Inventory[[#This Row],[quality]],Lookups!$A$28:$C$37,3,FALSE),1)</f>
        <v>0.96265813922927435</v>
      </c>
      <c r="BV492" s="2">
        <f>_xlfn.IFNA(VLOOKUP(Wapato_Inventory[[#This Row],[condition]],Lookups!$A$41:$C$48,3,FALSE),1)</f>
        <v>0.9832333997567807</v>
      </c>
      <c r="BW492" s="2">
        <f>IF(Wapato_Inventory[[#This Row],[decade]]="",1,_xlfn.IFNA(VLOOKUP(Wapato_Inventory[[#This Row],[decade]],Lookups!$F$28:$H$45,3,FALSE),1))</f>
        <v>0.93664589651353292</v>
      </c>
      <c r="BX492" s="2">
        <f>_xlfn.IFNA(VLOOKUP(Wapato_Inventory[[#This Row],[living_area_range]],Lookups!$K$28:$M$37,3,FALSE),1)</f>
        <v>0.99022994770196116</v>
      </c>
      <c r="BY492" s="2">
        <f>AVERAGE(Wapato_Inventory[[#This Row],[qual_adj]:[range_adj]])</f>
        <v>0.9681918458003872</v>
      </c>
      <c r="BZ492" s="7">
        <f>(Wapato_Inventory[[#This Row],[sum_land]]-IF(Wapato_Inventory[[#This Row],[no_utilities]]=1,12000,0))/IF(Wapato_Inventory[[#This Row],[unbuildable]]=1,2,1)</f>
        <v>53000</v>
      </c>
      <c r="CA492" s="7">
        <f>Wapato_Inventory[[#This Row],[pre_res]]*Wapato_Inventory[[#This Row],[overall_adj]]</f>
        <v>134025.39380651244</v>
      </c>
      <c r="CB49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492" s="3">
        <f>IF(ROUND(Wapato_Inventory[[#This Row],[adj_res]]*Lookups!$H$48,-2)&lt;Wapato_Inventory[[#This Row],[min_res]],Wapato_Inventory[[#This Row],[min_res]],ROUND(Wapato_Inventory[[#This Row],[adj_res]]*Lookups!$H$48,-2))</f>
        <v>127300</v>
      </c>
      <c r="CD492" s="3">
        <f>ROUND(Wapato_Inventory[[#This Row],[det_value]]*Lookups!$H$48,-2)</f>
        <v>4900</v>
      </c>
      <c r="CE492" s="3">
        <f>Wapato_Inventory[[#This Row],[final_res]]+Wapato_Inventory[[#This Row],[final_det]]</f>
        <v>132200</v>
      </c>
      <c r="CF492" s="3">
        <f>Wapato_Inventory[[#This Row],[crop_value]]+Wapato_Inventory[[#This Row],[final_land]]+Wapato_Inventory[[#This Row],[final_imp]]</f>
        <v>182600</v>
      </c>
      <c r="CH492" t="str">
        <f t="shared" si="7"/>
        <v>update valuation set market_land =50400, market_bldg=132200, market_total =182600, market_mdno =405, market_date ='9/10/2023' where link_id = (select link_id from parcel where parcel_year = '2024' and parcel_id = '19111511535');</v>
      </c>
    </row>
    <row r="493" spans="1:86" x14ac:dyDescent="0.25">
      <c r="A493">
        <v>19111511536</v>
      </c>
      <c r="B493">
        <v>0.13</v>
      </c>
      <c r="C493">
        <v>5828</v>
      </c>
      <c r="D493" t="s">
        <v>144</v>
      </c>
      <c r="E493" t="s">
        <v>54</v>
      </c>
      <c r="F493" t="s">
        <v>54</v>
      </c>
      <c r="G493">
        <v>3</v>
      </c>
      <c r="H493" t="s">
        <v>55</v>
      </c>
      <c r="I493">
        <v>205700</v>
      </c>
      <c r="J493">
        <v>31400</v>
      </c>
      <c r="K493">
        <v>0.13</v>
      </c>
      <c r="L493">
        <f>IF(Wapato_Inventory[[#This Row],[parcel_acres]]-Wapato_Inventory[[#This Row],[non_valued_acres]] =0,0,LN(Wapato_Inventory[[#This Row],[parcel_acres]]-Wapato_Inventory[[#This Row],[non_valued_acres]]))</f>
        <v>-2.0402208285265546</v>
      </c>
      <c r="M493">
        <v>0</v>
      </c>
      <c r="N493">
        <v>0</v>
      </c>
      <c r="O493">
        <v>0</v>
      </c>
      <c r="P493">
        <v>27904.037</v>
      </c>
      <c r="Q493">
        <v>74398</v>
      </c>
      <c r="R493" s="3">
        <f>(Wapato_Inventory[[#This Row],[ln_acres]]*Wapato_Inventory[[#This Row],[coeff]])+Wapato_Inventory[[#This Row],[const]]</f>
        <v>17467.602512624362</v>
      </c>
      <c r="S493" t="s">
        <v>56</v>
      </c>
      <c r="T493">
        <v>1</v>
      </c>
      <c r="U493" t="s">
        <v>75</v>
      </c>
      <c r="V493" t="s">
        <v>69</v>
      </c>
      <c r="W493">
        <v>0</v>
      </c>
      <c r="X493">
        <v>0</v>
      </c>
      <c r="Y493">
        <v>52</v>
      </c>
      <c r="Z493">
        <v>88</v>
      </c>
      <c r="AA493">
        <v>90</v>
      </c>
      <c r="AB493">
        <v>1500</v>
      </c>
      <c r="AC493">
        <v>1320</v>
      </c>
      <c r="AD493">
        <v>1320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248</v>
      </c>
      <c r="AO493">
        <v>0</v>
      </c>
      <c r="AP493">
        <v>8</v>
      </c>
      <c r="AQ493">
        <v>0</v>
      </c>
      <c r="AR493">
        <v>0</v>
      </c>
      <c r="AS493" t="s">
        <v>59</v>
      </c>
      <c r="AT493">
        <v>1</v>
      </c>
      <c r="AU493" t="s">
        <v>72</v>
      </c>
      <c r="AV493" t="s">
        <v>61</v>
      </c>
      <c r="AW493">
        <v>0</v>
      </c>
      <c r="AX493">
        <v>4</v>
      </c>
      <c r="AY493">
        <v>0</v>
      </c>
      <c r="AZ493">
        <v>12500</v>
      </c>
      <c r="BA493">
        <v>100</v>
      </c>
      <c r="BB493">
        <v>100</v>
      </c>
      <c r="BC493">
        <v>100</v>
      </c>
      <c r="BD493">
        <v>100</v>
      </c>
      <c r="BE493">
        <v>1</v>
      </c>
      <c r="BF493">
        <v>15000</v>
      </c>
      <c r="BG493">
        <v>1000</v>
      </c>
      <c r="BH493" s="7">
        <f>ROUND(Wapato_Inventory[[#This Row],[detatched_value]]*Lookups!$B$22*Lookups!$H$48,-2)</f>
        <v>11200</v>
      </c>
      <c r="BI493" s="7">
        <f>ROUND(((Wapato_Inventory[[#This Row],[land_extract]]*Lookups!$B$3) +(Lookups!$B$2*0.5))*Lookups!$H$48,-2)</f>
        <v>52800</v>
      </c>
      <c r="BJ493" s="7">
        <f>IF(Wapato_Inventory[[#This Row],[bldg_style]]="",0,Lookups!$B$2*0.5)</f>
        <v>53765.27</v>
      </c>
      <c r="BK493" s="7">
        <f>_xlfn.IFNA(VLOOKUP(Wapato_Inventory[[#This Row],[quality]],Lookups!$H$2:$J$14,3,FALSE),0)</f>
        <v>48043</v>
      </c>
      <c r="BL493" s="7">
        <f>_xlfn.IFNA(VLOOKUP(Wapato_Inventory[[#This Row],[condition]],Lookups!$H$17:$J$24,3,FALSE),0)</f>
        <v>74543</v>
      </c>
      <c r="BM493" s="7">
        <f>Wapato_Inventory[[#This Row],[Age]]*Lookups!$B$16</f>
        <v>-32619.461600000002</v>
      </c>
      <c r="BN493" s="7">
        <f>Wapato_Inventory[[#This Row],[Main Floor]]*Lookups!$B$17</f>
        <v>55176.975480000001</v>
      </c>
      <c r="BO493" s="7">
        <f>Wapato_Inventory[[#This Row],[Upper Floor]]*Lookups!$B$18</f>
        <v>0</v>
      </c>
      <c r="BP493" s="7">
        <f>Wapato_Inventory[[#This Row],[Fin BSMT]]*Lookups!$B$19</f>
        <v>0</v>
      </c>
      <c r="BQ493" s="7">
        <f>(Wapato_Inventory[[#This Row],[att_gar]]+Wapato_Inventory[[#This Row],[blt_gar]])*Lookups!$B$20</f>
        <v>0</v>
      </c>
      <c r="BR493" s="7">
        <f>Wapato_Inventory[[#This Row],[Patio]]*Lookups!$B$21</f>
        <v>0</v>
      </c>
      <c r="BS493" s="7">
        <f>SUM(Wapato_Inventory[[#This Row],[intercept]:[patio_value]])*Wapato_Inventory[[#This Row],[res_pct]]</f>
        <v>198908.78387999997</v>
      </c>
      <c r="BT493" s="7">
        <f>Wapato_Inventory[[#This Row],[land_value]]</f>
        <v>52800</v>
      </c>
      <c r="BU493" s="2">
        <f>_xlfn.IFNA(VLOOKUP(Wapato_Inventory[[#This Row],[quality]],Lookups!$A$28:$C$37,3,FALSE),1)</f>
        <v>0.98196844879778955</v>
      </c>
      <c r="BV493" s="2">
        <f>_xlfn.IFNA(VLOOKUP(Wapato_Inventory[[#This Row],[condition]],Lookups!$A$41:$C$48,3,FALSE),1)</f>
        <v>0.98442438223270734</v>
      </c>
      <c r="BW493" s="2">
        <f>IF(Wapato_Inventory[[#This Row],[decade]]="",1,_xlfn.IFNA(VLOOKUP(Wapato_Inventory[[#This Row],[decade]],Lookups!$F$28:$H$45,3,FALSE),1))</f>
        <v>0.94742695999815718</v>
      </c>
      <c r="BX493" s="2">
        <f>_xlfn.IFNA(VLOOKUP(Wapato_Inventory[[#This Row],[living_area_range]],Lookups!$K$28:$M$37,3,FALSE),1)</f>
        <v>1.0061411172456287</v>
      </c>
      <c r="BY493" s="2">
        <f>AVERAGE(Wapato_Inventory[[#This Row],[qual_adj]:[range_adj]])</f>
        <v>0.97999022706857064</v>
      </c>
      <c r="BZ493" s="7">
        <f>(Wapato_Inventory[[#This Row],[sum_land]]-IF(Wapato_Inventory[[#This Row],[no_utilities]]=1,12000,0))/IF(Wapato_Inventory[[#This Row],[unbuildable]]=1,2,1)</f>
        <v>52800</v>
      </c>
      <c r="CA493" s="7">
        <f>Wapato_Inventory[[#This Row],[pre_res]]*Wapato_Inventory[[#This Row],[overall_adj]]</f>
        <v>194928.66428049441</v>
      </c>
      <c r="CB493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493" s="3">
        <f>IF(ROUND(Wapato_Inventory[[#This Row],[adj_res]]*Lookups!$H$48,-2)&lt;Wapato_Inventory[[#This Row],[min_res]],Wapato_Inventory[[#This Row],[min_res]],ROUND(Wapato_Inventory[[#This Row],[adj_res]]*Lookups!$H$48,-2))</f>
        <v>185200</v>
      </c>
      <c r="CD493" s="3">
        <f>ROUND(Wapato_Inventory[[#This Row],[det_value]]*Lookups!$H$48,-2)</f>
        <v>10600</v>
      </c>
      <c r="CE493" s="3">
        <f>Wapato_Inventory[[#This Row],[final_res]]+Wapato_Inventory[[#This Row],[final_det]]</f>
        <v>195800</v>
      </c>
      <c r="CF493" s="3">
        <f>Wapato_Inventory[[#This Row],[crop_value]]+Wapato_Inventory[[#This Row],[final_land]]+Wapato_Inventory[[#This Row],[final_imp]]</f>
        <v>246000</v>
      </c>
      <c r="CH493" t="str">
        <f t="shared" si="7"/>
        <v>update valuation set market_land =50200, market_bldg=195800, market_total =246000, market_mdno =405, market_date ='9/10/2023' where link_id = (select link_id from parcel where parcel_year = '2024' and parcel_id = '19111511536');</v>
      </c>
    </row>
    <row r="494" spans="1:86" x14ac:dyDescent="0.25">
      <c r="A494">
        <v>19111511542</v>
      </c>
      <c r="B494">
        <v>0.12</v>
      </c>
      <c r="C494">
        <v>5227</v>
      </c>
      <c r="D494" t="s">
        <v>144</v>
      </c>
      <c r="E494" t="s">
        <v>54</v>
      </c>
      <c r="F494" t="s">
        <v>54</v>
      </c>
      <c r="G494">
        <v>3</v>
      </c>
      <c r="H494" t="s">
        <v>55</v>
      </c>
      <c r="I494">
        <v>71100</v>
      </c>
      <c r="J494">
        <v>30800</v>
      </c>
      <c r="K494">
        <v>0.12</v>
      </c>
      <c r="L494">
        <f>IF(Wapato_Inventory[[#This Row],[parcel_acres]]-Wapato_Inventory[[#This Row],[non_valued_acres]] =0,0,LN(Wapato_Inventory[[#This Row],[parcel_acres]]-Wapato_Inventory[[#This Row],[non_valued_acres]]))</f>
        <v>-2.120263536200091</v>
      </c>
      <c r="M494">
        <v>0</v>
      </c>
      <c r="N494">
        <v>0</v>
      </c>
      <c r="O494">
        <v>0</v>
      </c>
      <c r="P494">
        <v>27904.037</v>
      </c>
      <c r="Q494">
        <v>74398</v>
      </c>
      <c r="R494" s="3">
        <f>(Wapato_Inventory[[#This Row],[ln_acres]]*Wapato_Inventory[[#This Row],[coeff]])+Wapato_Inventory[[#This Row],[const]]</f>
        <v>15234.08783612182</v>
      </c>
      <c r="S494" t="s">
        <v>66</v>
      </c>
      <c r="T494">
        <v>1</v>
      </c>
      <c r="U494" t="s">
        <v>71</v>
      </c>
      <c r="V494" t="s">
        <v>73</v>
      </c>
      <c r="W494">
        <v>0</v>
      </c>
      <c r="X494">
        <v>0</v>
      </c>
      <c r="Y494">
        <v>57</v>
      </c>
      <c r="Z494">
        <v>103</v>
      </c>
      <c r="AA494">
        <v>110</v>
      </c>
      <c r="AB494">
        <v>1500</v>
      </c>
      <c r="AC494">
        <v>1140</v>
      </c>
      <c r="AD494">
        <v>1140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864</v>
      </c>
      <c r="AL494">
        <v>0</v>
      </c>
      <c r="AM494">
        <v>0</v>
      </c>
      <c r="AN494">
        <v>0</v>
      </c>
      <c r="AO494">
        <v>0</v>
      </c>
      <c r="AP494">
        <v>5</v>
      </c>
      <c r="AQ494">
        <v>0</v>
      </c>
      <c r="AR494">
        <v>0</v>
      </c>
      <c r="AS494" t="s">
        <v>59</v>
      </c>
      <c r="AT494">
        <v>1</v>
      </c>
      <c r="AU494" t="s">
        <v>72</v>
      </c>
      <c r="AV494" t="s">
        <v>65</v>
      </c>
      <c r="AW494">
        <v>0</v>
      </c>
      <c r="AX494">
        <v>3</v>
      </c>
      <c r="AY494">
        <v>0</v>
      </c>
      <c r="AZ494">
        <v>1700</v>
      </c>
      <c r="BA494">
        <v>100</v>
      </c>
      <c r="BB494">
        <v>100</v>
      </c>
      <c r="BC494">
        <v>100</v>
      </c>
      <c r="BD494">
        <v>100</v>
      </c>
      <c r="BE494">
        <v>1</v>
      </c>
      <c r="BF494">
        <v>15000</v>
      </c>
      <c r="BG494">
        <v>1000</v>
      </c>
      <c r="BH494" s="7">
        <f>ROUND(Wapato_Inventory[[#This Row],[detatched_value]]*Lookups!$B$22*Lookups!$H$48,-2)</f>
        <v>1500</v>
      </c>
      <c r="BI494" s="7">
        <f>ROUND(((Wapato_Inventory[[#This Row],[land_extract]]*Lookups!$B$3) +(Lookups!$B$2*0.5))*Lookups!$H$48,-2)</f>
        <v>52500</v>
      </c>
      <c r="BJ494" s="7">
        <f>IF(Wapato_Inventory[[#This Row],[bldg_style]]="",0,Lookups!$B$2*0.5)</f>
        <v>53765.27</v>
      </c>
      <c r="BK494" s="7">
        <f>_xlfn.IFNA(VLOOKUP(Wapato_Inventory[[#This Row],[quality]],Lookups!$H$2:$J$14,3,FALSE),0)</f>
        <v>28034</v>
      </c>
      <c r="BL494" s="7">
        <f>_xlfn.IFNA(VLOOKUP(Wapato_Inventory[[#This Row],[condition]],Lookups!$H$17:$J$24,3,FALSE),0)</f>
        <v>16276</v>
      </c>
      <c r="BM494" s="7">
        <f>Wapato_Inventory[[#This Row],[Age]]*Lookups!$B$16</f>
        <v>-38179.597099999999</v>
      </c>
      <c r="BN494" s="7">
        <f>Wapato_Inventory[[#This Row],[Main Floor]]*Lookups!$B$17</f>
        <v>47652.84246</v>
      </c>
      <c r="BO494" s="7">
        <f>Wapato_Inventory[[#This Row],[Upper Floor]]*Lookups!$B$18</f>
        <v>0</v>
      </c>
      <c r="BP494" s="7">
        <f>Wapato_Inventory[[#This Row],[Fin BSMT]]*Lookups!$B$19</f>
        <v>0</v>
      </c>
      <c r="BQ494" s="7">
        <f>(Wapato_Inventory[[#This Row],[att_gar]]+Wapato_Inventory[[#This Row],[blt_gar]])*Lookups!$B$20</f>
        <v>0</v>
      </c>
      <c r="BR494" s="7">
        <f>Wapato_Inventory[[#This Row],[Patio]]*Lookups!$B$21</f>
        <v>0</v>
      </c>
      <c r="BS494" s="7">
        <f>SUM(Wapato_Inventory[[#This Row],[intercept]:[patio_value]])*Wapato_Inventory[[#This Row],[res_pct]]</f>
        <v>107548.51535999999</v>
      </c>
      <c r="BT494" s="7">
        <f>Wapato_Inventory[[#This Row],[land_value]]</f>
        <v>52500</v>
      </c>
      <c r="BU494" s="2">
        <f>_xlfn.IFNA(VLOOKUP(Wapato_Inventory[[#This Row],[quality]],Lookups!$A$28:$C$37,3,FALSE),1)</f>
        <v>0.96265813922927435</v>
      </c>
      <c r="BV494" s="2">
        <f>_xlfn.IFNA(VLOOKUP(Wapato_Inventory[[#This Row],[condition]],Lookups!$A$41:$C$48,3,FALSE),1)</f>
        <v>0.93399385491337139</v>
      </c>
      <c r="BW494" s="2">
        <f>IF(Wapato_Inventory[[#This Row],[decade]]="",1,_xlfn.IFNA(VLOOKUP(Wapato_Inventory[[#This Row],[decade]],Lookups!$F$28:$H$45,3,FALSE),1))</f>
        <v>0.93664589651353292</v>
      </c>
      <c r="BX494" s="2">
        <f>_xlfn.IFNA(VLOOKUP(Wapato_Inventory[[#This Row],[living_area_range]],Lookups!$K$28:$M$37,3,FALSE),1)</f>
        <v>1.0061411172456287</v>
      </c>
      <c r="BY494" s="2">
        <f>AVERAGE(Wapato_Inventory[[#This Row],[qual_adj]:[range_adj]])</f>
        <v>0.95985975197545192</v>
      </c>
      <c r="BZ494" s="7">
        <f>(Wapato_Inventory[[#This Row],[sum_land]]-IF(Wapato_Inventory[[#This Row],[no_utilities]]=1,12000,0))/IF(Wapato_Inventory[[#This Row],[unbuildable]]=1,2,1)</f>
        <v>52500</v>
      </c>
      <c r="CA494" s="7">
        <f>Wapato_Inventory[[#This Row],[pre_res]]*Wapato_Inventory[[#This Row],[overall_adj]]</f>
        <v>103231.49127877767</v>
      </c>
      <c r="CB494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494" s="3">
        <f>IF(ROUND(Wapato_Inventory[[#This Row],[adj_res]]*Lookups!$H$48,-2)&lt;Wapato_Inventory[[#This Row],[min_res]],Wapato_Inventory[[#This Row],[min_res]],ROUND(Wapato_Inventory[[#This Row],[adj_res]]*Lookups!$H$48,-2))</f>
        <v>98100</v>
      </c>
      <c r="CD494" s="3">
        <f>ROUND(Wapato_Inventory[[#This Row],[det_value]]*Lookups!$H$48,-2)</f>
        <v>1400</v>
      </c>
      <c r="CE494" s="3">
        <f>Wapato_Inventory[[#This Row],[final_res]]+Wapato_Inventory[[#This Row],[final_det]]</f>
        <v>99500</v>
      </c>
      <c r="CF494" s="3">
        <f>Wapato_Inventory[[#This Row],[crop_value]]+Wapato_Inventory[[#This Row],[final_land]]+Wapato_Inventory[[#This Row],[final_imp]]</f>
        <v>149400</v>
      </c>
      <c r="CH494" t="str">
        <f t="shared" si="7"/>
        <v>update valuation set market_land =49900, market_bldg=99500, market_total =149400, market_mdno =405, market_date ='9/10/2023' where link_id = (select link_id from parcel where parcel_year = '2024' and parcel_id = '19111511542');</v>
      </c>
    </row>
    <row r="495" spans="1:86" x14ac:dyDescent="0.25">
      <c r="A495">
        <v>19111511543</v>
      </c>
      <c r="B495">
        <v>7.0000000000000007E-2</v>
      </c>
      <c r="C495">
        <v>2985</v>
      </c>
      <c r="D495" t="s">
        <v>144</v>
      </c>
      <c r="E495" t="s">
        <v>54</v>
      </c>
      <c r="F495" t="s">
        <v>54</v>
      </c>
      <c r="G495">
        <v>3</v>
      </c>
      <c r="H495" t="s">
        <v>55</v>
      </c>
      <c r="I495">
        <v>56000</v>
      </c>
      <c r="J495">
        <v>26900</v>
      </c>
      <c r="K495">
        <v>7.0000000000000007E-2</v>
      </c>
      <c r="L495">
        <f>IF(Wapato_Inventory[[#This Row],[parcel_acres]]-Wapato_Inventory[[#This Row],[non_valued_acres]] =0,0,LN(Wapato_Inventory[[#This Row],[parcel_acres]]-Wapato_Inventory[[#This Row],[non_valued_acres]]))</f>
        <v>-2.6592600369327779</v>
      </c>
      <c r="M495">
        <v>0</v>
      </c>
      <c r="N495">
        <v>0</v>
      </c>
      <c r="O495">
        <v>0</v>
      </c>
      <c r="P495">
        <v>27904.037</v>
      </c>
      <c r="Q495">
        <v>74398</v>
      </c>
      <c r="R495" s="3">
        <f>(Wapato_Inventory[[#This Row],[ln_acres]]*Wapato_Inventory[[#This Row],[coeff]])+Wapato_Inventory[[#This Row],[const]]</f>
        <v>193.90953680640087</v>
      </c>
      <c r="S495" t="s">
        <v>66</v>
      </c>
      <c r="T495">
        <v>1</v>
      </c>
      <c r="U495" t="s">
        <v>71</v>
      </c>
      <c r="V495" t="s">
        <v>73</v>
      </c>
      <c r="W495">
        <v>0</v>
      </c>
      <c r="X495">
        <v>0</v>
      </c>
      <c r="Y495">
        <v>57</v>
      </c>
      <c r="Z495">
        <v>103</v>
      </c>
      <c r="AA495">
        <v>110</v>
      </c>
      <c r="AB495">
        <v>1000</v>
      </c>
      <c r="AC495">
        <v>674</v>
      </c>
      <c r="AD495">
        <v>674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5</v>
      </c>
      <c r="AQ495">
        <v>0</v>
      </c>
      <c r="AR495">
        <v>0</v>
      </c>
      <c r="AS495" t="s">
        <v>59</v>
      </c>
      <c r="AT495">
        <v>0</v>
      </c>
      <c r="AU495" t="s">
        <v>80</v>
      </c>
      <c r="AV495" t="s">
        <v>77</v>
      </c>
      <c r="AW495">
        <v>0</v>
      </c>
      <c r="AX495">
        <v>1</v>
      </c>
      <c r="AY495">
        <v>0</v>
      </c>
      <c r="AZ495">
        <v>5000</v>
      </c>
      <c r="BA495">
        <v>100</v>
      </c>
      <c r="BB495">
        <v>100</v>
      </c>
      <c r="BC495">
        <v>100</v>
      </c>
      <c r="BD495">
        <v>100</v>
      </c>
      <c r="BE495">
        <v>1</v>
      </c>
      <c r="BF495">
        <v>15000</v>
      </c>
      <c r="BG495">
        <v>1000</v>
      </c>
      <c r="BH495" s="7">
        <f>ROUND(Wapato_Inventory[[#This Row],[detatched_value]]*Lookups!$B$22*Lookups!$H$48,-2)</f>
        <v>4500</v>
      </c>
      <c r="BI495" s="7">
        <f>ROUND(((Wapato_Inventory[[#This Row],[land_extract]]*Lookups!$B$3) +(Lookups!$B$2*0.5))*Lookups!$H$48,-2)</f>
        <v>51100</v>
      </c>
      <c r="BJ495" s="7">
        <f>IF(Wapato_Inventory[[#This Row],[bldg_style]]="",0,Lookups!$B$2*0.5)</f>
        <v>53765.27</v>
      </c>
      <c r="BK495" s="7">
        <f>_xlfn.IFNA(VLOOKUP(Wapato_Inventory[[#This Row],[quality]],Lookups!$H$2:$J$14,3,FALSE),0)</f>
        <v>28034</v>
      </c>
      <c r="BL495" s="7">
        <f>_xlfn.IFNA(VLOOKUP(Wapato_Inventory[[#This Row],[condition]],Lookups!$H$17:$J$24,3,FALSE),0)</f>
        <v>16276</v>
      </c>
      <c r="BM495" s="7">
        <f>Wapato_Inventory[[#This Row],[Age]]*Lookups!$B$16</f>
        <v>-38179.597099999999</v>
      </c>
      <c r="BN495" s="7">
        <f>Wapato_Inventory[[#This Row],[Main Floor]]*Lookups!$B$17</f>
        <v>28173.698086</v>
      </c>
      <c r="BO495" s="7">
        <f>Wapato_Inventory[[#This Row],[Upper Floor]]*Lookups!$B$18</f>
        <v>0</v>
      </c>
      <c r="BP495" s="7">
        <f>Wapato_Inventory[[#This Row],[Fin BSMT]]*Lookups!$B$19</f>
        <v>0</v>
      </c>
      <c r="BQ495" s="7">
        <f>(Wapato_Inventory[[#This Row],[att_gar]]+Wapato_Inventory[[#This Row],[blt_gar]])*Lookups!$B$20</f>
        <v>0</v>
      </c>
      <c r="BR495" s="7">
        <f>Wapato_Inventory[[#This Row],[Patio]]*Lookups!$B$21</f>
        <v>0</v>
      </c>
      <c r="BS495" s="7">
        <f>SUM(Wapato_Inventory[[#This Row],[intercept]:[patio_value]])*Wapato_Inventory[[#This Row],[res_pct]]</f>
        <v>88069.370985999994</v>
      </c>
      <c r="BT495" s="7">
        <f>Wapato_Inventory[[#This Row],[land_value]]</f>
        <v>51100</v>
      </c>
      <c r="BU495" s="2">
        <f>_xlfn.IFNA(VLOOKUP(Wapato_Inventory[[#This Row],[quality]],Lookups!$A$28:$C$37,3,FALSE),1)</f>
        <v>0.96265813922927435</v>
      </c>
      <c r="BV495" s="2">
        <f>_xlfn.IFNA(VLOOKUP(Wapato_Inventory[[#This Row],[condition]],Lookups!$A$41:$C$48,3,FALSE),1)</f>
        <v>0.93399385491337139</v>
      </c>
      <c r="BW495" s="2">
        <f>IF(Wapato_Inventory[[#This Row],[decade]]="",1,_xlfn.IFNA(VLOOKUP(Wapato_Inventory[[#This Row],[decade]],Lookups!$F$28:$H$45,3,FALSE),1))</f>
        <v>0.93664589651353292</v>
      </c>
      <c r="BX495" s="2">
        <f>_xlfn.IFNA(VLOOKUP(Wapato_Inventory[[#This Row],[living_area_range]],Lookups!$K$28:$M$37,3,FALSE),1)</f>
        <v>0.99022994770196116</v>
      </c>
      <c r="BY495" s="2">
        <f>AVERAGE(Wapato_Inventory[[#This Row],[qual_adj]:[range_adj]])</f>
        <v>0.95588195958953504</v>
      </c>
      <c r="BZ495" s="7">
        <f>(Wapato_Inventory[[#This Row],[sum_land]]-IF(Wapato_Inventory[[#This Row],[no_utilities]]=1,12000,0))/IF(Wapato_Inventory[[#This Row],[unbuildable]]=1,2,1)</f>
        <v>51100</v>
      </c>
      <c r="CA495" s="7">
        <f>Wapato_Inventory[[#This Row],[pre_res]]*Wapato_Inventory[[#This Row],[overall_adj]]</f>
        <v>84183.922917915421</v>
      </c>
      <c r="CB495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495" s="3">
        <f>IF(ROUND(Wapato_Inventory[[#This Row],[adj_res]]*Lookups!$H$48,-2)&lt;Wapato_Inventory[[#This Row],[min_res]],Wapato_Inventory[[#This Row],[min_res]],ROUND(Wapato_Inventory[[#This Row],[adj_res]]*Lookups!$H$48,-2))</f>
        <v>80000</v>
      </c>
      <c r="CD495" s="3">
        <f>ROUND(Wapato_Inventory[[#This Row],[det_value]]*Lookups!$H$48,-2)</f>
        <v>4300</v>
      </c>
      <c r="CE495" s="3">
        <f>Wapato_Inventory[[#This Row],[final_res]]+Wapato_Inventory[[#This Row],[final_det]]</f>
        <v>84300</v>
      </c>
      <c r="CF495" s="3">
        <f>Wapato_Inventory[[#This Row],[crop_value]]+Wapato_Inventory[[#This Row],[final_land]]+Wapato_Inventory[[#This Row],[final_imp]]</f>
        <v>132800</v>
      </c>
      <c r="CH495" t="str">
        <f t="shared" si="7"/>
        <v>update valuation set market_land =48500, market_bldg=84300, market_total =132800, market_mdno =405, market_date ='9/10/2023' where link_id = (select link_id from parcel where parcel_year = '2024' and parcel_id = '19111511543');</v>
      </c>
    </row>
    <row r="496" spans="1:86" x14ac:dyDescent="0.25">
      <c r="A496">
        <v>19111511544</v>
      </c>
      <c r="B496">
        <v>0.13</v>
      </c>
      <c r="C496">
        <v>5802</v>
      </c>
      <c r="D496" t="s">
        <v>144</v>
      </c>
      <c r="E496" t="s">
        <v>54</v>
      </c>
      <c r="F496" t="s">
        <v>54</v>
      </c>
      <c r="G496">
        <v>3</v>
      </c>
      <c r="H496" t="s">
        <v>55</v>
      </c>
      <c r="I496">
        <v>131700</v>
      </c>
      <c r="J496">
        <v>31400</v>
      </c>
      <c r="K496">
        <v>0.13</v>
      </c>
      <c r="L496">
        <f>IF(Wapato_Inventory[[#This Row],[parcel_acres]]-Wapato_Inventory[[#This Row],[non_valued_acres]] =0,0,LN(Wapato_Inventory[[#This Row],[parcel_acres]]-Wapato_Inventory[[#This Row],[non_valued_acres]]))</f>
        <v>-2.0402208285265546</v>
      </c>
      <c r="M496">
        <v>0</v>
      </c>
      <c r="N496">
        <v>0</v>
      </c>
      <c r="O496">
        <v>0</v>
      </c>
      <c r="P496">
        <v>27904.037</v>
      </c>
      <c r="Q496">
        <v>74398</v>
      </c>
      <c r="R496" s="3">
        <f>(Wapato_Inventory[[#This Row],[ln_acres]]*Wapato_Inventory[[#This Row],[coeff]])+Wapato_Inventory[[#This Row],[const]]</f>
        <v>17467.602512624362</v>
      </c>
      <c r="S496" t="s">
        <v>66</v>
      </c>
      <c r="T496">
        <v>1</v>
      </c>
      <c r="U496" t="s">
        <v>71</v>
      </c>
      <c r="V496" t="s">
        <v>68</v>
      </c>
      <c r="W496">
        <v>0</v>
      </c>
      <c r="X496">
        <v>0</v>
      </c>
      <c r="Y496">
        <v>51</v>
      </c>
      <c r="Z496">
        <v>79</v>
      </c>
      <c r="AA496">
        <v>80</v>
      </c>
      <c r="AB496">
        <v>1500</v>
      </c>
      <c r="AC496">
        <v>1240</v>
      </c>
      <c r="AD496">
        <v>1036</v>
      </c>
      <c r="AE496">
        <v>0</v>
      </c>
      <c r="AF496">
        <v>0</v>
      </c>
      <c r="AG496">
        <v>204</v>
      </c>
      <c r="AH496">
        <v>816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240</v>
      </c>
      <c r="AP496">
        <v>6</v>
      </c>
      <c r="AQ496">
        <v>0</v>
      </c>
      <c r="AR496">
        <v>0</v>
      </c>
      <c r="AS496" t="s">
        <v>59</v>
      </c>
      <c r="AT496">
        <v>1</v>
      </c>
      <c r="AU496" t="s">
        <v>64</v>
      </c>
      <c r="AV496" t="s">
        <v>61</v>
      </c>
      <c r="AW496">
        <v>1</v>
      </c>
      <c r="AX496">
        <v>3</v>
      </c>
      <c r="AY496">
        <v>0</v>
      </c>
      <c r="AZ496">
        <v>0</v>
      </c>
      <c r="BA496">
        <v>100</v>
      </c>
      <c r="BB496">
        <v>100</v>
      </c>
      <c r="BC496">
        <v>100</v>
      </c>
      <c r="BD496">
        <v>100</v>
      </c>
      <c r="BE496">
        <v>1</v>
      </c>
      <c r="BF496">
        <v>15000</v>
      </c>
      <c r="BG496">
        <v>1000</v>
      </c>
      <c r="BH496" s="7">
        <f>ROUND(Wapato_Inventory[[#This Row],[detatched_value]]*Lookups!$B$22*Lookups!$H$48,-2)</f>
        <v>0</v>
      </c>
      <c r="BI496" s="7">
        <f>ROUND(((Wapato_Inventory[[#This Row],[land_extract]]*Lookups!$B$3) +(Lookups!$B$2*0.5))*Lookups!$H$48,-2)</f>
        <v>52800</v>
      </c>
      <c r="BJ496" s="7">
        <f>IF(Wapato_Inventory[[#This Row],[bldg_style]]="",0,Lookups!$B$2*0.5)</f>
        <v>53765.27</v>
      </c>
      <c r="BK496" s="7">
        <f>_xlfn.IFNA(VLOOKUP(Wapato_Inventory[[#This Row],[quality]],Lookups!$H$2:$J$14,3,FALSE),0)</f>
        <v>28034</v>
      </c>
      <c r="BL496" s="7">
        <f>_xlfn.IFNA(VLOOKUP(Wapato_Inventory[[#This Row],[condition]],Lookups!$H$17:$J$24,3,FALSE),0)</f>
        <v>52231</v>
      </c>
      <c r="BM496" s="7">
        <f>Wapato_Inventory[[#This Row],[Age]]*Lookups!$B$16</f>
        <v>-29283.380300000001</v>
      </c>
      <c r="BN496" s="7">
        <f>Wapato_Inventory[[#This Row],[Main Floor]]*Lookups!$B$17</f>
        <v>43305.565604000003</v>
      </c>
      <c r="BO496" s="7">
        <f>Wapato_Inventory[[#This Row],[Upper Floor]]*Lookups!$B$18</f>
        <v>0</v>
      </c>
      <c r="BP496" s="7">
        <f>Wapato_Inventory[[#This Row],[Fin BSMT]]*Lookups!$B$19</f>
        <v>4970.8149599999997</v>
      </c>
      <c r="BQ496" s="7">
        <f>(Wapato_Inventory[[#This Row],[att_gar]]+Wapato_Inventory[[#This Row],[blt_gar]])*Lookups!$B$20</f>
        <v>0</v>
      </c>
      <c r="BR496" s="7">
        <f>Wapato_Inventory[[#This Row],[Patio]]*Lookups!$B$21</f>
        <v>0</v>
      </c>
      <c r="BS496" s="7">
        <f>SUM(Wapato_Inventory[[#This Row],[intercept]:[patio_value]])*Wapato_Inventory[[#This Row],[res_pct]]</f>
        <v>153023.27026399999</v>
      </c>
      <c r="BT496" s="7">
        <f>Wapato_Inventory[[#This Row],[land_value]]</f>
        <v>52800</v>
      </c>
      <c r="BU496" s="2">
        <f>_xlfn.IFNA(VLOOKUP(Wapato_Inventory[[#This Row],[quality]],Lookups!$A$28:$C$37,3,FALSE),1)</f>
        <v>0.96265813922927435</v>
      </c>
      <c r="BV496" s="2">
        <f>_xlfn.IFNA(VLOOKUP(Wapato_Inventory[[#This Row],[condition]],Lookups!$A$41:$C$48,3,FALSE),1)</f>
        <v>0.9832333997567807</v>
      </c>
      <c r="BW496" s="2">
        <f>IF(Wapato_Inventory[[#This Row],[decade]]="",1,_xlfn.IFNA(VLOOKUP(Wapato_Inventory[[#This Row],[decade]],Lookups!$F$28:$H$45,3,FALSE),1))</f>
        <v>0.8438929209510081</v>
      </c>
      <c r="BX496" s="2">
        <f>_xlfn.IFNA(VLOOKUP(Wapato_Inventory[[#This Row],[living_area_range]],Lookups!$K$28:$M$37,3,FALSE),1)</f>
        <v>1.0061411172456287</v>
      </c>
      <c r="BY496" s="2">
        <f>AVERAGE(Wapato_Inventory[[#This Row],[qual_adj]:[range_adj]])</f>
        <v>0.94898139429567296</v>
      </c>
      <c r="BZ496" s="7">
        <f>(Wapato_Inventory[[#This Row],[sum_land]]-IF(Wapato_Inventory[[#This Row],[no_utilities]]=1,12000,0))/IF(Wapato_Inventory[[#This Row],[unbuildable]]=1,2,1)</f>
        <v>52800</v>
      </c>
      <c r="CA496" s="7">
        <f>Wapato_Inventory[[#This Row],[pre_res]]*Wapato_Inventory[[#This Row],[overall_adj]]</f>
        <v>145216.2363748143</v>
      </c>
      <c r="CB496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496" s="3">
        <f>IF(ROUND(Wapato_Inventory[[#This Row],[adj_res]]*Lookups!$H$48,-2)&lt;Wapato_Inventory[[#This Row],[min_res]],Wapato_Inventory[[#This Row],[min_res]],ROUND(Wapato_Inventory[[#This Row],[adj_res]]*Lookups!$H$48,-2))</f>
        <v>138000</v>
      </c>
      <c r="CD496" s="3">
        <f>ROUND(Wapato_Inventory[[#This Row],[det_value]]*Lookups!$H$48,-2)</f>
        <v>0</v>
      </c>
      <c r="CE496" s="3">
        <f>Wapato_Inventory[[#This Row],[final_res]]+Wapato_Inventory[[#This Row],[final_det]]</f>
        <v>138000</v>
      </c>
      <c r="CF496" s="3">
        <f>Wapato_Inventory[[#This Row],[crop_value]]+Wapato_Inventory[[#This Row],[final_land]]+Wapato_Inventory[[#This Row],[final_imp]]</f>
        <v>188200</v>
      </c>
      <c r="CH496" t="str">
        <f t="shared" si="7"/>
        <v>update valuation set market_land =50200, market_bldg=138000, market_total =188200, market_mdno =405, market_date ='9/10/2023' where link_id = (select link_id from parcel where parcel_year = '2024' and parcel_id = '19111511544');</v>
      </c>
    </row>
    <row r="497" spans="1:86" x14ac:dyDescent="0.25">
      <c r="A497">
        <v>19111511545</v>
      </c>
      <c r="B497">
        <v>0.14000000000000001</v>
      </c>
      <c r="C497">
        <v>5988</v>
      </c>
      <c r="D497" t="s">
        <v>144</v>
      </c>
      <c r="E497" t="s">
        <v>54</v>
      </c>
      <c r="F497" t="s">
        <v>54</v>
      </c>
      <c r="G497">
        <v>3</v>
      </c>
      <c r="H497" t="s">
        <v>55</v>
      </c>
      <c r="I497">
        <v>115300</v>
      </c>
      <c r="J497">
        <v>31900</v>
      </c>
      <c r="K497">
        <v>0.14000000000000001</v>
      </c>
      <c r="L497">
        <f>IF(Wapato_Inventory[[#This Row],[parcel_acres]]-Wapato_Inventory[[#This Row],[non_valued_acres]] =0,0,LN(Wapato_Inventory[[#This Row],[parcel_acres]]-Wapato_Inventory[[#This Row],[non_valued_acres]]))</f>
        <v>-1.9661128563728327</v>
      </c>
      <c r="M497">
        <v>0</v>
      </c>
      <c r="N497">
        <v>0</v>
      </c>
      <c r="O497">
        <v>0</v>
      </c>
      <c r="P497">
        <v>27904.037</v>
      </c>
      <c r="Q497">
        <v>74398</v>
      </c>
      <c r="R497" s="3">
        <f>(Wapato_Inventory[[#This Row],[ln_acres]]*Wapato_Inventory[[#This Row],[coeff]])+Wapato_Inventory[[#This Row],[const]]</f>
        <v>19535.514109596792</v>
      </c>
      <c r="S497" t="s">
        <v>66</v>
      </c>
      <c r="T497">
        <v>1</v>
      </c>
      <c r="U497" t="s">
        <v>71</v>
      </c>
      <c r="V497" t="s">
        <v>68</v>
      </c>
      <c r="W497">
        <v>0</v>
      </c>
      <c r="X497">
        <v>0</v>
      </c>
      <c r="Y497">
        <v>50</v>
      </c>
      <c r="Z497">
        <v>73</v>
      </c>
      <c r="AA497">
        <v>80</v>
      </c>
      <c r="AB497">
        <v>1000</v>
      </c>
      <c r="AC497">
        <v>957</v>
      </c>
      <c r="AD497">
        <v>957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384</v>
      </c>
      <c r="AL497">
        <v>0</v>
      </c>
      <c r="AM497">
        <v>0</v>
      </c>
      <c r="AN497">
        <v>0</v>
      </c>
      <c r="AO497">
        <v>0</v>
      </c>
      <c r="AP497">
        <v>7</v>
      </c>
      <c r="AQ497">
        <v>0</v>
      </c>
      <c r="AR497">
        <v>0</v>
      </c>
      <c r="AS497" t="s">
        <v>59</v>
      </c>
      <c r="AT497">
        <v>1</v>
      </c>
      <c r="AU497" t="s">
        <v>72</v>
      </c>
      <c r="AV497" t="s">
        <v>61</v>
      </c>
      <c r="AW497">
        <v>0</v>
      </c>
      <c r="AX497">
        <v>3</v>
      </c>
      <c r="AY497">
        <v>0</v>
      </c>
      <c r="AZ497">
        <v>0</v>
      </c>
      <c r="BA497">
        <v>100</v>
      </c>
      <c r="BB497">
        <v>100</v>
      </c>
      <c r="BC497">
        <v>100</v>
      </c>
      <c r="BD497">
        <v>100</v>
      </c>
      <c r="BE497">
        <v>1</v>
      </c>
      <c r="BF497">
        <v>15000</v>
      </c>
      <c r="BG497">
        <v>1000</v>
      </c>
      <c r="BH497" s="7">
        <f>ROUND(Wapato_Inventory[[#This Row],[detatched_value]]*Lookups!$B$22*Lookups!$H$48,-2)</f>
        <v>0</v>
      </c>
      <c r="BI497" s="7">
        <f>ROUND(((Wapato_Inventory[[#This Row],[land_extract]]*Lookups!$B$3) +(Lookups!$B$2*0.5))*Lookups!$H$48,-2)</f>
        <v>53000</v>
      </c>
      <c r="BJ497" s="7">
        <f>IF(Wapato_Inventory[[#This Row],[bldg_style]]="",0,Lookups!$B$2*0.5)</f>
        <v>53765.27</v>
      </c>
      <c r="BK497" s="7">
        <f>_xlfn.IFNA(VLOOKUP(Wapato_Inventory[[#This Row],[quality]],Lookups!$H$2:$J$14,3,FALSE),0)</f>
        <v>28034</v>
      </c>
      <c r="BL497" s="7">
        <f>_xlfn.IFNA(VLOOKUP(Wapato_Inventory[[#This Row],[condition]],Lookups!$H$17:$J$24,3,FALSE),0)</f>
        <v>52231</v>
      </c>
      <c r="BM497" s="7">
        <f>Wapato_Inventory[[#This Row],[Age]]*Lookups!$B$16</f>
        <v>-27059.326100000002</v>
      </c>
      <c r="BN497" s="7">
        <f>Wapato_Inventory[[#This Row],[Main Floor]]*Lookups!$B$17</f>
        <v>40003.307223000003</v>
      </c>
      <c r="BO497" s="7">
        <f>Wapato_Inventory[[#This Row],[Upper Floor]]*Lookups!$B$18</f>
        <v>0</v>
      </c>
      <c r="BP497" s="7">
        <f>Wapato_Inventory[[#This Row],[Fin BSMT]]*Lookups!$B$19</f>
        <v>0</v>
      </c>
      <c r="BQ497" s="7">
        <f>(Wapato_Inventory[[#This Row],[att_gar]]+Wapato_Inventory[[#This Row],[blt_gar]])*Lookups!$B$20</f>
        <v>0</v>
      </c>
      <c r="BR497" s="7">
        <f>Wapato_Inventory[[#This Row],[Patio]]*Lookups!$B$21</f>
        <v>0</v>
      </c>
      <c r="BS497" s="7">
        <f>SUM(Wapato_Inventory[[#This Row],[intercept]:[patio_value]])*Wapato_Inventory[[#This Row],[res_pct]]</f>
        <v>146974.25112299999</v>
      </c>
      <c r="BT497" s="7">
        <f>Wapato_Inventory[[#This Row],[land_value]]</f>
        <v>53000</v>
      </c>
      <c r="BU497" s="2">
        <f>_xlfn.IFNA(VLOOKUP(Wapato_Inventory[[#This Row],[quality]],Lookups!$A$28:$C$37,3,FALSE),1)</f>
        <v>0.96265813922927435</v>
      </c>
      <c r="BV497" s="2">
        <f>_xlfn.IFNA(VLOOKUP(Wapato_Inventory[[#This Row],[condition]],Lookups!$A$41:$C$48,3,FALSE),1)</f>
        <v>0.9832333997567807</v>
      </c>
      <c r="BW497" s="2">
        <f>IF(Wapato_Inventory[[#This Row],[decade]]="",1,_xlfn.IFNA(VLOOKUP(Wapato_Inventory[[#This Row],[decade]],Lookups!$F$28:$H$45,3,FALSE),1))</f>
        <v>0.8438929209510081</v>
      </c>
      <c r="BX497" s="2">
        <f>_xlfn.IFNA(VLOOKUP(Wapato_Inventory[[#This Row],[living_area_range]],Lookups!$K$28:$M$37,3,FALSE),1)</f>
        <v>0.99022994770196116</v>
      </c>
      <c r="BY497" s="2">
        <f>AVERAGE(Wapato_Inventory[[#This Row],[qual_adj]:[range_adj]])</f>
        <v>0.94500360190975607</v>
      </c>
      <c r="BZ497" s="7">
        <f>(Wapato_Inventory[[#This Row],[sum_land]]-IF(Wapato_Inventory[[#This Row],[no_utilities]]=1,12000,0))/IF(Wapato_Inventory[[#This Row],[unbuildable]]=1,2,1)</f>
        <v>53000</v>
      </c>
      <c r="CA497" s="7">
        <f>Wapato_Inventory[[#This Row],[pre_res]]*Wapato_Inventory[[#This Row],[overall_adj]]</f>
        <v>138891.196699224</v>
      </c>
      <c r="CB49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497" s="3">
        <f>IF(ROUND(Wapato_Inventory[[#This Row],[adj_res]]*Lookups!$H$48,-2)&lt;Wapato_Inventory[[#This Row],[min_res]],Wapato_Inventory[[#This Row],[min_res]],ROUND(Wapato_Inventory[[#This Row],[adj_res]]*Lookups!$H$48,-2))</f>
        <v>131900</v>
      </c>
      <c r="CD497" s="3">
        <f>ROUND(Wapato_Inventory[[#This Row],[det_value]]*Lookups!$H$48,-2)</f>
        <v>0</v>
      </c>
      <c r="CE497" s="3">
        <f>Wapato_Inventory[[#This Row],[final_res]]+Wapato_Inventory[[#This Row],[final_det]]</f>
        <v>131900</v>
      </c>
      <c r="CF497" s="3">
        <f>Wapato_Inventory[[#This Row],[crop_value]]+Wapato_Inventory[[#This Row],[final_land]]+Wapato_Inventory[[#This Row],[final_imp]]</f>
        <v>182300</v>
      </c>
      <c r="CH497" t="str">
        <f t="shared" si="7"/>
        <v>update valuation set market_land =50400, market_bldg=131900, market_total =182300, market_mdno =405, market_date ='9/10/2023' where link_id = (select link_id from parcel where parcel_year = '2024' and parcel_id = '19111511545');</v>
      </c>
    </row>
    <row r="498" spans="1:86" x14ac:dyDescent="0.25">
      <c r="A498">
        <v>19111511546</v>
      </c>
      <c r="B498">
        <v>0.08</v>
      </c>
      <c r="C498">
        <v>3288</v>
      </c>
      <c r="D498" t="s">
        <v>144</v>
      </c>
      <c r="E498" t="s">
        <v>54</v>
      </c>
      <c r="F498" t="s">
        <v>54</v>
      </c>
      <c r="G498">
        <v>3</v>
      </c>
      <c r="H498" t="s">
        <v>55</v>
      </c>
      <c r="I498">
        <v>144300</v>
      </c>
      <c r="J498">
        <v>27900</v>
      </c>
      <c r="K498">
        <v>0.08</v>
      </c>
      <c r="L498">
        <f>IF(Wapato_Inventory[[#This Row],[parcel_acres]]-Wapato_Inventory[[#This Row],[non_valued_acres]] =0,0,LN(Wapato_Inventory[[#This Row],[parcel_acres]]-Wapato_Inventory[[#This Row],[non_valued_acres]]))</f>
        <v>-2.5257286443082556</v>
      </c>
      <c r="M498">
        <v>0</v>
      </c>
      <c r="N498">
        <v>0</v>
      </c>
      <c r="O498">
        <v>0</v>
      </c>
      <c r="P498">
        <v>27904.037</v>
      </c>
      <c r="Q498">
        <v>74398</v>
      </c>
      <c r="R498" s="3">
        <f>(Wapato_Inventory[[#This Row],[ln_acres]]*Wapato_Inventory[[#This Row],[coeff]])+Wapato_Inventory[[#This Row],[const]]</f>
        <v>3919.9744572625932</v>
      </c>
      <c r="S498" t="s">
        <v>56</v>
      </c>
      <c r="T498">
        <v>2</v>
      </c>
      <c r="U498" t="s">
        <v>75</v>
      </c>
      <c r="V498" t="s">
        <v>68</v>
      </c>
      <c r="W498">
        <v>0</v>
      </c>
      <c r="X498">
        <v>0</v>
      </c>
      <c r="Y498">
        <v>50</v>
      </c>
      <c r="Z498">
        <v>73</v>
      </c>
      <c r="AA498">
        <v>80</v>
      </c>
      <c r="AB498">
        <v>1500</v>
      </c>
      <c r="AC498">
        <v>1050</v>
      </c>
      <c r="AD498">
        <v>810</v>
      </c>
      <c r="AE498">
        <v>240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5</v>
      </c>
      <c r="AQ498">
        <v>0</v>
      </c>
      <c r="AR498">
        <v>0</v>
      </c>
      <c r="AS498" t="s">
        <v>59</v>
      </c>
      <c r="AT498">
        <v>1</v>
      </c>
      <c r="AU498" t="s">
        <v>64</v>
      </c>
      <c r="AV498" t="s">
        <v>65</v>
      </c>
      <c r="AW498">
        <v>1</v>
      </c>
      <c r="AX498">
        <v>3</v>
      </c>
      <c r="AY498">
        <v>0</v>
      </c>
      <c r="AZ498">
        <v>4400</v>
      </c>
      <c r="BA498">
        <v>100</v>
      </c>
      <c r="BB498">
        <v>100</v>
      </c>
      <c r="BC498">
        <v>100</v>
      </c>
      <c r="BD498">
        <v>100</v>
      </c>
      <c r="BE498">
        <v>1</v>
      </c>
      <c r="BF498">
        <v>15000</v>
      </c>
      <c r="BG498">
        <v>1000</v>
      </c>
      <c r="BH498" s="7">
        <f>ROUND(Wapato_Inventory[[#This Row],[detatched_value]]*Lookups!$B$22*Lookups!$H$48,-2)</f>
        <v>3900</v>
      </c>
      <c r="BI498" s="7">
        <f>ROUND(((Wapato_Inventory[[#This Row],[land_extract]]*Lookups!$B$3) +(Lookups!$B$2*0.5))*Lookups!$H$48,-2)</f>
        <v>51500</v>
      </c>
      <c r="BJ498" s="7">
        <f>IF(Wapato_Inventory[[#This Row],[bldg_style]]="",0,Lookups!$B$2*0.5)</f>
        <v>53765.27</v>
      </c>
      <c r="BK498" s="7">
        <f>_xlfn.IFNA(VLOOKUP(Wapato_Inventory[[#This Row],[quality]],Lookups!$H$2:$J$14,3,FALSE),0)</f>
        <v>48043</v>
      </c>
      <c r="BL498" s="7">
        <f>_xlfn.IFNA(VLOOKUP(Wapato_Inventory[[#This Row],[condition]],Lookups!$H$17:$J$24,3,FALSE),0)</f>
        <v>52231</v>
      </c>
      <c r="BM498" s="7">
        <f>Wapato_Inventory[[#This Row],[Age]]*Lookups!$B$16</f>
        <v>-27059.326100000002</v>
      </c>
      <c r="BN498" s="7">
        <f>Wapato_Inventory[[#This Row],[Main Floor]]*Lookups!$B$17</f>
        <v>33858.598590000001</v>
      </c>
      <c r="BO498" s="7">
        <f>Wapato_Inventory[[#This Row],[Upper Floor]]*Lookups!$B$18</f>
        <v>11904.273360000001</v>
      </c>
      <c r="BP498" s="7">
        <f>Wapato_Inventory[[#This Row],[Fin BSMT]]*Lookups!$B$19</f>
        <v>0</v>
      </c>
      <c r="BQ498" s="7">
        <f>(Wapato_Inventory[[#This Row],[att_gar]]+Wapato_Inventory[[#This Row],[blt_gar]])*Lookups!$B$20</f>
        <v>0</v>
      </c>
      <c r="BR498" s="7">
        <f>Wapato_Inventory[[#This Row],[Patio]]*Lookups!$B$21</f>
        <v>0</v>
      </c>
      <c r="BS498" s="7">
        <f>SUM(Wapato_Inventory[[#This Row],[intercept]:[patio_value]])*Wapato_Inventory[[#This Row],[res_pct]]</f>
        <v>172742.81584999998</v>
      </c>
      <c r="BT498" s="7">
        <f>Wapato_Inventory[[#This Row],[land_value]]</f>
        <v>51500</v>
      </c>
      <c r="BU498" s="2">
        <f>_xlfn.IFNA(VLOOKUP(Wapato_Inventory[[#This Row],[quality]],Lookups!$A$28:$C$37,3,FALSE),1)</f>
        <v>0.98196844879778955</v>
      </c>
      <c r="BV498" s="2">
        <f>_xlfn.IFNA(VLOOKUP(Wapato_Inventory[[#This Row],[condition]],Lookups!$A$41:$C$48,3,FALSE),1)</f>
        <v>0.9832333997567807</v>
      </c>
      <c r="BW498" s="2">
        <f>IF(Wapato_Inventory[[#This Row],[decade]]="",1,_xlfn.IFNA(VLOOKUP(Wapato_Inventory[[#This Row],[decade]],Lookups!$F$28:$H$45,3,FALSE),1))</f>
        <v>0.8438929209510081</v>
      </c>
      <c r="BX498" s="2">
        <f>_xlfn.IFNA(VLOOKUP(Wapato_Inventory[[#This Row],[living_area_range]],Lookups!$K$28:$M$37,3,FALSE),1)</f>
        <v>1.0061411172456287</v>
      </c>
      <c r="BY498" s="2">
        <f>AVERAGE(Wapato_Inventory[[#This Row],[qual_adj]:[range_adj]])</f>
        <v>0.95380897168780177</v>
      </c>
      <c r="BZ498" s="7">
        <f>(Wapato_Inventory[[#This Row],[sum_land]]-IF(Wapato_Inventory[[#This Row],[no_utilities]]=1,12000,0))/IF(Wapato_Inventory[[#This Row],[unbuildable]]=1,2,1)</f>
        <v>51500</v>
      </c>
      <c r="CA498" s="7">
        <f>Wapato_Inventory[[#This Row],[pre_res]]*Wapato_Inventory[[#This Row],[overall_adj]]</f>
        <v>164763.64755234378</v>
      </c>
      <c r="CB498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498" s="3">
        <f>IF(ROUND(Wapato_Inventory[[#This Row],[adj_res]]*Lookups!$H$48,-2)&lt;Wapato_Inventory[[#This Row],[min_res]],Wapato_Inventory[[#This Row],[min_res]],ROUND(Wapato_Inventory[[#This Row],[adj_res]]*Lookups!$H$48,-2))</f>
        <v>156500</v>
      </c>
      <c r="CD498" s="3">
        <f>ROUND(Wapato_Inventory[[#This Row],[det_value]]*Lookups!$H$48,-2)</f>
        <v>3700</v>
      </c>
      <c r="CE498" s="3">
        <f>Wapato_Inventory[[#This Row],[final_res]]+Wapato_Inventory[[#This Row],[final_det]]</f>
        <v>160200</v>
      </c>
      <c r="CF498" s="3">
        <f>Wapato_Inventory[[#This Row],[crop_value]]+Wapato_Inventory[[#This Row],[final_land]]+Wapato_Inventory[[#This Row],[final_imp]]</f>
        <v>209100</v>
      </c>
      <c r="CH498" t="str">
        <f t="shared" si="7"/>
        <v>update valuation set market_land =48900, market_bldg=160200, market_total =209100, market_mdno =405, market_date ='9/10/2023' where link_id = (select link_id from parcel where parcel_year = '2024' and parcel_id = '19111511546');</v>
      </c>
    </row>
    <row r="499" spans="1:86" x14ac:dyDescent="0.25">
      <c r="A499">
        <v>19111511547</v>
      </c>
      <c r="B499">
        <v>0.12</v>
      </c>
      <c r="C499">
        <v>5232</v>
      </c>
      <c r="D499" t="s">
        <v>144</v>
      </c>
      <c r="E499" t="s">
        <v>54</v>
      </c>
      <c r="F499" t="s">
        <v>54</v>
      </c>
      <c r="G499">
        <v>3</v>
      </c>
      <c r="H499" t="s">
        <v>55</v>
      </c>
      <c r="I499">
        <v>131200</v>
      </c>
      <c r="J499">
        <v>30800</v>
      </c>
      <c r="K499">
        <v>0.12</v>
      </c>
      <c r="L499">
        <f>IF(Wapato_Inventory[[#This Row],[parcel_acres]]-Wapato_Inventory[[#This Row],[non_valued_acres]] =0,0,LN(Wapato_Inventory[[#This Row],[parcel_acres]]-Wapato_Inventory[[#This Row],[non_valued_acres]]))</f>
        <v>-2.120263536200091</v>
      </c>
      <c r="M499">
        <v>0</v>
      </c>
      <c r="N499">
        <v>0</v>
      </c>
      <c r="O499">
        <v>0</v>
      </c>
      <c r="P499">
        <v>27904.037</v>
      </c>
      <c r="Q499">
        <v>74398</v>
      </c>
      <c r="R499" s="3">
        <f>(Wapato_Inventory[[#This Row],[ln_acres]]*Wapato_Inventory[[#This Row],[coeff]])+Wapato_Inventory[[#This Row],[const]]</f>
        <v>15234.08783612182</v>
      </c>
      <c r="S499" t="s">
        <v>66</v>
      </c>
      <c r="T499">
        <v>1</v>
      </c>
      <c r="U499" t="s">
        <v>71</v>
      </c>
      <c r="V499" t="s">
        <v>69</v>
      </c>
      <c r="W499">
        <v>0</v>
      </c>
      <c r="X499">
        <v>0</v>
      </c>
      <c r="Y499">
        <v>65</v>
      </c>
      <c r="Z499">
        <v>113</v>
      </c>
      <c r="AA499">
        <v>120</v>
      </c>
      <c r="AB499">
        <v>1000</v>
      </c>
      <c r="AC499">
        <v>888</v>
      </c>
      <c r="AD499">
        <v>888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112</v>
      </c>
      <c r="AO499">
        <v>0</v>
      </c>
      <c r="AP499">
        <v>5</v>
      </c>
      <c r="AQ499">
        <v>0</v>
      </c>
      <c r="AR499">
        <v>0</v>
      </c>
      <c r="AS499" t="s">
        <v>59</v>
      </c>
      <c r="AT499">
        <v>0</v>
      </c>
      <c r="AU499" t="s">
        <v>80</v>
      </c>
      <c r="AV499" t="s">
        <v>65</v>
      </c>
      <c r="AW499">
        <v>0</v>
      </c>
      <c r="AX499">
        <v>2</v>
      </c>
      <c r="AY499">
        <v>0</v>
      </c>
      <c r="AZ499">
        <v>3100</v>
      </c>
      <c r="BA499">
        <v>100</v>
      </c>
      <c r="BB499">
        <v>100</v>
      </c>
      <c r="BC499">
        <v>100</v>
      </c>
      <c r="BD499">
        <v>100</v>
      </c>
      <c r="BE499">
        <v>1</v>
      </c>
      <c r="BF499">
        <v>15000</v>
      </c>
      <c r="BG499">
        <v>1000</v>
      </c>
      <c r="BH499" s="7">
        <f>ROUND(Wapato_Inventory[[#This Row],[detatched_value]]*Lookups!$B$22*Lookups!$H$48,-2)</f>
        <v>2800</v>
      </c>
      <c r="BI499" s="7">
        <f>ROUND(((Wapato_Inventory[[#This Row],[land_extract]]*Lookups!$B$3) +(Lookups!$B$2*0.5))*Lookups!$H$48,-2)</f>
        <v>52500</v>
      </c>
      <c r="BJ499" s="7">
        <f>IF(Wapato_Inventory[[#This Row],[bldg_style]]="",0,Lookups!$B$2*0.5)</f>
        <v>53765.27</v>
      </c>
      <c r="BK499" s="7">
        <f>_xlfn.IFNA(VLOOKUP(Wapato_Inventory[[#This Row],[quality]],Lookups!$H$2:$J$14,3,FALSE),0)</f>
        <v>28034</v>
      </c>
      <c r="BL499" s="7">
        <f>_xlfn.IFNA(VLOOKUP(Wapato_Inventory[[#This Row],[condition]],Lookups!$H$17:$J$24,3,FALSE),0)</f>
        <v>74543</v>
      </c>
      <c r="BM499" s="7">
        <f>Wapato_Inventory[[#This Row],[Age]]*Lookups!$B$16</f>
        <v>-41886.354100000004</v>
      </c>
      <c r="BN499" s="7">
        <f>Wapato_Inventory[[#This Row],[Main Floor]]*Lookups!$B$17</f>
        <v>37119.056232000003</v>
      </c>
      <c r="BO499" s="7">
        <f>Wapato_Inventory[[#This Row],[Upper Floor]]*Lookups!$B$18</f>
        <v>0</v>
      </c>
      <c r="BP499" s="7">
        <f>Wapato_Inventory[[#This Row],[Fin BSMT]]*Lookups!$B$19</f>
        <v>0</v>
      </c>
      <c r="BQ499" s="7">
        <f>(Wapato_Inventory[[#This Row],[att_gar]]+Wapato_Inventory[[#This Row],[blt_gar]])*Lookups!$B$20</f>
        <v>0</v>
      </c>
      <c r="BR499" s="7">
        <f>Wapato_Inventory[[#This Row],[Patio]]*Lookups!$B$21</f>
        <v>0</v>
      </c>
      <c r="BS499" s="7">
        <f>SUM(Wapato_Inventory[[#This Row],[intercept]:[patio_value]])*Wapato_Inventory[[#This Row],[res_pct]]</f>
        <v>151574.972132</v>
      </c>
      <c r="BT499" s="7">
        <f>Wapato_Inventory[[#This Row],[land_value]]</f>
        <v>52500</v>
      </c>
      <c r="BU499" s="2">
        <f>_xlfn.IFNA(VLOOKUP(Wapato_Inventory[[#This Row],[quality]],Lookups!$A$28:$C$37,3,FALSE),1)</f>
        <v>0.96265813922927435</v>
      </c>
      <c r="BV499" s="2">
        <f>_xlfn.IFNA(VLOOKUP(Wapato_Inventory[[#This Row],[condition]],Lookups!$A$41:$C$48,3,FALSE),1)</f>
        <v>0.98442438223270734</v>
      </c>
      <c r="BW499" s="2">
        <f>IF(Wapato_Inventory[[#This Row],[decade]]="",1,_xlfn.IFNA(VLOOKUP(Wapato_Inventory[[#This Row],[decade]],Lookups!$F$28:$H$45,3,FALSE),1))</f>
        <v>0.93664589651353292</v>
      </c>
      <c r="BX499" s="2">
        <f>_xlfn.IFNA(VLOOKUP(Wapato_Inventory[[#This Row],[living_area_range]],Lookups!$K$28:$M$37,3,FALSE),1)</f>
        <v>0.99022994770196116</v>
      </c>
      <c r="BY499" s="2">
        <f>AVERAGE(Wapato_Inventory[[#This Row],[qual_adj]:[range_adj]])</f>
        <v>0.96848959141936886</v>
      </c>
      <c r="BZ499" s="7">
        <f>(Wapato_Inventory[[#This Row],[sum_land]]-IF(Wapato_Inventory[[#This Row],[no_utilities]]=1,12000,0))/IF(Wapato_Inventory[[#This Row],[unbuildable]]=1,2,1)</f>
        <v>52500</v>
      </c>
      <c r="CA499" s="7">
        <f>Wapato_Inventory[[#This Row],[pre_res]]*Wapato_Inventory[[#This Row],[overall_adj]]</f>
        <v>146798.78282952288</v>
      </c>
      <c r="CB499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499" s="3">
        <f>IF(ROUND(Wapato_Inventory[[#This Row],[adj_res]]*Lookups!$H$48,-2)&lt;Wapato_Inventory[[#This Row],[min_res]],Wapato_Inventory[[#This Row],[min_res]],ROUND(Wapato_Inventory[[#This Row],[adj_res]]*Lookups!$H$48,-2))</f>
        <v>139500</v>
      </c>
      <c r="CD499" s="3">
        <f>ROUND(Wapato_Inventory[[#This Row],[det_value]]*Lookups!$H$48,-2)</f>
        <v>2700</v>
      </c>
      <c r="CE499" s="3">
        <f>Wapato_Inventory[[#This Row],[final_res]]+Wapato_Inventory[[#This Row],[final_det]]</f>
        <v>142200</v>
      </c>
      <c r="CF499" s="3">
        <f>Wapato_Inventory[[#This Row],[crop_value]]+Wapato_Inventory[[#This Row],[final_land]]+Wapato_Inventory[[#This Row],[final_imp]]</f>
        <v>192100</v>
      </c>
      <c r="CH499" t="str">
        <f t="shared" si="7"/>
        <v>update valuation set market_land =49900, market_bldg=142200, market_total =192100, market_mdno =405, market_date ='9/10/2023' where link_id = (select link_id from parcel where parcel_year = '2024' and parcel_id = '19111511547');</v>
      </c>
    </row>
    <row r="500" spans="1:86" x14ac:dyDescent="0.25">
      <c r="A500">
        <v>19111511553</v>
      </c>
      <c r="B500">
        <v>0.15</v>
      </c>
      <c r="C500">
        <v>6722</v>
      </c>
      <c r="D500" t="s">
        <v>144</v>
      </c>
      <c r="E500" t="s">
        <v>54</v>
      </c>
      <c r="F500" t="s">
        <v>54</v>
      </c>
      <c r="G500">
        <v>3</v>
      </c>
      <c r="H500" t="s">
        <v>55</v>
      </c>
      <c r="I500">
        <v>287900</v>
      </c>
      <c r="J500">
        <v>31900</v>
      </c>
      <c r="K500">
        <v>0.15</v>
      </c>
      <c r="L500">
        <f>IF(Wapato_Inventory[[#This Row],[parcel_acres]]-Wapato_Inventory[[#This Row],[non_valued_acres]] =0,0,LN(Wapato_Inventory[[#This Row],[parcel_acres]]-Wapato_Inventory[[#This Row],[non_valued_acres]]))</f>
        <v>-1.8971199848858813</v>
      </c>
      <c r="M500">
        <v>0</v>
      </c>
      <c r="N500">
        <v>0</v>
      </c>
      <c r="O500">
        <v>0</v>
      </c>
      <c r="P500">
        <v>27904.037</v>
      </c>
      <c r="Q500">
        <v>74398</v>
      </c>
      <c r="R500" s="3">
        <f>(Wapato_Inventory[[#This Row],[ln_acres]]*Wapato_Inventory[[#This Row],[coeff]])+Wapato_Inventory[[#This Row],[const]]</f>
        <v>21460.693748304926</v>
      </c>
      <c r="S500" t="s">
        <v>56</v>
      </c>
      <c r="T500">
        <v>2</v>
      </c>
      <c r="U500" t="s">
        <v>67</v>
      </c>
      <c r="V500" t="s">
        <v>69</v>
      </c>
      <c r="W500">
        <v>0</v>
      </c>
      <c r="X500">
        <v>0</v>
      </c>
      <c r="Y500">
        <v>23</v>
      </c>
      <c r="Z500">
        <v>73</v>
      </c>
      <c r="AA500">
        <v>80</v>
      </c>
      <c r="AB500">
        <v>3000</v>
      </c>
      <c r="AC500">
        <v>2772</v>
      </c>
      <c r="AD500">
        <v>1932</v>
      </c>
      <c r="AE500">
        <v>840</v>
      </c>
      <c r="AF500">
        <v>0</v>
      </c>
      <c r="AG500">
        <v>0</v>
      </c>
      <c r="AH500">
        <v>0</v>
      </c>
      <c r="AI500">
        <v>504</v>
      </c>
      <c r="AJ500">
        <v>0</v>
      </c>
      <c r="AK500">
        <v>0</v>
      </c>
      <c r="AL500">
        <v>0</v>
      </c>
      <c r="AM500">
        <v>0</v>
      </c>
      <c r="AN500">
        <v>120</v>
      </c>
      <c r="AO500">
        <v>0</v>
      </c>
      <c r="AP500">
        <v>14</v>
      </c>
      <c r="AQ500">
        <v>0</v>
      </c>
      <c r="AR500">
        <v>0</v>
      </c>
      <c r="AS500" t="s">
        <v>59</v>
      </c>
      <c r="AT500">
        <v>1</v>
      </c>
      <c r="AU500" t="s">
        <v>76</v>
      </c>
      <c r="AV500" t="s">
        <v>61</v>
      </c>
      <c r="AW500">
        <v>0</v>
      </c>
      <c r="AX500">
        <v>5</v>
      </c>
      <c r="AY500">
        <v>0</v>
      </c>
      <c r="AZ500">
        <v>0</v>
      </c>
      <c r="BA500">
        <v>100</v>
      </c>
      <c r="BB500">
        <v>100</v>
      </c>
      <c r="BC500">
        <v>100</v>
      </c>
      <c r="BD500">
        <v>100</v>
      </c>
      <c r="BE500">
        <v>1</v>
      </c>
      <c r="BF500">
        <v>15000</v>
      </c>
      <c r="BG500">
        <v>1000</v>
      </c>
      <c r="BH500" s="7">
        <f>ROUND(Wapato_Inventory[[#This Row],[detatched_value]]*Lookups!$B$22*Lookups!$H$48,-2)</f>
        <v>0</v>
      </c>
      <c r="BI500" s="7">
        <f>ROUND(((Wapato_Inventory[[#This Row],[land_extract]]*Lookups!$B$3) +(Lookups!$B$2*0.5))*Lookups!$H$48,-2)</f>
        <v>53100</v>
      </c>
      <c r="BJ500" s="7">
        <f>IF(Wapato_Inventory[[#This Row],[bldg_style]]="",0,Lookups!$B$2*0.5)</f>
        <v>53765.27</v>
      </c>
      <c r="BK500" s="7">
        <f>_xlfn.IFNA(VLOOKUP(Wapato_Inventory[[#This Row],[quality]],Lookups!$H$2:$J$14,3,FALSE),0)</f>
        <v>50405</v>
      </c>
      <c r="BL500" s="7">
        <f>_xlfn.IFNA(VLOOKUP(Wapato_Inventory[[#This Row],[condition]],Lookups!$H$17:$J$24,3,FALSE),0)</f>
        <v>74543</v>
      </c>
      <c r="BM500" s="7">
        <f>Wapato_Inventory[[#This Row],[Age]]*Lookups!$B$16</f>
        <v>-27059.326100000002</v>
      </c>
      <c r="BN500" s="7">
        <f>Wapato_Inventory[[#This Row],[Main Floor]]*Lookups!$B$17</f>
        <v>80759.027747999993</v>
      </c>
      <c r="BO500" s="7">
        <f>Wapato_Inventory[[#This Row],[Upper Floor]]*Lookups!$B$18</f>
        <v>41664.956760000001</v>
      </c>
      <c r="BP500" s="7">
        <f>Wapato_Inventory[[#This Row],[Fin BSMT]]*Lookups!$B$19</f>
        <v>0</v>
      </c>
      <c r="BQ500" s="7">
        <f>(Wapato_Inventory[[#This Row],[att_gar]]+Wapato_Inventory[[#This Row],[blt_gar]])*Lookups!$B$20</f>
        <v>18652.411007999999</v>
      </c>
      <c r="BR500" s="7">
        <f>Wapato_Inventory[[#This Row],[Patio]]*Lookups!$B$21</f>
        <v>0</v>
      </c>
      <c r="BS500" s="7">
        <f>SUM(Wapato_Inventory[[#This Row],[intercept]:[patio_value]])*Wapato_Inventory[[#This Row],[res_pct]]</f>
        <v>292730.339416</v>
      </c>
      <c r="BT500" s="7">
        <f>Wapato_Inventory[[#This Row],[land_value]]</f>
        <v>53100</v>
      </c>
      <c r="BU500" s="2">
        <f>_xlfn.IFNA(VLOOKUP(Wapato_Inventory[[#This Row],[quality]],Lookups!$A$28:$C$37,3,FALSE),1)</f>
        <v>0.97993206410140754</v>
      </c>
      <c r="BV500" s="2">
        <f>_xlfn.IFNA(VLOOKUP(Wapato_Inventory[[#This Row],[condition]],Lookups!$A$41:$C$48,3,FALSE),1)</f>
        <v>0.98442438223270734</v>
      </c>
      <c r="BW500" s="2">
        <f>IF(Wapato_Inventory[[#This Row],[decade]]="",1,_xlfn.IFNA(VLOOKUP(Wapato_Inventory[[#This Row],[decade]],Lookups!$F$28:$H$45,3,FALSE),1))</f>
        <v>0.8438929209510081</v>
      </c>
      <c r="BX500" s="2">
        <f>_xlfn.IFNA(VLOOKUP(Wapato_Inventory[[#This Row],[living_area_range]],Lookups!$K$28:$M$37,3,FALSE),1)</f>
        <v>1.0155869662067822</v>
      </c>
      <c r="BY500" s="2">
        <f>AVERAGE(Wapato_Inventory[[#This Row],[qual_adj]:[range_adj]])</f>
        <v>0.9559590833729763</v>
      </c>
      <c r="BZ500" s="7">
        <f>(Wapato_Inventory[[#This Row],[sum_land]]-IF(Wapato_Inventory[[#This Row],[no_utilities]]=1,12000,0))/IF(Wapato_Inventory[[#This Row],[unbuildable]]=1,2,1)</f>
        <v>53100</v>
      </c>
      <c r="CA500" s="7">
        <f>Wapato_Inventory[[#This Row],[pre_res]]*Wapato_Inventory[[#This Row],[overall_adj]]</f>
        <v>279838.22694357962</v>
      </c>
      <c r="CB50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00" s="3">
        <f>IF(ROUND(Wapato_Inventory[[#This Row],[adj_res]]*Lookups!$H$48,-2)&lt;Wapato_Inventory[[#This Row],[min_res]],Wapato_Inventory[[#This Row],[min_res]],ROUND(Wapato_Inventory[[#This Row],[adj_res]]*Lookups!$H$48,-2))</f>
        <v>265800</v>
      </c>
      <c r="CD500" s="3">
        <f>ROUND(Wapato_Inventory[[#This Row],[det_value]]*Lookups!$H$48,-2)</f>
        <v>0</v>
      </c>
      <c r="CE500" s="3">
        <f>Wapato_Inventory[[#This Row],[final_res]]+Wapato_Inventory[[#This Row],[final_det]]</f>
        <v>265800</v>
      </c>
      <c r="CF500" s="3">
        <f>Wapato_Inventory[[#This Row],[crop_value]]+Wapato_Inventory[[#This Row],[final_land]]+Wapato_Inventory[[#This Row],[final_imp]]</f>
        <v>316200</v>
      </c>
      <c r="CH500" t="str">
        <f t="shared" si="7"/>
        <v>update valuation set market_land =50400, market_bldg=265800, market_total =316200, market_mdno =405, market_date ='9/10/2023' where link_id = (select link_id from parcel where parcel_year = '2024' and parcel_id = '19111511553');</v>
      </c>
    </row>
    <row r="501" spans="1:86" x14ac:dyDescent="0.25">
      <c r="A501">
        <v>19111511554</v>
      </c>
      <c r="B501">
        <v>0.14000000000000001</v>
      </c>
      <c r="C501">
        <v>5965</v>
      </c>
      <c r="D501" t="s">
        <v>144</v>
      </c>
      <c r="E501" t="s">
        <v>54</v>
      </c>
      <c r="F501" t="s">
        <v>54</v>
      </c>
      <c r="G501">
        <v>3</v>
      </c>
      <c r="H501" t="s">
        <v>55</v>
      </c>
      <c r="I501">
        <v>147500</v>
      </c>
      <c r="J501">
        <v>31900</v>
      </c>
      <c r="K501">
        <v>0.14000000000000001</v>
      </c>
      <c r="L501">
        <f>IF(Wapato_Inventory[[#This Row],[parcel_acres]]-Wapato_Inventory[[#This Row],[non_valued_acres]] =0,0,LN(Wapato_Inventory[[#This Row],[parcel_acres]]-Wapato_Inventory[[#This Row],[non_valued_acres]]))</f>
        <v>-1.9661128563728327</v>
      </c>
      <c r="M501">
        <v>0</v>
      </c>
      <c r="N501">
        <v>0</v>
      </c>
      <c r="O501">
        <v>0</v>
      </c>
      <c r="P501">
        <v>27904.037</v>
      </c>
      <c r="Q501">
        <v>74398</v>
      </c>
      <c r="R501" s="3">
        <f>(Wapato_Inventory[[#This Row],[ln_acres]]*Wapato_Inventory[[#This Row],[coeff]])+Wapato_Inventory[[#This Row],[const]]</f>
        <v>19535.514109596792</v>
      </c>
      <c r="S501" t="s">
        <v>145</v>
      </c>
      <c r="T501">
        <v>1</v>
      </c>
      <c r="U501" t="s">
        <v>67</v>
      </c>
      <c r="V501" t="s">
        <v>68</v>
      </c>
      <c r="W501">
        <v>0</v>
      </c>
      <c r="X501">
        <v>0</v>
      </c>
      <c r="Y501">
        <v>52</v>
      </c>
      <c r="Z501">
        <v>88</v>
      </c>
      <c r="AA501">
        <v>90</v>
      </c>
      <c r="AB501">
        <v>1000</v>
      </c>
      <c r="AC501">
        <v>992</v>
      </c>
      <c r="AD501">
        <v>992</v>
      </c>
      <c r="AE501">
        <v>0</v>
      </c>
      <c r="AF501">
        <v>0</v>
      </c>
      <c r="AG501">
        <v>0</v>
      </c>
      <c r="AH501">
        <v>992</v>
      </c>
      <c r="AI501">
        <v>0</v>
      </c>
      <c r="AJ501">
        <v>0</v>
      </c>
      <c r="AK501">
        <v>0</v>
      </c>
      <c r="AL501">
        <v>0</v>
      </c>
      <c r="AM501">
        <v>80</v>
      </c>
      <c r="AN501">
        <v>0</v>
      </c>
      <c r="AO501">
        <v>0</v>
      </c>
      <c r="AP501">
        <v>5</v>
      </c>
      <c r="AQ501">
        <v>0</v>
      </c>
      <c r="AR501">
        <v>0</v>
      </c>
      <c r="AS501" t="s">
        <v>59</v>
      </c>
      <c r="AT501">
        <v>1</v>
      </c>
      <c r="AU501" t="s">
        <v>64</v>
      </c>
      <c r="AV501" t="s">
        <v>61</v>
      </c>
      <c r="AW501">
        <v>0</v>
      </c>
      <c r="AX501">
        <v>2</v>
      </c>
      <c r="AY501">
        <v>0</v>
      </c>
      <c r="AZ501">
        <v>4700</v>
      </c>
      <c r="BA501">
        <v>100</v>
      </c>
      <c r="BB501">
        <v>100</v>
      </c>
      <c r="BC501">
        <v>100</v>
      </c>
      <c r="BD501">
        <v>100</v>
      </c>
      <c r="BE501">
        <v>1</v>
      </c>
      <c r="BF501">
        <v>15000</v>
      </c>
      <c r="BG501">
        <v>1000</v>
      </c>
      <c r="BH501" s="7">
        <f>ROUND(Wapato_Inventory[[#This Row],[detatched_value]]*Lookups!$B$22*Lookups!$H$48,-2)</f>
        <v>4200</v>
      </c>
      <c r="BI501" s="7">
        <f>ROUND(((Wapato_Inventory[[#This Row],[land_extract]]*Lookups!$B$3) +(Lookups!$B$2*0.5))*Lookups!$H$48,-2)</f>
        <v>53000</v>
      </c>
      <c r="BJ501" s="7">
        <f>IF(Wapato_Inventory[[#This Row],[bldg_style]]="",0,Lookups!$B$2*0.5)</f>
        <v>53765.27</v>
      </c>
      <c r="BK501" s="7">
        <f>_xlfn.IFNA(VLOOKUP(Wapato_Inventory[[#This Row],[quality]],Lookups!$H$2:$J$14,3,FALSE),0)</f>
        <v>50405</v>
      </c>
      <c r="BL501" s="7">
        <f>_xlfn.IFNA(VLOOKUP(Wapato_Inventory[[#This Row],[condition]],Lookups!$H$17:$J$24,3,FALSE),0)</f>
        <v>52231</v>
      </c>
      <c r="BM501" s="7">
        <f>Wapato_Inventory[[#This Row],[Age]]*Lookups!$B$16</f>
        <v>-32619.461600000002</v>
      </c>
      <c r="BN501" s="7">
        <f>Wapato_Inventory[[#This Row],[Main Floor]]*Lookups!$B$17</f>
        <v>41466.333087999999</v>
      </c>
      <c r="BO501" s="7">
        <f>Wapato_Inventory[[#This Row],[Upper Floor]]*Lookups!$B$18</f>
        <v>0</v>
      </c>
      <c r="BP501" s="7">
        <f>Wapato_Inventory[[#This Row],[Fin BSMT]]*Lookups!$B$19</f>
        <v>0</v>
      </c>
      <c r="BQ501" s="7">
        <f>(Wapato_Inventory[[#This Row],[att_gar]]+Wapato_Inventory[[#This Row],[blt_gar]])*Lookups!$B$20</f>
        <v>0</v>
      </c>
      <c r="BR501" s="7">
        <f>Wapato_Inventory[[#This Row],[Patio]]*Lookups!$B$21</f>
        <v>3465.9183200000002</v>
      </c>
      <c r="BS501" s="7">
        <f>SUM(Wapato_Inventory[[#This Row],[intercept]:[patio_value]])*Wapato_Inventory[[#This Row],[res_pct]]</f>
        <v>168714.05980799999</v>
      </c>
      <c r="BT501" s="7">
        <f>Wapato_Inventory[[#This Row],[land_value]]</f>
        <v>53000</v>
      </c>
      <c r="BU501" s="2">
        <f>_xlfn.IFNA(VLOOKUP(Wapato_Inventory[[#This Row],[quality]],Lookups!$A$28:$C$37,3,FALSE),1)</f>
        <v>0.97993206410140754</v>
      </c>
      <c r="BV501" s="2">
        <f>_xlfn.IFNA(VLOOKUP(Wapato_Inventory[[#This Row],[condition]],Lookups!$A$41:$C$48,3,FALSE),1)</f>
        <v>0.9832333997567807</v>
      </c>
      <c r="BW501" s="2">
        <f>IF(Wapato_Inventory[[#This Row],[decade]]="",1,_xlfn.IFNA(VLOOKUP(Wapato_Inventory[[#This Row],[decade]],Lookups!$F$28:$H$45,3,FALSE),1))</f>
        <v>0.94742695999815718</v>
      </c>
      <c r="BX501" s="2">
        <f>_xlfn.IFNA(VLOOKUP(Wapato_Inventory[[#This Row],[living_area_range]],Lookups!$K$28:$M$37,3,FALSE),1)</f>
        <v>0.99022994770196116</v>
      </c>
      <c r="BY501" s="2">
        <f>AVERAGE(Wapato_Inventory[[#This Row],[qual_adj]:[range_adj]])</f>
        <v>0.97520559288957664</v>
      </c>
      <c r="BZ501" s="7">
        <f>(Wapato_Inventory[[#This Row],[sum_land]]-IF(Wapato_Inventory[[#This Row],[no_utilities]]=1,12000,0))/IF(Wapato_Inventory[[#This Row],[unbuildable]]=1,2,1)</f>
        <v>53000</v>
      </c>
      <c r="CA501" s="7">
        <f>Wapato_Inventory[[#This Row],[pre_res]]*Wapato_Inventory[[#This Row],[overall_adj]]</f>
        <v>164530.89472386811</v>
      </c>
      <c r="CB50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01" s="3">
        <f>IF(ROUND(Wapato_Inventory[[#This Row],[adj_res]]*Lookups!$H$48,-2)&lt;Wapato_Inventory[[#This Row],[min_res]],Wapato_Inventory[[#This Row],[min_res]],ROUND(Wapato_Inventory[[#This Row],[adj_res]]*Lookups!$H$48,-2))</f>
        <v>156300</v>
      </c>
      <c r="CD501" s="3">
        <f>ROUND(Wapato_Inventory[[#This Row],[det_value]]*Lookups!$H$48,-2)</f>
        <v>4000</v>
      </c>
      <c r="CE501" s="3">
        <f>Wapato_Inventory[[#This Row],[final_res]]+Wapato_Inventory[[#This Row],[final_det]]</f>
        <v>160300</v>
      </c>
      <c r="CF501" s="3">
        <f>Wapato_Inventory[[#This Row],[crop_value]]+Wapato_Inventory[[#This Row],[final_land]]+Wapato_Inventory[[#This Row],[final_imp]]</f>
        <v>210700</v>
      </c>
      <c r="CH501" t="str">
        <f t="shared" si="7"/>
        <v>update valuation set market_land =50400, market_bldg=160300, market_total =210700, market_mdno =405, market_date ='9/10/2023' where link_id = (select link_id from parcel where parcel_year = '2024' and parcel_id = '19111511554');</v>
      </c>
    </row>
    <row r="502" spans="1:86" x14ac:dyDescent="0.25">
      <c r="A502">
        <v>19111511558</v>
      </c>
      <c r="B502">
        <v>0.15</v>
      </c>
      <c r="C502">
        <v>6534</v>
      </c>
      <c r="D502" t="s">
        <v>144</v>
      </c>
      <c r="E502" t="s">
        <v>54</v>
      </c>
      <c r="F502" t="s">
        <v>54</v>
      </c>
      <c r="G502">
        <v>3</v>
      </c>
      <c r="H502" t="s">
        <v>55</v>
      </c>
      <c r="I502">
        <v>235400</v>
      </c>
      <c r="J502">
        <v>32300</v>
      </c>
      <c r="K502">
        <v>0.15</v>
      </c>
      <c r="L502">
        <f>IF(Wapato_Inventory[[#This Row],[parcel_acres]]-Wapato_Inventory[[#This Row],[non_valued_acres]] =0,0,LN(Wapato_Inventory[[#This Row],[parcel_acres]]-Wapato_Inventory[[#This Row],[non_valued_acres]]))</f>
        <v>-1.8971199848858813</v>
      </c>
      <c r="M502">
        <v>0</v>
      </c>
      <c r="N502">
        <v>0</v>
      </c>
      <c r="O502">
        <v>0</v>
      </c>
      <c r="P502">
        <v>27904.037</v>
      </c>
      <c r="Q502">
        <v>74398</v>
      </c>
      <c r="R502" s="3">
        <f>(Wapato_Inventory[[#This Row],[ln_acres]]*Wapato_Inventory[[#This Row],[coeff]])+Wapato_Inventory[[#This Row],[const]]</f>
        <v>21460.693748304926</v>
      </c>
      <c r="S502" t="s">
        <v>62</v>
      </c>
      <c r="T502">
        <v>1</v>
      </c>
      <c r="U502" t="s">
        <v>75</v>
      </c>
      <c r="V502" t="s">
        <v>69</v>
      </c>
      <c r="W502">
        <v>0</v>
      </c>
      <c r="X502">
        <v>0</v>
      </c>
      <c r="Y502">
        <v>52</v>
      </c>
      <c r="Z502">
        <v>88</v>
      </c>
      <c r="AA502">
        <v>90</v>
      </c>
      <c r="AB502">
        <v>1500</v>
      </c>
      <c r="AC502">
        <v>1246</v>
      </c>
      <c r="AD502">
        <v>1246</v>
      </c>
      <c r="AE502">
        <v>0</v>
      </c>
      <c r="AF502">
        <v>0</v>
      </c>
      <c r="AG502">
        <v>0</v>
      </c>
      <c r="AH502">
        <v>1246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32</v>
      </c>
      <c r="AO502">
        <v>0</v>
      </c>
      <c r="AP502">
        <v>5</v>
      </c>
      <c r="AQ502">
        <v>0</v>
      </c>
      <c r="AR502">
        <v>2</v>
      </c>
      <c r="AS502" t="s">
        <v>59</v>
      </c>
      <c r="AT502">
        <v>1</v>
      </c>
      <c r="AU502" t="s">
        <v>64</v>
      </c>
      <c r="AV502" t="s">
        <v>77</v>
      </c>
      <c r="AW502">
        <v>0</v>
      </c>
      <c r="AX502">
        <v>3</v>
      </c>
      <c r="AY502">
        <v>0</v>
      </c>
      <c r="AZ502">
        <v>30900</v>
      </c>
      <c r="BA502">
        <v>100</v>
      </c>
      <c r="BB502">
        <v>100</v>
      </c>
      <c r="BC502">
        <v>100</v>
      </c>
      <c r="BD502">
        <v>100</v>
      </c>
      <c r="BE502">
        <v>1</v>
      </c>
      <c r="BF502">
        <v>15000</v>
      </c>
      <c r="BG502">
        <v>1000</v>
      </c>
      <c r="BH502" s="7">
        <f>ROUND(Wapato_Inventory[[#This Row],[detatched_value]]*Lookups!$B$22*Lookups!$H$48,-2)</f>
        <v>27600</v>
      </c>
      <c r="BI502" s="7">
        <f>ROUND(((Wapato_Inventory[[#This Row],[land_extract]]*Lookups!$B$3) +(Lookups!$B$2*0.5))*Lookups!$H$48,-2)</f>
        <v>53100</v>
      </c>
      <c r="BJ502" s="7">
        <f>IF(Wapato_Inventory[[#This Row],[bldg_style]]="",0,Lookups!$B$2*0.5)</f>
        <v>53765.27</v>
      </c>
      <c r="BK502" s="7">
        <f>_xlfn.IFNA(VLOOKUP(Wapato_Inventory[[#This Row],[quality]],Lookups!$H$2:$J$14,3,FALSE),0)</f>
        <v>48043</v>
      </c>
      <c r="BL502" s="7">
        <f>_xlfn.IFNA(VLOOKUP(Wapato_Inventory[[#This Row],[condition]],Lookups!$H$17:$J$24,3,FALSE),0)</f>
        <v>74543</v>
      </c>
      <c r="BM502" s="7">
        <f>Wapato_Inventory[[#This Row],[Age]]*Lookups!$B$16</f>
        <v>-32619.461600000002</v>
      </c>
      <c r="BN502" s="7">
        <f>Wapato_Inventory[[#This Row],[Main Floor]]*Lookups!$B$17</f>
        <v>52083.720794000001</v>
      </c>
      <c r="BO502" s="7">
        <f>Wapato_Inventory[[#This Row],[Upper Floor]]*Lookups!$B$18</f>
        <v>0</v>
      </c>
      <c r="BP502" s="7">
        <f>Wapato_Inventory[[#This Row],[Fin BSMT]]*Lookups!$B$19</f>
        <v>0</v>
      </c>
      <c r="BQ502" s="7">
        <f>(Wapato_Inventory[[#This Row],[att_gar]]+Wapato_Inventory[[#This Row],[blt_gar]])*Lookups!$B$20</f>
        <v>0</v>
      </c>
      <c r="BR502" s="7">
        <f>Wapato_Inventory[[#This Row],[Patio]]*Lookups!$B$21</f>
        <v>0</v>
      </c>
      <c r="BS502" s="7">
        <f>SUM(Wapato_Inventory[[#This Row],[intercept]:[patio_value]])*Wapato_Inventory[[#This Row],[res_pct]]</f>
        <v>195815.52919399997</v>
      </c>
      <c r="BT502" s="7">
        <f>Wapato_Inventory[[#This Row],[land_value]]</f>
        <v>53100</v>
      </c>
      <c r="BU502" s="2">
        <f>_xlfn.IFNA(VLOOKUP(Wapato_Inventory[[#This Row],[quality]],Lookups!$A$28:$C$37,3,FALSE),1)</f>
        <v>0.98196844879778955</v>
      </c>
      <c r="BV502" s="2">
        <f>_xlfn.IFNA(VLOOKUP(Wapato_Inventory[[#This Row],[condition]],Lookups!$A$41:$C$48,3,FALSE),1)</f>
        <v>0.98442438223270734</v>
      </c>
      <c r="BW502" s="2">
        <f>IF(Wapato_Inventory[[#This Row],[decade]]="",1,_xlfn.IFNA(VLOOKUP(Wapato_Inventory[[#This Row],[decade]],Lookups!$F$28:$H$45,3,FALSE),1))</f>
        <v>0.94742695999815718</v>
      </c>
      <c r="BX502" s="2">
        <f>_xlfn.IFNA(VLOOKUP(Wapato_Inventory[[#This Row],[living_area_range]],Lookups!$K$28:$M$37,3,FALSE),1)</f>
        <v>1.0061411172456287</v>
      </c>
      <c r="BY502" s="2">
        <f>AVERAGE(Wapato_Inventory[[#This Row],[qual_adj]:[range_adj]])</f>
        <v>0.97999022706857064</v>
      </c>
      <c r="BZ502" s="7">
        <f>(Wapato_Inventory[[#This Row],[sum_land]]-IF(Wapato_Inventory[[#This Row],[no_utilities]]=1,12000,0))/IF(Wapato_Inventory[[#This Row],[unbuildable]]=1,2,1)</f>
        <v>53100</v>
      </c>
      <c r="CA502" s="7">
        <f>Wapato_Inventory[[#This Row],[pre_res]]*Wapato_Inventory[[#This Row],[overall_adj]]</f>
        <v>191897.30491838037</v>
      </c>
      <c r="CB50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02" s="3">
        <f>IF(ROUND(Wapato_Inventory[[#This Row],[adj_res]]*Lookups!$H$48,-2)&lt;Wapato_Inventory[[#This Row],[min_res]],Wapato_Inventory[[#This Row],[min_res]],ROUND(Wapato_Inventory[[#This Row],[adj_res]]*Lookups!$H$48,-2))</f>
        <v>182300</v>
      </c>
      <c r="CD502" s="3">
        <f>ROUND(Wapato_Inventory[[#This Row],[det_value]]*Lookups!$H$48,-2)</f>
        <v>26200</v>
      </c>
      <c r="CE502" s="3">
        <f>Wapato_Inventory[[#This Row],[final_res]]+Wapato_Inventory[[#This Row],[final_det]]</f>
        <v>208500</v>
      </c>
      <c r="CF502" s="3">
        <f>Wapato_Inventory[[#This Row],[crop_value]]+Wapato_Inventory[[#This Row],[final_land]]+Wapato_Inventory[[#This Row],[final_imp]]</f>
        <v>258900</v>
      </c>
      <c r="CH502" t="str">
        <f t="shared" si="7"/>
        <v>update valuation set market_land =50400, market_bldg=208500, market_total =258900, market_mdno =405, market_date ='9/10/2023' where link_id = (select link_id from parcel where parcel_year = '2024' and parcel_id = '19111511558');</v>
      </c>
    </row>
    <row r="503" spans="1:86" x14ac:dyDescent="0.25">
      <c r="A503">
        <v>19111511559</v>
      </c>
      <c r="B503">
        <v>0.06</v>
      </c>
      <c r="C503">
        <v>2724</v>
      </c>
      <c r="D503" t="s">
        <v>144</v>
      </c>
      <c r="E503" t="s">
        <v>54</v>
      </c>
      <c r="F503" t="s">
        <v>54</v>
      </c>
      <c r="G503">
        <v>3</v>
      </c>
      <c r="H503" t="s">
        <v>55</v>
      </c>
      <c r="I503">
        <v>56400</v>
      </c>
      <c r="J503">
        <v>25800</v>
      </c>
      <c r="K503">
        <v>0.06</v>
      </c>
      <c r="L503">
        <f>IF(Wapato_Inventory[[#This Row],[parcel_acres]]-Wapato_Inventory[[#This Row],[non_valued_acres]] =0,0,LN(Wapato_Inventory[[#This Row],[parcel_acres]]-Wapato_Inventory[[#This Row],[non_valued_acres]]))</f>
        <v>-2.8134107167600364</v>
      </c>
      <c r="M503">
        <v>0</v>
      </c>
      <c r="N503">
        <v>0</v>
      </c>
      <c r="O503">
        <v>0</v>
      </c>
      <c r="P503">
        <v>27904.037</v>
      </c>
      <c r="Q503">
        <v>74398</v>
      </c>
      <c r="R503" s="3">
        <f>(Wapato_Inventory[[#This Row],[ln_acres]]*Wapato_Inventory[[#This Row],[coeff]])+Wapato_Inventory[[#This Row],[const]]</f>
        <v>-4107.5167366685782</v>
      </c>
      <c r="S503" t="s">
        <v>83</v>
      </c>
      <c r="T503">
        <v>1</v>
      </c>
      <c r="U503" t="s">
        <v>78</v>
      </c>
      <c r="V503" t="s">
        <v>73</v>
      </c>
      <c r="W503">
        <v>0</v>
      </c>
      <c r="X503">
        <v>0</v>
      </c>
      <c r="Y503">
        <v>83</v>
      </c>
      <c r="Z503">
        <v>103</v>
      </c>
      <c r="AA503">
        <v>110</v>
      </c>
      <c r="AB503">
        <v>1000</v>
      </c>
      <c r="AC503">
        <v>647</v>
      </c>
      <c r="AD503">
        <v>647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45</v>
      </c>
      <c r="AO503">
        <v>0</v>
      </c>
      <c r="AP503">
        <v>5</v>
      </c>
      <c r="AQ503">
        <v>0</v>
      </c>
      <c r="AR503">
        <v>0</v>
      </c>
      <c r="AS503" t="s">
        <v>59</v>
      </c>
      <c r="AT503">
        <v>0</v>
      </c>
      <c r="AU503" t="s">
        <v>80</v>
      </c>
      <c r="AV503" t="s">
        <v>147</v>
      </c>
      <c r="AW503">
        <v>0</v>
      </c>
      <c r="AX503">
        <v>2</v>
      </c>
      <c r="AY503">
        <v>0</v>
      </c>
      <c r="AZ503">
        <v>0</v>
      </c>
      <c r="BA503">
        <v>100</v>
      </c>
      <c r="BB503">
        <v>100</v>
      </c>
      <c r="BC503">
        <v>100</v>
      </c>
      <c r="BD503">
        <v>100</v>
      </c>
      <c r="BE503">
        <v>1</v>
      </c>
      <c r="BF503">
        <v>15000</v>
      </c>
      <c r="BG503">
        <v>1000</v>
      </c>
      <c r="BH503" s="7">
        <f>ROUND(Wapato_Inventory[[#This Row],[detatched_value]]*Lookups!$B$22*Lookups!$H$48,-2)</f>
        <v>0</v>
      </c>
      <c r="BI503" s="7">
        <f>ROUND(((Wapato_Inventory[[#This Row],[land_extract]]*Lookups!$B$3) +(Lookups!$B$2*0.5))*Lookups!$H$48,-2)</f>
        <v>50700</v>
      </c>
      <c r="BJ503" s="7">
        <f>IF(Wapato_Inventory[[#This Row],[bldg_style]]="",0,Lookups!$B$2*0.5)</f>
        <v>53765.27</v>
      </c>
      <c r="BK503" s="7">
        <f>_xlfn.IFNA(VLOOKUP(Wapato_Inventory[[#This Row],[quality]],Lookups!$H$2:$J$14,3,FALSE),0)</f>
        <v>23424</v>
      </c>
      <c r="BL503" s="7">
        <f>_xlfn.IFNA(VLOOKUP(Wapato_Inventory[[#This Row],[condition]],Lookups!$H$17:$J$24,3,FALSE),0)</f>
        <v>16276</v>
      </c>
      <c r="BM503" s="7">
        <f>Wapato_Inventory[[#This Row],[Age]]*Lookups!$B$16</f>
        <v>-38179.597099999999</v>
      </c>
      <c r="BN503" s="7">
        <f>Wapato_Inventory[[#This Row],[Main Floor]]*Lookups!$B$17</f>
        <v>27045.078132999999</v>
      </c>
      <c r="BO503" s="7">
        <f>Wapato_Inventory[[#This Row],[Upper Floor]]*Lookups!$B$18</f>
        <v>0</v>
      </c>
      <c r="BP503" s="7">
        <f>Wapato_Inventory[[#This Row],[Fin BSMT]]*Lookups!$B$19</f>
        <v>0</v>
      </c>
      <c r="BQ503" s="7">
        <f>(Wapato_Inventory[[#This Row],[att_gar]]+Wapato_Inventory[[#This Row],[blt_gar]])*Lookups!$B$20</f>
        <v>0</v>
      </c>
      <c r="BR503" s="7">
        <f>Wapato_Inventory[[#This Row],[Patio]]*Lookups!$B$21</f>
        <v>0</v>
      </c>
      <c r="BS503" s="7">
        <f>SUM(Wapato_Inventory[[#This Row],[intercept]:[patio_value]])*Wapato_Inventory[[#This Row],[res_pct]]</f>
        <v>82330.751032999993</v>
      </c>
      <c r="BT503" s="7">
        <f>Wapato_Inventory[[#This Row],[land_value]]</f>
        <v>50700</v>
      </c>
      <c r="BU503" s="2">
        <f>_xlfn.IFNA(VLOOKUP(Wapato_Inventory[[#This Row],[quality]],Lookups!$A$28:$C$37,3,FALSE),1)</f>
        <v>1.0091195562373767</v>
      </c>
      <c r="BV503" s="2">
        <f>_xlfn.IFNA(VLOOKUP(Wapato_Inventory[[#This Row],[condition]],Lookups!$A$41:$C$48,3,FALSE),1)</f>
        <v>0.93399385491337139</v>
      </c>
      <c r="BW503" s="2">
        <f>IF(Wapato_Inventory[[#This Row],[decade]]="",1,_xlfn.IFNA(VLOOKUP(Wapato_Inventory[[#This Row],[decade]],Lookups!$F$28:$H$45,3,FALSE),1))</f>
        <v>0.93664589651353292</v>
      </c>
      <c r="BX503" s="2">
        <f>_xlfn.IFNA(VLOOKUP(Wapato_Inventory[[#This Row],[living_area_range]],Lookups!$K$28:$M$37,3,FALSE),1)</f>
        <v>0.99022994770196116</v>
      </c>
      <c r="BY503" s="2">
        <f>AVERAGE(Wapato_Inventory[[#This Row],[qual_adj]:[range_adj]])</f>
        <v>0.96749731384156046</v>
      </c>
      <c r="BZ503" s="7">
        <f>(Wapato_Inventory[[#This Row],[sum_land]]-IF(Wapato_Inventory[[#This Row],[no_utilities]]=1,12000,0))/IF(Wapato_Inventory[[#This Row],[unbuildable]]=1,2,1)</f>
        <v>50700</v>
      </c>
      <c r="CA503" s="7">
        <f>Wapato_Inventory[[#This Row],[pre_res]]*Wapato_Inventory[[#This Row],[overall_adj]]</f>
        <v>79654.780470985774</v>
      </c>
      <c r="CB503" s="3">
        <f>IF(ROUND(Wapato_Inventory[[#This Row],[adj_land]]*Lookups!$H$48,-2)&lt;Wapato_Inventory[[#This Row],[min_land]],Wapato_Inventory[[#This Row],[min_land]],ROUND(Wapato_Inventory[[#This Row],[adj_land]]*Lookups!$H$48,-2))</f>
        <v>48200</v>
      </c>
      <c r="CC503" s="3">
        <f>IF(ROUND(Wapato_Inventory[[#This Row],[adj_res]]*Lookups!$H$48,-2)&lt;Wapato_Inventory[[#This Row],[min_res]],Wapato_Inventory[[#This Row],[min_res]],ROUND(Wapato_Inventory[[#This Row],[adj_res]]*Lookups!$H$48,-2))</f>
        <v>75700</v>
      </c>
      <c r="CD503" s="3">
        <f>ROUND(Wapato_Inventory[[#This Row],[det_value]]*Lookups!$H$48,-2)</f>
        <v>0</v>
      </c>
      <c r="CE503" s="3">
        <f>Wapato_Inventory[[#This Row],[final_res]]+Wapato_Inventory[[#This Row],[final_det]]</f>
        <v>75700</v>
      </c>
      <c r="CF503" s="3">
        <f>Wapato_Inventory[[#This Row],[crop_value]]+Wapato_Inventory[[#This Row],[final_land]]+Wapato_Inventory[[#This Row],[final_imp]]</f>
        <v>123900</v>
      </c>
      <c r="CH503" t="str">
        <f t="shared" si="7"/>
        <v>update valuation set market_land =48200, market_bldg=75700, market_total =123900, market_mdno =405, market_date ='9/10/2023' where link_id = (select link_id from parcel where parcel_year = '2024' and parcel_id = '19111511559');</v>
      </c>
    </row>
    <row r="504" spans="1:86" x14ac:dyDescent="0.25">
      <c r="A504">
        <v>19111511560</v>
      </c>
      <c r="B504">
        <v>0.08</v>
      </c>
      <c r="C504">
        <v>3290</v>
      </c>
      <c r="D504" t="s">
        <v>144</v>
      </c>
      <c r="E504" t="s">
        <v>54</v>
      </c>
      <c r="F504" t="s">
        <v>54</v>
      </c>
      <c r="G504">
        <v>3</v>
      </c>
      <c r="H504" t="s">
        <v>55</v>
      </c>
      <c r="I504">
        <v>52800</v>
      </c>
      <c r="J504">
        <v>27900</v>
      </c>
      <c r="K504">
        <v>0.08</v>
      </c>
      <c r="L504">
        <f>IF(Wapato_Inventory[[#This Row],[parcel_acres]]-Wapato_Inventory[[#This Row],[non_valued_acres]] =0,0,LN(Wapato_Inventory[[#This Row],[parcel_acres]]-Wapato_Inventory[[#This Row],[non_valued_acres]]))</f>
        <v>-2.5257286443082556</v>
      </c>
      <c r="M504">
        <v>0</v>
      </c>
      <c r="N504">
        <v>0</v>
      </c>
      <c r="O504">
        <v>0</v>
      </c>
      <c r="P504">
        <v>27904.037</v>
      </c>
      <c r="Q504">
        <v>74398</v>
      </c>
      <c r="R504" s="3">
        <f>(Wapato_Inventory[[#This Row],[ln_acres]]*Wapato_Inventory[[#This Row],[coeff]])+Wapato_Inventory[[#This Row],[const]]</f>
        <v>3919.9744572625932</v>
      </c>
      <c r="S504" t="s">
        <v>83</v>
      </c>
      <c r="T504">
        <v>1</v>
      </c>
      <c r="U504" t="s">
        <v>78</v>
      </c>
      <c r="V504" t="s">
        <v>73</v>
      </c>
      <c r="W504">
        <v>0</v>
      </c>
      <c r="X504">
        <v>0</v>
      </c>
      <c r="Y504">
        <v>83</v>
      </c>
      <c r="Z504">
        <v>103</v>
      </c>
      <c r="AA504">
        <v>110</v>
      </c>
      <c r="AB504">
        <v>1000</v>
      </c>
      <c r="AC504">
        <v>548</v>
      </c>
      <c r="AD504">
        <v>548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24</v>
      </c>
      <c r="AO504">
        <v>0</v>
      </c>
      <c r="AP504">
        <v>5</v>
      </c>
      <c r="AQ504">
        <v>0</v>
      </c>
      <c r="AR504">
        <v>0</v>
      </c>
      <c r="AS504" t="s">
        <v>59</v>
      </c>
      <c r="AT504">
        <v>1</v>
      </c>
      <c r="AU504" t="s">
        <v>72</v>
      </c>
      <c r="AV504" t="s">
        <v>61</v>
      </c>
      <c r="AW504">
        <v>0</v>
      </c>
      <c r="AX504">
        <v>1</v>
      </c>
      <c r="AY504">
        <v>0</v>
      </c>
      <c r="AZ504">
        <v>0</v>
      </c>
      <c r="BA504">
        <v>100</v>
      </c>
      <c r="BB504">
        <v>100</v>
      </c>
      <c r="BC504">
        <v>100</v>
      </c>
      <c r="BD504">
        <v>100</v>
      </c>
      <c r="BE504">
        <v>1</v>
      </c>
      <c r="BF504">
        <v>15000</v>
      </c>
      <c r="BG504">
        <v>1000</v>
      </c>
      <c r="BH504" s="7">
        <f>ROUND(Wapato_Inventory[[#This Row],[detatched_value]]*Lookups!$B$22*Lookups!$H$48,-2)</f>
        <v>0</v>
      </c>
      <c r="BI504" s="7">
        <f>ROUND(((Wapato_Inventory[[#This Row],[land_extract]]*Lookups!$B$3) +(Lookups!$B$2*0.5))*Lookups!$H$48,-2)</f>
        <v>51500</v>
      </c>
      <c r="BJ504" s="7">
        <f>IF(Wapato_Inventory[[#This Row],[bldg_style]]="",0,Lookups!$B$2*0.5)</f>
        <v>53765.27</v>
      </c>
      <c r="BK504" s="7">
        <f>_xlfn.IFNA(VLOOKUP(Wapato_Inventory[[#This Row],[quality]],Lookups!$H$2:$J$14,3,FALSE),0)</f>
        <v>23424</v>
      </c>
      <c r="BL504" s="7">
        <f>_xlfn.IFNA(VLOOKUP(Wapato_Inventory[[#This Row],[condition]],Lookups!$H$17:$J$24,3,FALSE),0)</f>
        <v>16276</v>
      </c>
      <c r="BM504" s="7">
        <f>Wapato_Inventory[[#This Row],[Age]]*Lookups!$B$16</f>
        <v>-38179.597099999999</v>
      </c>
      <c r="BN504" s="7">
        <f>Wapato_Inventory[[#This Row],[Main Floor]]*Lookups!$B$17</f>
        <v>22906.804972000002</v>
      </c>
      <c r="BO504" s="7">
        <f>Wapato_Inventory[[#This Row],[Upper Floor]]*Lookups!$B$18</f>
        <v>0</v>
      </c>
      <c r="BP504" s="7">
        <f>Wapato_Inventory[[#This Row],[Fin BSMT]]*Lookups!$B$19</f>
        <v>0</v>
      </c>
      <c r="BQ504" s="7">
        <f>(Wapato_Inventory[[#This Row],[att_gar]]+Wapato_Inventory[[#This Row],[blt_gar]])*Lookups!$B$20</f>
        <v>0</v>
      </c>
      <c r="BR504" s="7">
        <f>Wapato_Inventory[[#This Row],[Patio]]*Lookups!$B$21</f>
        <v>0</v>
      </c>
      <c r="BS504" s="7">
        <f>SUM(Wapato_Inventory[[#This Row],[intercept]:[patio_value]])*Wapato_Inventory[[#This Row],[res_pct]]</f>
        <v>78192.477871999989</v>
      </c>
      <c r="BT504" s="7">
        <f>Wapato_Inventory[[#This Row],[land_value]]</f>
        <v>51500</v>
      </c>
      <c r="BU504" s="2">
        <f>_xlfn.IFNA(VLOOKUP(Wapato_Inventory[[#This Row],[quality]],Lookups!$A$28:$C$37,3,FALSE),1)</f>
        <v>1.0091195562373767</v>
      </c>
      <c r="BV504" s="2">
        <f>_xlfn.IFNA(VLOOKUP(Wapato_Inventory[[#This Row],[condition]],Lookups!$A$41:$C$48,3,FALSE),1)</f>
        <v>0.93399385491337139</v>
      </c>
      <c r="BW504" s="2">
        <f>IF(Wapato_Inventory[[#This Row],[decade]]="",1,_xlfn.IFNA(VLOOKUP(Wapato_Inventory[[#This Row],[decade]],Lookups!$F$28:$H$45,3,FALSE),1))</f>
        <v>0.93664589651353292</v>
      </c>
      <c r="BX504" s="2">
        <f>_xlfn.IFNA(VLOOKUP(Wapato_Inventory[[#This Row],[living_area_range]],Lookups!$K$28:$M$37,3,FALSE),1)</f>
        <v>0.99022994770196116</v>
      </c>
      <c r="BY504" s="2">
        <f>AVERAGE(Wapato_Inventory[[#This Row],[qual_adj]:[range_adj]])</f>
        <v>0.96749731384156046</v>
      </c>
      <c r="BZ504" s="7">
        <f>(Wapato_Inventory[[#This Row],[sum_land]]-IF(Wapato_Inventory[[#This Row],[no_utilities]]=1,12000,0))/IF(Wapato_Inventory[[#This Row],[unbuildable]]=1,2,1)</f>
        <v>51500</v>
      </c>
      <c r="CA504" s="7">
        <f>Wapato_Inventory[[#This Row],[pre_res]]*Wapato_Inventory[[#This Row],[overall_adj]]</f>
        <v>75651.012303775642</v>
      </c>
      <c r="CB504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504" s="3">
        <f>IF(ROUND(Wapato_Inventory[[#This Row],[adj_res]]*Lookups!$H$48,-2)&lt;Wapato_Inventory[[#This Row],[min_res]],Wapato_Inventory[[#This Row],[min_res]],ROUND(Wapato_Inventory[[#This Row],[adj_res]]*Lookups!$H$48,-2))</f>
        <v>71900</v>
      </c>
      <c r="CD504" s="3">
        <f>ROUND(Wapato_Inventory[[#This Row],[det_value]]*Lookups!$H$48,-2)</f>
        <v>0</v>
      </c>
      <c r="CE504" s="3">
        <f>Wapato_Inventory[[#This Row],[final_res]]+Wapato_Inventory[[#This Row],[final_det]]</f>
        <v>71900</v>
      </c>
      <c r="CF504" s="3">
        <f>Wapato_Inventory[[#This Row],[crop_value]]+Wapato_Inventory[[#This Row],[final_land]]+Wapato_Inventory[[#This Row],[final_imp]]</f>
        <v>120800</v>
      </c>
      <c r="CH504" t="str">
        <f t="shared" si="7"/>
        <v>update valuation set market_land =48900, market_bldg=71900, market_total =120800, market_mdno =405, market_date ='9/10/2023' where link_id = (select link_id from parcel where parcel_year = '2024' and parcel_id = '19111511560');</v>
      </c>
    </row>
    <row r="505" spans="1:86" x14ac:dyDescent="0.25">
      <c r="A505">
        <v>19111511561</v>
      </c>
      <c r="B505">
        <v>0.13</v>
      </c>
      <c r="C505">
        <v>5822</v>
      </c>
      <c r="D505" t="s">
        <v>144</v>
      </c>
      <c r="E505" t="s">
        <v>54</v>
      </c>
      <c r="F505" t="s">
        <v>54</v>
      </c>
      <c r="G505">
        <v>3</v>
      </c>
      <c r="H505" t="s">
        <v>55</v>
      </c>
      <c r="I505">
        <v>216300</v>
      </c>
      <c r="J505">
        <v>31400</v>
      </c>
      <c r="K505">
        <v>0.13</v>
      </c>
      <c r="L505">
        <f>IF(Wapato_Inventory[[#This Row],[parcel_acres]]-Wapato_Inventory[[#This Row],[non_valued_acres]] =0,0,LN(Wapato_Inventory[[#This Row],[parcel_acres]]-Wapato_Inventory[[#This Row],[non_valued_acres]]))</f>
        <v>-2.0402208285265546</v>
      </c>
      <c r="M505">
        <v>0</v>
      </c>
      <c r="N505">
        <v>0</v>
      </c>
      <c r="O505">
        <v>0</v>
      </c>
      <c r="P505">
        <v>27904.037</v>
      </c>
      <c r="Q505">
        <v>74398</v>
      </c>
      <c r="R505" s="3">
        <f>(Wapato_Inventory[[#This Row],[ln_acres]]*Wapato_Inventory[[#This Row],[coeff]])+Wapato_Inventory[[#This Row],[const]]</f>
        <v>17467.602512624362</v>
      </c>
      <c r="S505" t="s">
        <v>83</v>
      </c>
      <c r="T505">
        <v>1</v>
      </c>
      <c r="U505" t="s">
        <v>78</v>
      </c>
      <c r="V505" t="s">
        <v>68</v>
      </c>
      <c r="W505">
        <v>0</v>
      </c>
      <c r="X505">
        <v>0</v>
      </c>
      <c r="Y505">
        <v>57</v>
      </c>
      <c r="Z505">
        <v>88</v>
      </c>
      <c r="AA505">
        <v>90</v>
      </c>
      <c r="AB505">
        <v>1000</v>
      </c>
      <c r="AC505">
        <v>560</v>
      </c>
      <c r="AD505">
        <v>560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5</v>
      </c>
      <c r="AQ505">
        <v>0</v>
      </c>
      <c r="AR505">
        <v>0</v>
      </c>
      <c r="AS505" t="s">
        <v>59</v>
      </c>
      <c r="AT505">
        <v>0</v>
      </c>
      <c r="AU505" t="s">
        <v>80</v>
      </c>
      <c r="AV505" t="s">
        <v>65</v>
      </c>
      <c r="AW505">
        <v>0</v>
      </c>
      <c r="AX505">
        <v>1</v>
      </c>
      <c r="AY505">
        <v>0</v>
      </c>
      <c r="AZ505">
        <v>39300</v>
      </c>
      <c r="BA505">
        <v>100</v>
      </c>
      <c r="BB505">
        <v>100</v>
      </c>
      <c r="BC505">
        <v>100</v>
      </c>
      <c r="BD505">
        <v>100</v>
      </c>
      <c r="BE505">
        <v>1</v>
      </c>
      <c r="BF505">
        <v>15000</v>
      </c>
      <c r="BG505">
        <v>1000</v>
      </c>
      <c r="BH505" s="7">
        <f>ROUND(Wapato_Inventory[[#This Row],[detatched_value]]*Lookups!$B$22*Lookups!$H$48,-2)</f>
        <v>35100</v>
      </c>
      <c r="BI505" s="7">
        <f>ROUND(((Wapato_Inventory[[#This Row],[land_extract]]*Lookups!$B$3) +(Lookups!$B$2*0.5))*Lookups!$H$48,-2)</f>
        <v>52800</v>
      </c>
      <c r="BJ505" s="7">
        <f>IF(Wapato_Inventory[[#This Row],[bldg_style]]="",0,Lookups!$B$2*0.5)</f>
        <v>53765.27</v>
      </c>
      <c r="BK505" s="7">
        <f>_xlfn.IFNA(VLOOKUP(Wapato_Inventory[[#This Row],[quality]],Lookups!$H$2:$J$14,3,FALSE),0)</f>
        <v>23424</v>
      </c>
      <c r="BL505" s="7">
        <f>_xlfn.IFNA(VLOOKUP(Wapato_Inventory[[#This Row],[condition]],Lookups!$H$17:$J$24,3,FALSE),0)</f>
        <v>52231</v>
      </c>
      <c r="BM505" s="7">
        <f>Wapato_Inventory[[#This Row],[Age]]*Lookups!$B$16</f>
        <v>-32619.461600000002</v>
      </c>
      <c r="BN505" s="7">
        <f>Wapato_Inventory[[#This Row],[Main Floor]]*Lookups!$B$17</f>
        <v>23408.413840000001</v>
      </c>
      <c r="BO505" s="7">
        <f>Wapato_Inventory[[#This Row],[Upper Floor]]*Lookups!$B$18</f>
        <v>0</v>
      </c>
      <c r="BP505" s="7">
        <f>Wapato_Inventory[[#This Row],[Fin BSMT]]*Lookups!$B$19</f>
        <v>0</v>
      </c>
      <c r="BQ505" s="7">
        <f>(Wapato_Inventory[[#This Row],[att_gar]]+Wapato_Inventory[[#This Row],[blt_gar]])*Lookups!$B$20</f>
        <v>0</v>
      </c>
      <c r="BR505" s="7">
        <f>Wapato_Inventory[[#This Row],[Patio]]*Lookups!$B$21</f>
        <v>0</v>
      </c>
      <c r="BS505" s="7">
        <f>SUM(Wapato_Inventory[[#This Row],[intercept]:[patio_value]])*Wapato_Inventory[[#This Row],[res_pct]]</f>
        <v>120209.22223999997</v>
      </c>
      <c r="BT505" s="7">
        <f>Wapato_Inventory[[#This Row],[land_value]]</f>
        <v>52800</v>
      </c>
      <c r="BU505" s="2">
        <f>_xlfn.IFNA(VLOOKUP(Wapato_Inventory[[#This Row],[quality]],Lookups!$A$28:$C$37,3,FALSE),1)</f>
        <v>1.0091195562373767</v>
      </c>
      <c r="BV505" s="2">
        <f>_xlfn.IFNA(VLOOKUP(Wapato_Inventory[[#This Row],[condition]],Lookups!$A$41:$C$48,3,FALSE),1)</f>
        <v>0.9832333997567807</v>
      </c>
      <c r="BW505" s="2">
        <f>IF(Wapato_Inventory[[#This Row],[decade]]="",1,_xlfn.IFNA(VLOOKUP(Wapato_Inventory[[#This Row],[decade]],Lookups!$F$28:$H$45,3,FALSE),1))</f>
        <v>0.94742695999815718</v>
      </c>
      <c r="BX505" s="2">
        <f>_xlfn.IFNA(VLOOKUP(Wapato_Inventory[[#This Row],[living_area_range]],Lookups!$K$28:$M$37,3,FALSE),1)</f>
        <v>0.99022994770196116</v>
      </c>
      <c r="BY505" s="2">
        <f>AVERAGE(Wapato_Inventory[[#This Row],[qual_adj]:[range_adj]])</f>
        <v>0.98250246592356894</v>
      </c>
      <c r="BZ505" s="7">
        <f>(Wapato_Inventory[[#This Row],[sum_land]]-IF(Wapato_Inventory[[#This Row],[no_utilities]]=1,12000,0))/IF(Wapato_Inventory[[#This Row],[unbuildable]]=1,2,1)</f>
        <v>52800</v>
      </c>
      <c r="CA505" s="7">
        <f>Wapato_Inventory[[#This Row],[pre_res]]*Wapato_Inventory[[#This Row],[overall_adj]]</f>
        <v>118105.8572775543</v>
      </c>
      <c r="CB505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505" s="3">
        <f>IF(ROUND(Wapato_Inventory[[#This Row],[adj_res]]*Lookups!$H$48,-2)&lt;Wapato_Inventory[[#This Row],[min_res]],Wapato_Inventory[[#This Row],[min_res]],ROUND(Wapato_Inventory[[#This Row],[adj_res]]*Lookups!$H$48,-2))</f>
        <v>112200</v>
      </c>
      <c r="CD505" s="3">
        <f>ROUND(Wapato_Inventory[[#This Row],[det_value]]*Lookups!$H$48,-2)</f>
        <v>33300</v>
      </c>
      <c r="CE505" s="3">
        <f>Wapato_Inventory[[#This Row],[final_res]]+Wapato_Inventory[[#This Row],[final_det]]</f>
        <v>145500</v>
      </c>
      <c r="CF505" s="3">
        <f>Wapato_Inventory[[#This Row],[crop_value]]+Wapato_Inventory[[#This Row],[final_land]]+Wapato_Inventory[[#This Row],[final_imp]]</f>
        <v>195700</v>
      </c>
      <c r="CH505" t="str">
        <f t="shared" si="7"/>
        <v>update valuation set market_land =50200, market_bldg=145500, market_total =195700, market_mdno =405, market_date ='9/10/2023' where link_id = (select link_id from parcel where parcel_year = '2024' and parcel_id = '19111511561');</v>
      </c>
    </row>
    <row r="506" spans="1:86" x14ac:dyDescent="0.25">
      <c r="A506">
        <v>19111511562</v>
      </c>
      <c r="B506">
        <v>0.14000000000000001</v>
      </c>
      <c r="C506">
        <v>5920</v>
      </c>
      <c r="D506" t="s">
        <v>144</v>
      </c>
      <c r="E506" t="s">
        <v>54</v>
      </c>
      <c r="F506" t="s">
        <v>54</v>
      </c>
      <c r="G506">
        <v>3</v>
      </c>
      <c r="H506" t="s">
        <v>55</v>
      </c>
      <c r="I506">
        <v>209400</v>
      </c>
      <c r="J506">
        <v>31900</v>
      </c>
      <c r="K506">
        <v>0.14000000000000001</v>
      </c>
      <c r="L506">
        <f>IF(Wapato_Inventory[[#This Row],[parcel_acres]]-Wapato_Inventory[[#This Row],[non_valued_acres]] =0,0,LN(Wapato_Inventory[[#This Row],[parcel_acres]]-Wapato_Inventory[[#This Row],[non_valued_acres]]))</f>
        <v>-1.9661128563728327</v>
      </c>
      <c r="M506">
        <v>0</v>
      </c>
      <c r="N506">
        <v>0</v>
      </c>
      <c r="O506">
        <v>0</v>
      </c>
      <c r="P506">
        <v>27904.037</v>
      </c>
      <c r="Q506">
        <v>74398</v>
      </c>
      <c r="R506" s="3">
        <f>(Wapato_Inventory[[#This Row],[ln_acres]]*Wapato_Inventory[[#This Row],[coeff]])+Wapato_Inventory[[#This Row],[const]]</f>
        <v>19535.514109596792</v>
      </c>
      <c r="S506" t="s">
        <v>56</v>
      </c>
      <c r="T506">
        <v>2</v>
      </c>
      <c r="U506" t="s">
        <v>71</v>
      </c>
      <c r="V506" t="s">
        <v>73</v>
      </c>
      <c r="W506">
        <v>0</v>
      </c>
      <c r="X506">
        <v>0</v>
      </c>
      <c r="Y506">
        <v>58</v>
      </c>
      <c r="Z506">
        <v>105</v>
      </c>
      <c r="AA506">
        <v>110</v>
      </c>
      <c r="AB506">
        <v>1500</v>
      </c>
      <c r="AC506">
        <v>1378</v>
      </c>
      <c r="AD506">
        <v>936</v>
      </c>
      <c r="AE506">
        <v>442</v>
      </c>
      <c r="AF506">
        <v>0</v>
      </c>
      <c r="AG506">
        <v>0</v>
      </c>
      <c r="AH506">
        <v>130</v>
      </c>
      <c r="AI506">
        <v>1938</v>
      </c>
      <c r="AJ506">
        <v>0</v>
      </c>
      <c r="AK506">
        <v>0</v>
      </c>
      <c r="AL506">
        <v>0</v>
      </c>
      <c r="AM506">
        <v>190</v>
      </c>
      <c r="AN506">
        <v>160</v>
      </c>
      <c r="AO506">
        <v>0</v>
      </c>
      <c r="AP506">
        <v>5</v>
      </c>
      <c r="AQ506">
        <v>0</v>
      </c>
      <c r="AR506">
        <v>0</v>
      </c>
      <c r="AS506" t="s">
        <v>59</v>
      </c>
      <c r="AT506">
        <v>1</v>
      </c>
      <c r="AU506" t="s">
        <v>64</v>
      </c>
      <c r="AV506" t="s">
        <v>77</v>
      </c>
      <c r="AW506">
        <v>1</v>
      </c>
      <c r="AX506">
        <v>2</v>
      </c>
      <c r="AY506">
        <v>0</v>
      </c>
      <c r="AZ506">
        <v>0</v>
      </c>
      <c r="BA506">
        <v>100</v>
      </c>
      <c r="BB506">
        <v>100</v>
      </c>
      <c r="BC506">
        <v>100</v>
      </c>
      <c r="BD506">
        <v>100</v>
      </c>
      <c r="BE506">
        <v>1</v>
      </c>
      <c r="BF506">
        <v>15000</v>
      </c>
      <c r="BG506">
        <v>1000</v>
      </c>
      <c r="BH506" s="7">
        <f>ROUND(Wapato_Inventory[[#This Row],[detatched_value]]*Lookups!$B$22*Lookups!$H$48,-2)</f>
        <v>0</v>
      </c>
      <c r="BI506" s="7">
        <f>ROUND(((Wapato_Inventory[[#This Row],[land_extract]]*Lookups!$B$3) +(Lookups!$B$2*0.5))*Lookups!$H$48,-2)</f>
        <v>53000</v>
      </c>
      <c r="BJ506" s="7">
        <f>IF(Wapato_Inventory[[#This Row],[bldg_style]]="",0,Lookups!$B$2*0.5)</f>
        <v>53765.27</v>
      </c>
      <c r="BK506" s="7">
        <f>_xlfn.IFNA(VLOOKUP(Wapato_Inventory[[#This Row],[quality]],Lookups!$H$2:$J$14,3,FALSE),0)</f>
        <v>28034</v>
      </c>
      <c r="BL506" s="7">
        <f>_xlfn.IFNA(VLOOKUP(Wapato_Inventory[[#This Row],[condition]],Lookups!$H$17:$J$24,3,FALSE),0)</f>
        <v>16276</v>
      </c>
      <c r="BM506" s="7">
        <f>Wapato_Inventory[[#This Row],[Age]]*Lookups!$B$16</f>
        <v>-38920.948499999999</v>
      </c>
      <c r="BN506" s="7">
        <f>Wapato_Inventory[[#This Row],[Main Floor]]*Lookups!$B$17</f>
        <v>39125.491704</v>
      </c>
      <c r="BO506" s="7">
        <f>Wapato_Inventory[[#This Row],[Upper Floor]]*Lookups!$B$18</f>
        <v>21923.703438</v>
      </c>
      <c r="BP506" s="7">
        <f>Wapato_Inventory[[#This Row],[Fin BSMT]]*Lookups!$B$19</f>
        <v>0</v>
      </c>
      <c r="BQ506" s="7">
        <f>(Wapato_Inventory[[#This Row],[att_gar]]+Wapato_Inventory[[#This Row],[blt_gar]])*Lookups!$B$20</f>
        <v>71722.961376000007</v>
      </c>
      <c r="BR506" s="7">
        <f>Wapato_Inventory[[#This Row],[Patio]]*Lookups!$B$21</f>
        <v>8231.5560100000002</v>
      </c>
      <c r="BS506" s="7">
        <f>SUM(Wapato_Inventory[[#This Row],[intercept]:[patio_value]])*Wapato_Inventory[[#This Row],[res_pct]]</f>
        <v>200158.03402799999</v>
      </c>
      <c r="BT506" s="7">
        <f>Wapato_Inventory[[#This Row],[land_value]]</f>
        <v>53000</v>
      </c>
      <c r="BU506" s="2">
        <f>_xlfn.IFNA(VLOOKUP(Wapato_Inventory[[#This Row],[quality]],Lookups!$A$28:$C$37,3,FALSE),1)</f>
        <v>0.96265813922927435</v>
      </c>
      <c r="BV506" s="2">
        <f>_xlfn.IFNA(VLOOKUP(Wapato_Inventory[[#This Row],[condition]],Lookups!$A$41:$C$48,3,FALSE),1)</f>
        <v>0.93399385491337139</v>
      </c>
      <c r="BW506" s="2">
        <f>IF(Wapato_Inventory[[#This Row],[decade]]="",1,_xlfn.IFNA(VLOOKUP(Wapato_Inventory[[#This Row],[decade]],Lookups!$F$28:$H$45,3,FALSE),1))</f>
        <v>0.93664589651353292</v>
      </c>
      <c r="BX506" s="2">
        <f>_xlfn.IFNA(VLOOKUP(Wapato_Inventory[[#This Row],[living_area_range]],Lookups!$K$28:$M$37,3,FALSE),1)</f>
        <v>1.0061411172456287</v>
      </c>
      <c r="BY506" s="2">
        <f>AVERAGE(Wapato_Inventory[[#This Row],[qual_adj]:[range_adj]])</f>
        <v>0.95985975197545192</v>
      </c>
      <c r="BZ506" s="7">
        <f>(Wapato_Inventory[[#This Row],[sum_land]]-IF(Wapato_Inventory[[#This Row],[no_utilities]]=1,12000,0))/IF(Wapato_Inventory[[#This Row],[unbuildable]]=1,2,1)</f>
        <v>53000</v>
      </c>
      <c r="CA506" s="7">
        <f>Wapato_Inventory[[#This Row],[pre_res]]*Wapato_Inventory[[#This Row],[overall_adj]]</f>
        <v>192123.64089801014</v>
      </c>
      <c r="CB50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06" s="3">
        <f>IF(ROUND(Wapato_Inventory[[#This Row],[adj_res]]*Lookups!$H$48,-2)&lt;Wapato_Inventory[[#This Row],[min_res]],Wapato_Inventory[[#This Row],[min_res]],ROUND(Wapato_Inventory[[#This Row],[adj_res]]*Lookups!$H$48,-2))</f>
        <v>182500</v>
      </c>
      <c r="CD506" s="3">
        <f>ROUND(Wapato_Inventory[[#This Row],[det_value]]*Lookups!$H$48,-2)</f>
        <v>0</v>
      </c>
      <c r="CE506" s="3">
        <f>Wapato_Inventory[[#This Row],[final_res]]+Wapato_Inventory[[#This Row],[final_det]]</f>
        <v>182500</v>
      </c>
      <c r="CF506" s="3">
        <f>Wapato_Inventory[[#This Row],[crop_value]]+Wapato_Inventory[[#This Row],[final_land]]+Wapato_Inventory[[#This Row],[final_imp]]</f>
        <v>232900</v>
      </c>
      <c r="CH506" t="str">
        <f t="shared" si="7"/>
        <v>update valuation set market_land =50400, market_bldg=182500, market_total =232900, market_mdno =405, market_date ='9/10/2023' where link_id = (select link_id from parcel where parcel_year = '2024' and parcel_id = '19111511562');</v>
      </c>
    </row>
    <row r="507" spans="1:86" x14ac:dyDescent="0.25">
      <c r="A507">
        <v>19111511563</v>
      </c>
      <c r="B507">
        <v>0.13</v>
      </c>
      <c r="C507">
        <v>5728</v>
      </c>
      <c r="D507" t="s">
        <v>144</v>
      </c>
      <c r="E507" t="s">
        <v>54</v>
      </c>
      <c r="F507" t="s">
        <v>54</v>
      </c>
      <c r="G507">
        <v>3</v>
      </c>
      <c r="H507" t="s">
        <v>55</v>
      </c>
      <c r="I507">
        <v>99300</v>
      </c>
      <c r="J507">
        <v>31400</v>
      </c>
      <c r="K507">
        <v>0.13</v>
      </c>
      <c r="L507">
        <f>IF(Wapato_Inventory[[#This Row],[parcel_acres]]-Wapato_Inventory[[#This Row],[non_valued_acres]] =0,0,LN(Wapato_Inventory[[#This Row],[parcel_acres]]-Wapato_Inventory[[#This Row],[non_valued_acres]]))</f>
        <v>-2.0402208285265546</v>
      </c>
      <c r="M507">
        <v>0</v>
      </c>
      <c r="N507">
        <v>0</v>
      </c>
      <c r="O507">
        <v>0</v>
      </c>
      <c r="P507">
        <v>27904.037</v>
      </c>
      <c r="Q507">
        <v>74398</v>
      </c>
      <c r="R507" s="3">
        <f>(Wapato_Inventory[[#This Row],[ln_acres]]*Wapato_Inventory[[#This Row],[coeff]])+Wapato_Inventory[[#This Row],[const]]</f>
        <v>17467.602512624362</v>
      </c>
      <c r="S507" t="s">
        <v>66</v>
      </c>
      <c r="T507">
        <v>1</v>
      </c>
      <c r="U507" t="s">
        <v>71</v>
      </c>
      <c r="V507" t="s">
        <v>68</v>
      </c>
      <c r="W507">
        <v>0</v>
      </c>
      <c r="X507">
        <v>0</v>
      </c>
      <c r="Y507">
        <v>57</v>
      </c>
      <c r="Z507">
        <v>103</v>
      </c>
      <c r="AA507">
        <v>110</v>
      </c>
      <c r="AB507">
        <v>1000</v>
      </c>
      <c r="AC507">
        <v>856</v>
      </c>
      <c r="AD507">
        <v>856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156</v>
      </c>
      <c r="AP507">
        <v>5</v>
      </c>
      <c r="AQ507">
        <v>0</v>
      </c>
      <c r="AR507">
        <v>0</v>
      </c>
      <c r="AS507" t="s">
        <v>59</v>
      </c>
      <c r="AT507">
        <v>1</v>
      </c>
      <c r="AU507" t="s">
        <v>72</v>
      </c>
      <c r="AV507" t="s">
        <v>61</v>
      </c>
      <c r="AW507">
        <v>0</v>
      </c>
      <c r="AX507">
        <v>2</v>
      </c>
      <c r="AY507">
        <v>0</v>
      </c>
      <c r="AZ507">
        <v>2200</v>
      </c>
      <c r="BA507">
        <v>100</v>
      </c>
      <c r="BB507">
        <v>100</v>
      </c>
      <c r="BC507">
        <v>100</v>
      </c>
      <c r="BD507">
        <v>100</v>
      </c>
      <c r="BE507">
        <v>1</v>
      </c>
      <c r="BF507">
        <v>15000</v>
      </c>
      <c r="BG507">
        <v>1000</v>
      </c>
      <c r="BH507" s="7">
        <f>ROUND(Wapato_Inventory[[#This Row],[detatched_value]]*Lookups!$B$22*Lookups!$H$48,-2)</f>
        <v>2000</v>
      </c>
      <c r="BI507" s="7">
        <f>ROUND(((Wapato_Inventory[[#This Row],[land_extract]]*Lookups!$B$3) +(Lookups!$B$2*0.5))*Lookups!$H$48,-2)</f>
        <v>52800</v>
      </c>
      <c r="BJ507" s="7">
        <f>IF(Wapato_Inventory[[#This Row],[bldg_style]]="",0,Lookups!$B$2*0.5)</f>
        <v>53765.27</v>
      </c>
      <c r="BK507" s="7">
        <f>_xlfn.IFNA(VLOOKUP(Wapato_Inventory[[#This Row],[quality]],Lookups!$H$2:$J$14,3,FALSE),0)</f>
        <v>28034</v>
      </c>
      <c r="BL507" s="7">
        <f>_xlfn.IFNA(VLOOKUP(Wapato_Inventory[[#This Row],[condition]],Lookups!$H$17:$J$24,3,FALSE),0)</f>
        <v>52231</v>
      </c>
      <c r="BM507" s="7">
        <f>Wapato_Inventory[[#This Row],[Age]]*Lookups!$B$16</f>
        <v>-38179.597099999999</v>
      </c>
      <c r="BN507" s="7">
        <f>Wapato_Inventory[[#This Row],[Main Floor]]*Lookups!$B$17</f>
        <v>35781.432584000002</v>
      </c>
      <c r="BO507" s="7">
        <f>Wapato_Inventory[[#This Row],[Upper Floor]]*Lookups!$B$18</f>
        <v>0</v>
      </c>
      <c r="BP507" s="7">
        <f>Wapato_Inventory[[#This Row],[Fin BSMT]]*Lookups!$B$19</f>
        <v>0</v>
      </c>
      <c r="BQ507" s="7">
        <f>(Wapato_Inventory[[#This Row],[att_gar]]+Wapato_Inventory[[#This Row],[blt_gar]])*Lookups!$B$20</f>
        <v>0</v>
      </c>
      <c r="BR507" s="7">
        <f>Wapato_Inventory[[#This Row],[Patio]]*Lookups!$B$21</f>
        <v>0</v>
      </c>
      <c r="BS507" s="7">
        <f>SUM(Wapato_Inventory[[#This Row],[intercept]:[patio_value]])*Wapato_Inventory[[#This Row],[res_pct]]</f>
        <v>131632.105484</v>
      </c>
      <c r="BT507" s="7">
        <f>Wapato_Inventory[[#This Row],[land_value]]</f>
        <v>52800</v>
      </c>
      <c r="BU507" s="2">
        <f>_xlfn.IFNA(VLOOKUP(Wapato_Inventory[[#This Row],[quality]],Lookups!$A$28:$C$37,3,FALSE),1)</f>
        <v>0.96265813922927435</v>
      </c>
      <c r="BV507" s="2">
        <f>_xlfn.IFNA(VLOOKUP(Wapato_Inventory[[#This Row],[condition]],Lookups!$A$41:$C$48,3,FALSE),1)</f>
        <v>0.9832333997567807</v>
      </c>
      <c r="BW507" s="2">
        <f>IF(Wapato_Inventory[[#This Row],[decade]]="",1,_xlfn.IFNA(VLOOKUP(Wapato_Inventory[[#This Row],[decade]],Lookups!$F$28:$H$45,3,FALSE),1))</f>
        <v>0.93664589651353292</v>
      </c>
      <c r="BX507" s="2">
        <f>_xlfn.IFNA(VLOOKUP(Wapato_Inventory[[#This Row],[living_area_range]],Lookups!$K$28:$M$37,3,FALSE),1)</f>
        <v>0.99022994770196116</v>
      </c>
      <c r="BY507" s="2">
        <f>AVERAGE(Wapato_Inventory[[#This Row],[qual_adj]:[range_adj]])</f>
        <v>0.9681918458003872</v>
      </c>
      <c r="BZ507" s="7">
        <f>(Wapato_Inventory[[#This Row],[sum_land]]-IF(Wapato_Inventory[[#This Row],[no_utilities]]=1,12000,0))/IF(Wapato_Inventory[[#This Row],[unbuildable]]=1,2,1)</f>
        <v>52800</v>
      </c>
      <c r="CA507" s="7">
        <f>Wapato_Inventory[[#This Row],[pre_res]]*Wapato_Inventory[[#This Row],[overall_adj]]</f>
        <v>127445.13117514523</v>
      </c>
      <c r="CB50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507" s="3">
        <f>IF(ROUND(Wapato_Inventory[[#This Row],[adj_res]]*Lookups!$H$48,-2)&lt;Wapato_Inventory[[#This Row],[min_res]],Wapato_Inventory[[#This Row],[min_res]],ROUND(Wapato_Inventory[[#This Row],[adj_res]]*Lookups!$H$48,-2))</f>
        <v>121100</v>
      </c>
      <c r="CD507" s="3">
        <f>ROUND(Wapato_Inventory[[#This Row],[det_value]]*Lookups!$H$48,-2)</f>
        <v>1900</v>
      </c>
      <c r="CE507" s="3">
        <f>Wapato_Inventory[[#This Row],[final_res]]+Wapato_Inventory[[#This Row],[final_det]]</f>
        <v>123000</v>
      </c>
      <c r="CF507" s="3">
        <f>Wapato_Inventory[[#This Row],[crop_value]]+Wapato_Inventory[[#This Row],[final_land]]+Wapato_Inventory[[#This Row],[final_imp]]</f>
        <v>173200</v>
      </c>
      <c r="CH507" t="str">
        <f t="shared" si="7"/>
        <v>update valuation set market_land =50200, market_bldg=123000, market_total =173200, market_mdno =405, market_date ='9/10/2023' where link_id = (select link_id from parcel where parcel_year = '2024' and parcel_id = '19111511563');</v>
      </c>
    </row>
    <row r="508" spans="1:86" x14ac:dyDescent="0.25">
      <c r="A508">
        <v>19111511564</v>
      </c>
      <c r="B508">
        <v>0.1</v>
      </c>
      <c r="C508">
        <v>4451</v>
      </c>
      <c r="D508" t="s">
        <v>144</v>
      </c>
      <c r="E508" t="s">
        <v>54</v>
      </c>
      <c r="F508" t="s">
        <v>54</v>
      </c>
      <c r="G508">
        <v>3</v>
      </c>
      <c r="H508" t="s">
        <v>55</v>
      </c>
      <c r="I508">
        <v>149100</v>
      </c>
      <c r="J508">
        <v>29500</v>
      </c>
      <c r="K508">
        <v>0.1</v>
      </c>
      <c r="L508">
        <f>IF(Wapato_Inventory[[#This Row],[parcel_acres]]-Wapato_Inventory[[#This Row],[non_valued_acres]] =0,0,LN(Wapato_Inventory[[#This Row],[parcel_acres]]-Wapato_Inventory[[#This Row],[non_valued_acres]]))</f>
        <v>-2.3025850929940455</v>
      </c>
      <c r="M508">
        <v>0</v>
      </c>
      <c r="N508">
        <v>0</v>
      </c>
      <c r="O508">
        <v>0</v>
      </c>
      <c r="P508">
        <v>27904.037</v>
      </c>
      <c r="Q508">
        <v>74398</v>
      </c>
      <c r="R508" s="3">
        <f>(Wapato_Inventory[[#This Row],[ln_acres]]*Wapato_Inventory[[#This Row],[coeff]])+Wapato_Inventory[[#This Row],[const]]</f>
        <v>10146.580369445714</v>
      </c>
      <c r="S508" t="s">
        <v>66</v>
      </c>
      <c r="T508">
        <v>1</v>
      </c>
      <c r="U508" t="s">
        <v>71</v>
      </c>
      <c r="V508" t="s">
        <v>69</v>
      </c>
      <c r="W508">
        <v>0</v>
      </c>
      <c r="X508">
        <v>0</v>
      </c>
      <c r="Y508">
        <v>57</v>
      </c>
      <c r="Z508">
        <v>103</v>
      </c>
      <c r="AA508">
        <v>110</v>
      </c>
      <c r="AB508">
        <v>1500</v>
      </c>
      <c r="AC508">
        <v>1068</v>
      </c>
      <c r="AD508">
        <v>1068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276</v>
      </c>
      <c r="AN508">
        <v>20</v>
      </c>
      <c r="AO508">
        <v>276</v>
      </c>
      <c r="AP508">
        <v>5</v>
      </c>
      <c r="AQ508">
        <v>0</v>
      </c>
      <c r="AR508">
        <v>0</v>
      </c>
      <c r="AS508" t="s">
        <v>59</v>
      </c>
      <c r="AT508">
        <v>1</v>
      </c>
      <c r="AU508" t="s">
        <v>72</v>
      </c>
      <c r="AV508" t="s">
        <v>61</v>
      </c>
      <c r="AW508">
        <v>0</v>
      </c>
      <c r="AX508">
        <v>2</v>
      </c>
      <c r="AY508">
        <v>0</v>
      </c>
      <c r="AZ508">
        <v>4600</v>
      </c>
      <c r="BA508">
        <v>100</v>
      </c>
      <c r="BB508">
        <v>100</v>
      </c>
      <c r="BC508">
        <v>100</v>
      </c>
      <c r="BD508">
        <v>100</v>
      </c>
      <c r="BE508">
        <v>1</v>
      </c>
      <c r="BF508">
        <v>15000</v>
      </c>
      <c r="BG508">
        <v>1000</v>
      </c>
      <c r="BH508" s="7">
        <f>ROUND(Wapato_Inventory[[#This Row],[detatched_value]]*Lookups!$B$22*Lookups!$H$48,-2)</f>
        <v>4100</v>
      </c>
      <c r="BI508" s="7">
        <f>ROUND(((Wapato_Inventory[[#This Row],[land_extract]]*Lookups!$B$3) +(Lookups!$B$2*0.5))*Lookups!$H$48,-2)</f>
        <v>52100</v>
      </c>
      <c r="BJ508" s="7">
        <f>IF(Wapato_Inventory[[#This Row],[bldg_style]]="",0,Lookups!$B$2*0.5)</f>
        <v>53765.27</v>
      </c>
      <c r="BK508" s="7">
        <f>_xlfn.IFNA(VLOOKUP(Wapato_Inventory[[#This Row],[quality]],Lookups!$H$2:$J$14,3,FALSE),0)</f>
        <v>28034</v>
      </c>
      <c r="BL508" s="7">
        <f>_xlfn.IFNA(VLOOKUP(Wapato_Inventory[[#This Row],[condition]],Lookups!$H$17:$J$24,3,FALSE),0)</f>
        <v>74543</v>
      </c>
      <c r="BM508" s="7">
        <f>Wapato_Inventory[[#This Row],[Age]]*Lookups!$B$16</f>
        <v>-38179.597099999999</v>
      </c>
      <c r="BN508" s="7">
        <f>Wapato_Inventory[[#This Row],[Main Floor]]*Lookups!$B$17</f>
        <v>44643.189251999996</v>
      </c>
      <c r="BO508" s="7">
        <f>Wapato_Inventory[[#This Row],[Upper Floor]]*Lookups!$B$18</f>
        <v>0</v>
      </c>
      <c r="BP508" s="7">
        <f>Wapato_Inventory[[#This Row],[Fin BSMT]]*Lookups!$B$19</f>
        <v>0</v>
      </c>
      <c r="BQ508" s="7">
        <f>(Wapato_Inventory[[#This Row],[att_gar]]+Wapato_Inventory[[#This Row],[blt_gar]])*Lookups!$B$20</f>
        <v>0</v>
      </c>
      <c r="BR508" s="7">
        <f>Wapato_Inventory[[#This Row],[Patio]]*Lookups!$B$21</f>
        <v>11957.418204</v>
      </c>
      <c r="BS508" s="7">
        <f>SUM(Wapato_Inventory[[#This Row],[intercept]:[patio_value]])*Wapato_Inventory[[#This Row],[res_pct]]</f>
        <v>174763.28035599997</v>
      </c>
      <c r="BT508" s="7">
        <f>Wapato_Inventory[[#This Row],[land_value]]</f>
        <v>52100</v>
      </c>
      <c r="BU508" s="2">
        <f>_xlfn.IFNA(VLOOKUP(Wapato_Inventory[[#This Row],[quality]],Lookups!$A$28:$C$37,3,FALSE),1)</f>
        <v>0.96265813922927435</v>
      </c>
      <c r="BV508" s="2">
        <f>_xlfn.IFNA(VLOOKUP(Wapato_Inventory[[#This Row],[condition]],Lookups!$A$41:$C$48,3,FALSE),1)</f>
        <v>0.98442438223270734</v>
      </c>
      <c r="BW508" s="2">
        <f>IF(Wapato_Inventory[[#This Row],[decade]]="",1,_xlfn.IFNA(VLOOKUP(Wapato_Inventory[[#This Row],[decade]],Lookups!$F$28:$H$45,3,FALSE),1))</f>
        <v>0.93664589651353292</v>
      </c>
      <c r="BX508" s="2">
        <f>_xlfn.IFNA(VLOOKUP(Wapato_Inventory[[#This Row],[living_area_range]],Lookups!$K$28:$M$37,3,FALSE),1)</f>
        <v>1.0061411172456287</v>
      </c>
      <c r="BY508" s="2">
        <f>AVERAGE(Wapato_Inventory[[#This Row],[qual_adj]:[range_adj]])</f>
        <v>0.97246738380528575</v>
      </c>
      <c r="BZ508" s="7">
        <f>(Wapato_Inventory[[#This Row],[sum_land]]-IF(Wapato_Inventory[[#This Row],[no_utilities]]=1,12000,0))/IF(Wapato_Inventory[[#This Row],[unbuildable]]=1,2,1)</f>
        <v>52100</v>
      </c>
      <c r="CA508" s="7">
        <f>Wapato_Inventory[[#This Row],[pre_res]]*Wapato_Inventory[[#This Row],[overall_adj]]</f>
        <v>169951.59003302897</v>
      </c>
      <c r="CB508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508" s="3">
        <f>IF(ROUND(Wapato_Inventory[[#This Row],[adj_res]]*Lookups!$H$48,-2)&lt;Wapato_Inventory[[#This Row],[min_res]],Wapato_Inventory[[#This Row],[min_res]],ROUND(Wapato_Inventory[[#This Row],[adj_res]]*Lookups!$H$48,-2))</f>
        <v>161500</v>
      </c>
      <c r="CD508" s="3">
        <f>ROUND(Wapato_Inventory[[#This Row],[det_value]]*Lookups!$H$48,-2)</f>
        <v>3900</v>
      </c>
      <c r="CE508" s="3">
        <f>Wapato_Inventory[[#This Row],[final_res]]+Wapato_Inventory[[#This Row],[final_det]]</f>
        <v>165400</v>
      </c>
      <c r="CF508" s="3">
        <f>Wapato_Inventory[[#This Row],[crop_value]]+Wapato_Inventory[[#This Row],[final_land]]+Wapato_Inventory[[#This Row],[final_imp]]</f>
        <v>214900</v>
      </c>
      <c r="CH508" t="str">
        <f t="shared" si="7"/>
        <v>update valuation set market_land =49500, market_bldg=165400, market_total =214900, market_mdno =405, market_date ='9/10/2023' where link_id = (select link_id from parcel where parcel_year = '2024' and parcel_id = '19111511564');</v>
      </c>
    </row>
    <row r="509" spans="1:86" x14ac:dyDescent="0.25">
      <c r="A509">
        <v>19111511565</v>
      </c>
      <c r="B509">
        <v>0.09</v>
      </c>
      <c r="C509">
        <v>3975</v>
      </c>
      <c r="D509" t="s">
        <v>144</v>
      </c>
      <c r="E509" t="s">
        <v>54</v>
      </c>
      <c r="F509" t="s">
        <v>54</v>
      </c>
      <c r="G509">
        <v>3</v>
      </c>
      <c r="H509" t="s">
        <v>55</v>
      </c>
      <c r="I509">
        <v>164200</v>
      </c>
      <c r="J509">
        <v>28700</v>
      </c>
      <c r="K509">
        <v>0.09</v>
      </c>
      <c r="L509">
        <f>IF(Wapato_Inventory[[#This Row],[parcel_acres]]-Wapato_Inventory[[#This Row],[non_valued_acres]] =0,0,LN(Wapato_Inventory[[#This Row],[parcel_acres]]-Wapato_Inventory[[#This Row],[non_valued_acres]]))</f>
        <v>-2.4079456086518722</v>
      </c>
      <c r="M509">
        <v>0</v>
      </c>
      <c r="N509">
        <v>0</v>
      </c>
      <c r="O509">
        <v>0</v>
      </c>
      <c r="P509">
        <v>27904.037</v>
      </c>
      <c r="Q509">
        <v>74398</v>
      </c>
      <c r="R509" s="3">
        <f>(Wapato_Inventory[[#This Row],[ln_acres]]*Wapato_Inventory[[#This Row],[coeff]])+Wapato_Inventory[[#This Row],[const]]</f>
        <v>7206.5966421906342</v>
      </c>
      <c r="S509" t="s">
        <v>66</v>
      </c>
      <c r="T509">
        <v>1</v>
      </c>
      <c r="U509" t="s">
        <v>75</v>
      </c>
      <c r="V509" t="s">
        <v>68</v>
      </c>
      <c r="W509">
        <v>0</v>
      </c>
      <c r="X509">
        <v>0</v>
      </c>
      <c r="Y509">
        <v>55</v>
      </c>
      <c r="Z509">
        <v>98</v>
      </c>
      <c r="AA509">
        <v>100</v>
      </c>
      <c r="AB509">
        <v>1500</v>
      </c>
      <c r="AC509">
        <v>1285</v>
      </c>
      <c r="AD509">
        <v>1285</v>
      </c>
      <c r="AE509">
        <v>0</v>
      </c>
      <c r="AF509">
        <v>0</v>
      </c>
      <c r="AG509">
        <v>0</v>
      </c>
      <c r="AH509">
        <v>80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5</v>
      </c>
      <c r="AQ509">
        <v>0</v>
      </c>
      <c r="AR509">
        <v>0</v>
      </c>
      <c r="AS509" t="s">
        <v>59</v>
      </c>
      <c r="AT509">
        <v>1</v>
      </c>
      <c r="AU509" t="s">
        <v>64</v>
      </c>
      <c r="AV509" t="s">
        <v>61</v>
      </c>
      <c r="AW509">
        <v>0</v>
      </c>
      <c r="AX509">
        <v>3</v>
      </c>
      <c r="AY509">
        <v>0</v>
      </c>
      <c r="AZ509">
        <v>4600</v>
      </c>
      <c r="BA509">
        <v>100</v>
      </c>
      <c r="BB509">
        <v>100</v>
      </c>
      <c r="BC509">
        <v>100</v>
      </c>
      <c r="BD509">
        <v>100</v>
      </c>
      <c r="BE509">
        <v>1</v>
      </c>
      <c r="BF509">
        <v>15000</v>
      </c>
      <c r="BG509">
        <v>1000</v>
      </c>
      <c r="BH509" s="7">
        <f>ROUND(Wapato_Inventory[[#This Row],[detatched_value]]*Lookups!$B$22*Lookups!$H$48,-2)</f>
        <v>4100</v>
      </c>
      <c r="BI509" s="7">
        <f>ROUND(((Wapato_Inventory[[#This Row],[land_extract]]*Lookups!$B$3) +(Lookups!$B$2*0.5))*Lookups!$H$48,-2)</f>
        <v>51800</v>
      </c>
      <c r="BJ509" s="7">
        <f>IF(Wapato_Inventory[[#This Row],[bldg_style]]="",0,Lookups!$B$2*0.5)</f>
        <v>53765.27</v>
      </c>
      <c r="BK509" s="7">
        <f>_xlfn.IFNA(VLOOKUP(Wapato_Inventory[[#This Row],[quality]],Lookups!$H$2:$J$14,3,FALSE),0)</f>
        <v>48043</v>
      </c>
      <c r="BL509" s="7">
        <f>_xlfn.IFNA(VLOOKUP(Wapato_Inventory[[#This Row],[condition]],Lookups!$H$17:$J$24,3,FALSE),0)</f>
        <v>52231</v>
      </c>
      <c r="BM509" s="7">
        <f>Wapato_Inventory[[#This Row],[Age]]*Lookups!$B$16</f>
        <v>-36326.2186</v>
      </c>
      <c r="BN509" s="7">
        <f>Wapato_Inventory[[#This Row],[Main Floor]]*Lookups!$B$17</f>
        <v>53713.949614999998</v>
      </c>
      <c r="BO509" s="7">
        <f>Wapato_Inventory[[#This Row],[Upper Floor]]*Lookups!$B$18</f>
        <v>0</v>
      </c>
      <c r="BP509" s="7">
        <f>Wapato_Inventory[[#This Row],[Fin BSMT]]*Lookups!$B$19</f>
        <v>0</v>
      </c>
      <c r="BQ509" s="7">
        <f>(Wapato_Inventory[[#This Row],[att_gar]]+Wapato_Inventory[[#This Row],[blt_gar]])*Lookups!$B$20</f>
        <v>0</v>
      </c>
      <c r="BR509" s="7">
        <f>Wapato_Inventory[[#This Row],[Patio]]*Lookups!$B$21</f>
        <v>0</v>
      </c>
      <c r="BS509" s="7">
        <f>SUM(Wapato_Inventory[[#This Row],[intercept]:[patio_value]])*Wapato_Inventory[[#This Row],[res_pct]]</f>
        <v>171427.00101499999</v>
      </c>
      <c r="BT509" s="7">
        <f>Wapato_Inventory[[#This Row],[land_value]]</f>
        <v>51800</v>
      </c>
      <c r="BU509" s="2">
        <f>_xlfn.IFNA(VLOOKUP(Wapato_Inventory[[#This Row],[quality]],Lookups!$A$28:$C$37,3,FALSE),1)</f>
        <v>0.98196844879778955</v>
      </c>
      <c r="BV509" s="2">
        <f>_xlfn.IFNA(VLOOKUP(Wapato_Inventory[[#This Row],[condition]],Lookups!$A$41:$C$48,3,FALSE),1)</f>
        <v>0.9832333997567807</v>
      </c>
      <c r="BW509" s="2">
        <f>IF(Wapato_Inventory[[#This Row],[decade]]="",1,_xlfn.IFNA(VLOOKUP(Wapato_Inventory[[#This Row],[decade]],Lookups!$F$28:$H$45,3,FALSE),1))</f>
        <v>1.0114203040664467</v>
      </c>
      <c r="BX509" s="2">
        <f>_xlfn.IFNA(VLOOKUP(Wapato_Inventory[[#This Row],[living_area_range]],Lookups!$K$28:$M$37,3,FALSE),1)</f>
        <v>1.0061411172456287</v>
      </c>
      <c r="BY509" s="2">
        <f>AVERAGE(Wapato_Inventory[[#This Row],[qual_adj]:[range_adj]])</f>
        <v>0.99569081746666144</v>
      </c>
      <c r="BZ509" s="7">
        <f>(Wapato_Inventory[[#This Row],[sum_land]]-IF(Wapato_Inventory[[#This Row],[no_utilities]]=1,12000,0))/IF(Wapato_Inventory[[#This Row],[unbuildable]]=1,2,1)</f>
        <v>51800</v>
      </c>
      <c r="CA509" s="7">
        <f>Wapato_Inventory[[#This Row],[pre_res]]*Wapato_Inventory[[#This Row],[overall_adj]]</f>
        <v>170688.29077648354</v>
      </c>
      <c r="CB509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509" s="3">
        <f>IF(ROUND(Wapato_Inventory[[#This Row],[adj_res]]*Lookups!$H$48,-2)&lt;Wapato_Inventory[[#This Row],[min_res]],Wapato_Inventory[[#This Row],[min_res]],ROUND(Wapato_Inventory[[#This Row],[adj_res]]*Lookups!$H$48,-2))</f>
        <v>162200</v>
      </c>
      <c r="CD509" s="3">
        <f>ROUND(Wapato_Inventory[[#This Row],[det_value]]*Lookups!$H$48,-2)</f>
        <v>3900</v>
      </c>
      <c r="CE509" s="3">
        <f>Wapato_Inventory[[#This Row],[final_res]]+Wapato_Inventory[[#This Row],[final_det]]</f>
        <v>166100</v>
      </c>
      <c r="CF509" s="3">
        <f>Wapato_Inventory[[#This Row],[crop_value]]+Wapato_Inventory[[#This Row],[final_land]]+Wapato_Inventory[[#This Row],[final_imp]]</f>
        <v>215300</v>
      </c>
      <c r="CH509" t="str">
        <f t="shared" si="7"/>
        <v>update valuation set market_land =49200, market_bldg=166100, market_total =215300, market_mdno =405, market_date ='9/10/2023' where link_id = (select link_id from parcel where parcel_year = '2024' and parcel_id = '19111511565');</v>
      </c>
    </row>
    <row r="510" spans="1:86" x14ac:dyDescent="0.25">
      <c r="A510">
        <v>19111511581</v>
      </c>
      <c r="B510">
        <v>0.21</v>
      </c>
      <c r="C510">
        <v>9051</v>
      </c>
      <c r="D510" t="s">
        <v>144</v>
      </c>
      <c r="E510" t="s">
        <v>54</v>
      </c>
      <c r="F510" t="s">
        <v>54</v>
      </c>
      <c r="G510">
        <v>3</v>
      </c>
      <c r="H510" t="s">
        <v>55</v>
      </c>
      <c r="I510">
        <v>181500</v>
      </c>
      <c r="J510">
        <v>34800</v>
      </c>
      <c r="K510">
        <v>0.21</v>
      </c>
      <c r="L510">
        <f>IF(Wapato_Inventory[[#This Row],[parcel_acres]]-Wapato_Inventory[[#This Row],[non_valued_acres]] =0,0,LN(Wapato_Inventory[[#This Row],[parcel_acres]]-Wapato_Inventory[[#This Row],[non_valued_acres]]))</f>
        <v>-1.5606477482646683</v>
      </c>
      <c r="M510">
        <v>0</v>
      </c>
      <c r="N510">
        <v>0</v>
      </c>
      <c r="O510">
        <v>0</v>
      </c>
      <c r="P510">
        <v>27904.037</v>
      </c>
      <c r="Q510">
        <v>74398</v>
      </c>
      <c r="R510" s="3">
        <f>(Wapato_Inventory[[#This Row],[ln_acres]]*Wapato_Inventory[[#This Row],[coeff]])+Wapato_Inventory[[#This Row],[const]]</f>
        <v>30849.627488456012</v>
      </c>
      <c r="S510" t="s">
        <v>66</v>
      </c>
      <c r="T510">
        <v>1</v>
      </c>
      <c r="U510" t="s">
        <v>75</v>
      </c>
      <c r="V510" t="s">
        <v>68</v>
      </c>
      <c r="W510">
        <v>0</v>
      </c>
      <c r="X510">
        <v>0</v>
      </c>
      <c r="Y510">
        <v>50</v>
      </c>
      <c r="Z510">
        <v>73</v>
      </c>
      <c r="AA510">
        <v>80</v>
      </c>
      <c r="AB510">
        <v>2000</v>
      </c>
      <c r="AC510">
        <v>1695</v>
      </c>
      <c r="AD510">
        <v>1076</v>
      </c>
      <c r="AE510">
        <v>0</v>
      </c>
      <c r="AF510">
        <v>0</v>
      </c>
      <c r="AG510">
        <v>619</v>
      </c>
      <c r="AH510">
        <v>265</v>
      </c>
      <c r="AI510">
        <v>0</v>
      </c>
      <c r="AJ510">
        <v>0</v>
      </c>
      <c r="AK510">
        <v>0</v>
      </c>
      <c r="AL510">
        <v>0</v>
      </c>
      <c r="AM510">
        <v>336</v>
      </c>
      <c r="AN510">
        <v>0</v>
      </c>
      <c r="AO510">
        <v>336</v>
      </c>
      <c r="AP510">
        <v>5</v>
      </c>
      <c r="AQ510">
        <v>0</v>
      </c>
      <c r="AR510">
        <v>1</v>
      </c>
      <c r="AS510" t="s">
        <v>59</v>
      </c>
      <c r="AT510">
        <v>1</v>
      </c>
      <c r="AU510" t="s">
        <v>64</v>
      </c>
      <c r="AV510" t="s">
        <v>61</v>
      </c>
      <c r="AW510">
        <v>1</v>
      </c>
      <c r="AX510">
        <v>2</v>
      </c>
      <c r="AY510">
        <v>0</v>
      </c>
      <c r="AZ510">
        <v>9900</v>
      </c>
      <c r="BA510">
        <v>100</v>
      </c>
      <c r="BB510">
        <v>100</v>
      </c>
      <c r="BC510">
        <v>100</v>
      </c>
      <c r="BD510">
        <v>100</v>
      </c>
      <c r="BE510">
        <v>1</v>
      </c>
      <c r="BF510">
        <v>15000</v>
      </c>
      <c r="BG510">
        <v>1000</v>
      </c>
      <c r="BH510" s="7">
        <f>ROUND(Wapato_Inventory[[#This Row],[detatched_value]]*Lookups!$B$22*Lookups!$H$48,-2)</f>
        <v>8800</v>
      </c>
      <c r="BI510" s="7">
        <f>ROUND(((Wapato_Inventory[[#This Row],[land_extract]]*Lookups!$B$3) +(Lookups!$B$2*0.5))*Lookups!$H$48,-2)</f>
        <v>54100</v>
      </c>
      <c r="BJ510" s="7">
        <f>IF(Wapato_Inventory[[#This Row],[bldg_style]]="",0,Lookups!$B$2*0.5)</f>
        <v>53765.27</v>
      </c>
      <c r="BK510" s="7">
        <f>_xlfn.IFNA(VLOOKUP(Wapato_Inventory[[#This Row],[quality]],Lookups!$H$2:$J$14,3,FALSE),0)</f>
        <v>48043</v>
      </c>
      <c r="BL510" s="7">
        <f>_xlfn.IFNA(VLOOKUP(Wapato_Inventory[[#This Row],[condition]],Lookups!$H$17:$J$24,3,FALSE),0)</f>
        <v>52231</v>
      </c>
      <c r="BM510" s="7">
        <f>Wapato_Inventory[[#This Row],[Age]]*Lookups!$B$16</f>
        <v>-27059.326100000002</v>
      </c>
      <c r="BN510" s="7">
        <f>Wapato_Inventory[[#This Row],[Main Floor]]*Lookups!$B$17</f>
        <v>44977.595163999998</v>
      </c>
      <c r="BO510" s="7">
        <f>Wapato_Inventory[[#This Row],[Upper Floor]]*Lookups!$B$18</f>
        <v>0</v>
      </c>
      <c r="BP510" s="7">
        <f>Wapato_Inventory[[#This Row],[Fin BSMT]]*Lookups!$B$19</f>
        <v>15083.012060000001</v>
      </c>
      <c r="BQ510" s="7">
        <f>(Wapato_Inventory[[#This Row],[att_gar]]+Wapato_Inventory[[#This Row],[blt_gar]])*Lookups!$B$20</f>
        <v>0</v>
      </c>
      <c r="BR510" s="7">
        <f>Wapato_Inventory[[#This Row],[Patio]]*Lookups!$B$21</f>
        <v>14556.856944000001</v>
      </c>
      <c r="BS510" s="7">
        <f>SUM(Wapato_Inventory[[#This Row],[intercept]:[patio_value]])*Wapato_Inventory[[#This Row],[res_pct]]</f>
        <v>201597.40806799999</v>
      </c>
      <c r="BT510" s="7">
        <f>Wapato_Inventory[[#This Row],[land_value]]</f>
        <v>54100</v>
      </c>
      <c r="BU510" s="2">
        <f>_xlfn.IFNA(VLOOKUP(Wapato_Inventory[[#This Row],[quality]],Lookups!$A$28:$C$37,3,FALSE),1)</f>
        <v>0.98196844879778955</v>
      </c>
      <c r="BV510" s="2">
        <f>_xlfn.IFNA(VLOOKUP(Wapato_Inventory[[#This Row],[condition]],Lookups!$A$41:$C$48,3,FALSE),1)</f>
        <v>0.9832333997567807</v>
      </c>
      <c r="BW510" s="2">
        <f>IF(Wapato_Inventory[[#This Row],[decade]]="",1,_xlfn.IFNA(VLOOKUP(Wapato_Inventory[[#This Row],[decade]],Lookups!$F$28:$H$45,3,FALSE),1))</f>
        <v>0.8438929209510081</v>
      </c>
      <c r="BX510" s="2">
        <f>_xlfn.IFNA(VLOOKUP(Wapato_Inventory[[#This Row],[living_area_range]],Lookups!$K$28:$M$37,3,FALSE),1)</f>
        <v>0.99330894324714125</v>
      </c>
      <c r="BY510" s="2">
        <f>AVERAGE(Wapato_Inventory[[#This Row],[qual_adj]:[range_adj]])</f>
        <v>0.95060092818817987</v>
      </c>
      <c r="BZ510" s="7">
        <f>(Wapato_Inventory[[#This Row],[sum_land]]-IF(Wapato_Inventory[[#This Row],[no_utilities]]=1,12000,0))/IF(Wapato_Inventory[[#This Row],[unbuildable]]=1,2,1)</f>
        <v>54100</v>
      </c>
      <c r="CA510" s="7">
        <f>Wapato_Inventory[[#This Row],[pre_res]]*Wapato_Inventory[[#This Row],[overall_adj]]</f>
        <v>191638.68322977205</v>
      </c>
      <c r="CB510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510" s="3">
        <f>IF(ROUND(Wapato_Inventory[[#This Row],[adj_res]]*Lookups!$H$48,-2)&lt;Wapato_Inventory[[#This Row],[min_res]],Wapato_Inventory[[#This Row],[min_res]],ROUND(Wapato_Inventory[[#This Row],[adj_res]]*Lookups!$H$48,-2))</f>
        <v>182100</v>
      </c>
      <c r="CD510" s="3">
        <f>ROUND(Wapato_Inventory[[#This Row],[det_value]]*Lookups!$H$48,-2)</f>
        <v>8400</v>
      </c>
      <c r="CE510" s="3">
        <f>Wapato_Inventory[[#This Row],[final_res]]+Wapato_Inventory[[#This Row],[final_det]]</f>
        <v>190500</v>
      </c>
      <c r="CF510" s="3">
        <f>Wapato_Inventory[[#This Row],[crop_value]]+Wapato_Inventory[[#This Row],[final_land]]+Wapato_Inventory[[#This Row],[final_imp]]</f>
        <v>241900</v>
      </c>
      <c r="CH510" t="str">
        <f t="shared" si="7"/>
        <v>update valuation set market_land =51400, market_bldg=190500, market_total =241900, market_mdno =405, market_date ='9/10/2023' where link_id = (select link_id from parcel where parcel_year = '2024' and parcel_id = '19111511581');</v>
      </c>
    </row>
    <row r="511" spans="1:86" x14ac:dyDescent="0.25">
      <c r="A511">
        <v>19111511582</v>
      </c>
      <c r="B511">
        <v>0.1</v>
      </c>
      <c r="C511">
        <v>4447</v>
      </c>
      <c r="D511" t="s">
        <v>144</v>
      </c>
      <c r="E511" t="s">
        <v>54</v>
      </c>
      <c r="F511" t="s">
        <v>54</v>
      </c>
      <c r="G511">
        <v>3</v>
      </c>
      <c r="H511" t="s">
        <v>55</v>
      </c>
      <c r="I511">
        <v>144500</v>
      </c>
      <c r="J511">
        <v>29500</v>
      </c>
      <c r="K511">
        <v>0.1</v>
      </c>
      <c r="L511">
        <f>IF(Wapato_Inventory[[#This Row],[parcel_acres]]-Wapato_Inventory[[#This Row],[non_valued_acres]] =0,0,LN(Wapato_Inventory[[#This Row],[parcel_acres]]-Wapato_Inventory[[#This Row],[non_valued_acres]]))</f>
        <v>-2.3025850929940455</v>
      </c>
      <c r="M511">
        <v>0</v>
      </c>
      <c r="N511">
        <v>0</v>
      </c>
      <c r="O511">
        <v>0</v>
      </c>
      <c r="P511">
        <v>27904.037</v>
      </c>
      <c r="Q511">
        <v>74398</v>
      </c>
      <c r="R511" s="3">
        <f>(Wapato_Inventory[[#This Row],[ln_acres]]*Wapato_Inventory[[#This Row],[coeff]])+Wapato_Inventory[[#This Row],[const]]</f>
        <v>10146.580369445714</v>
      </c>
      <c r="S511" t="s">
        <v>66</v>
      </c>
      <c r="T511">
        <v>1</v>
      </c>
      <c r="U511" t="s">
        <v>75</v>
      </c>
      <c r="V511" t="s">
        <v>68</v>
      </c>
      <c r="W511">
        <v>0</v>
      </c>
      <c r="X511">
        <v>0</v>
      </c>
      <c r="Y511">
        <v>55</v>
      </c>
      <c r="Z511">
        <v>98</v>
      </c>
      <c r="AA511">
        <v>100</v>
      </c>
      <c r="AB511">
        <v>2000</v>
      </c>
      <c r="AC511">
        <v>1673</v>
      </c>
      <c r="AD511">
        <v>1020</v>
      </c>
      <c r="AE511">
        <v>0</v>
      </c>
      <c r="AF511">
        <v>0</v>
      </c>
      <c r="AG511">
        <v>653</v>
      </c>
      <c r="AH511">
        <v>163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8</v>
      </c>
      <c r="AQ511">
        <v>0</v>
      </c>
      <c r="AR511">
        <v>0</v>
      </c>
      <c r="AS511" t="s">
        <v>59</v>
      </c>
      <c r="AT511">
        <v>1</v>
      </c>
      <c r="AU511" t="s">
        <v>64</v>
      </c>
      <c r="AV511" t="s">
        <v>65</v>
      </c>
      <c r="AW511">
        <v>0</v>
      </c>
      <c r="AX511">
        <v>3</v>
      </c>
      <c r="AY511">
        <v>0</v>
      </c>
      <c r="AZ511">
        <v>6400</v>
      </c>
      <c r="BA511">
        <v>100</v>
      </c>
      <c r="BB511">
        <v>100</v>
      </c>
      <c r="BC511">
        <v>100</v>
      </c>
      <c r="BD511">
        <v>100</v>
      </c>
      <c r="BE511">
        <v>1</v>
      </c>
      <c r="BF511">
        <v>15000</v>
      </c>
      <c r="BG511">
        <v>1000</v>
      </c>
      <c r="BH511" s="7">
        <f>ROUND(Wapato_Inventory[[#This Row],[detatched_value]]*Lookups!$B$22*Lookups!$H$48,-2)</f>
        <v>5700</v>
      </c>
      <c r="BI511" s="7">
        <f>ROUND(((Wapato_Inventory[[#This Row],[land_extract]]*Lookups!$B$3) +(Lookups!$B$2*0.5))*Lookups!$H$48,-2)</f>
        <v>52100</v>
      </c>
      <c r="BJ511" s="7">
        <f>IF(Wapato_Inventory[[#This Row],[bldg_style]]="",0,Lookups!$B$2*0.5)</f>
        <v>53765.27</v>
      </c>
      <c r="BK511" s="7">
        <f>_xlfn.IFNA(VLOOKUP(Wapato_Inventory[[#This Row],[quality]],Lookups!$H$2:$J$14,3,FALSE),0)</f>
        <v>48043</v>
      </c>
      <c r="BL511" s="7">
        <f>_xlfn.IFNA(VLOOKUP(Wapato_Inventory[[#This Row],[condition]],Lookups!$H$17:$J$24,3,FALSE),0)</f>
        <v>52231</v>
      </c>
      <c r="BM511" s="7">
        <f>Wapato_Inventory[[#This Row],[Age]]*Lookups!$B$16</f>
        <v>-36326.2186</v>
      </c>
      <c r="BN511" s="7">
        <f>Wapato_Inventory[[#This Row],[Main Floor]]*Lookups!$B$17</f>
        <v>42636.753779999999</v>
      </c>
      <c r="BO511" s="7">
        <f>Wapato_Inventory[[#This Row],[Upper Floor]]*Lookups!$B$18</f>
        <v>0</v>
      </c>
      <c r="BP511" s="7">
        <f>Wapato_Inventory[[#This Row],[Fin BSMT]]*Lookups!$B$19</f>
        <v>15911.48122</v>
      </c>
      <c r="BQ511" s="7">
        <f>(Wapato_Inventory[[#This Row],[att_gar]]+Wapato_Inventory[[#This Row],[blt_gar]])*Lookups!$B$20</f>
        <v>0</v>
      </c>
      <c r="BR511" s="7">
        <f>Wapato_Inventory[[#This Row],[Patio]]*Lookups!$B$21</f>
        <v>0</v>
      </c>
      <c r="BS511" s="7">
        <f>SUM(Wapato_Inventory[[#This Row],[intercept]:[patio_value]])*Wapato_Inventory[[#This Row],[res_pct]]</f>
        <v>176261.28639999998</v>
      </c>
      <c r="BT511" s="7">
        <f>Wapato_Inventory[[#This Row],[land_value]]</f>
        <v>52100</v>
      </c>
      <c r="BU511" s="2">
        <f>_xlfn.IFNA(VLOOKUP(Wapato_Inventory[[#This Row],[quality]],Lookups!$A$28:$C$37,3,FALSE),1)</f>
        <v>0.98196844879778955</v>
      </c>
      <c r="BV511" s="2">
        <f>_xlfn.IFNA(VLOOKUP(Wapato_Inventory[[#This Row],[condition]],Lookups!$A$41:$C$48,3,FALSE),1)</f>
        <v>0.9832333997567807</v>
      </c>
      <c r="BW511" s="2">
        <f>IF(Wapato_Inventory[[#This Row],[decade]]="",1,_xlfn.IFNA(VLOOKUP(Wapato_Inventory[[#This Row],[decade]],Lookups!$F$28:$H$45,3,FALSE),1))</f>
        <v>1.0114203040664467</v>
      </c>
      <c r="BX511" s="2">
        <f>_xlfn.IFNA(VLOOKUP(Wapato_Inventory[[#This Row],[living_area_range]],Lookups!$K$28:$M$37,3,FALSE),1)</f>
        <v>0.99330894324714125</v>
      </c>
      <c r="BY511" s="2">
        <f>AVERAGE(Wapato_Inventory[[#This Row],[qual_adj]:[range_adj]])</f>
        <v>0.99248277396703954</v>
      </c>
      <c r="BZ511" s="7">
        <f>(Wapato_Inventory[[#This Row],[sum_land]]-IF(Wapato_Inventory[[#This Row],[no_utilities]]=1,12000,0))/IF(Wapato_Inventory[[#This Row],[unbuildable]]=1,2,1)</f>
        <v>52100</v>
      </c>
      <c r="CA511" s="7">
        <f>Wapato_Inventory[[#This Row],[pre_res]]*Wapato_Inventory[[#This Row],[overall_adj]]</f>
        <v>174936.29046927081</v>
      </c>
      <c r="CB511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511" s="3">
        <f>IF(ROUND(Wapato_Inventory[[#This Row],[adj_res]]*Lookups!$H$48,-2)&lt;Wapato_Inventory[[#This Row],[min_res]],Wapato_Inventory[[#This Row],[min_res]],ROUND(Wapato_Inventory[[#This Row],[adj_res]]*Lookups!$H$48,-2))</f>
        <v>166200</v>
      </c>
      <c r="CD511" s="3">
        <f>ROUND(Wapato_Inventory[[#This Row],[det_value]]*Lookups!$H$48,-2)</f>
        <v>5400</v>
      </c>
      <c r="CE511" s="3">
        <f>Wapato_Inventory[[#This Row],[final_res]]+Wapato_Inventory[[#This Row],[final_det]]</f>
        <v>171600</v>
      </c>
      <c r="CF511" s="3">
        <f>Wapato_Inventory[[#This Row],[crop_value]]+Wapato_Inventory[[#This Row],[final_land]]+Wapato_Inventory[[#This Row],[final_imp]]</f>
        <v>221100</v>
      </c>
      <c r="CH511" t="str">
        <f t="shared" si="7"/>
        <v>update valuation set market_land =49500, market_bldg=171600, market_total =221100, market_mdno =405, market_date ='9/10/2023' where link_id = (select link_id from parcel where parcel_year = '2024' and parcel_id = '19111511582');</v>
      </c>
    </row>
    <row r="512" spans="1:86" x14ac:dyDescent="0.25">
      <c r="A512">
        <v>19111511592</v>
      </c>
      <c r="B512">
        <v>0.19</v>
      </c>
      <c r="C512">
        <v>8373</v>
      </c>
      <c r="D512" t="s">
        <v>144</v>
      </c>
      <c r="E512" t="s">
        <v>54</v>
      </c>
      <c r="F512" t="s">
        <v>54</v>
      </c>
      <c r="G512">
        <v>3</v>
      </c>
      <c r="H512" t="s">
        <v>55</v>
      </c>
      <c r="I512">
        <v>141400</v>
      </c>
      <c r="J512">
        <v>34100</v>
      </c>
      <c r="K512">
        <v>0.19</v>
      </c>
      <c r="L512">
        <f>IF(Wapato_Inventory[[#This Row],[parcel_acres]]-Wapato_Inventory[[#This Row],[non_valued_acres]] =0,0,LN(Wapato_Inventory[[#This Row],[parcel_acres]]-Wapato_Inventory[[#This Row],[non_valued_acres]]))</f>
        <v>-1.6607312068216509</v>
      </c>
      <c r="M512">
        <v>0</v>
      </c>
      <c r="N512">
        <v>0</v>
      </c>
      <c r="O512">
        <v>0</v>
      </c>
      <c r="P512">
        <v>27904.037</v>
      </c>
      <c r="Q512">
        <v>74398</v>
      </c>
      <c r="R512" s="3">
        <f>(Wapato_Inventory[[#This Row],[ln_acres]]*Wapato_Inventory[[#This Row],[coeff]])+Wapato_Inventory[[#This Row],[const]]</f>
        <v>28056.894957794</v>
      </c>
      <c r="S512" t="s">
        <v>66</v>
      </c>
      <c r="T512">
        <v>1</v>
      </c>
      <c r="U512" t="s">
        <v>78</v>
      </c>
      <c r="V512" t="s">
        <v>68</v>
      </c>
      <c r="W512">
        <v>0</v>
      </c>
      <c r="X512">
        <v>0</v>
      </c>
      <c r="Y512">
        <v>60</v>
      </c>
      <c r="Z512">
        <v>108</v>
      </c>
      <c r="AA512">
        <v>110</v>
      </c>
      <c r="AB512">
        <v>1500</v>
      </c>
      <c r="AC512">
        <v>1296</v>
      </c>
      <c r="AD512">
        <v>1296</v>
      </c>
      <c r="AE512">
        <v>0</v>
      </c>
      <c r="AF512">
        <v>0</v>
      </c>
      <c r="AG512">
        <v>0</v>
      </c>
      <c r="AH512">
        <v>880</v>
      </c>
      <c r="AI512">
        <v>0</v>
      </c>
      <c r="AJ512">
        <v>0</v>
      </c>
      <c r="AK512">
        <v>504</v>
      </c>
      <c r="AL512">
        <v>144</v>
      </c>
      <c r="AM512">
        <v>0</v>
      </c>
      <c r="AN512">
        <v>160</v>
      </c>
      <c r="AO512">
        <v>144</v>
      </c>
      <c r="AP512">
        <v>5</v>
      </c>
      <c r="AQ512">
        <v>0</v>
      </c>
      <c r="AR512">
        <v>0</v>
      </c>
      <c r="AS512" t="s">
        <v>59</v>
      </c>
      <c r="AT512">
        <v>1</v>
      </c>
      <c r="AU512" t="s">
        <v>72</v>
      </c>
      <c r="AV512" t="s">
        <v>61</v>
      </c>
      <c r="AW512">
        <v>0</v>
      </c>
      <c r="AX512">
        <v>2</v>
      </c>
      <c r="AY512">
        <v>0</v>
      </c>
      <c r="AZ512">
        <v>4400</v>
      </c>
      <c r="BA512">
        <v>100</v>
      </c>
      <c r="BB512">
        <v>100</v>
      </c>
      <c r="BC512">
        <v>100</v>
      </c>
      <c r="BD512">
        <v>100</v>
      </c>
      <c r="BE512">
        <v>1</v>
      </c>
      <c r="BF512">
        <v>15000</v>
      </c>
      <c r="BG512">
        <v>1000</v>
      </c>
      <c r="BH512" s="7">
        <f>ROUND(Wapato_Inventory[[#This Row],[detatched_value]]*Lookups!$B$22*Lookups!$H$48,-2)</f>
        <v>3900</v>
      </c>
      <c r="BI512" s="7">
        <f>ROUND(((Wapato_Inventory[[#This Row],[land_extract]]*Lookups!$B$3) +(Lookups!$B$2*0.5))*Lookups!$H$48,-2)</f>
        <v>53800</v>
      </c>
      <c r="BJ512" s="7">
        <f>IF(Wapato_Inventory[[#This Row],[bldg_style]]="",0,Lookups!$B$2*0.5)</f>
        <v>53765.27</v>
      </c>
      <c r="BK512" s="7">
        <f>_xlfn.IFNA(VLOOKUP(Wapato_Inventory[[#This Row],[quality]],Lookups!$H$2:$J$14,3,FALSE),0)</f>
        <v>23424</v>
      </c>
      <c r="BL512" s="7">
        <f>_xlfn.IFNA(VLOOKUP(Wapato_Inventory[[#This Row],[condition]],Lookups!$H$17:$J$24,3,FALSE),0)</f>
        <v>52231</v>
      </c>
      <c r="BM512" s="7">
        <f>Wapato_Inventory[[#This Row],[Age]]*Lookups!$B$16</f>
        <v>-40032.975599999998</v>
      </c>
      <c r="BN512" s="7">
        <f>Wapato_Inventory[[#This Row],[Main Floor]]*Lookups!$B$17</f>
        <v>54173.757744000002</v>
      </c>
      <c r="BO512" s="7">
        <f>Wapato_Inventory[[#This Row],[Upper Floor]]*Lookups!$B$18</f>
        <v>0</v>
      </c>
      <c r="BP512" s="7">
        <f>Wapato_Inventory[[#This Row],[Fin BSMT]]*Lookups!$B$19</f>
        <v>0</v>
      </c>
      <c r="BQ512" s="7">
        <f>(Wapato_Inventory[[#This Row],[att_gar]]+Wapato_Inventory[[#This Row],[blt_gar]])*Lookups!$B$20</f>
        <v>0</v>
      </c>
      <c r="BR512" s="7">
        <f>Wapato_Inventory[[#This Row],[Patio]]*Lookups!$B$21</f>
        <v>0</v>
      </c>
      <c r="BS512" s="7">
        <f>SUM(Wapato_Inventory[[#This Row],[intercept]:[patio_value]])*Wapato_Inventory[[#This Row],[res_pct]]</f>
        <v>143561.05214399999</v>
      </c>
      <c r="BT512" s="7">
        <f>Wapato_Inventory[[#This Row],[land_value]]</f>
        <v>53800</v>
      </c>
      <c r="BU512" s="2">
        <f>_xlfn.IFNA(VLOOKUP(Wapato_Inventory[[#This Row],[quality]],Lookups!$A$28:$C$37,3,FALSE),1)</f>
        <v>1.0091195562373767</v>
      </c>
      <c r="BV512" s="2">
        <f>_xlfn.IFNA(VLOOKUP(Wapato_Inventory[[#This Row],[condition]],Lookups!$A$41:$C$48,3,FALSE),1)</f>
        <v>0.9832333997567807</v>
      </c>
      <c r="BW512" s="2">
        <f>IF(Wapato_Inventory[[#This Row],[decade]]="",1,_xlfn.IFNA(VLOOKUP(Wapato_Inventory[[#This Row],[decade]],Lookups!$F$28:$H$45,3,FALSE),1))</f>
        <v>0.93664589651353292</v>
      </c>
      <c r="BX512" s="2">
        <f>_xlfn.IFNA(VLOOKUP(Wapato_Inventory[[#This Row],[living_area_range]],Lookups!$K$28:$M$37,3,FALSE),1)</f>
        <v>1.0061411172456287</v>
      </c>
      <c r="BY512" s="2">
        <f>AVERAGE(Wapato_Inventory[[#This Row],[qual_adj]:[range_adj]])</f>
        <v>0.98378499243832973</v>
      </c>
      <c r="BZ512" s="7">
        <f>(Wapato_Inventory[[#This Row],[sum_land]]-IF(Wapato_Inventory[[#This Row],[no_utilities]]=1,12000,0))/IF(Wapato_Inventory[[#This Row],[unbuildable]]=1,2,1)</f>
        <v>53800</v>
      </c>
      <c r="CA512" s="7">
        <f>Wapato_Inventory[[#This Row],[pre_res]]*Wapato_Inventory[[#This Row],[overall_adj]]</f>
        <v>141233.20859792369</v>
      </c>
      <c r="CB512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512" s="3">
        <f>IF(ROUND(Wapato_Inventory[[#This Row],[adj_res]]*Lookups!$H$48,-2)&lt;Wapato_Inventory[[#This Row],[min_res]],Wapato_Inventory[[#This Row],[min_res]],ROUND(Wapato_Inventory[[#This Row],[adj_res]]*Lookups!$H$48,-2))</f>
        <v>134200</v>
      </c>
      <c r="CD512" s="3">
        <f>ROUND(Wapato_Inventory[[#This Row],[det_value]]*Lookups!$H$48,-2)</f>
        <v>3700</v>
      </c>
      <c r="CE512" s="3">
        <f>Wapato_Inventory[[#This Row],[final_res]]+Wapato_Inventory[[#This Row],[final_det]]</f>
        <v>137900</v>
      </c>
      <c r="CF512" s="3">
        <f>Wapato_Inventory[[#This Row],[crop_value]]+Wapato_Inventory[[#This Row],[final_land]]+Wapato_Inventory[[#This Row],[final_imp]]</f>
        <v>189000</v>
      </c>
      <c r="CH512" t="str">
        <f t="shared" si="7"/>
        <v>update valuation set market_land =51100, market_bldg=137900, market_total =189000, market_mdno =405, market_date ='9/10/2023' where link_id = (select link_id from parcel where parcel_year = '2024' and parcel_id = '19111511592');</v>
      </c>
    </row>
    <row r="513" spans="1:86" x14ac:dyDescent="0.25">
      <c r="A513">
        <v>19111511598</v>
      </c>
      <c r="B513">
        <v>0.11</v>
      </c>
      <c r="C513" t="s">
        <v>144</v>
      </c>
      <c r="D513" t="s">
        <v>144</v>
      </c>
      <c r="E513" t="s">
        <v>54</v>
      </c>
      <c r="F513" t="s">
        <v>54</v>
      </c>
      <c r="G513">
        <v>3</v>
      </c>
      <c r="H513" t="s">
        <v>55</v>
      </c>
      <c r="I513">
        <v>126800</v>
      </c>
      <c r="J513">
        <v>30200</v>
      </c>
      <c r="K513">
        <v>0.11</v>
      </c>
      <c r="L513">
        <f>IF(Wapato_Inventory[[#This Row],[parcel_acres]]-Wapato_Inventory[[#This Row],[non_valued_acres]] =0,0,LN(Wapato_Inventory[[#This Row],[parcel_acres]]-Wapato_Inventory[[#This Row],[non_valued_acres]]))</f>
        <v>-2.2072749131897207</v>
      </c>
      <c r="M513">
        <v>0</v>
      </c>
      <c r="N513">
        <v>0</v>
      </c>
      <c r="O513">
        <v>0</v>
      </c>
      <c r="P513">
        <v>27904.037</v>
      </c>
      <c r="Q513">
        <v>74398</v>
      </c>
      <c r="R513" s="3">
        <f>(Wapato_Inventory[[#This Row],[ln_acres]]*Wapato_Inventory[[#This Row],[coeff]])+Wapato_Inventory[[#This Row],[const]]</f>
        <v>12806.119153182248</v>
      </c>
      <c r="S513" t="s">
        <v>66</v>
      </c>
      <c r="T513">
        <v>1</v>
      </c>
      <c r="U513" t="s">
        <v>71</v>
      </c>
      <c r="V513" t="s">
        <v>68</v>
      </c>
      <c r="W513">
        <v>0</v>
      </c>
      <c r="X513">
        <v>0</v>
      </c>
      <c r="Y513">
        <v>17</v>
      </c>
      <c r="Z513">
        <v>17</v>
      </c>
      <c r="AA513">
        <v>20</v>
      </c>
      <c r="AB513">
        <v>1000</v>
      </c>
      <c r="AC513">
        <v>819</v>
      </c>
      <c r="AD513">
        <v>819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56</v>
      </c>
      <c r="AO513">
        <v>40</v>
      </c>
      <c r="AP513">
        <v>8</v>
      </c>
      <c r="AQ513">
        <v>0</v>
      </c>
      <c r="AR513">
        <v>0</v>
      </c>
      <c r="AS513" t="s">
        <v>59</v>
      </c>
      <c r="AT513">
        <v>1</v>
      </c>
      <c r="AU513" t="s">
        <v>76</v>
      </c>
      <c r="AV513" t="s">
        <v>61</v>
      </c>
      <c r="AW513">
        <v>0</v>
      </c>
      <c r="AX513">
        <v>2</v>
      </c>
      <c r="AY513">
        <v>0</v>
      </c>
      <c r="AZ513">
        <v>1700</v>
      </c>
      <c r="BA513">
        <v>100</v>
      </c>
      <c r="BB513">
        <v>100</v>
      </c>
      <c r="BC513">
        <v>100</v>
      </c>
      <c r="BD513">
        <v>100</v>
      </c>
      <c r="BE513">
        <v>1</v>
      </c>
      <c r="BF513">
        <v>15000</v>
      </c>
      <c r="BG513">
        <v>1000</v>
      </c>
      <c r="BH513" s="7">
        <f>ROUND(Wapato_Inventory[[#This Row],[detatched_value]]*Lookups!$B$22*Lookups!$H$48,-2)</f>
        <v>1500</v>
      </c>
      <c r="BI513" s="7">
        <f>ROUND(((Wapato_Inventory[[#This Row],[land_extract]]*Lookups!$B$3) +(Lookups!$B$2*0.5))*Lookups!$H$48,-2)</f>
        <v>52300</v>
      </c>
      <c r="BJ513" s="7">
        <f>IF(Wapato_Inventory[[#This Row],[bldg_style]]="",0,Lookups!$B$2*0.5)</f>
        <v>53765.27</v>
      </c>
      <c r="BK513" s="7">
        <f>_xlfn.IFNA(VLOOKUP(Wapato_Inventory[[#This Row],[quality]],Lookups!$H$2:$J$14,3,FALSE),0)</f>
        <v>28034</v>
      </c>
      <c r="BL513" s="7">
        <f>_xlfn.IFNA(VLOOKUP(Wapato_Inventory[[#This Row],[condition]],Lookups!$H$17:$J$24,3,FALSE),0)</f>
        <v>52231</v>
      </c>
      <c r="BM513" s="7">
        <f>Wapato_Inventory[[#This Row],[Age]]*Lookups!$B$16</f>
        <v>-6301.4868999999999</v>
      </c>
      <c r="BN513" s="7">
        <f>Wapato_Inventory[[#This Row],[Main Floor]]*Lookups!$B$17</f>
        <v>34234.805241000002</v>
      </c>
      <c r="BO513" s="7">
        <f>Wapato_Inventory[[#This Row],[Upper Floor]]*Lookups!$B$18</f>
        <v>0</v>
      </c>
      <c r="BP513" s="7">
        <f>Wapato_Inventory[[#This Row],[Fin BSMT]]*Lookups!$B$19</f>
        <v>0</v>
      </c>
      <c r="BQ513" s="7">
        <f>(Wapato_Inventory[[#This Row],[att_gar]]+Wapato_Inventory[[#This Row],[blt_gar]])*Lookups!$B$20</f>
        <v>0</v>
      </c>
      <c r="BR513" s="7">
        <f>Wapato_Inventory[[#This Row],[Patio]]*Lookups!$B$21</f>
        <v>0</v>
      </c>
      <c r="BS513" s="7">
        <f>SUM(Wapato_Inventory[[#This Row],[intercept]:[patio_value]])*Wapato_Inventory[[#This Row],[res_pct]]</f>
        <v>161963.588341</v>
      </c>
      <c r="BT513" s="7">
        <f>Wapato_Inventory[[#This Row],[land_value]]</f>
        <v>52300</v>
      </c>
      <c r="BU513" s="2">
        <f>_xlfn.IFNA(VLOOKUP(Wapato_Inventory[[#This Row],[quality]],Lookups!$A$28:$C$37,3,FALSE),1)</f>
        <v>0.96265813922927435</v>
      </c>
      <c r="BV513" s="2">
        <f>_xlfn.IFNA(VLOOKUP(Wapato_Inventory[[#This Row],[condition]],Lookups!$A$41:$C$48,3,FALSE),1)</f>
        <v>0.9832333997567807</v>
      </c>
      <c r="BW513" s="2">
        <f>IF(Wapato_Inventory[[#This Row],[decade]]="",1,_xlfn.IFNA(VLOOKUP(Wapato_Inventory[[#This Row],[decade]],Lookups!$F$28:$H$45,3,FALSE),1))</f>
        <v>1.0658609603367226</v>
      </c>
      <c r="BX513" s="2">
        <f>_xlfn.IFNA(VLOOKUP(Wapato_Inventory[[#This Row],[living_area_range]],Lookups!$K$28:$M$37,3,FALSE),1)</f>
        <v>0.99022994770196116</v>
      </c>
      <c r="BY513" s="2">
        <f>AVERAGE(Wapato_Inventory[[#This Row],[qual_adj]:[range_adj]])</f>
        <v>1.0004956117561847</v>
      </c>
      <c r="BZ513" s="7">
        <f>(Wapato_Inventory[[#This Row],[sum_land]]-IF(Wapato_Inventory[[#This Row],[no_utilities]]=1,12000,0))/IF(Wapato_Inventory[[#This Row],[unbuildable]]=1,2,1)</f>
        <v>52300</v>
      </c>
      <c r="CA513" s="7">
        <f>Wapato_Inventory[[#This Row],[pre_res]]*Wapato_Inventory[[#This Row],[overall_adj]]</f>
        <v>162043.85939945566</v>
      </c>
      <c r="CB513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13" s="3">
        <f>IF(ROUND(Wapato_Inventory[[#This Row],[adj_res]]*Lookups!$H$48,-2)&lt;Wapato_Inventory[[#This Row],[min_res]],Wapato_Inventory[[#This Row],[min_res]],ROUND(Wapato_Inventory[[#This Row],[adj_res]]*Lookups!$H$48,-2))</f>
        <v>153900</v>
      </c>
      <c r="CD513" s="3">
        <f>ROUND(Wapato_Inventory[[#This Row],[det_value]]*Lookups!$H$48,-2)</f>
        <v>1400</v>
      </c>
      <c r="CE513" s="3">
        <f>Wapato_Inventory[[#This Row],[final_res]]+Wapato_Inventory[[#This Row],[final_det]]</f>
        <v>155300</v>
      </c>
      <c r="CF513" s="3">
        <f>Wapato_Inventory[[#This Row],[crop_value]]+Wapato_Inventory[[#This Row],[final_land]]+Wapato_Inventory[[#This Row],[final_imp]]</f>
        <v>205000</v>
      </c>
      <c r="CH513" t="str">
        <f t="shared" si="7"/>
        <v>update valuation set market_land =49700, market_bldg=155300, market_total =205000, market_mdno =405, market_date ='9/10/2023' where link_id = (select link_id from parcel where parcel_year = '2024' and parcel_id = '19111511598');</v>
      </c>
    </row>
    <row r="514" spans="1:86" x14ac:dyDescent="0.25">
      <c r="A514">
        <v>19111511599</v>
      </c>
      <c r="B514">
        <v>0.17</v>
      </c>
      <c r="C514" t="s">
        <v>144</v>
      </c>
      <c r="D514" t="s">
        <v>144</v>
      </c>
      <c r="E514" t="s">
        <v>54</v>
      </c>
      <c r="F514" t="s">
        <v>54</v>
      </c>
      <c r="G514">
        <v>3</v>
      </c>
      <c r="H514" t="s">
        <v>55</v>
      </c>
      <c r="I514">
        <v>153600</v>
      </c>
      <c r="J514">
        <v>33200</v>
      </c>
      <c r="K514">
        <v>0.17</v>
      </c>
      <c r="L514">
        <f>IF(Wapato_Inventory[[#This Row],[parcel_acres]]-Wapato_Inventory[[#This Row],[non_valued_acres]] =0,0,LN(Wapato_Inventory[[#This Row],[parcel_acres]]-Wapato_Inventory[[#This Row],[non_valued_acres]]))</f>
        <v>-1.7719568419318752</v>
      </c>
      <c r="M514">
        <v>0</v>
      </c>
      <c r="N514">
        <v>0</v>
      </c>
      <c r="O514">
        <v>0</v>
      </c>
      <c r="P514">
        <v>27904.037</v>
      </c>
      <c r="Q514">
        <v>74398</v>
      </c>
      <c r="R514" s="3">
        <f>(Wapato_Inventory[[#This Row],[ln_acres]]*Wapato_Inventory[[#This Row],[coeff]])+Wapato_Inventory[[#This Row],[const]]</f>
        <v>24953.250720329801</v>
      </c>
      <c r="S514" t="s">
        <v>66</v>
      </c>
      <c r="T514">
        <v>1</v>
      </c>
      <c r="U514" t="s">
        <v>75</v>
      </c>
      <c r="V514" t="s">
        <v>68</v>
      </c>
      <c r="W514">
        <v>0</v>
      </c>
      <c r="X514">
        <v>0</v>
      </c>
      <c r="Y514">
        <v>52</v>
      </c>
      <c r="Z514">
        <v>88</v>
      </c>
      <c r="AA514">
        <v>90</v>
      </c>
      <c r="AB514">
        <v>1000</v>
      </c>
      <c r="AC514">
        <v>986</v>
      </c>
      <c r="AD514">
        <v>986</v>
      </c>
      <c r="AE514">
        <v>0</v>
      </c>
      <c r="AF514">
        <v>0</v>
      </c>
      <c r="AG514">
        <v>0</v>
      </c>
      <c r="AH514">
        <v>718</v>
      </c>
      <c r="AI514">
        <v>0</v>
      </c>
      <c r="AJ514">
        <v>0</v>
      </c>
      <c r="AK514">
        <v>0</v>
      </c>
      <c r="AL514">
        <v>0</v>
      </c>
      <c r="AM514">
        <v>220</v>
      </c>
      <c r="AN514">
        <v>0</v>
      </c>
      <c r="AO514">
        <v>220</v>
      </c>
      <c r="AP514">
        <v>8</v>
      </c>
      <c r="AQ514">
        <v>0</v>
      </c>
      <c r="AR514">
        <v>0</v>
      </c>
      <c r="AS514" t="s">
        <v>59</v>
      </c>
      <c r="AT514">
        <v>0</v>
      </c>
      <c r="AU514" t="s">
        <v>80</v>
      </c>
      <c r="AV514" t="s">
        <v>61</v>
      </c>
      <c r="AW514">
        <v>0</v>
      </c>
      <c r="AX514">
        <v>2</v>
      </c>
      <c r="AY514">
        <v>0</v>
      </c>
      <c r="AZ514">
        <v>4900</v>
      </c>
      <c r="BA514">
        <v>100</v>
      </c>
      <c r="BB514">
        <v>100</v>
      </c>
      <c r="BC514">
        <v>100</v>
      </c>
      <c r="BD514">
        <v>100</v>
      </c>
      <c r="BE514">
        <v>1</v>
      </c>
      <c r="BF514">
        <v>15000</v>
      </c>
      <c r="BG514">
        <v>1000</v>
      </c>
      <c r="BH514" s="7">
        <f>ROUND(Wapato_Inventory[[#This Row],[detatched_value]]*Lookups!$B$22*Lookups!$H$48,-2)</f>
        <v>4400</v>
      </c>
      <c r="BI514" s="7">
        <f>ROUND(((Wapato_Inventory[[#This Row],[land_extract]]*Lookups!$B$3) +(Lookups!$B$2*0.5))*Lookups!$H$48,-2)</f>
        <v>53500</v>
      </c>
      <c r="BJ514" s="7">
        <f>IF(Wapato_Inventory[[#This Row],[bldg_style]]="",0,Lookups!$B$2*0.5)</f>
        <v>53765.27</v>
      </c>
      <c r="BK514" s="7">
        <f>_xlfn.IFNA(VLOOKUP(Wapato_Inventory[[#This Row],[quality]],Lookups!$H$2:$J$14,3,FALSE),0)</f>
        <v>48043</v>
      </c>
      <c r="BL514" s="7">
        <f>_xlfn.IFNA(VLOOKUP(Wapato_Inventory[[#This Row],[condition]],Lookups!$H$17:$J$24,3,FALSE),0)</f>
        <v>52231</v>
      </c>
      <c r="BM514" s="7">
        <f>Wapato_Inventory[[#This Row],[Age]]*Lookups!$B$16</f>
        <v>-32619.461600000002</v>
      </c>
      <c r="BN514" s="7">
        <f>Wapato_Inventory[[#This Row],[Main Floor]]*Lookups!$B$17</f>
        <v>41215.528654000002</v>
      </c>
      <c r="BO514" s="7">
        <f>Wapato_Inventory[[#This Row],[Upper Floor]]*Lookups!$B$18</f>
        <v>0</v>
      </c>
      <c r="BP514" s="7">
        <f>Wapato_Inventory[[#This Row],[Fin BSMT]]*Lookups!$B$19</f>
        <v>0</v>
      </c>
      <c r="BQ514" s="7">
        <f>(Wapato_Inventory[[#This Row],[att_gar]]+Wapato_Inventory[[#This Row],[blt_gar]])*Lookups!$B$20</f>
        <v>0</v>
      </c>
      <c r="BR514" s="7">
        <f>Wapato_Inventory[[#This Row],[Patio]]*Lookups!$B$21</f>
        <v>9531.275380000001</v>
      </c>
      <c r="BS514" s="7">
        <f>SUM(Wapato_Inventory[[#This Row],[intercept]:[patio_value]])*Wapato_Inventory[[#This Row],[res_pct]]</f>
        <v>172166.61243399998</v>
      </c>
      <c r="BT514" s="7">
        <f>Wapato_Inventory[[#This Row],[land_value]]</f>
        <v>53500</v>
      </c>
      <c r="BU514" s="2">
        <f>_xlfn.IFNA(VLOOKUP(Wapato_Inventory[[#This Row],[quality]],Lookups!$A$28:$C$37,3,FALSE),1)</f>
        <v>0.98196844879778955</v>
      </c>
      <c r="BV514" s="2">
        <f>_xlfn.IFNA(VLOOKUP(Wapato_Inventory[[#This Row],[condition]],Lookups!$A$41:$C$48,3,FALSE),1)</f>
        <v>0.9832333997567807</v>
      </c>
      <c r="BW514" s="2">
        <f>IF(Wapato_Inventory[[#This Row],[decade]]="",1,_xlfn.IFNA(VLOOKUP(Wapato_Inventory[[#This Row],[decade]],Lookups!$F$28:$H$45,3,FALSE),1))</f>
        <v>0.94742695999815718</v>
      </c>
      <c r="BX514" s="2">
        <f>_xlfn.IFNA(VLOOKUP(Wapato_Inventory[[#This Row],[living_area_range]],Lookups!$K$28:$M$37,3,FALSE),1)</f>
        <v>0.99022994770196116</v>
      </c>
      <c r="BY514" s="2">
        <f>AVERAGE(Wapato_Inventory[[#This Row],[qual_adj]:[range_adj]])</f>
        <v>0.97571468906367209</v>
      </c>
      <c r="BZ514" s="7">
        <f>(Wapato_Inventory[[#This Row],[sum_land]]-IF(Wapato_Inventory[[#This Row],[no_utilities]]=1,12000,0))/IF(Wapato_Inventory[[#This Row],[unbuildable]]=1,2,1)</f>
        <v>53500</v>
      </c>
      <c r="CA514" s="7">
        <f>Wapato_Inventory[[#This Row],[pre_res]]*Wapato_Inventory[[#This Row],[overall_adj]]</f>
        <v>167985.49271818603</v>
      </c>
      <c r="CB514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514" s="3">
        <f>IF(ROUND(Wapato_Inventory[[#This Row],[adj_res]]*Lookups!$H$48,-2)&lt;Wapato_Inventory[[#This Row],[min_res]],Wapato_Inventory[[#This Row],[min_res]],ROUND(Wapato_Inventory[[#This Row],[adj_res]]*Lookups!$H$48,-2))</f>
        <v>159600</v>
      </c>
      <c r="CD514" s="3">
        <f>ROUND(Wapato_Inventory[[#This Row],[det_value]]*Lookups!$H$48,-2)</f>
        <v>4200</v>
      </c>
      <c r="CE514" s="3">
        <f>Wapato_Inventory[[#This Row],[final_res]]+Wapato_Inventory[[#This Row],[final_det]]</f>
        <v>163800</v>
      </c>
      <c r="CF514" s="3">
        <f>Wapato_Inventory[[#This Row],[crop_value]]+Wapato_Inventory[[#This Row],[final_land]]+Wapato_Inventory[[#This Row],[final_imp]]</f>
        <v>214600</v>
      </c>
      <c r="CH514" t="str">
        <f t="shared" ref="CH514:CH577" si="8">"update valuation set market_land ="&amp;CB514&amp;", market_bldg="&amp;CE514&amp;", market_total ="&amp;CF514&amp;", market_mdno ="&amp;$CH$1&amp;", market_date ='"&amp;TEXT($CI$1,"m/d/yyyy")&amp;"' where link_id = (select link_id from parcel where parcel_year = '2024' and parcel_id = '"&amp;A514&amp;"');"</f>
        <v>update valuation set market_land =50800, market_bldg=163800, market_total =214600, market_mdno =405, market_date ='9/10/2023' where link_id = (select link_id from parcel where parcel_year = '2024' and parcel_id = '19111511599');</v>
      </c>
    </row>
    <row r="515" spans="1:86" x14ac:dyDescent="0.25">
      <c r="A515">
        <v>19111512010</v>
      </c>
      <c r="B515">
        <v>0.14000000000000001</v>
      </c>
      <c r="C515">
        <v>5942</v>
      </c>
      <c r="D515" t="s">
        <v>144</v>
      </c>
      <c r="E515" t="s">
        <v>54</v>
      </c>
      <c r="F515" t="s">
        <v>54</v>
      </c>
      <c r="G515">
        <v>3</v>
      </c>
      <c r="H515" t="s">
        <v>55</v>
      </c>
      <c r="I515">
        <v>196500</v>
      </c>
      <c r="J515">
        <v>31900</v>
      </c>
      <c r="K515">
        <v>0.14000000000000001</v>
      </c>
      <c r="L515">
        <f>IF(Wapato_Inventory[[#This Row],[parcel_acres]]-Wapato_Inventory[[#This Row],[non_valued_acres]] =0,0,LN(Wapato_Inventory[[#This Row],[parcel_acres]]-Wapato_Inventory[[#This Row],[non_valued_acres]]))</f>
        <v>-1.9661128563728327</v>
      </c>
      <c r="M515">
        <v>0</v>
      </c>
      <c r="N515">
        <v>0</v>
      </c>
      <c r="O515">
        <v>0</v>
      </c>
      <c r="P515">
        <v>27904.037</v>
      </c>
      <c r="Q515">
        <v>74398</v>
      </c>
      <c r="R515" s="3">
        <f>(Wapato_Inventory[[#This Row],[ln_acres]]*Wapato_Inventory[[#This Row],[coeff]])+Wapato_Inventory[[#This Row],[const]]</f>
        <v>19535.514109596792</v>
      </c>
      <c r="S515" t="s">
        <v>62</v>
      </c>
      <c r="T515">
        <v>1</v>
      </c>
      <c r="U515" t="s">
        <v>75</v>
      </c>
      <c r="V515" t="s">
        <v>68</v>
      </c>
      <c r="W515">
        <v>0</v>
      </c>
      <c r="X515">
        <v>0</v>
      </c>
      <c r="Y515">
        <v>45</v>
      </c>
      <c r="Z515">
        <v>52</v>
      </c>
      <c r="AA515">
        <v>60</v>
      </c>
      <c r="AB515">
        <v>1500</v>
      </c>
      <c r="AC515">
        <v>1482</v>
      </c>
      <c r="AD515">
        <v>1482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187</v>
      </c>
      <c r="AL515">
        <v>0</v>
      </c>
      <c r="AM515">
        <v>0</v>
      </c>
      <c r="AN515">
        <v>0</v>
      </c>
      <c r="AO515">
        <v>0</v>
      </c>
      <c r="AP515">
        <v>8</v>
      </c>
      <c r="AQ515">
        <v>1</v>
      </c>
      <c r="AR515">
        <v>0</v>
      </c>
      <c r="AS515" t="s">
        <v>59</v>
      </c>
      <c r="AT515">
        <v>1</v>
      </c>
      <c r="AU515" t="s">
        <v>64</v>
      </c>
      <c r="AV515" t="s">
        <v>61</v>
      </c>
      <c r="AW515">
        <v>0</v>
      </c>
      <c r="AX515">
        <v>4</v>
      </c>
      <c r="AY515">
        <v>0</v>
      </c>
      <c r="AZ515">
        <v>0</v>
      </c>
      <c r="BA515">
        <v>100</v>
      </c>
      <c r="BB515">
        <v>100</v>
      </c>
      <c r="BC515">
        <v>100</v>
      </c>
      <c r="BD515">
        <v>100</v>
      </c>
      <c r="BE515">
        <v>1</v>
      </c>
      <c r="BF515">
        <v>15000</v>
      </c>
      <c r="BG515">
        <v>1000</v>
      </c>
      <c r="BH515" s="7">
        <f>ROUND(Wapato_Inventory[[#This Row],[detatched_value]]*Lookups!$B$22*Lookups!$H$48,-2)</f>
        <v>0</v>
      </c>
      <c r="BI515" s="7">
        <f>ROUND(((Wapato_Inventory[[#This Row],[land_extract]]*Lookups!$B$3) +(Lookups!$B$2*0.5))*Lookups!$H$48,-2)</f>
        <v>53000</v>
      </c>
      <c r="BJ515" s="7">
        <f>IF(Wapato_Inventory[[#This Row],[bldg_style]]="",0,Lookups!$B$2*0.5)</f>
        <v>53765.27</v>
      </c>
      <c r="BK515" s="7">
        <f>_xlfn.IFNA(VLOOKUP(Wapato_Inventory[[#This Row],[quality]],Lookups!$H$2:$J$14,3,FALSE),0)</f>
        <v>48043</v>
      </c>
      <c r="BL515" s="7">
        <f>_xlfn.IFNA(VLOOKUP(Wapato_Inventory[[#This Row],[condition]],Lookups!$H$17:$J$24,3,FALSE),0)</f>
        <v>52231</v>
      </c>
      <c r="BM515" s="7">
        <f>Wapato_Inventory[[#This Row],[Age]]*Lookups!$B$16</f>
        <v>-19275.136399999999</v>
      </c>
      <c r="BN515" s="7">
        <f>Wapato_Inventory[[#This Row],[Main Floor]]*Lookups!$B$17</f>
        <v>61948.695198000001</v>
      </c>
      <c r="BO515" s="7">
        <f>Wapato_Inventory[[#This Row],[Upper Floor]]*Lookups!$B$18</f>
        <v>0</v>
      </c>
      <c r="BP515" s="7">
        <f>Wapato_Inventory[[#This Row],[Fin BSMT]]*Lookups!$B$19</f>
        <v>0</v>
      </c>
      <c r="BQ515" s="7">
        <f>(Wapato_Inventory[[#This Row],[att_gar]]+Wapato_Inventory[[#This Row],[blt_gar]])*Lookups!$B$20</f>
        <v>0</v>
      </c>
      <c r="BR515" s="7">
        <f>Wapato_Inventory[[#This Row],[Patio]]*Lookups!$B$21</f>
        <v>0</v>
      </c>
      <c r="BS515" s="7">
        <f>SUM(Wapato_Inventory[[#This Row],[intercept]:[patio_value]])*Wapato_Inventory[[#This Row],[res_pct]]</f>
        <v>196712.828798</v>
      </c>
      <c r="BT515" s="7">
        <f>Wapato_Inventory[[#This Row],[land_value]]</f>
        <v>53000</v>
      </c>
      <c r="BU515" s="2">
        <f>_xlfn.IFNA(VLOOKUP(Wapato_Inventory[[#This Row],[quality]],Lookups!$A$28:$C$37,3,FALSE),1)</f>
        <v>0.98196844879778955</v>
      </c>
      <c r="BV515" s="2">
        <f>_xlfn.IFNA(VLOOKUP(Wapato_Inventory[[#This Row],[condition]],Lookups!$A$41:$C$48,3,FALSE),1)</f>
        <v>0.9832333997567807</v>
      </c>
      <c r="BW515" s="2">
        <f>IF(Wapato_Inventory[[#This Row],[decade]]="",1,_xlfn.IFNA(VLOOKUP(Wapato_Inventory[[#This Row],[decade]],Lookups!$F$28:$H$45,3,FALSE),1))</f>
        <v>1.035341704162583</v>
      </c>
      <c r="BX515" s="2">
        <f>_xlfn.IFNA(VLOOKUP(Wapato_Inventory[[#This Row],[living_area_range]],Lookups!$K$28:$M$37,3,FALSE),1)</f>
        <v>1.0061411172456287</v>
      </c>
      <c r="BY515" s="2">
        <f>AVERAGE(Wapato_Inventory[[#This Row],[qual_adj]:[range_adj]])</f>
        <v>1.0016711674906955</v>
      </c>
      <c r="BZ515" s="7">
        <f>(Wapato_Inventory[[#This Row],[sum_land]]-IF(Wapato_Inventory[[#This Row],[no_utilities]]=1,12000,0))/IF(Wapato_Inventory[[#This Row],[unbuildable]]=1,2,1)</f>
        <v>53000</v>
      </c>
      <c r="CA515" s="7">
        <f>Wapato_Inventory[[#This Row],[pre_res]]*Wapato_Inventory[[#This Row],[overall_adj]]</f>
        <v>197041.56888248998</v>
      </c>
      <c r="CB51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15" s="3">
        <f>IF(ROUND(Wapato_Inventory[[#This Row],[adj_res]]*Lookups!$H$48,-2)&lt;Wapato_Inventory[[#This Row],[min_res]],Wapato_Inventory[[#This Row],[min_res]],ROUND(Wapato_Inventory[[#This Row],[adj_res]]*Lookups!$H$48,-2))</f>
        <v>187200</v>
      </c>
      <c r="CD515" s="3">
        <f>ROUND(Wapato_Inventory[[#This Row],[det_value]]*Lookups!$H$48,-2)</f>
        <v>0</v>
      </c>
      <c r="CE515" s="3">
        <f>Wapato_Inventory[[#This Row],[final_res]]+Wapato_Inventory[[#This Row],[final_det]]</f>
        <v>187200</v>
      </c>
      <c r="CF515" s="3">
        <f>Wapato_Inventory[[#This Row],[crop_value]]+Wapato_Inventory[[#This Row],[final_land]]+Wapato_Inventory[[#This Row],[final_imp]]</f>
        <v>237600</v>
      </c>
      <c r="CH515" t="str">
        <f t="shared" si="8"/>
        <v>update valuation set market_land =50400, market_bldg=187200, market_total =237600, market_mdno =405, market_date ='9/10/2023' where link_id = (select link_id from parcel where parcel_year = '2024' and parcel_id = '19111512010');</v>
      </c>
    </row>
    <row r="516" spans="1:86" x14ac:dyDescent="0.25">
      <c r="A516">
        <v>19111512012</v>
      </c>
      <c r="B516">
        <v>0.14000000000000001</v>
      </c>
      <c r="C516">
        <v>5929</v>
      </c>
      <c r="D516" t="s">
        <v>144</v>
      </c>
      <c r="E516" t="s">
        <v>54</v>
      </c>
      <c r="F516" t="s">
        <v>54</v>
      </c>
      <c r="G516">
        <v>3</v>
      </c>
      <c r="H516" t="s">
        <v>55</v>
      </c>
      <c r="I516">
        <v>140000</v>
      </c>
      <c r="J516">
        <v>31900</v>
      </c>
      <c r="K516">
        <v>0.14000000000000001</v>
      </c>
      <c r="L516">
        <f>IF(Wapato_Inventory[[#This Row],[parcel_acres]]-Wapato_Inventory[[#This Row],[non_valued_acres]] =0,0,LN(Wapato_Inventory[[#This Row],[parcel_acres]]-Wapato_Inventory[[#This Row],[non_valued_acres]]))</f>
        <v>-1.9661128563728327</v>
      </c>
      <c r="M516">
        <v>0</v>
      </c>
      <c r="N516">
        <v>0</v>
      </c>
      <c r="O516">
        <v>0</v>
      </c>
      <c r="P516">
        <v>27904.037</v>
      </c>
      <c r="Q516">
        <v>74398</v>
      </c>
      <c r="R516" s="3">
        <f>(Wapato_Inventory[[#This Row],[ln_acres]]*Wapato_Inventory[[#This Row],[coeff]])+Wapato_Inventory[[#This Row],[const]]</f>
        <v>19535.514109596792</v>
      </c>
      <c r="S516" t="s">
        <v>66</v>
      </c>
      <c r="T516">
        <v>1</v>
      </c>
      <c r="U516" t="s">
        <v>71</v>
      </c>
      <c r="V516" t="s">
        <v>68</v>
      </c>
      <c r="W516">
        <v>0</v>
      </c>
      <c r="X516">
        <v>0</v>
      </c>
      <c r="Y516">
        <v>38</v>
      </c>
      <c r="Z516">
        <v>41</v>
      </c>
      <c r="AA516">
        <v>50</v>
      </c>
      <c r="AB516">
        <v>1000</v>
      </c>
      <c r="AC516">
        <v>946</v>
      </c>
      <c r="AD516">
        <v>946</v>
      </c>
      <c r="AE516">
        <v>0</v>
      </c>
      <c r="AF516">
        <v>0</v>
      </c>
      <c r="AG516">
        <v>0</v>
      </c>
      <c r="AH516">
        <v>0</v>
      </c>
      <c r="AI516">
        <v>264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5</v>
      </c>
      <c r="AQ516">
        <v>0</v>
      </c>
      <c r="AR516">
        <v>0</v>
      </c>
      <c r="AS516" t="s">
        <v>59</v>
      </c>
      <c r="AT516">
        <v>1</v>
      </c>
      <c r="AU516" t="s">
        <v>72</v>
      </c>
      <c r="AV516" t="s">
        <v>61</v>
      </c>
      <c r="AW516">
        <v>0</v>
      </c>
      <c r="AX516">
        <v>2</v>
      </c>
      <c r="AY516">
        <v>0</v>
      </c>
      <c r="AZ516">
        <v>0</v>
      </c>
      <c r="BA516">
        <v>100</v>
      </c>
      <c r="BB516">
        <v>100</v>
      </c>
      <c r="BC516">
        <v>100</v>
      </c>
      <c r="BD516">
        <v>100</v>
      </c>
      <c r="BE516">
        <v>1</v>
      </c>
      <c r="BF516">
        <v>15000</v>
      </c>
      <c r="BG516">
        <v>1000</v>
      </c>
      <c r="BH516" s="7">
        <f>ROUND(Wapato_Inventory[[#This Row],[detatched_value]]*Lookups!$B$22*Lookups!$H$48,-2)</f>
        <v>0</v>
      </c>
      <c r="BI516" s="7">
        <f>ROUND(((Wapato_Inventory[[#This Row],[land_extract]]*Lookups!$B$3) +(Lookups!$B$2*0.5))*Lookups!$H$48,-2)</f>
        <v>53000</v>
      </c>
      <c r="BJ516" s="7">
        <f>IF(Wapato_Inventory[[#This Row],[bldg_style]]="",0,Lookups!$B$2*0.5)</f>
        <v>53765.27</v>
      </c>
      <c r="BK516" s="7">
        <f>_xlfn.IFNA(VLOOKUP(Wapato_Inventory[[#This Row],[quality]],Lookups!$H$2:$J$14,3,FALSE),0)</f>
        <v>28034</v>
      </c>
      <c r="BL516" s="7">
        <f>_xlfn.IFNA(VLOOKUP(Wapato_Inventory[[#This Row],[condition]],Lookups!$H$17:$J$24,3,FALSE),0)</f>
        <v>52231</v>
      </c>
      <c r="BM516" s="7">
        <f>Wapato_Inventory[[#This Row],[Age]]*Lookups!$B$16</f>
        <v>-15197.7037</v>
      </c>
      <c r="BN516" s="7">
        <f>Wapato_Inventory[[#This Row],[Main Floor]]*Lookups!$B$17</f>
        <v>39543.499093999999</v>
      </c>
      <c r="BO516" s="7">
        <f>Wapato_Inventory[[#This Row],[Upper Floor]]*Lookups!$B$18</f>
        <v>0</v>
      </c>
      <c r="BP516" s="7">
        <f>Wapato_Inventory[[#This Row],[Fin BSMT]]*Lookups!$B$19</f>
        <v>0</v>
      </c>
      <c r="BQ516" s="7">
        <f>(Wapato_Inventory[[#This Row],[att_gar]]+Wapato_Inventory[[#This Row],[blt_gar]])*Lookups!$B$20</f>
        <v>9770.310528</v>
      </c>
      <c r="BR516" s="7">
        <f>Wapato_Inventory[[#This Row],[Patio]]*Lookups!$B$21</f>
        <v>0</v>
      </c>
      <c r="BS516" s="7">
        <f>SUM(Wapato_Inventory[[#This Row],[intercept]:[patio_value]])*Wapato_Inventory[[#This Row],[res_pct]]</f>
        <v>168146.37592199998</v>
      </c>
      <c r="BT516" s="7">
        <f>Wapato_Inventory[[#This Row],[land_value]]</f>
        <v>53000</v>
      </c>
      <c r="BU516" s="2">
        <f>_xlfn.IFNA(VLOOKUP(Wapato_Inventory[[#This Row],[quality]],Lookups!$A$28:$C$37,3,FALSE),1)</f>
        <v>0.96265813922927435</v>
      </c>
      <c r="BV516" s="2">
        <f>_xlfn.IFNA(VLOOKUP(Wapato_Inventory[[#This Row],[condition]],Lookups!$A$41:$C$48,3,FALSE),1)</f>
        <v>0.9832333997567807</v>
      </c>
      <c r="BW516" s="2">
        <f>IF(Wapato_Inventory[[#This Row],[decade]]="",1,_xlfn.IFNA(VLOOKUP(Wapato_Inventory[[#This Row],[decade]],Lookups!$F$28:$H$45,3,FALSE),1))</f>
        <v>0.96240333884358298</v>
      </c>
      <c r="BX516" s="2">
        <f>_xlfn.IFNA(VLOOKUP(Wapato_Inventory[[#This Row],[living_area_range]],Lookups!$K$28:$M$37,3,FALSE),1)</f>
        <v>0.99022994770196116</v>
      </c>
      <c r="BY516" s="2">
        <f>AVERAGE(Wapato_Inventory[[#This Row],[qual_adj]:[range_adj]])</f>
        <v>0.9746312063828998</v>
      </c>
      <c r="BZ516" s="7">
        <f>(Wapato_Inventory[[#This Row],[sum_land]]-IF(Wapato_Inventory[[#This Row],[no_utilities]]=1,12000,0))/IF(Wapato_Inventory[[#This Row],[unbuildable]]=1,2,1)</f>
        <v>53000</v>
      </c>
      <c r="CA516" s="7">
        <f>Wapato_Inventory[[#This Row],[pre_res]]*Wapato_Inventory[[#This Row],[overall_adj]]</f>
        <v>163880.70521377141</v>
      </c>
      <c r="CB51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16" s="3">
        <f>IF(ROUND(Wapato_Inventory[[#This Row],[adj_res]]*Lookups!$H$48,-2)&lt;Wapato_Inventory[[#This Row],[min_res]],Wapato_Inventory[[#This Row],[min_res]],ROUND(Wapato_Inventory[[#This Row],[adj_res]]*Lookups!$H$48,-2))</f>
        <v>155700</v>
      </c>
      <c r="CD516" s="3">
        <f>ROUND(Wapato_Inventory[[#This Row],[det_value]]*Lookups!$H$48,-2)</f>
        <v>0</v>
      </c>
      <c r="CE516" s="3">
        <f>Wapato_Inventory[[#This Row],[final_res]]+Wapato_Inventory[[#This Row],[final_det]]</f>
        <v>155700</v>
      </c>
      <c r="CF516" s="3">
        <f>Wapato_Inventory[[#This Row],[crop_value]]+Wapato_Inventory[[#This Row],[final_land]]+Wapato_Inventory[[#This Row],[final_imp]]</f>
        <v>206100</v>
      </c>
      <c r="CH516" t="str">
        <f t="shared" si="8"/>
        <v>update valuation set market_land =50400, market_bldg=155700, market_total =206100, market_mdno =405, market_date ='9/10/2023' where link_id = (select link_id from parcel where parcel_year = '2024' and parcel_id = '19111512012');</v>
      </c>
    </row>
    <row r="517" spans="1:86" x14ac:dyDescent="0.25">
      <c r="A517">
        <v>19111512014</v>
      </c>
      <c r="B517">
        <v>0.14000000000000001</v>
      </c>
      <c r="C517">
        <v>6248</v>
      </c>
      <c r="D517" t="s">
        <v>144</v>
      </c>
      <c r="E517" t="s">
        <v>54</v>
      </c>
      <c r="F517" t="s">
        <v>54</v>
      </c>
      <c r="G517">
        <v>3</v>
      </c>
      <c r="H517" t="s">
        <v>55</v>
      </c>
      <c r="I517">
        <v>97300</v>
      </c>
      <c r="J517">
        <v>31900</v>
      </c>
      <c r="K517">
        <v>0.14000000000000001</v>
      </c>
      <c r="L517">
        <f>IF(Wapato_Inventory[[#This Row],[parcel_acres]]-Wapato_Inventory[[#This Row],[non_valued_acres]] =0,0,LN(Wapato_Inventory[[#This Row],[parcel_acres]]-Wapato_Inventory[[#This Row],[non_valued_acres]]))</f>
        <v>-1.9661128563728327</v>
      </c>
      <c r="M517">
        <v>0</v>
      </c>
      <c r="N517">
        <v>0</v>
      </c>
      <c r="O517">
        <v>0</v>
      </c>
      <c r="P517">
        <v>27904.037</v>
      </c>
      <c r="Q517">
        <v>74398</v>
      </c>
      <c r="R517" s="3">
        <f>(Wapato_Inventory[[#This Row],[ln_acres]]*Wapato_Inventory[[#This Row],[coeff]])+Wapato_Inventory[[#This Row],[const]]</f>
        <v>19535.514109596792</v>
      </c>
      <c r="S517" t="s">
        <v>66</v>
      </c>
      <c r="T517">
        <v>1</v>
      </c>
      <c r="U517" t="s">
        <v>71</v>
      </c>
      <c r="V517" t="s">
        <v>68</v>
      </c>
      <c r="W517">
        <v>0</v>
      </c>
      <c r="X517">
        <v>0</v>
      </c>
      <c r="Y517">
        <v>51</v>
      </c>
      <c r="Z517">
        <v>78</v>
      </c>
      <c r="AA517">
        <v>80</v>
      </c>
      <c r="AB517">
        <v>1000</v>
      </c>
      <c r="AC517">
        <v>720</v>
      </c>
      <c r="AD517">
        <v>720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72</v>
      </c>
      <c r="AO517">
        <v>0</v>
      </c>
      <c r="AP517">
        <v>5</v>
      </c>
      <c r="AQ517">
        <v>0</v>
      </c>
      <c r="AR517">
        <v>0</v>
      </c>
      <c r="AS517" t="s">
        <v>59</v>
      </c>
      <c r="AT517">
        <v>1</v>
      </c>
      <c r="AU517" t="s">
        <v>64</v>
      </c>
      <c r="AV517" t="s">
        <v>65</v>
      </c>
      <c r="AW517">
        <v>0</v>
      </c>
      <c r="AX517">
        <v>3</v>
      </c>
      <c r="AY517">
        <v>0</v>
      </c>
      <c r="AZ517">
        <v>0</v>
      </c>
      <c r="BA517">
        <v>100</v>
      </c>
      <c r="BB517">
        <v>100</v>
      </c>
      <c r="BC517">
        <v>100</v>
      </c>
      <c r="BD517">
        <v>100</v>
      </c>
      <c r="BE517">
        <v>1</v>
      </c>
      <c r="BF517">
        <v>15000</v>
      </c>
      <c r="BG517">
        <v>1000</v>
      </c>
      <c r="BH517" s="7">
        <f>ROUND(Wapato_Inventory[[#This Row],[detatched_value]]*Lookups!$B$22*Lookups!$H$48,-2)</f>
        <v>0</v>
      </c>
      <c r="BI517" s="7">
        <f>ROUND(((Wapato_Inventory[[#This Row],[land_extract]]*Lookups!$B$3) +(Lookups!$B$2*0.5))*Lookups!$H$48,-2)</f>
        <v>53000</v>
      </c>
      <c r="BJ517" s="7">
        <f>IF(Wapato_Inventory[[#This Row],[bldg_style]]="",0,Lookups!$B$2*0.5)</f>
        <v>53765.27</v>
      </c>
      <c r="BK517" s="7">
        <f>_xlfn.IFNA(VLOOKUP(Wapato_Inventory[[#This Row],[quality]],Lookups!$H$2:$J$14,3,FALSE),0)</f>
        <v>28034</v>
      </c>
      <c r="BL517" s="7">
        <f>_xlfn.IFNA(VLOOKUP(Wapato_Inventory[[#This Row],[condition]],Lookups!$H$17:$J$24,3,FALSE),0)</f>
        <v>52231</v>
      </c>
      <c r="BM517" s="7">
        <f>Wapato_Inventory[[#This Row],[Age]]*Lookups!$B$16</f>
        <v>-28912.704600000001</v>
      </c>
      <c r="BN517" s="7">
        <f>Wapato_Inventory[[#This Row],[Main Floor]]*Lookups!$B$17</f>
        <v>30096.532080000001</v>
      </c>
      <c r="BO517" s="7">
        <f>Wapato_Inventory[[#This Row],[Upper Floor]]*Lookups!$B$18</f>
        <v>0</v>
      </c>
      <c r="BP517" s="7">
        <f>Wapato_Inventory[[#This Row],[Fin BSMT]]*Lookups!$B$19</f>
        <v>0</v>
      </c>
      <c r="BQ517" s="7">
        <f>(Wapato_Inventory[[#This Row],[att_gar]]+Wapato_Inventory[[#This Row],[blt_gar]])*Lookups!$B$20</f>
        <v>0</v>
      </c>
      <c r="BR517" s="7">
        <f>Wapato_Inventory[[#This Row],[Patio]]*Lookups!$B$21</f>
        <v>0</v>
      </c>
      <c r="BS517" s="7">
        <f>SUM(Wapato_Inventory[[#This Row],[intercept]:[patio_value]])*Wapato_Inventory[[#This Row],[res_pct]]</f>
        <v>135214.09748</v>
      </c>
      <c r="BT517" s="7">
        <f>Wapato_Inventory[[#This Row],[land_value]]</f>
        <v>53000</v>
      </c>
      <c r="BU517" s="2">
        <f>_xlfn.IFNA(VLOOKUP(Wapato_Inventory[[#This Row],[quality]],Lookups!$A$28:$C$37,3,FALSE),1)</f>
        <v>0.96265813922927435</v>
      </c>
      <c r="BV517" s="2">
        <f>_xlfn.IFNA(VLOOKUP(Wapato_Inventory[[#This Row],[condition]],Lookups!$A$41:$C$48,3,FALSE),1)</f>
        <v>0.9832333997567807</v>
      </c>
      <c r="BW517" s="2">
        <f>IF(Wapato_Inventory[[#This Row],[decade]]="",1,_xlfn.IFNA(VLOOKUP(Wapato_Inventory[[#This Row],[decade]],Lookups!$F$28:$H$45,3,FALSE),1))</f>
        <v>0.8438929209510081</v>
      </c>
      <c r="BX517" s="2">
        <f>_xlfn.IFNA(VLOOKUP(Wapato_Inventory[[#This Row],[living_area_range]],Lookups!$K$28:$M$37,3,FALSE),1)</f>
        <v>0.99022994770196116</v>
      </c>
      <c r="BY517" s="2">
        <f>AVERAGE(Wapato_Inventory[[#This Row],[qual_adj]:[range_adj]])</f>
        <v>0.94500360190975607</v>
      </c>
      <c r="BZ517" s="7">
        <f>(Wapato_Inventory[[#This Row],[sum_land]]-IF(Wapato_Inventory[[#This Row],[no_utilities]]=1,12000,0))/IF(Wapato_Inventory[[#This Row],[unbuildable]]=1,2,1)</f>
        <v>53000</v>
      </c>
      <c r="CA517" s="7">
        <f>Wapato_Inventory[[#This Row],[pre_res]]*Wapato_Inventory[[#This Row],[overall_adj]]</f>
        <v>127777.80914757687</v>
      </c>
      <c r="CB51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17" s="3">
        <f>IF(ROUND(Wapato_Inventory[[#This Row],[adj_res]]*Lookups!$H$48,-2)&lt;Wapato_Inventory[[#This Row],[min_res]],Wapato_Inventory[[#This Row],[min_res]],ROUND(Wapato_Inventory[[#This Row],[adj_res]]*Lookups!$H$48,-2))</f>
        <v>121400</v>
      </c>
      <c r="CD517" s="3">
        <f>ROUND(Wapato_Inventory[[#This Row],[det_value]]*Lookups!$H$48,-2)</f>
        <v>0</v>
      </c>
      <c r="CE517" s="3">
        <f>Wapato_Inventory[[#This Row],[final_res]]+Wapato_Inventory[[#This Row],[final_det]]</f>
        <v>121400</v>
      </c>
      <c r="CF517" s="3">
        <f>Wapato_Inventory[[#This Row],[crop_value]]+Wapato_Inventory[[#This Row],[final_land]]+Wapato_Inventory[[#This Row],[final_imp]]</f>
        <v>171800</v>
      </c>
      <c r="CH517" t="str">
        <f t="shared" si="8"/>
        <v>update valuation set market_land =50400, market_bldg=121400, market_total =171800, market_mdno =405, market_date ='9/10/2023' where link_id = (select link_id from parcel where parcel_year = '2024' and parcel_id = '19111512014');</v>
      </c>
    </row>
    <row r="518" spans="1:86" x14ac:dyDescent="0.25">
      <c r="A518">
        <v>19111512015</v>
      </c>
      <c r="B518">
        <v>0.13</v>
      </c>
      <c r="C518">
        <v>5746</v>
      </c>
      <c r="D518" t="s">
        <v>144</v>
      </c>
      <c r="E518" t="s">
        <v>54</v>
      </c>
      <c r="F518" t="s">
        <v>54</v>
      </c>
      <c r="G518">
        <v>3</v>
      </c>
      <c r="H518" t="s">
        <v>55</v>
      </c>
      <c r="I518">
        <v>143200</v>
      </c>
      <c r="J518">
        <v>31400</v>
      </c>
      <c r="K518">
        <v>0.13</v>
      </c>
      <c r="L518">
        <f>IF(Wapato_Inventory[[#This Row],[parcel_acres]]-Wapato_Inventory[[#This Row],[non_valued_acres]] =0,0,LN(Wapato_Inventory[[#This Row],[parcel_acres]]-Wapato_Inventory[[#This Row],[non_valued_acres]]))</f>
        <v>-2.0402208285265546</v>
      </c>
      <c r="M518">
        <v>0</v>
      </c>
      <c r="N518">
        <v>0</v>
      </c>
      <c r="O518">
        <v>0</v>
      </c>
      <c r="P518">
        <v>27904.037</v>
      </c>
      <c r="Q518">
        <v>74398</v>
      </c>
      <c r="R518" s="3">
        <f>(Wapato_Inventory[[#This Row],[ln_acres]]*Wapato_Inventory[[#This Row],[coeff]])+Wapato_Inventory[[#This Row],[const]]</f>
        <v>17467.602512624362</v>
      </c>
      <c r="S518" t="s">
        <v>145</v>
      </c>
      <c r="T518">
        <v>1</v>
      </c>
      <c r="U518" t="s">
        <v>75</v>
      </c>
      <c r="V518" t="s">
        <v>68</v>
      </c>
      <c r="W518">
        <v>0</v>
      </c>
      <c r="X518">
        <v>0</v>
      </c>
      <c r="Y518">
        <v>57</v>
      </c>
      <c r="Z518">
        <v>103</v>
      </c>
      <c r="AA518">
        <v>110</v>
      </c>
      <c r="AB518">
        <v>1500</v>
      </c>
      <c r="AC518">
        <v>1404</v>
      </c>
      <c r="AD518">
        <v>1404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168</v>
      </c>
      <c r="AO518">
        <v>0</v>
      </c>
      <c r="AP518">
        <v>8</v>
      </c>
      <c r="AQ518">
        <v>0</v>
      </c>
      <c r="AR518">
        <v>0</v>
      </c>
      <c r="AS518" t="s">
        <v>59</v>
      </c>
      <c r="AT518">
        <v>1</v>
      </c>
      <c r="AU518" t="s">
        <v>72</v>
      </c>
      <c r="AV518" t="s">
        <v>65</v>
      </c>
      <c r="AW518">
        <v>0</v>
      </c>
      <c r="AX518">
        <v>3</v>
      </c>
      <c r="AY518">
        <v>0</v>
      </c>
      <c r="AZ518">
        <v>0</v>
      </c>
      <c r="BA518">
        <v>100</v>
      </c>
      <c r="BB518">
        <v>100</v>
      </c>
      <c r="BC518">
        <v>100</v>
      </c>
      <c r="BD518">
        <v>100</v>
      </c>
      <c r="BE518">
        <v>1</v>
      </c>
      <c r="BF518">
        <v>15000</v>
      </c>
      <c r="BG518">
        <v>1000</v>
      </c>
      <c r="BH518" s="7">
        <f>ROUND(Wapato_Inventory[[#This Row],[detatched_value]]*Lookups!$B$22*Lookups!$H$48,-2)</f>
        <v>0</v>
      </c>
      <c r="BI518" s="7">
        <f>ROUND(((Wapato_Inventory[[#This Row],[land_extract]]*Lookups!$B$3) +(Lookups!$B$2*0.5))*Lookups!$H$48,-2)</f>
        <v>52800</v>
      </c>
      <c r="BJ518" s="7">
        <f>IF(Wapato_Inventory[[#This Row],[bldg_style]]="",0,Lookups!$B$2*0.5)</f>
        <v>53765.27</v>
      </c>
      <c r="BK518" s="7">
        <f>_xlfn.IFNA(VLOOKUP(Wapato_Inventory[[#This Row],[quality]],Lookups!$H$2:$J$14,3,FALSE),0)</f>
        <v>48043</v>
      </c>
      <c r="BL518" s="7">
        <f>_xlfn.IFNA(VLOOKUP(Wapato_Inventory[[#This Row],[condition]],Lookups!$H$17:$J$24,3,FALSE),0)</f>
        <v>52231</v>
      </c>
      <c r="BM518" s="7">
        <f>Wapato_Inventory[[#This Row],[Age]]*Lookups!$B$16</f>
        <v>-38179.597099999999</v>
      </c>
      <c r="BN518" s="7">
        <f>Wapato_Inventory[[#This Row],[Main Floor]]*Lookups!$B$17</f>
        <v>58688.237556</v>
      </c>
      <c r="BO518" s="7">
        <f>Wapato_Inventory[[#This Row],[Upper Floor]]*Lookups!$B$18</f>
        <v>0</v>
      </c>
      <c r="BP518" s="7">
        <f>Wapato_Inventory[[#This Row],[Fin BSMT]]*Lookups!$B$19</f>
        <v>0</v>
      </c>
      <c r="BQ518" s="7">
        <f>(Wapato_Inventory[[#This Row],[att_gar]]+Wapato_Inventory[[#This Row],[blt_gar]])*Lookups!$B$20</f>
        <v>0</v>
      </c>
      <c r="BR518" s="7">
        <f>Wapato_Inventory[[#This Row],[Patio]]*Lookups!$B$21</f>
        <v>0</v>
      </c>
      <c r="BS518" s="7">
        <f>SUM(Wapato_Inventory[[#This Row],[intercept]:[patio_value]])*Wapato_Inventory[[#This Row],[res_pct]]</f>
        <v>174547.91045599998</v>
      </c>
      <c r="BT518" s="7">
        <f>Wapato_Inventory[[#This Row],[land_value]]</f>
        <v>52800</v>
      </c>
      <c r="BU518" s="2">
        <f>_xlfn.IFNA(VLOOKUP(Wapato_Inventory[[#This Row],[quality]],Lookups!$A$28:$C$37,3,FALSE),1)</f>
        <v>0.98196844879778955</v>
      </c>
      <c r="BV518" s="2">
        <f>_xlfn.IFNA(VLOOKUP(Wapato_Inventory[[#This Row],[condition]],Lookups!$A$41:$C$48,3,FALSE),1)</f>
        <v>0.9832333997567807</v>
      </c>
      <c r="BW518" s="2">
        <f>IF(Wapato_Inventory[[#This Row],[decade]]="",1,_xlfn.IFNA(VLOOKUP(Wapato_Inventory[[#This Row],[decade]],Lookups!$F$28:$H$45,3,FALSE),1))</f>
        <v>0.93664589651353292</v>
      </c>
      <c r="BX518" s="2">
        <f>_xlfn.IFNA(VLOOKUP(Wapato_Inventory[[#This Row],[living_area_range]],Lookups!$K$28:$M$37,3,FALSE),1)</f>
        <v>1.0061411172456287</v>
      </c>
      <c r="BY518" s="2">
        <f>AVERAGE(Wapato_Inventory[[#This Row],[qual_adj]:[range_adj]])</f>
        <v>0.976997215578433</v>
      </c>
      <c r="BZ518" s="7">
        <f>(Wapato_Inventory[[#This Row],[sum_land]]-IF(Wapato_Inventory[[#This Row],[no_utilities]]=1,12000,0))/IF(Wapato_Inventory[[#This Row],[unbuildable]]=1,2,1)</f>
        <v>52800</v>
      </c>
      <c r="CA518" s="7">
        <f>Wapato_Inventory[[#This Row],[pre_res]]*Wapato_Inventory[[#This Row],[overall_adj]]</f>
        <v>170532.82250054565</v>
      </c>
      <c r="CB518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518" s="3">
        <f>IF(ROUND(Wapato_Inventory[[#This Row],[adj_res]]*Lookups!$H$48,-2)&lt;Wapato_Inventory[[#This Row],[min_res]],Wapato_Inventory[[#This Row],[min_res]],ROUND(Wapato_Inventory[[#This Row],[adj_res]]*Lookups!$H$48,-2))</f>
        <v>162000</v>
      </c>
      <c r="CD518" s="3">
        <f>ROUND(Wapato_Inventory[[#This Row],[det_value]]*Lookups!$H$48,-2)</f>
        <v>0</v>
      </c>
      <c r="CE518" s="3">
        <f>Wapato_Inventory[[#This Row],[final_res]]+Wapato_Inventory[[#This Row],[final_det]]</f>
        <v>162000</v>
      </c>
      <c r="CF518" s="3">
        <f>Wapato_Inventory[[#This Row],[crop_value]]+Wapato_Inventory[[#This Row],[final_land]]+Wapato_Inventory[[#This Row],[final_imp]]</f>
        <v>212200</v>
      </c>
      <c r="CH518" t="str">
        <f t="shared" si="8"/>
        <v>update valuation set market_land =50200, market_bldg=162000, market_total =212200, market_mdno =405, market_date ='9/10/2023' where link_id = (select link_id from parcel where parcel_year = '2024' and parcel_id = '19111512015');</v>
      </c>
    </row>
    <row r="519" spans="1:86" x14ac:dyDescent="0.25">
      <c r="A519">
        <v>19111512017</v>
      </c>
      <c r="B519">
        <v>0.14000000000000001</v>
      </c>
      <c r="C519">
        <v>6263</v>
      </c>
      <c r="D519" t="s">
        <v>144</v>
      </c>
      <c r="E519" t="s">
        <v>54</v>
      </c>
      <c r="F519" t="s">
        <v>54</v>
      </c>
      <c r="G519">
        <v>3</v>
      </c>
      <c r="H519" t="s">
        <v>55</v>
      </c>
      <c r="I519">
        <v>111600</v>
      </c>
      <c r="J519">
        <v>31900</v>
      </c>
      <c r="K519">
        <v>0.14000000000000001</v>
      </c>
      <c r="L519">
        <f>IF(Wapato_Inventory[[#This Row],[parcel_acres]]-Wapato_Inventory[[#This Row],[non_valued_acres]] =0,0,LN(Wapato_Inventory[[#This Row],[parcel_acres]]-Wapato_Inventory[[#This Row],[non_valued_acres]]))</f>
        <v>-1.9661128563728327</v>
      </c>
      <c r="M519">
        <v>0</v>
      </c>
      <c r="N519">
        <v>0</v>
      </c>
      <c r="O519">
        <v>0</v>
      </c>
      <c r="P519">
        <v>27904.037</v>
      </c>
      <c r="Q519">
        <v>74398</v>
      </c>
      <c r="R519" s="3">
        <f>(Wapato_Inventory[[#This Row],[ln_acres]]*Wapato_Inventory[[#This Row],[coeff]])+Wapato_Inventory[[#This Row],[const]]</f>
        <v>19535.514109596792</v>
      </c>
      <c r="S519" t="s">
        <v>66</v>
      </c>
      <c r="T519">
        <v>1</v>
      </c>
      <c r="U519" t="s">
        <v>71</v>
      </c>
      <c r="V519" t="s">
        <v>68</v>
      </c>
      <c r="W519">
        <v>0</v>
      </c>
      <c r="X519">
        <v>0</v>
      </c>
      <c r="Y519">
        <v>55</v>
      </c>
      <c r="Z519">
        <v>98</v>
      </c>
      <c r="AA519">
        <v>100</v>
      </c>
      <c r="AB519">
        <v>1500</v>
      </c>
      <c r="AC519">
        <v>1024</v>
      </c>
      <c r="AD519">
        <v>1024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5</v>
      </c>
      <c r="AQ519">
        <v>0</v>
      </c>
      <c r="AR519">
        <v>0</v>
      </c>
      <c r="AS519" t="s">
        <v>59</v>
      </c>
      <c r="AT519">
        <v>1</v>
      </c>
      <c r="AU519" t="s">
        <v>64</v>
      </c>
      <c r="AV519" t="s">
        <v>65</v>
      </c>
      <c r="AW519">
        <v>0</v>
      </c>
      <c r="AX519">
        <v>3</v>
      </c>
      <c r="AY519">
        <v>0</v>
      </c>
      <c r="AZ519">
        <v>5400</v>
      </c>
      <c r="BA519">
        <v>100</v>
      </c>
      <c r="BB519">
        <v>100</v>
      </c>
      <c r="BC519">
        <v>100</v>
      </c>
      <c r="BD519">
        <v>100</v>
      </c>
      <c r="BE519">
        <v>1</v>
      </c>
      <c r="BF519">
        <v>15000</v>
      </c>
      <c r="BG519">
        <v>1000</v>
      </c>
      <c r="BH519" s="7">
        <f>ROUND(Wapato_Inventory[[#This Row],[detatched_value]]*Lookups!$B$22*Lookups!$H$48,-2)</f>
        <v>4800</v>
      </c>
      <c r="BI519" s="7">
        <f>ROUND(((Wapato_Inventory[[#This Row],[land_extract]]*Lookups!$B$3) +(Lookups!$B$2*0.5))*Lookups!$H$48,-2)</f>
        <v>53000</v>
      </c>
      <c r="BJ519" s="7">
        <f>IF(Wapato_Inventory[[#This Row],[bldg_style]]="",0,Lookups!$B$2*0.5)</f>
        <v>53765.27</v>
      </c>
      <c r="BK519" s="7">
        <f>_xlfn.IFNA(VLOOKUP(Wapato_Inventory[[#This Row],[quality]],Lookups!$H$2:$J$14,3,FALSE),0)</f>
        <v>28034</v>
      </c>
      <c r="BL519" s="7">
        <f>_xlfn.IFNA(VLOOKUP(Wapato_Inventory[[#This Row],[condition]],Lookups!$H$17:$J$24,3,FALSE),0)</f>
        <v>52231</v>
      </c>
      <c r="BM519" s="7">
        <f>Wapato_Inventory[[#This Row],[Age]]*Lookups!$B$16</f>
        <v>-36326.2186</v>
      </c>
      <c r="BN519" s="7">
        <f>Wapato_Inventory[[#This Row],[Main Floor]]*Lookups!$B$17</f>
        <v>42803.956736</v>
      </c>
      <c r="BO519" s="7">
        <f>Wapato_Inventory[[#This Row],[Upper Floor]]*Lookups!$B$18</f>
        <v>0</v>
      </c>
      <c r="BP519" s="7">
        <f>Wapato_Inventory[[#This Row],[Fin BSMT]]*Lookups!$B$19</f>
        <v>0</v>
      </c>
      <c r="BQ519" s="7">
        <f>(Wapato_Inventory[[#This Row],[att_gar]]+Wapato_Inventory[[#This Row],[blt_gar]])*Lookups!$B$20</f>
        <v>0</v>
      </c>
      <c r="BR519" s="7">
        <f>Wapato_Inventory[[#This Row],[Patio]]*Lookups!$B$21</f>
        <v>0</v>
      </c>
      <c r="BS519" s="7">
        <f>SUM(Wapato_Inventory[[#This Row],[intercept]:[patio_value]])*Wapato_Inventory[[#This Row],[res_pct]]</f>
        <v>140508.00813599999</v>
      </c>
      <c r="BT519" s="7">
        <f>Wapato_Inventory[[#This Row],[land_value]]</f>
        <v>53000</v>
      </c>
      <c r="BU519" s="2">
        <f>_xlfn.IFNA(VLOOKUP(Wapato_Inventory[[#This Row],[quality]],Lookups!$A$28:$C$37,3,FALSE),1)</f>
        <v>0.96265813922927435</v>
      </c>
      <c r="BV519" s="2">
        <f>_xlfn.IFNA(VLOOKUP(Wapato_Inventory[[#This Row],[condition]],Lookups!$A$41:$C$48,3,FALSE),1)</f>
        <v>0.9832333997567807</v>
      </c>
      <c r="BW519" s="2">
        <f>IF(Wapato_Inventory[[#This Row],[decade]]="",1,_xlfn.IFNA(VLOOKUP(Wapato_Inventory[[#This Row],[decade]],Lookups!$F$28:$H$45,3,FALSE),1))</f>
        <v>1.0114203040664467</v>
      </c>
      <c r="BX519" s="2">
        <f>_xlfn.IFNA(VLOOKUP(Wapato_Inventory[[#This Row],[living_area_range]],Lookups!$K$28:$M$37,3,FALSE),1)</f>
        <v>1.0061411172456287</v>
      </c>
      <c r="BY519" s="2">
        <f>AVERAGE(Wapato_Inventory[[#This Row],[qual_adj]:[range_adj]])</f>
        <v>0.99086324007453253</v>
      </c>
      <c r="BZ519" s="7">
        <f>(Wapato_Inventory[[#This Row],[sum_land]]-IF(Wapato_Inventory[[#This Row],[no_utilities]]=1,12000,0))/IF(Wapato_Inventory[[#This Row],[unbuildable]]=1,2,1)</f>
        <v>53000</v>
      </c>
      <c r="CA519" s="7">
        <f>Wapato_Inventory[[#This Row],[pre_res]]*Wapato_Inventory[[#This Row],[overall_adj]]</f>
        <v>139224.22019805573</v>
      </c>
      <c r="CB51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19" s="3">
        <f>IF(ROUND(Wapato_Inventory[[#This Row],[adj_res]]*Lookups!$H$48,-2)&lt;Wapato_Inventory[[#This Row],[min_res]],Wapato_Inventory[[#This Row],[min_res]],ROUND(Wapato_Inventory[[#This Row],[adj_res]]*Lookups!$H$48,-2))</f>
        <v>132300</v>
      </c>
      <c r="CD519" s="3">
        <f>ROUND(Wapato_Inventory[[#This Row],[det_value]]*Lookups!$H$48,-2)</f>
        <v>4600</v>
      </c>
      <c r="CE519" s="3">
        <f>Wapato_Inventory[[#This Row],[final_res]]+Wapato_Inventory[[#This Row],[final_det]]</f>
        <v>136900</v>
      </c>
      <c r="CF519" s="3">
        <f>Wapato_Inventory[[#This Row],[crop_value]]+Wapato_Inventory[[#This Row],[final_land]]+Wapato_Inventory[[#This Row],[final_imp]]</f>
        <v>187300</v>
      </c>
      <c r="CH519" t="str">
        <f t="shared" si="8"/>
        <v>update valuation set market_land =50400, market_bldg=136900, market_total =187300, market_mdno =405, market_date ='9/10/2023' where link_id = (select link_id from parcel where parcel_year = '2024' and parcel_id = '19111512017');</v>
      </c>
    </row>
    <row r="520" spans="1:86" x14ac:dyDescent="0.25">
      <c r="A520">
        <v>19111512019</v>
      </c>
      <c r="B520">
        <v>0.14000000000000001</v>
      </c>
      <c r="C520">
        <v>5946</v>
      </c>
      <c r="D520" t="s">
        <v>144</v>
      </c>
      <c r="E520" t="s">
        <v>54</v>
      </c>
      <c r="F520" t="s">
        <v>54</v>
      </c>
      <c r="G520">
        <v>3</v>
      </c>
      <c r="H520" t="s">
        <v>55</v>
      </c>
      <c r="I520">
        <v>170100</v>
      </c>
      <c r="J520">
        <v>31900</v>
      </c>
      <c r="K520">
        <v>0.14000000000000001</v>
      </c>
      <c r="L520">
        <f>IF(Wapato_Inventory[[#This Row],[parcel_acres]]-Wapato_Inventory[[#This Row],[non_valued_acres]] =0,0,LN(Wapato_Inventory[[#This Row],[parcel_acres]]-Wapato_Inventory[[#This Row],[non_valued_acres]]))</f>
        <v>-1.9661128563728327</v>
      </c>
      <c r="M520">
        <v>0</v>
      </c>
      <c r="N520">
        <v>0</v>
      </c>
      <c r="O520">
        <v>0</v>
      </c>
      <c r="P520">
        <v>27904.037</v>
      </c>
      <c r="Q520">
        <v>74398</v>
      </c>
      <c r="R520" s="3">
        <f>(Wapato_Inventory[[#This Row],[ln_acres]]*Wapato_Inventory[[#This Row],[coeff]])+Wapato_Inventory[[#This Row],[const]]</f>
        <v>19535.514109596792</v>
      </c>
      <c r="S520" t="s">
        <v>66</v>
      </c>
      <c r="T520">
        <v>1</v>
      </c>
      <c r="U520" t="s">
        <v>71</v>
      </c>
      <c r="V520" t="s">
        <v>68</v>
      </c>
      <c r="W520">
        <v>0</v>
      </c>
      <c r="X520">
        <v>0</v>
      </c>
      <c r="Y520">
        <v>50</v>
      </c>
      <c r="Z520">
        <v>73</v>
      </c>
      <c r="AA520">
        <v>80</v>
      </c>
      <c r="AB520">
        <v>2000</v>
      </c>
      <c r="AC520">
        <v>1581</v>
      </c>
      <c r="AD520">
        <v>1581</v>
      </c>
      <c r="AE520">
        <v>0</v>
      </c>
      <c r="AF520">
        <v>0</v>
      </c>
      <c r="AG520">
        <v>0</v>
      </c>
      <c r="AH520">
        <v>0</v>
      </c>
      <c r="AI520">
        <v>396</v>
      </c>
      <c r="AJ520">
        <v>0</v>
      </c>
      <c r="AK520">
        <v>0</v>
      </c>
      <c r="AL520">
        <v>0</v>
      </c>
      <c r="AM520">
        <v>176</v>
      </c>
      <c r="AN520">
        <v>64</v>
      </c>
      <c r="AO520">
        <v>176</v>
      </c>
      <c r="AP520">
        <v>8</v>
      </c>
      <c r="AQ520">
        <v>0</v>
      </c>
      <c r="AR520">
        <v>0</v>
      </c>
      <c r="AS520" t="s">
        <v>59</v>
      </c>
      <c r="AT520">
        <v>1</v>
      </c>
      <c r="AU520" t="s">
        <v>72</v>
      </c>
      <c r="AV520" t="s">
        <v>61</v>
      </c>
      <c r="AW520">
        <v>0</v>
      </c>
      <c r="AX520">
        <v>4</v>
      </c>
      <c r="AY520">
        <v>0</v>
      </c>
      <c r="AZ520">
        <v>0</v>
      </c>
      <c r="BA520">
        <v>100</v>
      </c>
      <c r="BB520">
        <v>100</v>
      </c>
      <c r="BC520">
        <v>100</v>
      </c>
      <c r="BD520">
        <v>100</v>
      </c>
      <c r="BE520">
        <v>1</v>
      </c>
      <c r="BF520">
        <v>15000</v>
      </c>
      <c r="BG520">
        <v>1000</v>
      </c>
      <c r="BH520" s="7">
        <f>ROUND(Wapato_Inventory[[#This Row],[detatched_value]]*Lookups!$B$22*Lookups!$H$48,-2)</f>
        <v>0</v>
      </c>
      <c r="BI520" s="7">
        <f>ROUND(((Wapato_Inventory[[#This Row],[land_extract]]*Lookups!$B$3) +(Lookups!$B$2*0.5))*Lookups!$H$48,-2)</f>
        <v>53000</v>
      </c>
      <c r="BJ520" s="7">
        <f>IF(Wapato_Inventory[[#This Row],[bldg_style]]="",0,Lookups!$B$2*0.5)</f>
        <v>53765.27</v>
      </c>
      <c r="BK520" s="7">
        <f>_xlfn.IFNA(VLOOKUP(Wapato_Inventory[[#This Row],[quality]],Lookups!$H$2:$J$14,3,FALSE),0)</f>
        <v>28034</v>
      </c>
      <c r="BL520" s="7">
        <f>_xlfn.IFNA(VLOOKUP(Wapato_Inventory[[#This Row],[condition]],Lookups!$H$17:$J$24,3,FALSE),0)</f>
        <v>52231</v>
      </c>
      <c r="BM520" s="7">
        <f>Wapato_Inventory[[#This Row],[Age]]*Lookups!$B$16</f>
        <v>-27059.326100000002</v>
      </c>
      <c r="BN520" s="7">
        <f>Wapato_Inventory[[#This Row],[Main Floor]]*Lookups!$B$17</f>
        <v>66086.968359000006</v>
      </c>
      <c r="BO520" s="7">
        <f>Wapato_Inventory[[#This Row],[Upper Floor]]*Lookups!$B$18</f>
        <v>0</v>
      </c>
      <c r="BP520" s="7">
        <f>Wapato_Inventory[[#This Row],[Fin BSMT]]*Lookups!$B$19</f>
        <v>0</v>
      </c>
      <c r="BQ520" s="7">
        <f>(Wapato_Inventory[[#This Row],[att_gar]]+Wapato_Inventory[[#This Row],[blt_gar]])*Lookups!$B$20</f>
        <v>14655.465792000001</v>
      </c>
      <c r="BR520" s="7">
        <f>Wapato_Inventory[[#This Row],[Patio]]*Lookups!$B$21</f>
        <v>7625.0203040000006</v>
      </c>
      <c r="BS520" s="7">
        <f>SUM(Wapato_Inventory[[#This Row],[intercept]:[patio_value]])*Wapato_Inventory[[#This Row],[res_pct]]</f>
        <v>195338.39835500001</v>
      </c>
      <c r="BT520" s="7">
        <f>Wapato_Inventory[[#This Row],[land_value]]</f>
        <v>53000</v>
      </c>
      <c r="BU520" s="2">
        <f>_xlfn.IFNA(VLOOKUP(Wapato_Inventory[[#This Row],[quality]],Lookups!$A$28:$C$37,3,FALSE),1)</f>
        <v>0.96265813922927435</v>
      </c>
      <c r="BV520" s="2">
        <f>_xlfn.IFNA(VLOOKUP(Wapato_Inventory[[#This Row],[condition]],Lookups!$A$41:$C$48,3,FALSE),1)</f>
        <v>0.9832333997567807</v>
      </c>
      <c r="BW520" s="2">
        <f>IF(Wapato_Inventory[[#This Row],[decade]]="",1,_xlfn.IFNA(VLOOKUP(Wapato_Inventory[[#This Row],[decade]],Lookups!$F$28:$H$45,3,FALSE),1))</f>
        <v>0.8438929209510081</v>
      </c>
      <c r="BX520" s="2">
        <f>_xlfn.IFNA(VLOOKUP(Wapato_Inventory[[#This Row],[living_area_range]],Lookups!$K$28:$M$37,3,FALSE),1)</f>
        <v>0.99330894324714125</v>
      </c>
      <c r="BY520" s="2">
        <f>AVERAGE(Wapato_Inventory[[#This Row],[qual_adj]:[range_adj]])</f>
        <v>0.94577335079605107</v>
      </c>
      <c r="BZ520" s="7">
        <f>(Wapato_Inventory[[#This Row],[sum_land]]-IF(Wapato_Inventory[[#This Row],[no_utilities]]=1,12000,0))/IF(Wapato_Inventory[[#This Row],[unbuildable]]=1,2,1)</f>
        <v>53000</v>
      </c>
      <c r="CA520" s="7">
        <f>Wapato_Inventory[[#This Row],[pre_res]]*Wapato_Inventory[[#This Row],[overall_adj]]</f>
        <v>184745.8515513422</v>
      </c>
      <c r="CB52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20" s="3">
        <f>IF(ROUND(Wapato_Inventory[[#This Row],[adj_res]]*Lookups!$H$48,-2)&lt;Wapato_Inventory[[#This Row],[min_res]],Wapato_Inventory[[#This Row],[min_res]],ROUND(Wapato_Inventory[[#This Row],[adj_res]]*Lookups!$H$48,-2))</f>
        <v>175500</v>
      </c>
      <c r="CD520" s="3">
        <f>ROUND(Wapato_Inventory[[#This Row],[det_value]]*Lookups!$H$48,-2)</f>
        <v>0</v>
      </c>
      <c r="CE520" s="3">
        <f>Wapato_Inventory[[#This Row],[final_res]]+Wapato_Inventory[[#This Row],[final_det]]</f>
        <v>175500</v>
      </c>
      <c r="CF520" s="3">
        <f>Wapato_Inventory[[#This Row],[crop_value]]+Wapato_Inventory[[#This Row],[final_land]]+Wapato_Inventory[[#This Row],[final_imp]]</f>
        <v>225900</v>
      </c>
      <c r="CH520" t="str">
        <f t="shared" si="8"/>
        <v>update valuation set market_land =50400, market_bldg=175500, market_total =225900, market_mdno =405, market_date ='9/10/2023' where link_id = (select link_id from parcel where parcel_year = '2024' and parcel_id = '19111512019');</v>
      </c>
    </row>
    <row r="521" spans="1:86" x14ac:dyDescent="0.25">
      <c r="A521">
        <v>19111512022</v>
      </c>
      <c r="B521">
        <v>0.1</v>
      </c>
      <c r="C521">
        <v>4461</v>
      </c>
      <c r="D521" t="s">
        <v>144</v>
      </c>
      <c r="E521" t="s">
        <v>54</v>
      </c>
      <c r="F521" t="s">
        <v>54</v>
      </c>
      <c r="G521">
        <v>3</v>
      </c>
      <c r="H521" t="s">
        <v>55</v>
      </c>
      <c r="I521">
        <v>113700</v>
      </c>
      <c r="J521">
        <v>29500</v>
      </c>
      <c r="K521">
        <v>0.1</v>
      </c>
      <c r="L521">
        <f>IF(Wapato_Inventory[[#This Row],[parcel_acres]]-Wapato_Inventory[[#This Row],[non_valued_acres]] =0,0,LN(Wapato_Inventory[[#This Row],[parcel_acres]]-Wapato_Inventory[[#This Row],[non_valued_acres]]))</f>
        <v>-2.3025850929940455</v>
      </c>
      <c r="M521">
        <v>0</v>
      </c>
      <c r="N521">
        <v>0</v>
      </c>
      <c r="O521">
        <v>0</v>
      </c>
      <c r="P521">
        <v>27904.037</v>
      </c>
      <c r="Q521">
        <v>74398</v>
      </c>
      <c r="R521" s="3">
        <f>(Wapato_Inventory[[#This Row],[ln_acres]]*Wapato_Inventory[[#This Row],[coeff]])+Wapato_Inventory[[#This Row],[const]]</f>
        <v>10146.580369445714</v>
      </c>
      <c r="S521" t="s">
        <v>66</v>
      </c>
      <c r="T521">
        <v>1</v>
      </c>
      <c r="U521" t="s">
        <v>71</v>
      </c>
      <c r="V521" t="s">
        <v>68</v>
      </c>
      <c r="W521">
        <v>0</v>
      </c>
      <c r="X521">
        <v>0</v>
      </c>
      <c r="Y521">
        <v>38</v>
      </c>
      <c r="Z521">
        <v>93</v>
      </c>
      <c r="AA521">
        <v>100</v>
      </c>
      <c r="AB521">
        <v>1500</v>
      </c>
      <c r="AC521">
        <v>1148</v>
      </c>
      <c r="AD521">
        <v>1148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32</v>
      </c>
      <c r="AO521">
        <v>0</v>
      </c>
      <c r="AP521">
        <v>5</v>
      </c>
      <c r="AQ521">
        <v>0</v>
      </c>
      <c r="AR521">
        <v>0</v>
      </c>
      <c r="AS521" t="s">
        <v>59</v>
      </c>
      <c r="AT521">
        <v>1</v>
      </c>
      <c r="AU521" t="s">
        <v>76</v>
      </c>
      <c r="AV521" t="s">
        <v>61</v>
      </c>
      <c r="AW521">
        <v>0</v>
      </c>
      <c r="AX521">
        <v>3</v>
      </c>
      <c r="AY521">
        <v>0</v>
      </c>
      <c r="AZ521">
        <v>0</v>
      </c>
      <c r="BA521">
        <v>100</v>
      </c>
      <c r="BB521">
        <v>100</v>
      </c>
      <c r="BC521">
        <v>100</v>
      </c>
      <c r="BD521">
        <v>100</v>
      </c>
      <c r="BE521">
        <v>1</v>
      </c>
      <c r="BF521">
        <v>15000</v>
      </c>
      <c r="BG521">
        <v>1000</v>
      </c>
      <c r="BH521" s="7">
        <f>ROUND(Wapato_Inventory[[#This Row],[detatched_value]]*Lookups!$B$22*Lookups!$H$48,-2)</f>
        <v>0</v>
      </c>
      <c r="BI521" s="7">
        <f>ROUND(((Wapato_Inventory[[#This Row],[land_extract]]*Lookups!$B$3) +(Lookups!$B$2*0.5))*Lookups!$H$48,-2)</f>
        <v>52100</v>
      </c>
      <c r="BJ521" s="7">
        <f>IF(Wapato_Inventory[[#This Row],[bldg_style]]="",0,Lookups!$B$2*0.5)</f>
        <v>53765.27</v>
      </c>
      <c r="BK521" s="7">
        <f>_xlfn.IFNA(VLOOKUP(Wapato_Inventory[[#This Row],[quality]],Lookups!$H$2:$J$14,3,FALSE),0)</f>
        <v>28034</v>
      </c>
      <c r="BL521" s="7">
        <f>_xlfn.IFNA(VLOOKUP(Wapato_Inventory[[#This Row],[condition]],Lookups!$H$17:$J$24,3,FALSE),0)</f>
        <v>52231</v>
      </c>
      <c r="BM521" s="7">
        <f>Wapato_Inventory[[#This Row],[Age]]*Lookups!$B$16</f>
        <v>-34472.840100000001</v>
      </c>
      <c r="BN521" s="7">
        <f>Wapato_Inventory[[#This Row],[Main Floor]]*Lookups!$B$17</f>
        <v>47987.248372000002</v>
      </c>
      <c r="BO521" s="7">
        <f>Wapato_Inventory[[#This Row],[Upper Floor]]*Lookups!$B$18</f>
        <v>0</v>
      </c>
      <c r="BP521" s="7">
        <f>Wapato_Inventory[[#This Row],[Fin BSMT]]*Lookups!$B$19</f>
        <v>0</v>
      </c>
      <c r="BQ521" s="7">
        <f>(Wapato_Inventory[[#This Row],[att_gar]]+Wapato_Inventory[[#This Row],[blt_gar]])*Lookups!$B$20</f>
        <v>0</v>
      </c>
      <c r="BR521" s="7">
        <f>Wapato_Inventory[[#This Row],[Patio]]*Lookups!$B$21</f>
        <v>0</v>
      </c>
      <c r="BS521" s="7">
        <f>SUM(Wapato_Inventory[[#This Row],[intercept]:[patio_value]])*Wapato_Inventory[[#This Row],[res_pct]]</f>
        <v>147544.67827199999</v>
      </c>
      <c r="BT521" s="7">
        <f>Wapato_Inventory[[#This Row],[land_value]]</f>
        <v>52100</v>
      </c>
      <c r="BU521" s="2">
        <f>_xlfn.IFNA(VLOOKUP(Wapato_Inventory[[#This Row],[quality]],Lookups!$A$28:$C$37,3,FALSE),1)</f>
        <v>0.96265813922927435</v>
      </c>
      <c r="BV521" s="2">
        <f>_xlfn.IFNA(VLOOKUP(Wapato_Inventory[[#This Row],[condition]],Lookups!$A$41:$C$48,3,FALSE),1)</f>
        <v>0.9832333997567807</v>
      </c>
      <c r="BW521" s="2">
        <f>IF(Wapato_Inventory[[#This Row],[decade]]="",1,_xlfn.IFNA(VLOOKUP(Wapato_Inventory[[#This Row],[decade]],Lookups!$F$28:$H$45,3,FALSE),1))</f>
        <v>1.0114203040664467</v>
      </c>
      <c r="BX521" s="2">
        <f>_xlfn.IFNA(VLOOKUP(Wapato_Inventory[[#This Row],[living_area_range]],Lookups!$K$28:$M$37,3,FALSE),1)</f>
        <v>1.0061411172456287</v>
      </c>
      <c r="BY521" s="2">
        <f>AVERAGE(Wapato_Inventory[[#This Row],[qual_adj]:[range_adj]])</f>
        <v>0.99086324007453253</v>
      </c>
      <c r="BZ521" s="7">
        <f>(Wapato_Inventory[[#This Row],[sum_land]]-IF(Wapato_Inventory[[#This Row],[no_utilities]]=1,12000,0))/IF(Wapato_Inventory[[#This Row],[unbuildable]]=1,2,1)</f>
        <v>52100</v>
      </c>
      <c r="CA521" s="7">
        <f>Wapato_Inventory[[#This Row],[pre_res]]*Wapato_Inventory[[#This Row],[overall_adj]]</f>
        <v>146196.59796834839</v>
      </c>
      <c r="CB521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521" s="3">
        <f>IF(ROUND(Wapato_Inventory[[#This Row],[adj_res]]*Lookups!$H$48,-2)&lt;Wapato_Inventory[[#This Row],[min_res]],Wapato_Inventory[[#This Row],[min_res]],ROUND(Wapato_Inventory[[#This Row],[adj_res]]*Lookups!$H$48,-2))</f>
        <v>138900</v>
      </c>
      <c r="CD521" s="3">
        <f>ROUND(Wapato_Inventory[[#This Row],[det_value]]*Lookups!$H$48,-2)</f>
        <v>0</v>
      </c>
      <c r="CE521" s="3">
        <f>Wapato_Inventory[[#This Row],[final_res]]+Wapato_Inventory[[#This Row],[final_det]]</f>
        <v>138900</v>
      </c>
      <c r="CF521" s="3">
        <f>Wapato_Inventory[[#This Row],[crop_value]]+Wapato_Inventory[[#This Row],[final_land]]+Wapato_Inventory[[#This Row],[final_imp]]</f>
        <v>188400</v>
      </c>
      <c r="CH521" t="str">
        <f t="shared" si="8"/>
        <v>update valuation set market_land =49500, market_bldg=138900, market_total =188400, market_mdno =405, market_date ='9/10/2023' where link_id = (select link_id from parcel where parcel_year = '2024' and parcel_id = '19111512022');</v>
      </c>
    </row>
    <row r="522" spans="1:86" x14ac:dyDescent="0.25">
      <c r="A522">
        <v>19111512023</v>
      </c>
      <c r="B522">
        <v>0.11</v>
      </c>
      <c r="C522">
        <v>4960</v>
      </c>
      <c r="D522" t="s">
        <v>144</v>
      </c>
      <c r="E522" t="s">
        <v>54</v>
      </c>
      <c r="F522" t="s">
        <v>54</v>
      </c>
      <c r="G522">
        <v>3</v>
      </c>
      <c r="H522" t="s">
        <v>55</v>
      </c>
      <c r="I522">
        <v>136800</v>
      </c>
      <c r="J522">
        <v>30200</v>
      </c>
      <c r="K522">
        <v>0.11</v>
      </c>
      <c r="L522">
        <f>IF(Wapato_Inventory[[#This Row],[parcel_acres]]-Wapato_Inventory[[#This Row],[non_valued_acres]] =0,0,LN(Wapato_Inventory[[#This Row],[parcel_acres]]-Wapato_Inventory[[#This Row],[non_valued_acres]]))</f>
        <v>-2.2072749131897207</v>
      </c>
      <c r="M522">
        <v>0</v>
      </c>
      <c r="N522">
        <v>0</v>
      </c>
      <c r="O522">
        <v>0</v>
      </c>
      <c r="P522">
        <v>27904.037</v>
      </c>
      <c r="Q522">
        <v>74398</v>
      </c>
      <c r="R522" s="3">
        <f>(Wapato_Inventory[[#This Row],[ln_acres]]*Wapato_Inventory[[#This Row],[coeff]])+Wapato_Inventory[[#This Row],[const]]</f>
        <v>12806.119153182248</v>
      </c>
      <c r="S522" t="s">
        <v>66</v>
      </c>
      <c r="T522">
        <v>1</v>
      </c>
      <c r="U522" t="s">
        <v>71</v>
      </c>
      <c r="V522" t="s">
        <v>69</v>
      </c>
      <c r="W522">
        <v>0</v>
      </c>
      <c r="X522">
        <v>0</v>
      </c>
      <c r="Y522">
        <v>45</v>
      </c>
      <c r="Z522">
        <v>103</v>
      </c>
      <c r="AA522">
        <v>110</v>
      </c>
      <c r="AB522">
        <v>1500</v>
      </c>
      <c r="AC522">
        <v>1008</v>
      </c>
      <c r="AD522">
        <v>1008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5</v>
      </c>
      <c r="AQ522">
        <v>0</v>
      </c>
      <c r="AR522">
        <v>0</v>
      </c>
      <c r="AS522" t="s">
        <v>59</v>
      </c>
      <c r="AT522">
        <v>1</v>
      </c>
      <c r="AU522" t="s">
        <v>76</v>
      </c>
      <c r="AV522" t="s">
        <v>61</v>
      </c>
      <c r="AW522">
        <v>0</v>
      </c>
      <c r="AX522">
        <v>4</v>
      </c>
      <c r="AY522">
        <v>0</v>
      </c>
      <c r="AZ522">
        <v>0</v>
      </c>
      <c r="BA522">
        <v>100</v>
      </c>
      <c r="BB522">
        <v>100</v>
      </c>
      <c r="BC522">
        <v>100</v>
      </c>
      <c r="BD522">
        <v>100</v>
      </c>
      <c r="BE522">
        <v>1</v>
      </c>
      <c r="BF522">
        <v>15000</v>
      </c>
      <c r="BG522">
        <v>1000</v>
      </c>
      <c r="BH522" s="7">
        <f>ROUND(Wapato_Inventory[[#This Row],[detatched_value]]*Lookups!$B$22*Lookups!$H$48,-2)</f>
        <v>0</v>
      </c>
      <c r="BI522" s="7">
        <f>ROUND(((Wapato_Inventory[[#This Row],[land_extract]]*Lookups!$B$3) +(Lookups!$B$2*0.5))*Lookups!$H$48,-2)</f>
        <v>52300</v>
      </c>
      <c r="BJ522" s="7">
        <f>IF(Wapato_Inventory[[#This Row],[bldg_style]]="",0,Lookups!$B$2*0.5)</f>
        <v>53765.27</v>
      </c>
      <c r="BK522" s="7">
        <f>_xlfn.IFNA(VLOOKUP(Wapato_Inventory[[#This Row],[quality]],Lookups!$H$2:$J$14,3,FALSE),0)</f>
        <v>28034</v>
      </c>
      <c r="BL522" s="7">
        <f>_xlfn.IFNA(VLOOKUP(Wapato_Inventory[[#This Row],[condition]],Lookups!$H$17:$J$24,3,FALSE),0)</f>
        <v>74543</v>
      </c>
      <c r="BM522" s="7">
        <f>Wapato_Inventory[[#This Row],[Age]]*Lookups!$B$16</f>
        <v>-38179.597099999999</v>
      </c>
      <c r="BN522" s="7">
        <f>Wapato_Inventory[[#This Row],[Main Floor]]*Lookups!$B$17</f>
        <v>42135.144912000003</v>
      </c>
      <c r="BO522" s="7">
        <f>Wapato_Inventory[[#This Row],[Upper Floor]]*Lookups!$B$18</f>
        <v>0</v>
      </c>
      <c r="BP522" s="7">
        <f>Wapato_Inventory[[#This Row],[Fin BSMT]]*Lookups!$B$19</f>
        <v>0</v>
      </c>
      <c r="BQ522" s="7">
        <f>(Wapato_Inventory[[#This Row],[att_gar]]+Wapato_Inventory[[#This Row],[blt_gar]])*Lookups!$B$20</f>
        <v>0</v>
      </c>
      <c r="BR522" s="7">
        <f>Wapato_Inventory[[#This Row],[Patio]]*Lookups!$B$21</f>
        <v>0</v>
      </c>
      <c r="BS522" s="7">
        <f>SUM(Wapato_Inventory[[#This Row],[intercept]:[patio_value]])*Wapato_Inventory[[#This Row],[res_pct]]</f>
        <v>160297.81781199999</v>
      </c>
      <c r="BT522" s="7">
        <f>Wapato_Inventory[[#This Row],[land_value]]</f>
        <v>52300</v>
      </c>
      <c r="BU522" s="2">
        <f>_xlfn.IFNA(VLOOKUP(Wapato_Inventory[[#This Row],[quality]],Lookups!$A$28:$C$37,3,FALSE),1)</f>
        <v>0.96265813922927435</v>
      </c>
      <c r="BV522" s="2">
        <f>_xlfn.IFNA(VLOOKUP(Wapato_Inventory[[#This Row],[condition]],Lookups!$A$41:$C$48,3,FALSE),1)</f>
        <v>0.98442438223270734</v>
      </c>
      <c r="BW522" s="2">
        <f>IF(Wapato_Inventory[[#This Row],[decade]]="",1,_xlfn.IFNA(VLOOKUP(Wapato_Inventory[[#This Row],[decade]],Lookups!$F$28:$H$45,3,FALSE),1))</f>
        <v>0.93664589651353292</v>
      </c>
      <c r="BX522" s="2">
        <f>_xlfn.IFNA(VLOOKUP(Wapato_Inventory[[#This Row],[living_area_range]],Lookups!$K$28:$M$37,3,FALSE),1)</f>
        <v>1.0061411172456287</v>
      </c>
      <c r="BY522" s="2">
        <f>AVERAGE(Wapato_Inventory[[#This Row],[qual_adj]:[range_adj]])</f>
        <v>0.97246738380528575</v>
      </c>
      <c r="BZ522" s="7">
        <f>(Wapato_Inventory[[#This Row],[sum_land]]-IF(Wapato_Inventory[[#This Row],[no_utilities]]=1,12000,0))/IF(Wapato_Inventory[[#This Row],[unbuildable]]=1,2,1)</f>
        <v>52300</v>
      </c>
      <c r="CA522" s="7">
        <f>Wapato_Inventory[[#This Row],[pre_res]]*Wapato_Inventory[[#This Row],[overall_adj]]</f>
        <v>155884.39951733197</v>
      </c>
      <c r="CB522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22" s="3">
        <f>IF(ROUND(Wapato_Inventory[[#This Row],[adj_res]]*Lookups!$H$48,-2)&lt;Wapato_Inventory[[#This Row],[min_res]],Wapato_Inventory[[#This Row],[min_res]],ROUND(Wapato_Inventory[[#This Row],[adj_res]]*Lookups!$H$48,-2))</f>
        <v>148100</v>
      </c>
      <c r="CD522" s="3">
        <f>ROUND(Wapato_Inventory[[#This Row],[det_value]]*Lookups!$H$48,-2)</f>
        <v>0</v>
      </c>
      <c r="CE522" s="3">
        <f>Wapato_Inventory[[#This Row],[final_res]]+Wapato_Inventory[[#This Row],[final_det]]</f>
        <v>148100</v>
      </c>
      <c r="CF522" s="3">
        <f>Wapato_Inventory[[#This Row],[crop_value]]+Wapato_Inventory[[#This Row],[final_land]]+Wapato_Inventory[[#This Row],[final_imp]]</f>
        <v>197800</v>
      </c>
      <c r="CH522" t="str">
        <f t="shared" si="8"/>
        <v>update valuation set market_land =49700, market_bldg=148100, market_total =197800, market_mdno =405, market_date ='9/10/2023' where link_id = (select link_id from parcel where parcel_year = '2024' and parcel_id = '19111512023');</v>
      </c>
    </row>
    <row r="523" spans="1:86" x14ac:dyDescent="0.25">
      <c r="A523">
        <v>19111512025</v>
      </c>
      <c r="B523">
        <v>0.11</v>
      </c>
      <c r="C523">
        <v>4960</v>
      </c>
      <c r="D523" t="s">
        <v>144</v>
      </c>
      <c r="E523" t="s">
        <v>54</v>
      </c>
      <c r="F523" t="s">
        <v>54</v>
      </c>
      <c r="G523">
        <v>3</v>
      </c>
      <c r="H523" t="s">
        <v>55</v>
      </c>
      <c r="I523">
        <v>163800</v>
      </c>
      <c r="J523">
        <v>30200</v>
      </c>
      <c r="K523">
        <v>0.11</v>
      </c>
      <c r="L523">
        <f>IF(Wapato_Inventory[[#This Row],[parcel_acres]]-Wapato_Inventory[[#This Row],[non_valued_acres]] =0,0,LN(Wapato_Inventory[[#This Row],[parcel_acres]]-Wapato_Inventory[[#This Row],[non_valued_acres]]))</f>
        <v>-2.2072749131897207</v>
      </c>
      <c r="M523">
        <v>0</v>
      </c>
      <c r="N523">
        <v>0</v>
      </c>
      <c r="O523">
        <v>0</v>
      </c>
      <c r="P523">
        <v>27904.037</v>
      </c>
      <c r="Q523">
        <v>74398</v>
      </c>
      <c r="R523" s="3">
        <f>(Wapato_Inventory[[#This Row],[ln_acres]]*Wapato_Inventory[[#This Row],[coeff]])+Wapato_Inventory[[#This Row],[const]]</f>
        <v>12806.119153182248</v>
      </c>
      <c r="S523" t="s">
        <v>66</v>
      </c>
      <c r="T523">
        <v>1</v>
      </c>
      <c r="U523" t="s">
        <v>71</v>
      </c>
      <c r="V523" t="s">
        <v>69</v>
      </c>
      <c r="W523">
        <v>0</v>
      </c>
      <c r="X523">
        <v>0</v>
      </c>
      <c r="Y523">
        <v>52</v>
      </c>
      <c r="Z523">
        <v>88</v>
      </c>
      <c r="AA523">
        <v>90</v>
      </c>
      <c r="AB523">
        <v>1500</v>
      </c>
      <c r="AC523">
        <v>1274</v>
      </c>
      <c r="AD523">
        <v>1274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98</v>
      </c>
      <c r="AN523">
        <v>0</v>
      </c>
      <c r="AO523">
        <v>98</v>
      </c>
      <c r="AP523">
        <v>5</v>
      </c>
      <c r="AQ523">
        <v>0</v>
      </c>
      <c r="AR523">
        <v>0</v>
      </c>
      <c r="AS523" t="s">
        <v>59</v>
      </c>
      <c r="AT523">
        <v>1</v>
      </c>
      <c r="AU523" t="s">
        <v>72</v>
      </c>
      <c r="AV523" t="s">
        <v>61</v>
      </c>
      <c r="AW523">
        <v>0</v>
      </c>
      <c r="AX523">
        <v>3</v>
      </c>
      <c r="AY523">
        <v>0</v>
      </c>
      <c r="AZ523">
        <v>0</v>
      </c>
      <c r="BA523">
        <v>100</v>
      </c>
      <c r="BB523">
        <v>100</v>
      </c>
      <c r="BC523">
        <v>100</v>
      </c>
      <c r="BD523">
        <v>100</v>
      </c>
      <c r="BE523">
        <v>1</v>
      </c>
      <c r="BF523">
        <v>15000</v>
      </c>
      <c r="BG523">
        <v>1000</v>
      </c>
      <c r="BH523" s="7">
        <f>ROUND(Wapato_Inventory[[#This Row],[detatched_value]]*Lookups!$B$22*Lookups!$H$48,-2)</f>
        <v>0</v>
      </c>
      <c r="BI523" s="7">
        <f>ROUND(((Wapato_Inventory[[#This Row],[land_extract]]*Lookups!$B$3) +(Lookups!$B$2*0.5))*Lookups!$H$48,-2)</f>
        <v>52300</v>
      </c>
      <c r="BJ523" s="7">
        <f>IF(Wapato_Inventory[[#This Row],[bldg_style]]="",0,Lookups!$B$2*0.5)</f>
        <v>53765.27</v>
      </c>
      <c r="BK523" s="7">
        <f>_xlfn.IFNA(VLOOKUP(Wapato_Inventory[[#This Row],[quality]],Lookups!$H$2:$J$14,3,FALSE),0)</f>
        <v>28034</v>
      </c>
      <c r="BL523" s="7">
        <f>_xlfn.IFNA(VLOOKUP(Wapato_Inventory[[#This Row],[condition]],Lookups!$H$17:$J$24,3,FALSE),0)</f>
        <v>74543</v>
      </c>
      <c r="BM523" s="7">
        <f>Wapato_Inventory[[#This Row],[Age]]*Lookups!$B$16</f>
        <v>-32619.461600000002</v>
      </c>
      <c r="BN523" s="7">
        <f>Wapato_Inventory[[#This Row],[Main Floor]]*Lookups!$B$17</f>
        <v>53254.141486</v>
      </c>
      <c r="BO523" s="7">
        <f>Wapato_Inventory[[#This Row],[Upper Floor]]*Lookups!$B$18</f>
        <v>0</v>
      </c>
      <c r="BP523" s="7">
        <f>Wapato_Inventory[[#This Row],[Fin BSMT]]*Lookups!$B$19</f>
        <v>0</v>
      </c>
      <c r="BQ523" s="7">
        <f>(Wapato_Inventory[[#This Row],[att_gar]]+Wapato_Inventory[[#This Row],[blt_gar]])*Lookups!$B$20</f>
        <v>0</v>
      </c>
      <c r="BR523" s="7">
        <f>Wapato_Inventory[[#This Row],[Patio]]*Lookups!$B$21</f>
        <v>4245.7499420000004</v>
      </c>
      <c r="BS523" s="7">
        <f>SUM(Wapato_Inventory[[#This Row],[intercept]:[patio_value]])*Wapato_Inventory[[#This Row],[res_pct]]</f>
        <v>181222.69982799998</v>
      </c>
      <c r="BT523" s="7">
        <f>Wapato_Inventory[[#This Row],[land_value]]</f>
        <v>52300</v>
      </c>
      <c r="BU523" s="2">
        <f>_xlfn.IFNA(VLOOKUP(Wapato_Inventory[[#This Row],[quality]],Lookups!$A$28:$C$37,3,FALSE),1)</f>
        <v>0.96265813922927435</v>
      </c>
      <c r="BV523" s="2">
        <f>_xlfn.IFNA(VLOOKUP(Wapato_Inventory[[#This Row],[condition]],Lookups!$A$41:$C$48,3,FALSE),1)</f>
        <v>0.98442438223270734</v>
      </c>
      <c r="BW523" s="2">
        <f>IF(Wapato_Inventory[[#This Row],[decade]]="",1,_xlfn.IFNA(VLOOKUP(Wapato_Inventory[[#This Row],[decade]],Lookups!$F$28:$H$45,3,FALSE),1))</f>
        <v>0.94742695999815718</v>
      </c>
      <c r="BX523" s="2">
        <f>_xlfn.IFNA(VLOOKUP(Wapato_Inventory[[#This Row],[living_area_range]],Lookups!$K$28:$M$37,3,FALSE),1)</f>
        <v>1.0061411172456287</v>
      </c>
      <c r="BY523" s="2">
        <f>AVERAGE(Wapato_Inventory[[#This Row],[qual_adj]:[range_adj]])</f>
        <v>0.97516264967644184</v>
      </c>
      <c r="BZ523" s="7">
        <f>(Wapato_Inventory[[#This Row],[sum_land]]-IF(Wapato_Inventory[[#This Row],[no_utilities]]=1,12000,0))/IF(Wapato_Inventory[[#This Row],[unbuildable]]=1,2,1)</f>
        <v>52300</v>
      </c>
      <c r="CA523" s="7">
        <f>Wapato_Inventory[[#This Row],[pre_res]]*Wapato_Inventory[[#This Row],[overall_adj]]</f>
        <v>176721.60814579093</v>
      </c>
      <c r="CB523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23" s="3">
        <f>IF(ROUND(Wapato_Inventory[[#This Row],[adj_res]]*Lookups!$H$48,-2)&lt;Wapato_Inventory[[#This Row],[min_res]],Wapato_Inventory[[#This Row],[min_res]],ROUND(Wapato_Inventory[[#This Row],[adj_res]]*Lookups!$H$48,-2))</f>
        <v>167900</v>
      </c>
      <c r="CD523" s="3">
        <f>ROUND(Wapato_Inventory[[#This Row],[det_value]]*Lookups!$H$48,-2)</f>
        <v>0</v>
      </c>
      <c r="CE523" s="3">
        <f>Wapato_Inventory[[#This Row],[final_res]]+Wapato_Inventory[[#This Row],[final_det]]</f>
        <v>167900</v>
      </c>
      <c r="CF523" s="3">
        <f>Wapato_Inventory[[#This Row],[crop_value]]+Wapato_Inventory[[#This Row],[final_land]]+Wapato_Inventory[[#This Row],[final_imp]]</f>
        <v>217600</v>
      </c>
      <c r="CH523" t="str">
        <f t="shared" si="8"/>
        <v>update valuation set market_land =49700, market_bldg=167900, market_total =217600, market_mdno =405, market_date ='9/10/2023' where link_id = (select link_id from parcel where parcel_year = '2024' and parcel_id = '19111512025');</v>
      </c>
    </row>
    <row r="524" spans="1:86" x14ac:dyDescent="0.25">
      <c r="A524">
        <v>19111512026</v>
      </c>
      <c r="B524">
        <v>0.11</v>
      </c>
      <c r="C524" t="s">
        <v>144</v>
      </c>
      <c r="D524" t="s">
        <v>144</v>
      </c>
      <c r="E524" t="s">
        <v>54</v>
      </c>
      <c r="F524" t="s">
        <v>54</v>
      </c>
      <c r="G524">
        <v>3</v>
      </c>
      <c r="H524" t="s">
        <v>55</v>
      </c>
      <c r="I524">
        <v>234700</v>
      </c>
      <c r="J524">
        <v>30200</v>
      </c>
      <c r="K524">
        <v>0.11</v>
      </c>
      <c r="L524">
        <f>IF(Wapato_Inventory[[#This Row],[parcel_acres]]-Wapato_Inventory[[#This Row],[non_valued_acres]] =0,0,LN(Wapato_Inventory[[#This Row],[parcel_acres]]-Wapato_Inventory[[#This Row],[non_valued_acres]]))</f>
        <v>-2.2072749131897207</v>
      </c>
      <c r="M524">
        <v>0</v>
      </c>
      <c r="N524">
        <v>0</v>
      </c>
      <c r="O524">
        <v>0</v>
      </c>
      <c r="P524">
        <v>27904.037</v>
      </c>
      <c r="Q524">
        <v>74398</v>
      </c>
      <c r="R524" s="3">
        <f>(Wapato_Inventory[[#This Row],[ln_acres]]*Wapato_Inventory[[#This Row],[coeff]])+Wapato_Inventory[[#This Row],[const]]</f>
        <v>12806.119153182248</v>
      </c>
      <c r="S524" t="s">
        <v>66</v>
      </c>
      <c r="T524">
        <v>1</v>
      </c>
      <c r="U524" t="s">
        <v>71</v>
      </c>
      <c r="V524" t="s">
        <v>69</v>
      </c>
      <c r="W524">
        <v>0</v>
      </c>
      <c r="X524">
        <v>0</v>
      </c>
      <c r="Y524">
        <v>57</v>
      </c>
      <c r="Z524">
        <v>103</v>
      </c>
      <c r="AA524">
        <v>110</v>
      </c>
      <c r="AB524">
        <v>1500</v>
      </c>
      <c r="AC524">
        <v>1090</v>
      </c>
      <c r="AD524">
        <v>1090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100</v>
      </c>
      <c r="AM524">
        <v>0</v>
      </c>
      <c r="AN524">
        <v>50</v>
      </c>
      <c r="AO524">
        <v>0</v>
      </c>
      <c r="AP524">
        <v>5</v>
      </c>
      <c r="AQ524">
        <v>0</v>
      </c>
      <c r="AR524">
        <v>0</v>
      </c>
      <c r="AS524" t="s">
        <v>59</v>
      </c>
      <c r="AT524">
        <v>0</v>
      </c>
      <c r="AU524" t="s">
        <v>80</v>
      </c>
      <c r="AV524" t="s">
        <v>77</v>
      </c>
      <c r="AW524">
        <v>0</v>
      </c>
      <c r="AX524">
        <v>3</v>
      </c>
      <c r="AY524">
        <v>0</v>
      </c>
      <c r="AZ524">
        <v>29100</v>
      </c>
      <c r="BA524">
        <v>100</v>
      </c>
      <c r="BB524">
        <v>100</v>
      </c>
      <c r="BC524">
        <v>100</v>
      </c>
      <c r="BD524">
        <v>100</v>
      </c>
      <c r="BE524">
        <v>1</v>
      </c>
      <c r="BF524">
        <v>15000</v>
      </c>
      <c r="BG524">
        <v>1000</v>
      </c>
      <c r="BH524" s="7">
        <f>ROUND(Wapato_Inventory[[#This Row],[detatched_value]]*Lookups!$B$22*Lookups!$H$48,-2)</f>
        <v>26000</v>
      </c>
      <c r="BI524" s="7">
        <f>ROUND(((Wapato_Inventory[[#This Row],[land_extract]]*Lookups!$B$3) +(Lookups!$B$2*0.5))*Lookups!$H$48,-2)</f>
        <v>52300</v>
      </c>
      <c r="BJ524" s="7">
        <f>IF(Wapato_Inventory[[#This Row],[bldg_style]]="",0,Lookups!$B$2*0.5)</f>
        <v>53765.27</v>
      </c>
      <c r="BK524" s="7">
        <f>_xlfn.IFNA(VLOOKUP(Wapato_Inventory[[#This Row],[quality]],Lookups!$H$2:$J$14,3,FALSE),0)</f>
        <v>28034</v>
      </c>
      <c r="BL524" s="7">
        <f>_xlfn.IFNA(VLOOKUP(Wapato_Inventory[[#This Row],[condition]],Lookups!$H$17:$J$24,3,FALSE),0)</f>
        <v>74543</v>
      </c>
      <c r="BM524" s="7">
        <f>Wapato_Inventory[[#This Row],[Age]]*Lookups!$B$16</f>
        <v>-38179.597099999999</v>
      </c>
      <c r="BN524" s="7">
        <f>Wapato_Inventory[[#This Row],[Main Floor]]*Lookups!$B$17</f>
        <v>45562.805509999998</v>
      </c>
      <c r="BO524" s="7">
        <f>Wapato_Inventory[[#This Row],[Upper Floor]]*Lookups!$B$18</f>
        <v>0</v>
      </c>
      <c r="BP524" s="7">
        <f>Wapato_Inventory[[#This Row],[Fin BSMT]]*Lookups!$B$19</f>
        <v>0</v>
      </c>
      <c r="BQ524" s="7">
        <f>(Wapato_Inventory[[#This Row],[att_gar]]+Wapato_Inventory[[#This Row],[blt_gar]])*Lookups!$B$20</f>
        <v>0</v>
      </c>
      <c r="BR524" s="7">
        <f>Wapato_Inventory[[#This Row],[Patio]]*Lookups!$B$21</f>
        <v>0</v>
      </c>
      <c r="BS524" s="7">
        <f>SUM(Wapato_Inventory[[#This Row],[intercept]:[patio_value]])*Wapato_Inventory[[#This Row],[res_pct]]</f>
        <v>163725.47840999998</v>
      </c>
      <c r="BT524" s="7">
        <f>Wapato_Inventory[[#This Row],[land_value]]</f>
        <v>52300</v>
      </c>
      <c r="BU524" s="2">
        <f>_xlfn.IFNA(VLOOKUP(Wapato_Inventory[[#This Row],[quality]],Lookups!$A$28:$C$37,3,FALSE),1)</f>
        <v>0.96265813922927435</v>
      </c>
      <c r="BV524" s="2">
        <f>_xlfn.IFNA(VLOOKUP(Wapato_Inventory[[#This Row],[condition]],Lookups!$A$41:$C$48,3,FALSE),1)</f>
        <v>0.98442438223270734</v>
      </c>
      <c r="BW524" s="2">
        <f>IF(Wapato_Inventory[[#This Row],[decade]]="",1,_xlfn.IFNA(VLOOKUP(Wapato_Inventory[[#This Row],[decade]],Lookups!$F$28:$H$45,3,FALSE),1))</f>
        <v>0.93664589651353292</v>
      </c>
      <c r="BX524" s="2">
        <f>_xlfn.IFNA(VLOOKUP(Wapato_Inventory[[#This Row],[living_area_range]],Lookups!$K$28:$M$37,3,FALSE),1)</f>
        <v>1.0061411172456287</v>
      </c>
      <c r="BY524" s="2">
        <f>AVERAGE(Wapato_Inventory[[#This Row],[qual_adj]:[range_adj]])</f>
        <v>0.97246738380528575</v>
      </c>
      <c r="BZ524" s="7">
        <f>(Wapato_Inventory[[#This Row],[sum_land]]-IF(Wapato_Inventory[[#This Row],[no_utilities]]=1,12000,0))/IF(Wapato_Inventory[[#This Row],[unbuildable]]=1,2,1)</f>
        <v>52300</v>
      </c>
      <c r="CA524" s="7">
        <f>Wapato_Inventory[[#This Row],[pre_res]]*Wapato_Inventory[[#This Row],[overall_adj]]</f>
        <v>159217.68765164146</v>
      </c>
      <c r="CB524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24" s="3">
        <f>IF(ROUND(Wapato_Inventory[[#This Row],[adj_res]]*Lookups!$H$48,-2)&lt;Wapato_Inventory[[#This Row],[min_res]],Wapato_Inventory[[#This Row],[min_res]],ROUND(Wapato_Inventory[[#This Row],[adj_res]]*Lookups!$H$48,-2))</f>
        <v>151300</v>
      </c>
      <c r="CD524" s="3">
        <f>ROUND(Wapato_Inventory[[#This Row],[det_value]]*Lookups!$H$48,-2)</f>
        <v>24700</v>
      </c>
      <c r="CE524" s="3">
        <f>Wapato_Inventory[[#This Row],[final_res]]+Wapato_Inventory[[#This Row],[final_det]]</f>
        <v>176000</v>
      </c>
      <c r="CF524" s="3">
        <f>Wapato_Inventory[[#This Row],[crop_value]]+Wapato_Inventory[[#This Row],[final_land]]+Wapato_Inventory[[#This Row],[final_imp]]</f>
        <v>225700</v>
      </c>
      <c r="CH524" t="str">
        <f t="shared" si="8"/>
        <v>update valuation set market_land =49700, market_bldg=176000, market_total =225700, market_mdno =405, market_date ='9/10/2023' where link_id = (select link_id from parcel where parcel_year = '2024' and parcel_id = '19111512026');</v>
      </c>
    </row>
    <row r="525" spans="1:86" x14ac:dyDescent="0.25">
      <c r="A525">
        <v>19111512027</v>
      </c>
      <c r="B525">
        <v>0.12</v>
      </c>
      <c r="C525">
        <v>5025</v>
      </c>
      <c r="D525" t="s">
        <v>144</v>
      </c>
      <c r="E525" t="s">
        <v>54</v>
      </c>
      <c r="F525" t="s">
        <v>54</v>
      </c>
      <c r="G525">
        <v>3</v>
      </c>
      <c r="H525" t="s">
        <v>55</v>
      </c>
      <c r="I525">
        <v>88800</v>
      </c>
      <c r="J525">
        <v>30800</v>
      </c>
      <c r="K525">
        <v>0.12</v>
      </c>
      <c r="L525">
        <f>IF(Wapato_Inventory[[#This Row],[parcel_acres]]-Wapato_Inventory[[#This Row],[non_valued_acres]] =0,0,LN(Wapato_Inventory[[#This Row],[parcel_acres]]-Wapato_Inventory[[#This Row],[non_valued_acres]]))</f>
        <v>-2.120263536200091</v>
      </c>
      <c r="M525">
        <v>0</v>
      </c>
      <c r="N525">
        <v>0</v>
      </c>
      <c r="O525">
        <v>0</v>
      </c>
      <c r="P525">
        <v>27904.037</v>
      </c>
      <c r="Q525">
        <v>74398</v>
      </c>
      <c r="R525" s="3">
        <f>(Wapato_Inventory[[#This Row],[ln_acres]]*Wapato_Inventory[[#This Row],[coeff]])+Wapato_Inventory[[#This Row],[const]]</f>
        <v>15234.08783612182</v>
      </c>
      <c r="S525" t="s">
        <v>66</v>
      </c>
      <c r="T525">
        <v>1</v>
      </c>
      <c r="U525" t="s">
        <v>71</v>
      </c>
      <c r="V525" t="s">
        <v>68</v>
      </c>
      <c r="W525">
        <v>0</v>
      </c>
      <c r="X525">
        <v>0</v>
      </c>
      <c r="Y525">
        <v>51</v>
      </c>
      <c r="Z525">
        <v>78</v>
      </c>
      <c r="AA525">
        <v>80</v>
      </c>
      <c r="AB525">
        <v>1000</v>
      </c>
      <c r="AC525">
        <v>734</v>
      </c>
      <c r="AD525">
        <v>734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110</v>
      </c>
      <c r="AN525">
        <v>0</v>
      </c>
      <c r="AO525">
        <v>110</v>
      </c>
      <c r="AP525">
        <v>5</v>
      </c>
      <c r="AQ525">
        <v>0</v>
      </c>
      <c r="AR525">
        <v>0</v>
      </c>
      <c r="AS525" t="s">
        <v>59</v>
      </c>
      <c r="AT525">
        <v>1</v>
      </c>
      <c r="AU525" t="s">
        <v>72</v>
      </c>
      <c r="AV525" t="s">
        <v>65</v>
      </c>
      <c r="AW525">
        <v>0</v>
      </c>
      <c r="AX525">
        <v>2</v>
      </c>
      <c r="AY525">
        <v>0</v>
      </c>
      <c r="AZ525">
        <v>0</v>
      </c>
      <c r="BA525">
        <v>100</v>
      </c>
      <c r="BB525">
        <v>100</v>
      </c>
      <c r="BC525">
        <v>100</v>
      </c>
      <c r="BD525">
        <v>100</v>
      </c>
      <c r="BE525">
        <v>1</v>
      </c>
      <c r="BF525">
        <v>15000</v>
      </c>
      <c r="BG525">
        <v>1000</v>
      </c>
      <c r="BH525" s="7">
        <f>ROUND(Wapato_Inventory[[#This Row],[detatched_value]]*Lookups!$B$22*Lookups!$H$48,-2)</f>
        <v>0</v>
      </c>
      <c r="BI525" s="7">
        <f>ROUND(((Wapato_Inventory[[#This Row],[land_extract]]*Lookups!$B$3) +(Lookups!$B$2*0.5))*Lookups!$H$48,-2)</f>
        <v>52500</v>
      </c>
      <c r="BJ525" s="7">
        <f>IF(Wapato_Inventory[[#This Row],[bldg_style]]="",0,Lookups!$B$2*0.5)</f>
        <v>53765.27</v>
      </c>
      <c r="BK525" s="7">
        <f>_xlfn.IFNA(VLOOKUP(Wapato_Inventory[[#This Row],[quality]],Lookups!$H$2:$J$14,3,FALSE),0)</f>
        <v>28034</v>
      </c>
      <c r="BL525" s="7">
        <f>_xlfn.IFNA(VLOOKUP(Wapato_Inventory[[#This Row],[condition]],Lookups!$H$17:$J$24,3,FALSE),0)</f>
        <v>52231</v>
      </c>
      <c r="BM525" s="7">
        <f>Wapato_Inventory[[#This Row],[Age]]*Lookups!$B$16</f>
        <v>-28912.704600000001</v>
      </c>
      <c r="BN525" s="7">
        <f>Wapato_Inventory[[#This Row],[Main Floor]]*Lookups!$B$17</f>
        <v>30681.742426000001</v>
      </c>
      <c r="BO525" s="7">
        <f>Wapato_Inventory[[#This Row],[Upper Floor]]*Lookups!$B$18</f>
        <v>0</v>
      </c>
      <c r="BP525" s="7">
        <f>Wapato_Inventory[[#This Row],[Fin BSMT]]*Lookups!$B$19</f>
        <v>0</v>
      </c>
      <c r="BQ525" s="7">
        <f>(Wapato_Inventory[[#This Row],[att_gar]]+Wapato_Inventory[[#This Row],[blt_gar]])*Lookups!$B$20</f>
        <v>0</v>
      </c>
      <c r="BR525" s="7">
        <f>Wapato_Inventory[[#This Row],[Patio]]*Lookups!$B$21</f>
        <v>4765.6376900000005</v>
      </c>
      <c r="BS525" s="7">
        <f>SUM(Wapato_Inventory[[#This Row],[intercept]:[patio_value]])*Wapato_Inventory[[#This Row],[res_pct]]</f>
        <v>140564.94551600001</v>
      </c>
      <c r="BT525" s="7">
        <f>Wapato_Inventory[[#This Row],[land_value]]</f>
        <v>52500</v>
      </c>
      <c r="BU525" s="2">
        <f>_xlfn.IFNA(VLOOKUP(Wapato_Inventory[[#This Row],[quality]],Lookups!$A$28:$C$37,3,FALSE),1)</f>
        <v>0.96265813922927435</v>
      </c>
      <c r="BV525" s="2">
        <f>_xlfn.IFNA(VLOOKUP(Wapato_Inventory[[#This Row],[condition]],Lookups!$A$41:$C$48,3,FALSE),1)</f>
        <v>0.9832333997567807</v>
      </c>
      <c r="BW525" s="2">
        <f>IF(Wapato_Inventory[[#This Row],[decade]]="",1,_xlfn.IFNA(VLOOKUP(Wapato_Inventory[[#This Row],[decade]],Lookups!$F$28:$H$45,3,FALSE),1))</f>
        <v>0.8438929209510081</v>
      </c>
      <c r="BX525" s="2">
        <f>_xlfn.IFNA(VLOOKUP(Wapato_Inventory[[#This Row],[living_area_range]],Lookups!$K$28:$M$37,3,FALSE),1)</f>
        <v>0.99022994770196116</v>
      </c>
      <c r="BY525" s="2">
        <f>AVERAGE(Wapato_Inventory[[#This Row],[qual_adj]:[range_adj]])</f>
        <v>0.94500360190975607</v>
      </c>
      <c r="BZ525" s="7">
        <f>(Wapato_Inventory[[#This Row],[sum_land]]-IF(Wapato_Inventory[[#This Row],[no_utilities]]=1,12000,0))/IF(Wapato_Inventory[[#This Row],[unbuildable]]=1,2,1)</f>
        <v>52500</v>
      </c>
      <c r="CA525" s="7">
        <f>Wapato_Inventory[[#This Row],[pre_res]]*Wapato_Inventory[[#This Row],[overall_adj]]</f>
        <v>132834.37981486862</v>
      </c>
      <c r="CB525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525" s="3">
        <f>IF(ROUND(Wapato_Inventory[[#This Row],[adj_res]]*Lookups!$H$48,-2)&lt;Wapato_Inventory[[#This Row],[min_res]],Wapato_Inventory[[#This Row],[min_res]],ROUND(Wapato_Inventory[[#This Row],[adj_res]]*Lookups!$H$48,-2))</f>
        <v>126200</v>
      </c>
      <c r="CD525" s="3">
        <f>ROUND(Wapato_Inventory[[#This Row],[det_value]]*Lookups!$H$48,-2)</f>
        <v>0</v>
      </c>
      <c r="CE525" s="3">
        <f>Wapato_Inventory[[#This Row],[final_res]]+Wapato_Inventory[[#This Row],[final_det]]</f>
        <v>126200</v>
      </c>
      <c r="CF525" s="3">
        <f>Wapato_Inventory[[#This Row],[crop_value]]+Wapato_Inventory[[#This Row],[final_land]]+Wapato_Inventory[[#This Row],[final_imp]]</f>
        <v>176100</v>
      </c>
      <c r="CH525" t="str">
        <f t="shared" si="8"/>
        <v>update valuation set market_land =49900, market_bldg=126200, market_total =176100, market_mdno =405, market_date ='9/10/2023' where link_id = (select link_id from parcel where parcel_year = '2024' and parcel_id = '19111512027');</v>
      </c>
    </row>
    <row r="526" spans="1:86" x14ac:dyDescent="0.25">
      <c r="A526">
        <v>19111512031</v>
      </c>
      <c r="B526">
        <v>0.09</v>
      </c>
      <c r="C526">
        <v>3935</v>
      </c>
      <c r="D526" t="s">
        <v>144</v>
      </c>
      <c r="E526" t="s">
        <v>54</v>
      </c>
      <c r="F526" t="s">
        <v>54</v>
      </c>
      <c r="G526">
        <v>3</v>
      </c>
      <c r="H526" t="s">
        <v>55</v>
      </c>
      <c r="I526">
        <v>166100</v>
      </c>
      <c r="J526">
        <v>28700</v>
      </c>
      <c r="K526">
        <v>0.09</v>
      </c>
      <c r="L526">
        <f>IF(Wapato_Inventory[[#This Row],[parcel_acres]]-Wapato_Inventory[[#This Row],[non_valued_acres]] =0,0,LN(Wapato_Inventory[[#This Row],[parcel_acres]]-Wapato_Inventory[[#This Row],[non_valued_acres]]))</f>
        <v>-2.4079456086518722</v>
      </c>
      <c r="M526">
        <v>0</v>
      </c>
      <c r="N526">
        <v>0</v>
      </c>
      <c r="O526">
        <v>0</v>
      </c>
      <c r="P526">
        <v>27904.037</v>
      </c>
      <c r="Q526">
        <v>74398</v>
      </c>
      <c r="R526" s="3">
        <f>(Wapato_Inventory[[#This Row],[ln_acres]]*Wapato_Inventory[[#This Row],[coeff]])+Wapato_Inventory[[#This Row],[const]]</f>
        <v>7206.5966421906342</v>
      </c>
      <c r="S526" t="s">
        <v>62</v>
      </c>
      <c r="T526">
        <v>1</v>
      </c>
      <c r="U526" t="s">
        <v>67</v>
      </c>
      <c r="V526" t="s">
        <v>68</v>
      </c>
      <c r="W526">
        <v>0</v>
      </c>
      <c r="X526">
        <v>0</v>
      </c>
      <c r="Y526">
        <v>47</v>
      </c>
      <c r="Z526">
        <v>58</v>
      </c>
      <c r="AA526">
        <v>60</v>
      </c>
      <c r="AB526">
        <v>1500</v>
      </c>
      <c r="AC526">
        <v>1168</v>
      </c>
      <c r="AD526">
        <v>1168</v>
      </c>
      <c r="AE526">
        <v>0</v>
      </c>
      <c r="AF526">
        <v>0</v>
      </c>
      <c r="AG526">
        <v>0</v>
      </c>
      <c r="AH526">
        <v>0</v>
      </c>
      <c r="AI526">
        <v>312</v>
      </c>
      <c r="AJ526">
        <v>0</v>
      </c>
      <c r="AK526">
        <v>0</v>
      </c>
      <c r="AL526">
        <v>0</v>
      </c>
      <c r="AM526">
        <v>0</v>
      </c>
      <c r="AN526">
        <v>98</v>
      </c>
      <c r="AO526">
        <v>0</v>
      </c>
      <c r="AP526">
        <v>7</v>
      </c>
      <c r="AQ526">
        <v>0</v>
      </c>
      <c r="AR526">
        <v>0</v>
      </c>
      <c r="AS526" t="s">
        <v>59</v>
      </c>
      <c r="AT526">
        <v>1</v>
      </c>
      <c r="AU526" t="s">
        <v>64</v>
      </c>
      <c r="AV526" t="s">
        <v>65</v>
      </c>
      <c r="AW526">
        <v>1</v>
      </c>
      <c r="AX526">
        <v>4</v>
      </c>
      <c r="AY526">
        <v>0</v>
      </c>
      <c r="AZ526">
        <v>0</v>
      </c>
      <c r="BA526">
        <v>100</v>
      </c>
      <c r="BB526">
        <v>100</v>
      </c>
      <c r="BC526">
        <v>100</v>
      </c>
      <c r="BD526">
        <v>100</v>
      </c>
      <c r="BE526">
        <v>1</v>
      </c>
      <c r="BF526">
        <v>15000</v>
      </c>
      <c r="BG526">
        <v>1000</v>
      </c>
      <c r="BH526" s="7">
        <f>ROUND(Wapato_Inventory[[#This Row],[detatched_value]]*Lookups!$B$22*Lookups!$H$48,-2)</f>
        <v>0</v>
      </c>
      <c r="BI526" s="7">
        <f>ROUND(((Wapato_Inventory[[#This Row],[land_extract]]*Lookups!$B$3) +(Lookups!$B$2*0.5))*Lookups!$H$48,-2)</f>
        <v>51800</v>
      </c>
      <c r="BJ526" s="7">
        <f>IF(Wapato_Inventory[[#This Row],[bldg_style]]="",0,Lookups!$B$2*0.5)</f>
        <v>53765.27</v>
      </c>
      <c r="BK526" s="7">
        <f>_xlfn.IFNA(VLOOKUP(Wapato_Inventory[[#This Row],[quality]],Lookups!$H$2:$J$14,3,FALSE),0)</f>
        <v>50405</v>
      </c>
      <c r="BL526" s="7">
        <f>_xlfn.IFNA(VLOOKUP(Wapato_Inventory[[#This Row],[condition]],Lookups!$H$17:$J$24,3,FALSE),0)</f>
        <v>52231</v>
      </c>
      <c r="BM526" s="7">
        <f>Wapato_Inventory[[#This Row],[Age]]*Lookups!$B$16</f>
        <v>-21499.190600000002</v>
      </c>
      <c r="BN526" s="7">
        <f>Wapato_Inventory[[#This Row],[Main Floor]]*Lookups!$B$17</f>
        <v>48823.263152</v>
      </c>
      <c r="BO526" s="7">
        <f>Wapato_Inventory[[#This Row],[Upper Floor]]*Lookups!$B$18</f>
        <v>0</v>
      </c>
      <c r="BP526" s="7">
        <f>Wapato_Inventory[[#This Row],[Fin BSMT]]*Lookups!$B$19</f>
        <v>0</v>
      </c>
      <c r="BQ526" s="7">
        <f>(Wapato_Inventory[[#This Row],[att_gar]]+Wapato_Inventory[[#This Row],[blt_gar]])*Lookups!$B$20</f>
        <v>11546.730624</v>
      </c>
      <c r="BR526" s="7">
        <f>Wapato_Inventory[[#This Row],[Patio]]*Lookups!$B$21</f>
        <v>0</v>
      </c>
      <c r="BS526" s="7">
        <f>SUM(Wapato_Inventory[[#This Row],[intercept]:[patio_value]])*Wapato_Inventory[[#This Row],[res_pct]]</f>
        <v>195272.07317599998</v>
      </c>
      <c r="BT526" s="7">
        <f>Wapato_Inventory[[#This Row],[land_value]]</f>
        <v>51800</v>
      </c>
      <c r="BU526" s="2">
        <f>_xlfn.IFNA(VLOOKUP(Wapato_Inventory[[#This Row],[quality]],Lookups!$A$28:$C$37,3,FALSE),1)</f>
        <v>0.97993206410140754</v>
      </c>
      <c r="BV526" s="2">
        <f>_xlfn.IFNA(VLOOKUP(Wapato_Inventory[[#This Row],[condition]],Lookups!$A$41:$C$48,3,FALSE),1)</f>
        <v>0.9832333997567807</v>
      </c>
      <c r="BW526" s="2">
        <f>IF(Wapato_Inventory[[#This Row],[decade]]="",1,_xlfn.IFNA(VLOOKUP(Wapato_Inventory[[#This Row],[decade]],Lookups!$F$28:$H$45,3,FALSE),1))</f>
        <v>1.035341704162583</v>
      </c>
      <c r="BX526" s="2">
        <f>_xlfn.IFNA(VLOOKUP(Wapato_Inventory[[#This Row],[living_area_range]],Lookups!$K$28:$M$37,3,FALSE),1)</f>
        <v>1.0061411172456287</v>
      </c>
      <c r="BY526" s="2">
        <f>AVERAGE(Wapato_Inventory[[#This Row],[qual_adj]:[range_adj]])</f>
        <v>1.0011620713166001</v>
      </c>
      <c r="BZ526" s="7">
        <f>(Wapato_Inventory[[#This Row],[sum_land]]-IF(Wapato_Inventory[[#This Row],[no_utilities]]=1,12000,0))/IF(Wapato_Inventory[[#This Row],[unbuildable]]=1,2,1)</f>
        <v>51800</v>
      </c>
      <c r="CA526" s="7">
        <f>Wapato_Inventory[[#This Row],[pre_res]]*Wapato_Inventory[[#This Row],[overall_adj]]</f>
        <v>195498.99325117085</v>
      </c>
      <c r="CB526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526" s="3">
        <f>IF(ROUND(Wapato_Inventory[[#This Row],[adj_res]]*Lookups!$H$48,-2)&lt;Wapato_Inventory[[#This Row],[min_res]],Wapato_Inventory[[#This Row],[min_res]],ROUND(Wapato_Inventory[[#This Row],[adj_res]]*Lookups!$H$48,-2))</f>
        <v>185700</v>
      </c>
      <c r="CD526" s="3">
        <f>ROUND(Wapato_Inventory[[#This Row],[det_value]]*Lookups!$H$48,-2)</f>
        <v>0</v>
      </c>
      <c r="CE526" s="3">
        <f>Wapato_Inventory[[#This Row],[final_res]]+Wapato_Inventory[[#This Row],[final_det]]</f>
        <v>185700</v>
      </c>
      <c r="CF526" s="3">
        <f>Wapato_Inventory[[#This Row],[crop_value]]+Wapato_Inventory[[#This Row],[final_land]]+Wapato_Inventory[[#This Row],[final_imp]]</f>
        <v>234900</v>
      </c>
      <c r="CH526" t="str">
        <f t="shared" si="8"/>
        <v>update valuation set market_land =49200, market_bldg=185700, market_total =234900, market_mdno =405, market_date ='9/10/2023' where link_id = (select link_id from parcel where parcel_year = '2024' and parcel_id = '19111512031');</v>
      </c>
    </row>
    <row r="527" spans="1:86" x14ac:dyDescent="0.25">
      <c r="A527">
        <v>19111512032</v>
      </c>
      <c r="B527">
        <v>0.15</v>
      </c>
      <c r="C527">
        <v>6371</v>
      </c>
      <c r="D527" t="s">
        <v>144</v>
      </c>
      <c r="E527" t="s">
        <v>54</v>
      </c>
      <c r="F527" t="s">
        <v>54</v>
      </c>
      <c r="G527">
        <v>3</v>
      </c>
      <c r="H527" t="s">
        <v>55</v>
      </c>
      <c r="I527">
        <v>143200</v>
      </c>
      <c r="J527">
        <v>32300</v>
      </c>
      <c r="K527">
        <v>0.15</v>
      </c>
      <c r="L527">
        <f>IF(Wapato_Inventory[[#This Row],[parcel_acres]]-Wapato_Inventory[[#This Row],[non_valued_acres]] =0,0,LN(Wapato_Inventory[[#This Row],[parcel_acres]]-Wapato_Inventory[[#This Row],[non_valued_acres]]))</f>
        <v>-1.8971199848858813</v>
      </c>
      <c r="M527">
        <v>0</v>
      </c>
      <c r="N527">
        <v>0</v>
      </c>
      <c r="O527">
        <v>0</v>
      </c>
      <c r="P527">
        <v>27904.037</v>
      </c>
      <c r="Q527">
        <v>74398</v>
      </c>
      <c r="R527" s="3">
        <f>(Wapato_Inventory[[#This Row],[ln_acres]]*Wapato_Inventory[[#This Row],[coeff]])+Wapato_Inventory[[#This Row],[const]]</f>
        <v>21460.693748304926</v>
      </c>
      <c r="S527" t="s">
        <v>62</v>
      </c>
      <c r="T527">
        <v>1</v>
      </c>
      <c r="U527" t="s">
        <v>75</v>
      </c>
      <c r="V527" t="s">
        <v>73</v>
      </c>
      <c r="W527">
        <v>0</v>
      </c>
      <c r="X527">
        <v>0</v>
      </c>
      <c r="Y527">
        <v>45</v>
      </c>
      <c r="Z527">
        <v>51</v>
      </c>
      <c r="AA527">
        <v>60</v>
      </c>
      <c r="AB527">
        <v>2000</v>
      </c>
      <c r="AC527">
        <v>1508</v>
      </c>
      <c r="AD527">
        <v>1508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8</v>
      </c>
      <c r="AQ527">
        <v>1</v>
      </c>
      <c r="AR527">
        <v>0</v>
      </c>
      <c r="AS527" t="s">
        <v>59</v>
      </c>
      <c r="AT527">
        <v>1</v>
      </c>
      <c r="AU527" t="s">
        <v>72</v>
      </c>
      <c r="AV527" t="s">
        <v>65</v>
      </c>
      <c r="AW527">
        <v>0</v>
      </c>
      <c r="AX527">
        <v>3</v>
      </c>
      <c r="AY527">
        <v>0</v>
      </c>
      <c r="AZ527">
        <v>0</v>
      </c>
      <c r="BA527">
        <v>100</v>
      </c>
      <c r="BB527">
        <v>100</v>
      </c>
      <c r="BC527">
        <v>100</v>
      </c>
      <c r="BD527">
        <v>100</v>
      </c>
      <c r="BE527">
        <v>1</v>
      </c>
      <c r="BF527">
        <v>15000</v>
      </c>
      <c r="BG527">
        <v>1000</v>
      </c>
      <c r="BH527" s="7">
        <f>ROUND(Wapato_Inventory[[#This Row],[detatched_value]]*Lookups!$B$22*Lookups!$H$48,-2)</f>
        <v>0</v>
      </c>
      <c r="BI527" s="7">
        <f>ROUND(((Wapato_Inventory[[#This Row],[land_extract]]*Lookups!$B$3) +(Lookups!$B$2*0.5))*Lookups!$H$48,-2)</f>
        <v>53100</v>
      </c>
      <c r="BJ527" s="7">
        <f>IF(Wapato_Inventory[[#This Row],[bldg_style]]="",0,Lookups!$B$2*0.5)</f>
        <v>53765.27</v>
      </c>
      <c r="BK527" s="7">
        <f>_xlfn.IFNA(VLOOKUP(Wapato_Inventory[[#This Row],[quality]],Lookups!$H$2:$J$14,3,FALSE),0)</f>
        <v>48043</v>
      </c>
      <c r="BL527" s="7">
        <f>_xlfn.IFNA(VLOOKUP(Wapato_Inventory[[#This Row],[condition]],Lookups!$H$17:$J$24,3,FALSE),0)</f>
        <v>16276</v>
      </c>
      <c r="BM527" s="7">
        <f>Wapato_Inventory[[#This Row],[Age]]*Lookups!$B$16</f>
        <v>-18904.4607</v>
      </c>
      <c r="BN527" s="7">
        <f>Wapato_Inventory[[#This Row],[Main Floor]]*Lookups!$B$17</f>
        <v>63035.514411999997</v>
      </c>
      <c r="BO527" s="7">
        <f>Wapato_Inventory[[#This Row],[Upper Floor]]*Lookups!$B$18</f>
        <v>0</v>
      </c>
      <c r="BP527" s="7">
        <f>Wapato_Inventory[[#This Row],[Fin BSMT]]*Lookups!$B$19</f>
        <v>0</v>
      </c>
      <c r="BQ527" s="7">
        <f>(Wapato_Inventory[[#This Row],[att_gar]]+Wapato_Inventory[[#This Row],[blt_gar]])*Lookups!$B$20</f>
        <v>0</v>
      </c>
      <c r="BR527" s="7">
        <f>Wapato_Inventory[[#This Row],[Patio]]*Lookups!$B$21</f>
        <v>0</v>
      </c>
      <c r="BS527" s="7">
        <f>SUM(Wapato_Inventory[[#This Row],[intercept]:[patio_value]])*Wapato_Inventory[[#This Row],[res_pct]]</f>
        <v>162215.32371199998</v>
      </c>
      <c r="BT527" s="7">
        <f>Wapato_Inventory[[#This Row],[land_value]]</f>
        <v>53100</v>
      </c>
      <c r="BU527" s="2">
        <f>_xlfn.IFNA(VLOOKUP(Wapato_Inventory[[#This Row],[quality]],Lookups!$A$28:$C$37,3,FALSE),1)</f>
        <v>0.98196844879778955</v>
      </c>
      <c r="BV527" s="2">
        <f>_xlfn.IFNA(VLOOKUP(Wapato_Inventory[[#This Row],[condition]],Lookups!$A$41:$C$48,3,FALSE),1)</f>
        <v>0.93399385491337139</v>
      </c>
      <c r="BW527" s="2">
        <f>IF(Wapato_Inventory[[#This Row],[decade]]="",1,_xlfn.IFNA(VLOOKUP(Wapato_Inventory[[#This Row],[decade]],Lookups!$F$28:$H$45,3,FALSE),1))</f>
        <v>1.035341704162583</v>
      </c>
      <c r="BX527" s="2">
        <f>_xlfn.IFNA(VLOOKUP(Wapato_Inventory[[#This Row],[living_area_range]],Lookups!$K$28:$M$37,3,FALSE),1)</f>
        <v>0.99330894324714125</v>
      </c>
      <c r="BY527" s="2">
        <f>AVERAGE(Wapato_Inventory[[#This Row],[qual_adj]:[range_adj]])</f>
        <v>0.98615323778022124</v>
      </c>
      <c r="BZ527" s="7">
        <f>(Wapato_Inventory[[#This Row],[sum_land]]-IF(Wapato_Inventory[[#This Row],[no_utilities]]=1,12000,0))/IF(Wapato_Inventory[[#This Row],[unbuildable]]=1,2,1)</f>
        <v>53100</v>
      </c>
      <c r="CA527" s="7">
        <f>Wapato_Inventory[[#This Row],[pre_res]]*Wapato_Inventory[[#This Row],[overall_adj]]</f>
        <v>159969.16669615547</v>
      </c>
      <c r="CB52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27" s="3">
        <f>IF(ROUND(Wapato_Inventory[[#This Row],[adj_res]]*Lookups!$H$48,-2)&lt;Wapato_Inventory[[#This Row],[min_res]],Wapato_Inventory[[#This Row],[min_res]],ROUND(Wapato_Inventory[[#This Row],[adj_res]]*Lookups!$H$48,-2))</f>
        <v>152000</v>
      </c>
      <c r="CD527" s="3">
        <f>ROUND(Wapato_Inventory[[#This Row],[det_value]]*Lookups!$H$48,-2)</f>
        <v>0</v>
      </c>
      <c r="CE527" s="3">
        <f>Wapato_Inventory[[#This Row],[final_res]]+Wapato_Inventory[[#This Row],[final_det]]</f>
        <v>152000</v>
      </c>
      <c r="CF527" s="3">
        <f>Wapato_Inventory[[#This Row],[crop_value]]+Wapato_Inventory[[#This Row],[final_land]]+Wapato_Inventory[[#This Row],[final_imp]]</f>
        <v>202400</v>
      </c>
      <c r="CH527" t="str">
        <f t="shared" si="8"/>
        <v>update valuation set market_land =50400, market_bldg=152000, market_total =202400, market_mdno =405, market_date ='9/10/2023' where link_id = (select link_id from parcel where parcel_year = '2024' and parcel_id = '19111512032');</v>
      </c>
    </row>
    <row r="528" spans="1:86" x14ac:dyDescent="0.25">
      <c r="A528">
        <v>19111512033</v>
      </c>
      <c r="B528">
        <v>0.18</v>
      </c>
      <c r="C528">
        <v>7697</v>
      </c>
      <c r="D528" t="s">
        <v>144</v>
      </c>
      <c r="E528" t="s">
        <v>54</v>
      </c>
      <c r="F528" t="s">
        <v>54</v>
      </c>
      <c r="G528">
        <v>3</v>
      </c>
      <c r="H528" t="s">
        <v>55</v>
      </c>
      <c r="I528">
        <v>169700</v>
      </c>
      <c r="J528">
        <v>33700</v>
      </c>
      <c r="K528">
        <v>0.18</v>
      </c>
      <c r="L528">
        <f>IF(Wapato_Inventory[[#This Row],[parcel_acres]]-Wapato_Inventory[[#This Row],[non_valued_acres]] =0,0,LN(Wapato_Inventory[[#This Row],[parcel_acres]]-Wapato_Inventory[[#This Row],[non_valued_acres]]))</f>
        <v>-1.7147984280919266</v>
      </c>
      <c r="M528">
        <v>0</v>
      </c>
      <c r="N528">
        <v>0</v>
      </c>
      <c r="O528">
        <v>0</v>
      </c>
      <c r="P528">
        <v>27904.037</v>
      </c>
      <c r="Q528">
        <v>74398</v>
      </c>
      <c r="R528" s="3">
        <f>(Wapato_Inventory[[#This Row],[ln_acres]]*Wapato_Inventory[[#This Row],[coeff]])+Wapato_Inventory[[#This Row],[const]]</f>
        <v>26548.20121498104</v>
      </c>
      <c r="S528" t="s">
        <v>62</v>
      </c>
      <c r="T528">
        <v>1</v>
      </c>
      <c r="U528" t="s">
        <v>75</v>
      </c>
      <c r="V528" t="s">
        <v>68</v>
      </c>
      <c r="W528">
        <v>0</v>
      </c>
      <c r="X528">
        <v>0</v>
      </c>
      <c r="Y528">
        <v>45</v>
      </c>
      <c r="Z528">
        <v>51</v>
      </c>
      <c r="AA528">
        <v>60</v>
      </c>
      <c r="AB528">
        <v>1500</v>
      </c>
      <c r="AC528">
        <v>1482</v>
      </c>
      <c r="AD528">
        <v>1482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6</v>
      </c>
      <c r="AQ528">
        <v>0</v>
      </c>
      <c r="AR528">
        <v>0</v>
      </c>
      <c r="AS528" t="s">
        <v>59</v>
      </c>
      <c r="AT528">
        <v>1</v>
      </c>
      <c r="AU528" t="s">
        <v>72</v>
      </c>
      <c r="AV528" t="s">
        <v>65</v>
      </c>
      <c r="AW528">
        <v>0</v>
      </c>
      <c r="AX528">
        <v>3</v>
      </c>
      <c r="AY528">
        <v>0</v>
      </c>
      <c r="AZ528">
        <v>0</v>
      </c>
      <c r="BA528">
        <v>100</v>
      </c>
      <c r="BB528">
        <v>100</v>
      </c>
      <c r="BC528">
        <v>100</v>
      </c>
      <c r="BD528">
        <v>100</v>
      </c>
      <c r="BE528">
        <v>1</v>
      </c>
      <c r="BF528">
        <v>15000</v>
      </c>
      <c r="BG528">
        <v>1000</v>
      </c>
      <c r="BH528" s="7">
        <f>ROUND(Wapato_Inventory[[#This Row],[detatched_value]]*Lookups!$B$22*Lookups!$H$48,-2)</f>
        <v>0</v>
      </c>
      <c r="BI528" s="7">
        <f>ROUND(((Wapato_Inventory[[#This Row],[land_extract]]*Lookups!$B$3) +(Lookups!$B$2*0.5))*Lookups!$H$48,-2)</f>
        <v>53600</v>
      </c>
      <c r="BJ528" s="7">
        <f>IF(Wapato_Inventory[[#This Row],[bldg_style]]="",0,Lookups!$B$2*0.5)</f>
        <v>53765.27</v>
      </c>
      <c r="BK528" s="7">
        <f>_xlfn.IFNA(VLOOKUP(Wapato_Inventory[[#This Row],[quality]],Lookups!$H$2:$J$14,3,FALSE),0)</f>
        <v>48043</v>
      </c>
      <c r="BL528" s="7">
        <f>_xlfn.IFNA(VLOOKUP(Wapato_Inventory[[#This Row],[condition]],Lookups!$H$17:$J$24,3,FALSE),0)</f>
        <v>52231</v>
      </c>
      <c r="BM528" s="7">
        <f>Wapato_Inventory[[#This Row],[Age]]*Lookups!$B$16</f>
        <v>-18904.4607</v>
      </c>
      <c r="BN528" s="7">
        <f>Wapato_Inventory[[#This Row],[Main Floor]]*Lookups!$B$17</f>
        <v>61948.695198000001</v>
      </c>
      <c r="BO528" s="7">
        <f>Wapato_Inventory[[#This Row],[Upper Floor]]*Lookups!$B$18</f>
        <v>0</v>
      </c>
      <c r="BP528" s="7">
        <f>Wapato_Inventory[[#This Row],[Fin BSMT]]*Lookups!$B$19</f>
        <v>0</v>
      </c>
      <c r="BQ528" s="7">
        <f>(Wapato_Inventory[[#This Row],[att_gar]]+Wapato_Inventory[[#This Row],[blt_gar]])*Lookups!$B$20</f>
        <v>0</v>
      </c>
      <c r="BR528" s="7">
        <f>Wapato_Inventory[[#This Row],[Patio]]*Lookups!$B$21</f>
        <v>0</v>
      </c>
      <c r="BS528" s="7">
        <f>SUM(Wapato_Inventory[[#This Row],[intercept]:[patio_value]])*Wapato_Inventory[[#This Row],[res_pct]]</f>
        <v>197083.50449799999</v>
      </c>
      <c r="BT528" s="7">
        <f>Wapato_Inventory[[#This Row],[land_value]]</f>
        <v>53600</v>
      </c>
      <c r="BU528" s="2">
        <f>_xlfn.IFNA(VLOOKUP(Wapato_Inventory[[#This Row],[quality]],Lookups!$A$28:$C$37,3,FALSE),1)</f>
        <v>0.98196844879778955</v>
      </c>
      <c r="BV528" s="2">
        <f>_xlfn.IFNA(VLOOKUP(Wapato_Inventory[[#This Row],[condition]],Lookups!$A$41:$C$48,3,FALSE),1)</f>
        <v>0.9832333997567807</v>
      </c>
      <c r="BW528" s="2">
        <f>IF(Wapato_Inventory[[#This Row],[decade]]="",1,_xlfn.IFNA(VLOOKUP(Wapato_Inventory[[#This Row],[decade]],Lookups!$F$28:$H$45,3,FALSE),1))</f>
        <v>1.035341704162583</v>
      </c>
      <c r="BX528" s="2">
        <f>_xlfn.IFNA(VLOOKUP(Wapato_Inventory[[#This Row],[living_area_range]],Lookups!$K$28:$M$37,3,FALSE),1)</f>
        <v>1.0061411172456287</v>
      </c>
      <c r="BY528" s="2">
        <f>AVERAGE(Wapato_Inventory[[#This Row],[qual_adj]:[range_adj]])</f>
        <v>1.0016711674906955</v>
      </c>
      <c r="BZ528" s="7">
        <f>(Wapato_Inventory[[#This Row],[sum_land]]-IF(Wapato_Inventory[[#This Row],[no_utilities]]=1,12000,0))/IF(Wapato_Inventory[[#This Row],[unbuildable]]=1,2,1)</f>
        <v>53600</v>
      </c>
      <c r="CA528" s="7">
        <f>Wapato_Inventory[[#This Row],[pre_res]]*Wapato_Inventory[[#This Row],[overall_adj]]</f>
        <v>197412.8640436694</v>
      </c>
      <c r="CB528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528" s="3">
        <f>IF(ROUND(Wapato_Inventory[[#This Row],[adj_res]]*Lookups!$H$48,-2)&lt;Wapato_Inventory[[#This Row],[min_res]],Wapato_Inventory[[#This Row],[min_res]],ROUND(Wapato_Inventory[[#This Row],[adj_res]]*Lookups!$H$48,-2))</f>
        <v>187500</v>
      </c>
      <c r="CD528" s="3">
        <f>ROUND(Wapato_Inventory[[#This Row],[det_value]]*Lookups!$H$48,-2)</f>
        <v>0</v>
      </c>
      <c r="CE528" s="3">
        <f>Wapato_Inventory[[#This Row],[final_res]]+Wapato_Inventory[[#This Row],[final_det]]</f>
        <v>187500</v>
      </c>
      <c r="CF528" s="3">
        <f>Wapato_Inventory[[#This Row],[crop_value]]+Wapato_Inventory[[#This Row],[final_land]]+Wapato_Inventory[[#This Row],[final_imp]]</f>
        <v>238400</v>
      </c>
      <c r="CH528" t="str">
        <f t="shared" si="8"/>
        <v>update valuation set market_land =50900, market_bldg=187500, market_total =238400, market_mdno =405, market_date ='9/10/2023' where link_id = (select link_id from parcel where parcel_year = '2024' and parcel_id = '19111512033');</v>
      </c>
    </row>
    <row r="529" spans="1:86" x14ac:dyDescent="0.25">
      <c r="A529">
        <v>19111512034</v>
      </c>
      <c r="B529">
        <v>0.1</v>
      </c>
      <c r="C529">
        <v>4534</v>
      </c>
      <c r="D529" t="s">
        <v>144</v>
      </c>
      <c r="E529" t="s">
        <v>54</v>
      </c>
      <c r="F529" t="s">
        <v>54</v>
      </c>
      <c r="G529">
        <v>3</v>
      </c>
      <c r="H529" t="s">
        <v>55</v>
      </c>
      <c r="I529">
        <v>113500</v>
      </c>
      <c r="J529">
        <v>29500</v>
      </c>
      <c r="K529">
        <v>0.1</v>
      </c>
      <c r="L529">
        <f>IF(Wapato_Inventory[[#This Row],[parcel_acres]]-Wapato_Inventory[[#This Row],[non_valued_acres]] =0,0,LN(Wapato_Inventory[[#This Row],[parcel_acres]]-Wapato_Inventory[[#This Row],[non_valued_acres]]))</f>
        <v>-2.3025850929940455</v>
      </c>
      <c r="M529">
        <v>0</v>
      </c>
      <c r="N529">
        <v>0</v>
      </c>
      <c r="O529">
        <v>0</v>
      </c>
      <c r="P529">
        <v>27904.037</v>
      </c>
      <c r="Q529">
        <v>74398</v>
      </c>
      <c r="R529" s="3">
        <f>(Wapato_Inventory[[#This Row],[ln_acres]]*Wapato_Inventory[[#This Row],[coeff]])+Wapato_Inventory[[#This Row],[const]]</f>
        <v>10146.580369445714</v>
      </c>
      <c r="S529" t="s">
        <v>66</v>
      </c>
      <c r="T529">
        <v>1</v>
      </c>
      <c r="U529" t="s">
        <v>71</v>
      </c>
      <c r="V529" t="s">
        <v>68</v>
      </c>
      <c r="W529">
        <v>0</v>
      </c>
      <c r="X529">
        <v>0</v>
      </c>
      <c r="Y529">
        <v>50</v>
      </c>
      <c r="Z529">
        <v>73</v>
      </c>
      <c r="AA529">
        <v>80</v>
      </c>
      <c r="AB529">
        <v>1000</v>
      </c>
      <c r="AC529">
        <v>926</v>
      </c>
      <c r="AD529">
        <v>926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5</v>
      </c>
      <c r="AQ529">
        <v>0</v>
      </c>
      <c r="AR529">
        <v>0</v>
      </c>
      <c r="AS529" t="s">
        <v>59</v>
      </c>
      <c r="AT529">
        <v>1</v>
      </c>
      <c r="AU529" t="s">
        <v>72</v>
      </c>
      <c r="AV529" t="s">
        <v>61</v>
      </c>
      <c r="AW529">
        <v>0</v>
      </c>
      <c r="AX529">
        <v>3</v>
      </c>
      <c r="AY529">
        <v>0</v>
      </c>
      <c r="AZ529">
        <v>0</v>
      </c>
      <c r="BA529">
        <v>100</v>
      </c>
      <c r="BB529">
        <v>100</v>
      </c>
      <c r="BC529">
        <v>100</v>
      </c>
      <c r="BD529">
        <v>100</v>
      </c>
      <c r="BE529">
        <v>1</v>
      </c>
      <c r="BF529">
        <v>15000</v>
      </c>
      <c r="BG529">
        <v>1000</v>
      </c>
      <c r="BH529" s="7">
        <f>ROUND(Wapato_Inventory[[#This Row],[detatched_value]]*Lookups!$B$22*Lookups!$H$48,-2)</f>
        <v>0</v>
      </c>
      <c r="BI529" s="7">
        <f>ROUND(((Wapato_Inventory[[#This Row],[land_extract]]*Lookups!$B$3) +(Lookups!$B$2*0.5))*Lookups!$H$48,-2)</f>
        <v>52100</v>
      </c>
      <c r="BJ529" s="7">
        <f>IF(Wapato_Inventory[[#This Row],[bldg_style]]="",0,Lookups!$B$2*0.5)</f>
        <v>53765.27</v>
      </c>
      <c r="BK529" s="7">
        <f>_xlfn.IFNA(VLOOKUP(Wapato_Inventory[[#This Row],[quality]],Lookups!$H$2:$J$14,3,FALSE),0)</f>
        <v>28034</v>
      </c>
      <c r="BL529" s="7">
        <f>_xlfn.IFNA(VLOOKUP(Wapato_Inventory[[#This Row],[condition]],Lookups!$H$17:$J$24,3,FALSE),0)</f>
        <v>52231</v>
      </c>
      <c r="BM529" s="7">
        <f>Wapato_Inventory[[#This Row],[Age]]*Lookups!$B$16</f>
        <v>-27059.326100000002</v>
      </c>
      <c r="BN529" s="7">
        <f>Wapato_Inventory[[#This Row],[Main Floor]]*Lookups!$B$17</f>
        <v>38707.484314000001</v>
      </c>
      <c r="BO529" s="7">
        <f>Wapato_Inventory[[#This Row],[Upper Floor]]*Lookups!$B$18</f>
        <v>0</v>
      </c>
      <c r="BP529" s="7">
        <f>Wapato_Inventory[[#This Row],[Fin BSMT]]*Lookups!$B$19</f>
        <v>0</v>
      </c>
      <c r="BQ529" s="7">
        <f>(Wapato_Inventory[[#This Row],[att_gar]]+Wapato_Inventory[[#This Row],[blt_gar]])*Lookups!$B$20</f>
        <v>0</v>
      </c>
      <c r="BR529" s="7">
        <f>Wapato_Inventory[[#This Row],[Patio]]*Lookups!$B$21</f>
        <v>0</v>
      </c>
      <c r="BS529" s="7">
        <f>SUM(Wapato_Inventory[[#This Row],[intercept]:[patio_value]])*Wapato_Inventory[[#This Row],[res_pct]]</f>
        <v>145678.42821399999</v>
      </c>
      <c r="BT529" s="7">
        <f>Wapato_Inventory[[#This Row],[land_value]]</f>
        <v>52100</v>
      </c>
      <c r="BU529" s="2">
        <f>_xlfn.IFNA(VLOOKUP(Wapato_Inventory[[#This Row],[quality]],Lookups!$A$28:$C$37,3,FALSE),1)</f>
        <v>0.96265813922927435</v>
      </c>
      <c r="BV529" s="2">
        <f>_xlfn.IFNA(VLOOKUP(Wapato_Inventory[[#This Row],[condition]],Lookups!$A$41:$C$48,3,FALSE),1)</f>
        <v>0.9832333997567807</v>
      </c>
      <c r="BW529" s="2">
        <f>IF(Wapato_Inventory[[#This Row],[decade]]="",1,_xlfn.IFNA(VLOOKUP(Wapato_Inventory[[#This Row],[decade]],Lookups!$F$28:$H$45,3,FALSE),1))</f>
        <v>0.8438929209510081</v>
      </c>
      <c r="BX529" s="2">
        <f>_xlfn.IFNA(VLOOKUP(Wapato_Inventory[[#This Row],[living_area_range]],Lookups!$K$28:$M$37,3,FALSE),1)</f>
        <v>0.99022994770196116</v>
      </c>
      <c r="BY529" s="2">
        <f>AVERAGE(Wapato_Inventory[[#This Row],[qual_adj]:[range_adj]])</f>
        <v>0.94500360190975607</v>
      </c>
      <c r="BZ529" s="7">
        <f>(Wapato_Inventory[[#This Row],[sum_land]]-IF(Wapato_Inventory[[#This Row],[no_utilities]]=1,12000,0))/IF(Wapato_Inventory[[#This Row],[unbuildable]]=1,2,1)</f>
        <v>52100</v>
      </c>
      <c r="CA529" s="7">
        <f>Wapato_Inventory[[#This Row],[pre_res]]*Wapato_Inventory[[#This Row],[overall_adj]]</f>
        <v>137666.63938278181</v>
      </c>
      <c r="CB529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529" s="3">
        <f>IF(ROUND(Wapato_Inventory[[#This Row],[adj_res]]*Lookups!$H$48,-2)&lt;Wapato_Inventory[[#This Row],[min_res]],Wapato_Inventory[[#This Row],[min_res]],ROUND(Wapato_Inventory[[#This Row],[adj_res]]*Lookups!$H$48,-2))</f>
        <v>130800</v>
      </c>
      <c r="CD529" s="3">
        <f>ROUND(Wapato_Inventory[[#This Row],[det_value]]*Lookups!$H$48,-2)</f>
        <v>0</v>
      </c>
      <c r="CE529" s="3">
        <f>Wapato_Inventory[[#This Row],[final_res]]+Wapato_Inventory[[#This Row],[final_det]]</f>
        <v>130800</v>
      </c>
      <c r="CF529" s="3">
        <f>Wapato_Inventory[[#This Row],[crop_value]]+Wapato_Inventory[[#This Row],[final_land]]+Wapato_Inventory[[#This Row],[final_imp]]</f>
        <v>180300</v>
      </c>
      <c r="CH529" t="str">
        <f t="shared" si="8"/>
        <v>update valuation set market_land =49500, market_bldg=130800, market_total =180300, market_mdno =405, market_date ='9/10/2023' where link_id = (select link_id from parcel where parcel_year = '2024' and parcel_id = '19111512034');</v>
      </c>
    </row>
    <row r="530" spans="1:86" x14ac:dyDescent="0.25">
      <c r="A530">
        <v>19111512035</v>
      </c>
      <c r="B530">
        <v>0.23</v>
      </c>
      <c r="C530">
        <v>10146</v>
      </c>
      <c r="D530" t="s">
        <v>144</v>
      </c>
      <c r="E530" t="s">
        <v>54</v>
      </c>
      <c r="F530" t="s">
        <v>54</v>
      </c>
      <c r="G530">
        <v>3</v>
      </c>
      <c r="H530" t="s">
        <v>55</v>
      </c>
      <c r="I530">
        <v>183800</v>
      </c>
      <c r="J530">
        <v>35500</v>
      </c>
      <c r="K530">
        <v>0.23</v>
      </c>
      <c r="L530">
        <f>IF(Wapato_Inventory[[#This Row],[parcel_acres]]-Wapato_Inventory[[#This Row],[non_valued_acres]] =0,0,LN(Wapato_Inventory[[#This Row],[parcel_acres]]-Wapato_Inventory[[#This Row],[non_valued_acres]]))</f>
        <v>-1.4696759700589417</v>
      </c>
      <c r="M530">
        <v>0</v>
      </c>
      <c r="N530">
        <v>0</v>
      </c>
      <c r="O530">
        <v>0</v>
      </c>
      <c r="P530">
        <v>27904.037</v>
      </c>
      <c r="Q530">
        <v>74398</v>
      </c>
      <c r="R530" s="3">
        <f>(Wapato_Inventory[[#This Row],[ln_acres]]*Wapato_Inventory[[#This Row],[coeff]])+Wapato_Inventory[[#This Row],[const]]</f>
        <v>33388.107353464402</v>
      </c>
      <c r="S530" t="s">
        <v>66</v>
      </c>
      <c r="T530">
        <v>1</v>
      </c>
      <c r="U530" t="s">
        <v>75</v>
      </c>
      <c r="V530" t="s">
        <v>68</v>
      </c>
      <c r="W530">
        <v>0</v>
      </c>
      <c r="X530">
        <v>0</v>
      </c>
      <c r="Y530">
        <v>50</v>
      </c>
      <c r="Z530">
        <v>73</v>
      </c>
      <c r="AA530">
        <v>80</v>
      </c>
      <c r="AB530">
        <v>2000</v>
      </c>
      <c r="AC530">
        <v>1578</v>
      </c>
      <c r="AD530">
        <v>1578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252</v>
      </c>
      <c r="AL530">
        <v>0</v>
      </c>
      <c r="AM530">
        <v>0</v>
      </c>
      <c r="AN530">
        <v>60</v>
      </c>
      <c r="AO530">
        <v>0</v>
      </c>
      <c r="AP530">
        <v>8</v>
      </c>
      <c r="AQ530">
        <v>1</v>
      </c>
      <c r="AR530">
        <v>0</v>
      </c>
      <c r="AS530" t="s">
        <v>59</v>
      </c>
      <c r="AT530">
        <v>1</v>
      </c>
      <c r="AU530" t="s">
        <v>72</v>
      </c>
      <c r="AV530" t="s">
        <v>61</v>
      </c>
      <c r="AW530">
        <v>0</v>
      </c>
      <c r="AX530">
        <v>2</v>
      </c>
      <c r="AY530">
        <v>0</v>
      </c>
      <c r="AZ530">
        <v>0</v>
      </c>
      <c r="BA530">
        <v>100</v>
      </c>
      <c r="BB530">
        <v>100</v>
      </c>
      <c r="BC530">
        <v>100</v>
      </c>
      <c r="BD530">
        <v>100</v>
      </c>
      <c r="BE530">
        <v>1</v>
      </c>
      <c r="BF530">
        <v>15000</v>
      </c>
      <c r="BG530">
        <v>1000</v>
      </c>
      <c r="BH530" s="7">
        <f>ROUND(Wapato_Inventory[[#This Row],[detatched_value]]*Lookups!$B$22*Lookups!$H$48,-2)</f>
        <v>0</v>
      </c>
      <c r="BI530" s="7">
        <f>ROUND(((Wapato_Inventory[[#This Row],[land_extract]]*Lookups!$B$3) +(Lookups!$B$2*0.5))*Lookups!$H$48,-2)</f>
        <v>54300</v>
      </c>
      <c r="BJ530" s="7">
        <f>IF(Wapato_Inventory[[#This Row],[bldg_style]]="",0,Lookups!$B$2*0.5)</f>
        <v>53765.27</v>
      </c>
      <c r="BK530" s="7">
        <f>_xlfn.IFNA(VLOOKUP(Wapato_Inventory[[#This Row],[quality]],Lookups!$H$2:$J$14,3,FALSE),0)</f>
        <v>48043</v>
      </c>
      <c r="BL530" s="7">
        <f>_xlfn.IFNA(VLOOKUP(Wapato_Inventory[[#This Row],[condition]],Lookups!$H$17:$J$24,3,FALSE),0)</f>
        <v>52231</v>
      </c>
      <c r="BM530" s="7">
        <f>Wapato_Inventory[[#This Row],[Age]]*Lookups!$B$16</f>
        <v>-27059.326100000002</v>
      </c>
      <c r="BN530" s="7">
        <f>Wapato_Inventory[[#This Row],[Main Floor]]*Lookups!$B$17</f>
        <v>65961.566141999996</v>
      </c>
      <c r="BO530" s="7">
        <f>Wapato_Inventory[[#This Row],[Upper Floor]]*Lookups!$B$18</f>
        <v>0</v>
      </c>
      <c r="BP530" s="7">
        <f>Wapato_Inventory[[#This Row],[Fin BSMT]]*Lookups!$B$19</f>
        <v>0</v>
      </c>
      <c r="BQ530" s="7">
        <f>(Wapato_Inventory[[#This Row],[att_gar]]+Wapato_Inventory[[#This Row],[blt_gar]])*Lookups!$B$20</f>
        <v>0</v>
      </c>
      <c r="BR530" s="7">
        <f>Wapato_Inventory[[#This Row],[Patio]]*Lookups!$B$21</f>
        <v>0</v>
      </c>
      <c r="BS530" s="7">
        <f>SUM(Wapato_Inventory[[#This Row],[intercept]:[patio_value]])*Wapato_Inventory[[#This Row],[res_pct]]</f>
        <v>192941.51004199998</v>
      </c>
      <c r="BT530" s="7">
        <f>Wapato_Inventory[[#This Row],[land_value]]</f>
        <v>54300</v>
      </c>
      <c r="BU530" s="2">
        <f>_xlfn.IFNA(VLOOKUP(Wapato_Inventory[[#This Row],[quality]],Lookups!$A$28:$C$37,3,FALSE),1)</f>
        <v>0.98196844879778955</v>
      </c>
      <c r="BV530" s="2">
        <f>_xlfn.IFNA(VLOOKUP(Wapato_Inventory[[#This Row],[condition]],Lookups!$A$41:$C$48,3,FALSE),1)</f>
        <v>0.9832333997567807</v>
      </c>
      <c r="BW530" s="2">
        <f>IF(Wapato_Inventory[[#This Row],[decade]]="",1,_xlfn.IFNA(VLOOKUP(Wapato_Inventory[[#This Row],[decade]],Lookups!$F$28:$H$45,3,FALSE),1))</f>
        <v>0.8438929209510081</v>
      </c>
      <c r="BX530" s="2">
        <f>_xlfn.IFNA(VLOOKUP(Wapato_Inventory[[#This Row],[living_area_range]],Lookups!$K$28:$M$37,3,FALSE),1)</f>
        <v>0.99330894324714125</v>
      </c>
      <c r="BY530" s="2">
        <f>AVERAGE(Wapato_Inventory[[#This Row],[qual_adj]:[range_adj]])</f>
        <v>0.95060092818817987</v>
      </c>
      <c r="BZ530" s="7">
        <f>(Wapato_Inventory[[#This Row],[sum_land]]-IF(Wapato_Inventory[[#This Row],[no_utilities]]=1,12000,0))/IF(Wapato_Inventory[[#This Row],[unbuildable]]=1,2,1)</f>
        <v>54300</v>
      </c>
      <c r="CA530" s="7">
        <f>Wapato_Inventory[[#This Row],[pre_res]]*Wapato_Inventory[[#This Row],[overall_adj]]</f>
        <v>183410.37853195422</v>
      </c>
      <c r="CB530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530" s="3">
        <f>IF(ROUND(Wapato_Inventory[[#This Row],[adj_res]]*Lookups!$H$48,-2)&lt;Wapato_Inventory[[#This Row],[min_res]],Wapato_Inventory[[#This Row],[min_res]],ROUND(Wapato_Inventory[[#This Row],[adj_res]]*Lookups!$H$48,-2))</f>
        <v>174200</v>
      </c>
      <c r="CD530" s="3">
        <f>ROUND(Wapato_Inventory[[#This Row],[det_value]]*Lookups!$H$48,-2)</f>
        <v>0</v>
      </c>
      <c r="CE530" s="3">
        <f>Wapato_Inventory[[#This Row],[final_res]]+Wapato_Inventory[[#This Row],[final_det]]</f>
        <v>174200</v>
      </c>
      <c r="CF530" s="3">
        <f>Wapato_Inventory[[#This Row],[crop_value]]+Wapato_Inventory[[#This Row],[final_land]]+Wapato_Inventory[[#This Row],[final_imp]]</f>
        <v>225800</v>
      </c>
      <c r="CH530" t="str">
        <f t="shared" si="8"/>
        <v>update valuation set market_land =51600, market_bldg=174200, market_total =225800, market_mdno =405, market_date ='9/10/2023' where link_id = (select link_id from parcel where parcel_year = '2024' and parcel_id = '19111512035');</v>
      </c>
    </row>
    <row r="531" spans="1:86" x14ac:dyDescent="0.25">
      <c r="A531">
        <v>19111512036</v>
      </c>
      <c r="B531">
        <v>0.12</v>
      </c>
      <c r="C531">
        <v>5225</v>
      </c>
      <c r="D531" t="s">
        <v>144</v>
      </c>
      <c r="E531" t="s">
        <v>54</v>
      </c>
      <c r="F531" t="s">
        <v>54</v>
      </c>
      <c r="G531">
        <v>3</v>
      </c>
      <c r="H531" t="s">
        <v>55</v>
      </c>
      <c r="I531">
        <v>203900</v>
      </c>
      <c r="J531">
        <v>30800</v>
      </c>
      <c r="K531">
        <v>0.12</v>
      </c>
      <c r="L531">
        <f>IF(Wapato_Inventory[[#This Row],[parcel_acres]]-Wapato_Inventory[[#This Row],[non_valued_acres]] =0,0,LN(Wapato_Inventory[[#This Row],[parcel_acres]]-Wapato_Inventory[[#This Row],[non_valued_acres]]))</f>
        <v>-2.120263536200091</v>
      </c>
      <c r="M531">
        <v>0</v>
      </c>
      <c r="N531">
        <v>0</v>
      </c>
      <c r="O531">
        <v>0</v>
      </c>
      <c r="P531">
        <v>27904.037</v>
      </c>
      <c r="Q531">
        <v>74398</v>
      </c>
      <c r="R531" s="3">
        <f>(Wapato_Inventory[[#This Row],[ln_acres]]*Wapato_Inventory[[#This Row],[coeff]])+Wapato_Inventory[[#This Row],[const]]</f>
        <v>15234.08783612182</v>
      </c>
      <c r="S531" t="s">
        <v>66</v>
      </c>
      <c r="T531">
        <v>1</v>
      </c>
      <c r="U531" t="s">
        <v>67</v>
      </c>
      <c r="V531" t="s">
        <v>68</v>
      </c>
      <c r="W531">
        <v>0</v>
      </c>
      <c r="X531">
        <v>0</v>
      </c>
      <c r="Y531">
        <v>51</v>
      </c>
      <c r="Z531">
        <v>83</v>
      </c>
      <c r="AA531">
        <v>90</v>
      </c>
      <c r="AB531">
        <v>2000</v>
      </c>
      <c r="AC531">
        <v>1988</v>
      </c>
      <c r="AD531">
        <v>1988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368</v>
      </c>
      <c r="AM531">
        <v>0</v>
      </c>
      <c r="AN531">
        <v>87</v>
      </c>
      <c r="AO531">
        <v>368</v>
      </c>
      <c r="AP531">
        <v>8</v>
      </c>
      <c r="AQ531">
        <v>1</v>
      </c>
      <c r="AR531">
        <v>0</v>
      </c>
      <c r="AS531" t="s">
        <v>59</v>
      </c>
      <c r="AT531">
        <v>1</v>
      </c>
      <c r="AU531" t="s">
        <v>64</v>
      </c>
      <c r="AV531" t="s">
        <v>65</v>
      </c>
      <c r="AW531">
        <v>1</v>
      </c>
      <c r="AX531">
        <v>3</v>
      </c>
      <c r="AY531">
        <v>0</v>
      </c>
      <c r="AZ531">
        <v>0</v>
      </c>
      <c r="BA531">
        <v>100</v>
      </c>
      <c r="BB531">
        <v>100</v>
      </c>
      <c r="BC531">
        <v>100</v>
      </c>
      <c r="BD531">
        <v>100</v>
      </c>
      <c r="BE531">
        <v>1</v>
      </c>
      <c r="BF531">
        <v>15000</v>
      </c>
      <c r="BG531">
        <v>1000</v>
      </c>
      <c r="BH531" s="7">
        <f>ROUND(Wapato_Inventory[[#This Row],[detatched_value]]*Lookups!$B$22*Lookups!$H$48,-2)</f>
        <v>0</v>
      </c>
      <c r="BI531" s="7">
        <f>ROUND(((Wapato_Inventory[[#This Row],[land_extract]]*Lookups!$B$3) +(Lookups!$B$2*0.5))*Lookups!$H$48,-2)</f>
        <v>52500</v>
      </c>
      <c r="BJ531" s="7">
        <f>IF(Wapato_Inventory[[#This Row],[bldg_style]]="",0,Lookups!$B$2*0.5)</f>
        <v>53765.27</v>
      </c>
      <c r="BK531" s="7">
        <f>_xlfn.IFNA(VLOOKUP(Wapato_Inventory[[#This Row],[quality]],Lookups!$H$2:$J$14,3,FALSE),0)</f>
        <v>50405</v>
      </c>
      <c r="BL531" s="7">
        <f>_xlfn.IFNA(VLOOKUP(Wapato_Inventory[[#This Row],[condition]],Lookups!$H$17:$J$24,3,FALSE),0)</f>
        <v>52231</v>
      </c>
      <c r="BM531" s="7">
        <f>Wapato_Inventory[[#This Row],[Age]]*Lookups!$B$16</f>
        <v>-30766.0831</v>
      </c>
      <c r="BN531" s="7">
        <f>Wapato_Inventory[[#This Row],[Main Floor]]*Lookups!$B$17</f>
        <v>83099.869132000007</v>
      </c>
      <c r="BO531" s="7">
        <f>Wapato_Inventory[[#This Row],[Upper Floor]]*Lookups!$B$18</f>
        <v>0</v>
      </c>
      <c r="BP531" s="7">
        <f>Wapato_Inventory[[#This Row],[Fin BSMT]]*Lookups!$B$19</f>
        <v>0</v>
      </c>
      <c r="BQ531" s="7">
        <f>(Wapato_Inventory[[#This Row],[att_gar]]+Wapato_Inventory[[#This Row],[blt_gar]])*Lookups!$B$20</f>
        <v>0</v>
      </c>
      <c r="BR531" s="7">
        <f>Wapato_Inventory[[#This Row],[Patio]]*Lookups!$B$21</f>
        <v>0</v>
      </c>
      <c r="BS531" s="7">
        <f>SUM(Wapato_Inventory[[#This Row],[intercept]:[patio_value]])*Wapato_Inventory[[#This Row],[res_pct]]</f>
        <v>208735.05603199999</v>
      </c>
      <c r="BT531" s="7">
        <f>Wapato_Inventory[[#This Row],[land_value]]</f>
        <v>52500</v>
      </c>
      <c r="BU531" s="2">
        <f>_xlfn.IFNA(VLOOKUP(Wapato_Inventory[[#This Row],[quality]],Lookups!$A$28:$C$37,3,FALSE),1)</f>
        <v>0.97993206410140754</v>
      </c>
      <c r="BV531" s="2">
        <f>_xlfn.IFNA(VLOOKUP(Wapato_Inventory[[#This Row],[condition]],Lookups!$A$41:$C$48,3,FALSE),1)</f>
        <v>0.9832333997567807</v>
      </c>
      <c r="BW531" s="2">
        <f>IF(Wapato_Inventory[[#This Row],[decade]]="",1,_xlfn.IFNA(VLOOKUP(Wapato_Inventory[[#This Row],[decade]],Lookups!$F$28:$H$45,3,FALSE),1))</f>
        <v>0.94742695999815718</v>
      </c>
      <c r="BX531" s="2">
        <f>_xlfn.IFNA(VLOOKUP(Wapato_Inventory[[#This Row],[living_area_range]],Lookups!$K$28:$M$37,3,FALSE),1)</f>
        <v>0.99330894324714125</v>
      </c>
      <c r="BY531" s="2">
        <f>AVERAGE(Wapato_Inventory[[#This Row],[qual_adj]:[range_adj]])</f>
        <v>0.97597534177587164</v>
      </c>
      <c r="BZ531" s="7">
        <f>(Wapato_Inventory[[#This Row],[sum_land]]-IF(Wapato_Inventory[[#This Row],[no_utilities]]=1,12000,0))/IF(Wapato_Inventory[[#This Row],[unbuildable]]=1,2,1)</f>
        <v>52500</v>
      </c>
      <c r="CA531" s="7">
        <f>Wapato_Inventory[[#This Row],[pre_res]]*Wapato_Inventory[[#This Row],[overall_adj]]</f>
        <v>203720.26765143691</v>
      </c>
      <c r="CB531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531" s="3">
        <f>IF(ROUND(Wapato_Inventory[[#This Row],[adj_res]]*Lookups!$H$48,-2)&lt;Wapato_Inventory[[#This Row],[min_res]],Wapato_Inventory[[#This Row],[min_res]],ROUND(Wapato_Inventory[[#This Row],[adj_res]]*Lookups!$H$48,-2))</f>
        <v>193500</v>
      </c>
      <c r="CD531" s="3">
        <f>ROUND(Wapato_Inventory[[#This Row],[det_value]]*Lookups!$H$48,-2)</f>
        <v>0</v>
      </c>
      <c r="CE531" s="3">
        <f>Wapato_Inventory[[#This Row],[final_res]]+Wapato_Inventory[[#This Row],[final_det]]</f>
        <v>193500</v>
      </c>
      <c r="CF531" s="3">
        <f>Wapato_Inventory[[#This Row],[crop_value]]+Wapato_Inventory[[#This Row],[final_land]]+Wapato_Inventory[[#This Row],[final_imp]]</f>
        <v>243400</v>
      </c>
      <c r="CH531" t="str">
        <f t="shared" si="8"/>
        <v>update valuation set market_land =49900, market_bldg=193500, market_total =243400, market_mdno =405, market_date ='9/10/2023' where link_id = (select link_id from parcel where parcel_year = '2024' and parcel_id = '19111512036');</v>
      </c>
    </row>
    <row r="532" spans="1:86" x14ac:dyDescent="0.25">
      <c r="A532">
        <v>19111512038</v>
      </c>
      <c r="B532">
        <v>0.12</v>
      </c>
      <c r="C532">
        <v>5079</v>
      </c>
      <c r="D532" t="s">
        <v>144</v>
      </c>
      <c r="E532" t="s">
        <v>54</v>
      </c>
      <c r="F532" t="s">
        <v>54</v>
      </c>
      <c r="G532">
        <v>3</v>
      </c>
      <c r="H532" t="s">
        <v>55</v>
      </c>
      <c r="I532">
        <v>92400</v>
      </c>
      <c r="J532">
        <v>30800</v>
      </c>
      <c r="K532">
        <v>0.12</v>
      </c>
      <c r="L532">
        <f>IF(Wapato_Inventory[[#This Row],[parcel_acres]]-Wapato_Inventory[[#This Row],[non_valued_acres]] =0,0,LN(Wapato_Inventory[[#This Row],[parcel_acres]]-Wapato_Inventory[[#This Row],[non_valued_acres]]))</f>
        <v>-2.120263536200091</v>
      </c>
      <c r="M532">
        <v>0</v>
      </c>
      <c r="N532">
        <v>0</v>
      </c>
      <c r="O532">
        <v>0</v>
      </c>
      <c r="P532">
        <v>27904.037</v>
      </c>
      <c r="Q532">
        <v>74398</v>
      </c>
      <c r="R532" s="3">
        <f>(Wapato_Inventory[[#This Row],[ln_acres]]*Wapato_Inventory[[#This Row],[coeff]])+Wapato_Inventory[[#This Row],[const]]</f>
        <v>15234.08783612182</v>
      </c>
      <c r="S532" t="s">
        <v>66</v>
      </c>
      <c r="T532">
        <v>1</v>
      </c>
      <c r="U532" t="s">
        <v>78</v>
      </c>
      <c r="V532" t="s">
        <v>68</v>
      </c>
      <c r="W532">
        <v>0</v>
      </c>
      <c r="X532">
        <v>0</v>
      </c>
      <c r="Y532">
        <v>57</v>
      </c>
      <c r="Z532">
        <v>103</v>
      </c>
      <c r="AA532">
        <v>110</v>
      </c>
      <c r="AB532">
        <v>1000</v>
      </c>
      <c r="AC532">
        <v>672</v>
      </c>
      <c r="AD532">
        <v>672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5</v>
      </c>
      <c r="AQ532">
        <v>0</v>
      </c>
      <c r="AR532">
        <v>0</v>
      </c>
      <c r="AS532" t="s">
        <v>59</v>
      </c>
      <c r="AT532">
        <v>0</v>
      </c>
      <c r="AU532" t="s">
        <v>80</v>
      </c>
      <c r="AV532" t="s">
        <v>77</v>
      </c>
      <c r="AW532">
        <v>0</v>
      </c>
      <c r="AX532">
        <v>1</v>
      </c>
      <c r="AY532">
        <v>0</v>
      </c>
      <c r="AZ532">
        <v>0</v>
      </c>
      <c r="BA532">
        <v>100</v>
      </c>
      <c r="BB532">
        <v>100</v>
      </c>
      <c r="BC532">
        <v>100</v>
      </c>
      <c r="BD532">
        <v>100</v>
      </c>
      <c r="BE532">
        <v>1</v>
      </c>
      <c r="BF532">
        <v>15000</v>
      </c>
      <c r="BG532">
        <v>1000</v>
      </c>
      <c r="BH532" s="7">
        <f>ROUND(Wapato_Inventory[[#This Row],[detatched_value]]*Lookups!$B$22*Lookups!$H$48,-2)</f>
        <v>0</v>
      </c>
      <c r="BI532" s="7">
        <f>ROUND(((Wapato_Inventory[[#This Row],[land_extract]]*Lookups!$B$3) +(Lookups!$B$2*0.5))*Lookups!$H$48,-2)</f>
        <v>52500</v>
      </c>
      <c r="BJ532" s="7">
        <f>IF(Wapato_Inventory[[#This Row],[bldg_style]]="",0,Lookups!$B$2*0.5)</f>
        <v>53765.27</v>
      </c>
      <c r="BK532" s="7">
        <f>_xlfn.IFNA(VLOOKUP(Wapato_Inventory[[#This Row],[quality]],Lookups!$H$2:$J$14,3,FALSE),0)</f>
        <v>23424</v>
      </c>
      <c r="BL532" s="7">
        <f>_xlfn.IFNA(VLOOKUP(Wapato_Inventory[[#This Row],[condition]],Lookups!$H$17:$J$24,3,FALSE),0)</f>
        <v>52231</v>
      </c>
      <c r="BM532" s="7">
        <f>Wapato_Inventory[[#This Row],[Age]]*Lookups!$B$16</f>
        <v>-38179.597099999999</v>
      </c>
      <c r="BN532" s="7">
        <f>Wapato_Inventory[[#This Row],[Main Floor]]*Lookups!$B$17</f>
        <v>28090.096608</v>
      </c>
      <c r="BO532" s="7">
        <f>Wapato_Inventory[[#This Row],[Upper Floor]]*Lookups!$B$18</f>
        <v>0</v>
      </c>
      <c r="BP532" s="7">
        <f>Wapato_Inventory[[#This Row],[Fin BSMT]]*Lookups!$B$19</f>
        <v>0</v>
      </c>
      <c r="BQ532" s="7">
        <f>(Wapato_Inventory[[#This Row],[att_gar]]+Wapato_Inventory[[#This Row],[blt_gar]])*Lookups!$B$20</f>
        <v>0</v>
      </c>
      <c r="BR532" s="7">
        <f>Wapato_Inventory[[#This Row],[Patio]]*Lookups!$B$21</f>
        <v>0</v>
      </c>
      <c r="BS532" s="7">
        <f>SUM(Wapato_Inventory[[#This Row],[intercept]:[patio_value]])*Wapato_Inventory[[#This Row],[res_pct]]</f>
        <v>119330.769508</v>
      </c>
      <c r="BT532" s="7">
        <f>Wapato_Inventory[[#This Row],[land_value]]</f>
        <v>52500</v>
      </c>
      <c r="BU532" s="2">
        <f>_xlfn.IFNA(VLOOKUP(Wapato_Inventory[[#This Row],[quality]],Lookups!$A$28:$C$37,3,FALSE),1)</f>
        <v>1.0091195562373767</v>
      </c>
      <c r="BV532" s="2">
        <f>_xlfn.IFNA(VLOOKUP(Wapato_Inventory[[#This Row],[condition]],Lookups!$A$41:$C$48,3,FALSE),1)</f>
        <v>0.9832333997567807</v>
      </c>
      <c r="BW532" s="2">
        <f>IF(Wapato_Inventory[[#This Row],[decade]]="",1,_xlfn.IFNA(VLOOKUP(Wapato_Inventory[[#This Row],[decade]],Lookups!$F$28:$H$45,3,FALSE),1))</f>
        <v>0.93664589651353292</v>
      </c>
      <c r="BX532" s="2">
        <f>_xlfn.IFNA(VLOOKUP(Wapato_Inventory[[#This Row],[living_area_range]],Lookups!$K$28:$M$37,3,FALSE),1)</f>
        <v>0.99022994770196116</v>
      </c>
      <c r="BY532" s="2">
        <f>AVERAGE(Wapato_Inventory[[#This Row],[qual_adj]:[range_adj]])</f>
        <v>0.97980720005241284</v>
      </c>
      <c r="BZ532" s="7">
        <f>(Wapato_Inventory[[#This Row],[sum_land]]-IF(Wapato_Inventory[[#This Row],[no_utilities]]=1,12000,0))/IF(Wapato_Inventory[[#This Row],[unbuildable]]=1,2,1)</f>
        <v>52500</v>
      </c>
      <c r="CA532" s="7">
        <f>Wapato_Inventory[[#This Row],[pre_res]]*Wapato_Inventory[[#This Row],[overall_adj]]</f>
        <v>116921.14715173333</v>
      </c>
      <c r="CB532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532" s="3">
        <f>IF(ROUND(Wapato_Inventory[[#This Row],[adj_res]]*Lookups!$H$48,-2)&lt;Wapato_Inventory[[#This Row],[min_res]],Wapato_Inventory[[#This Row],[min_res]],ROUND(Wapato_Inventory[[#This Row],[adj_res]]*Lookups!$H$48,-2))</f>
        <v>111100</v>
      </c>
      <c r="CD532" s="3">
        <f>ROUND(Wapato_Inventory[[#This Row],[det_value]]*Lookups!$H$48,-2)</f>
        <v>0</v>
      </c>
      <c r="CE532" s="3">
        <f>Wapato_Inventory[[#This Row],[final_res]]+Wapato_Inventory[[#This Row],[final_det]]</f>
        <v>111100</v>
      </c>
      <c r="CF532" s="3">
        <f>Wapato_Inventory[[#This Row],[crop_value]]+Wapato_Inventory[[#This Row],[final_land]]+Wapato_Inventory[[#This Row],[final_imp]]</f>
        <v>161000</v>
      </c>
      <c r="CH532" t="str">
        <f t="shared" si="8"/>
        <v>update valuation set market_land =49900, market_bldg=111100, market_total =161000, market_mdno =405, market_date ='9/10/2023' where link_id = (select link_id from parcel where parcel_year = '2024' and parcel_id = '19111512038');</v>
      </c>
    </row>
    <row r="533" spans="1:86" x14ac:dyDescent="0.25">
      <c r="A533">
        <v>19111512043</v>
      </c>
      <c r="B533">
        <v>0.15</v>
      </c>
      <c r="C533">
        <v>6504</v>
      </c>
      <c r="D533" t="s">
        <v>144</v>
      </c>
      <c r="E533" t="s">
        <v>54</v>
      </c>
      <c r="F533" t="s">
        <v>54</v>
      </c>
      <c r="G533">
        <v>3</v>
      </c>
      <c r="H533" t="s">
        <v>55</v>
      </c>
      <c r="I533">
        <v>98400</v>
      </c>
      <c r="J533">
        <v>32300</v>
      </c>
      <c r="K533">
        <v>0.15</v>
      </c>
      <c r="L533">
        <f>IF(Wapato_Inventory[[#This Row],[parcel_acres]]-Wapato_Inventory[[#This Row],[non_valued_acres]] =0,0,LN(Wapato_Inventory[[#This Row],[parcel_acres]]-Wapato_Inventory[[#This Row],[non_valued_acres]]))</f>
        <v>-1.8971199848858813</v>
      </c>
      <c r="M533">
        <v>0</v>
      </c>
      <c r="N533">
        <v>0</v>
      </c>
      <c r="O533">
        <v>0</v>
      </c>
      <c r="P533">
        <v>27904.037</v>
      </c>
      <c r="Q533">
        <v>74398</v>
      </c>
      <c r="R533" s="3">
        <f>(Wapato_Inventory[[#This Row],[ln_acres]]*Wapato_Inventory[[#This Row],[coeff]])+Wapato_Inventory[[#This Row],[const]]</f>
        <v>21460.693748304926</v>
      </c>
      <c r="S533" t="s">
        <v>66</v>
      </c>
      <c r="T533">
        <v>1</v>
      </c>
      <c r="U533" t="s">
        <v>78</v>
      </c>
      <c r="V533" t="s">
        <v>68</v>
      </c>
      <c r="W533">
        <v>0</v>
      </c>
      <c r="X533">
        <v>0</v>
      </c>
      <c r="Y533">
        <v>55</v>
      </c>
      <c r="Z533">
        <v>98</v>
      </c>
      <c r="AA533">
        <v>100</v>
      </c>
      <c r="AB533">
        <v>1000</v>
      </c>
      <c r="AC533">
        <v>528</v>
      </c>
      <c r="AD533">
        <v>528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5</v>
      </c>
      <c r="AQ533">
        <v>0</v>
      </c>
      <c r="AR533">
        <v>0</v>
      </c>
      <c r="AS533" t="s">
        <v>59</v>
      </c>
      <c r="AT533">
        <v>0</v>
      </c>
      <c r="AU533" t="s">
        <v>80</v>
      </c>
      <c r="AV533" t="s">
        <v>61</v>
      </c>
      <c r="AW533">
        <v>0</v>
      </c>
      <c r="AX533">
        <v>1</v>
      </c>
      <c r="AY533">
        <v>0</v>
      </c>
      <c r="AZ533">
        <v>0</v>
      </c>
      <c r="BA533">
        <v>100</v>
      </c>
      <c r="BB533">
        <v>100</v>
      </c>
      <c r="BC533">
        <v>100</v>
      </c>
      <c r="BD533">
        <v>100</v>
      </c>
      <c r="BE533">
        <v>1</v>
      </c>
      <c r="BF533">
        <v>15000</v>
      </c>
      <c r="BG533">
        <v>1000</v>
      </c>
      <c r="BH533" s="7">
        <f>ROUND(Wapato_Inventory[[#This Row],[detatched_value]]*Lookups!$B$22*Lookups!$H$48,-2)</f>
        <v>0</v>
      </c>
      <c r="BI533" s="7">
        <f>ROUND(((Wapato_Inventory[[#This Row],[land_extract]]*Lookups!$B$3) +(Lookups!$B$2*0.5))*Lookups!$H$48,-2)</f>
        <v>53100</v>
      </c>
      <c r="BJ533" s="7">
        <f>IF(Wapato_Inventory[[#This Row],[bldg_style]]="",0,Lookups!$B$2*0.5)</f>
        <v>53765.27</v>
      </c>
      <c r="BK533" s="7">
        <f>_xlfn.IFNA(VLOOKUP(Wapato_Inventory[[#This Row],[quality]],Lookups!$H$2:$J$14,3,FALSE),0)</f>
        <v>23424</v>
      </c>
      <c r="BL533" s="7">
        <f>_xlfn.IFNA(VLOOKUP(Wapato_Inventory[[#This Row],[condition]],Lookups!$H$17:$J$24,3,FALSE),0)</f>
        <v>52231</v>
      </c>
      <c r="BM533" s="7">
        <f>Wapato_Inventory[[#This Row],[Age]]*Lookups!$B$16</f>
        <v>-36326.2186</v>
      </c>
      <c r="BN533" s="7">
        <f>Wapato_Inventory[[#This Row],[Main Floor]]*Lookups!$B$17</f>
        <v>22070.790192</v>
      </c>
      <c r="BO533" s="7">
        <f>Wapato_Inventory[[#This Row],[Upper Floor]]*Lookups!$B$18</f>
        <v>0</v>
      </c>
      <c r="BP533" s="7">
        <f>Wapato_Inventory[[#This Row],[Fin BSMT]]*Lookups!$B$19</f>
        <v>0</v>
      </c>
      <c r="BQ533" s="7">
        <f>(Wapato_Inventory[[#This Row],[att_gar]]+Wapato_Inventory[[#This Row],[blt_gar]])*Lookups!$B$20</f>
        <v>0</v>
      </c>
      <c r="BR533" s="7">
        <f>Wapato_Inventory[[#This Row],[Patio]]*Lookups!$B$21</f>
        <v>0</v>
      </c>
      <c r="BS533" s="7">
        <f>SUM(Wapato_Inventory[[#This Row],[intercept]:[patio_value]])*Wapato_Inventory[[#This Row],[res_pct]]</f>
        <v>115164.841592</v>
      </c>
      <c r="BT533" s="7">
        <f>Wapato_Inventory[[#This Row],[land_value]]</f>
        <v>53100</v>
      </c>
      <c r="BU533" s="2">
        <f>_xlfn.IFNA(VLOOKUP(Wapato_Inventory[[#This Row],[quality]],Lookups!$A$28:$C$37,3,FALSE),1)</f>
        <v>1.0091195562373767</v>
      </c>
      <c r="BV533" s="2">
        <f>_xlfn.IFNA(VLOOKUP(Wapato_Inventory[[#This Row],[condition]],Lookups!$A$41:$C$48,3,FALSE),1)</f>
        <v>0.9832333997567807</v>
      </c>
      <c r="BW533" s="2">
        <f>IF(Wapato_Inventory[[#This Row],[decade]]="",1,_xlfn.IFNA(VLOOKUP(Wapato_Inventory[[#This Row],[decade]],Lookups!$F$28:$H$45,3,FALSE),1))</f>
        <v>1.0114203040664467</v>
      </c>
      <c r="BX533" s="2">
        <f>_xlfn.IFNA(VLOOKUP(Wapato_Inventory[[#This Row],[living_area_range]],Lookups!$K$28:$M$37,3,FALSE),1)</f>
        <v>0.99022994770196116</v>
      </c>
      <c r="BY533" s="2">
        <f>AVERAGE(Wapato_Inventory[[#This Row],[qual_adj]:[range_adj]])</f>
        <v>0.99850080194064128</v>
      </c>
      <c r="BZ533" s="7">
        <f>(Wapato_Inventory[[#This Row],[sum_land]]-IF(Wapato_Inventory[[#This Row],[no_utilities]]=1,12000,0))/IF(Wapato_Inventory[[#This Row],[unbuildable]]=1,2,1)</f>
        <v>53100</v>
      </c>
      <c r="CA533" s="7">
        <f>Wapato_Inventory[[#This Row],[pre_res]]*Wapato_Inventory[[#This Row],[overall_adj]]</f>
        <v>114992.18668497892</v>
      </c>
      <c r="CB53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33" s="3">
        <f>IF(ROUND(Wapato_Inventory[[#This Row],[adj_res]]*Lookups!$H$48,-2)&lt;Wapato_Inventory[[#This Row],[min_res]],Wapato_Inventory[[#This Row],[min_res]],ROUND(Wapato_Inventory[[#This Row],[adj_res]]*Lookups!$H$48,-2))</f>
        <v>109200</v>
      </c>
      <c r="CD533" s="3">
        <f>ROUND(Wapato_Inventory[[#This Row],[det_value]]*Lookups!$H$48,-2)</f>
        <v>0</v>
      </c>
      <c r="CE533" s="3">
        <f>Wapato_Inventory[[#This Row],[final_res]]+Wapato_Inventory[[#This Row],[final_det]]</f>
        <v>109200</v>
      </c>
      <c r="CF533" s="3">
        <f>Wapato_Inventory[[#This Row],[crop_value]]+Wapato_Inventory[[#This Row],[final_land]]+Wapato_Inventory[[#This Row],[final_imp]]</f>
        <v>159600</v>
      </c>
      <c r="CH533" t="str">
        <f t="shared" si="8"/>
        <v>update valuation set market_land =50400, market_bldg=109200, market_total =159600, market_mdno =405, market_date ='9/10/2023' where link_id = (select link_id from parcel where parcel_year = '2024' and parcel_id = '19111512043');</v>
      </c>
    </row>
    <row r="534" spans="1:86" x14ac:dyDescent="0.25">
      <c r="A534">
        <v>19111512044</v>
      </c>
      <c r="B534">
        <v>0.09</v>
      </c>
      <c r="C534">
        <v>3962</v>
      </c>
      <c r="D534" t="s">
        <v>144</v>
      </c>
      <c r="E534" t="s">
        <v>54</v>
      </c>
      <c r="F534" t="s">
        <v>54</v>
      </c>
      <c r="G534">
        <v>3</v>
      </c>
      <c r="H534" t="s">
        <v>55</v>
      </c>
      <c r="I534">
        <v>96200</v>
      </c>
      <c r="J534">
        <v>28700</v>
      </c>
      <c r="K534">
        <v>0.09</v>
      </c>
      <c r="L534">
        <f>IF(Wapato_Inventory[[#This Row],[parcel_acres]]-Wapato_Inventory[[#This Row],[non_valued_acres]] =0,0,LN(Wapato_Inventory[[#This Row],[parcel_acres]]-Wapato_Inventory[[#This Row],[non_valued_acres]]))</f>
        <v>-2.4079456086518722</v>
      </c>
      <c r="M534">
        <v>0</v>
      </c>
      <c r="N534">
        <v>0</v>
      </c>
      <c r="O534">
        <v>0</v>
      </c>
      <c r="P534">
        <v>27904.037</v>
      </c>
      <c r="Q534">
        <v>74398</v>
      </c>
      <c r="R534" s="3">
        <f>(Wapato_Inventory[[#This Row],[ln_acres]]*Wapato_Inventory[[#This Row],[coeff]])+Wapato_Inventory[[#This Row],[const]]</f>
        <v>7206.5966421906342</v>
      </c>
      <c r="S534" t="s">
        <v>66</v>
      </c>
      <c r="T534">
        <v>1</v>
      </c>
      <c r="U534" t="s">
        <v>71</v>
      </c>
      <c r="V534" t="s">
        <v>73</v>
      </c>
      <c r="W534">
        <v>0</v>
      </c>
      <c r="X534">
        <v>0</v>
      </c>
      <c r="Y534">
        <v>53</v>
      </c>
      <c r="Z534">
        <v>93</v>
      </c>
      <c r="AA534">
        <v>100</v>
      </c>
      <c r="AB534">
        <v>1000</v>
      </c>
      <c r="AC534">
        <v>720</v>
      </c>
      <c r="AD534">
        <v>720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325</v>
      </c>
      <c r="AL534">
        <v>0</v>
      </c>
      <c r="AM534">
        <v>0</v>
      </c>
      <c r="AN534">
        <v>50</v>
      </c>
      <c r="AO534">
        <v>0</v>
      </c>
      <c r="AP534">
        <v>5</v>
      </c>
      <c r="AQ534">
        <v>0</v>
      </c>
      <c r="AR534">
        <v>0</v>
      </c>
      <c r="AS534" t="s">
        <v>59</v>
      </c>
      <c r="AT534">
        <v>1</v>
      </c>
      <c r="AU534" t="s">
        <v>64</v>
      </c>
      <c r="AV534" t="s">
        <v>65</v>
      </c>
      <c r="AW534">
        <v>0</v>
      </c>
      <c r="AX534">
        <v>2</v>
      </c>
      <c r="AY534">
        <v>0</v>
      </c>
      <c r="AZ534">
        <v>19000</v>
      </c>
      <c r="BA534">
        <v>100</v>
      </c>
      <c r="BB534">
        <v>100</v>
      </c>
      <c r="BC534">
        <v>100</v>
      </c>
      <c r="BD534">
        <v>100</v>
      </c>
      <c r="BE534">
        <v>1</v>
      </c>
      <c r="BF534">
        <v>15000</v>
      </c>
      <c r="BG534">
        <v>1000</v>
      </c>
      <c r="BH534" s="7">
        <f>ROUND(Wapato_Inventory[[#This Row],[detatched_value]]*Lookups!$B$22*Lookups!$H$48,-2)</f>
        <v>17000</v>
      </c>
      <c r="BI534" s="7">
        <f>ROUND(((Wapato_Inventory[[#This Row],[land_extract]]*Lookups!$B$3) +(Lookups!$B$2*0.5))*Lookups!$H$48,-2)</f>
        <v>51800</v>
      </c>
      <c r="BJ534" s="7">
        <f>IF(Wapato_Inventory[[#This Row],[bldg_style]]="",0,Lookups!$B$2*0.5)</f>
        <v>53765.27</v>
      </c>
      <c r="BK534" s="7">
        <f>_xlfn.IFNA(VLOOKUP(Wapato_Inventory[[#This Row],[quality]],Lookups!$H$2:$J$14,3,FALSE),0)</f>
        <v>28034</v>
      </c>
      <c r="BL534" s="7">
        <f>_xlfn.IFNA(VLOOKUP(Wapato_Inventory[[#This Row],[condition]],Lookups!$H$17:$J$24,3,FALSE),0)</f>
        <v>16276</v>
      </c>
      <c r="BM534" s="7">
        <f>Wapato_Inventory[[#This Row],[Age]]*Lookups!$B$16</f>
        <v>-34472.840100000001</v>
      </c>
      <c r="BN534" s="7">
        <f>Wapato_Inventory[[#This Row],[Main Floor]]*Lookups!$B$17</f>
        <v>30096.532080000001</v>
      </c>
      <c r="BO534" s="7">
        <f>Wapato_Inventory[[#This Row],[Upper Floor]]*Lookups!$B$18</f>
        <v>0</v>
      </c>
      <c r="BP534" s="7">
        <f>Wapato_Inventory[[#This Row],[Fin BSMT]]*Lookups!$B$19</f>
        <v>0</v>
      </c>
      <c r="BQ534" s="7">
        <f>(Wapato_Inventory[[#This Row],[att_gar]]+Wapato_Inventory[[#This Row],[blt_gar]])*Lookups!$B$20</f>
        <v>0</v>
      </c>
      <c r="BR534" s="7">
        <f>Wapato_Inventory[[#This Row],[Patio]]*Lookups!$B$21</f>
        <v>0</v>
      </c>
      <c r="BS534" s="7">
        <f>SUM(Wapato_Inventory[[#This Row],[intercept]:[patio_value]])*Wapato_Inventory[[#This Row],[res_pct]]</f>
        <v>93698.961979999993</v>
      </c>
      <c r="BT534" s="7">
        <f>Wapato_Inventory[[#This Row],[land_value]]</f>
        <v>51800</v>
      </c>
      <c r="BU534" s="2">
        <f>_xlfn.IFNA(VLOOKUP(Wapato_Inventory[[#This Row],[quality]],Lookups!$A$28:$C$37,3,FALSE),1)</f>
        <v>0.96265813922927435</v>
      </c>
      <c r="BV534" s="2">
        <f>_xlfn.IFNA(VLOOKUP(Wapato_Inventory[[#This Row],[condition]],Lookups!$A$41:$C$48,3,FALSE),1)</f>
        <v>0.93399385491337139</v>
      </c>
      <c r="BW534" s="2">
        <f>IF(Wapato_Inventory[[#This Row],[decade]]="",1,_xlfn.IFNA(VLOOKUP(Wapato_Inventory[[#This Row],[decade]],Lookups!$F$28:$H$45,3,FALSE),1))</f>
        <v>1.0114203040664467</v>
      </c>
      <c r="BX534" s="2">
        <f>_xlfn.IFNA(VLOOKUP(Wapato_Inventory[[#This Row],[living_area_range]],Lookups!$K$28:$M$37,3,FALSE),1)</f>
        <v>0.99022994770196116</v>
      </c>
      <c r="BY534" s="2">
        <f>AVERAGE(Wapato_Inventory[[#This Row],[qual_adj]:[range_adj]])</f>
        <v>0.97457556147776347</v>
      </c>
      <c r="BZ534" s="7">
        <f>(Wapato_Inventory[[#This Row],[sum_land]]-IF(Wapato_Inventory[[#This Row],[no_utilities]]=1,12000,0))/IF(Wapato_Inventory[[#This Row],[unbuildable]]=1,2,1)</f>
        <v>51800</v>
      </c>
      <c r="CA534" s="7">
        <f>Wapato_Inventory[[#This Row],[pre_res]]*Wapato_Inventory[[#This Row],[overall_adj]]</f>
        <v>91316.718481542106</v>
      </c>
      <c r="CB534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534" s="3">
        <f>IF(ROUND(Wapato_Inventory[[#This Row],[adj_res]]*Lookups!$H$48,-2)&lt;Wapato_Inventory[[#This Row],[min_res]],Wapato_Inventory[[#This Row],[min_res]],ROUND(Wapato_Inventory[[#This Row],[adj_res]]*Lookups!$H$48,-2))</f>
        <v>86800</v>
      </c>
      <c r="CD534" s="3">
        <f>ROUND(Wapato_Inventory[[#This Row],[det_value]]*Lookups!$H$48,-2)</f>
        <v>16200</v>
      </c>
      <c r="CE534" s="3">
        <f>Wapato_Inventory[[#This Row],[final_res]]+Wapato_Inventory[[#This Row],[final_det]]</f>
        <v>103000</v>
      </c>
      <c r="CF534" s="3">
        <f>Wapato_Inventory[[#This Row],[crop_value]]+Wapato_Inventory[[#This Row],[final_land]]+Wapato_Inventory[[#This Row],[final_imp]]</f>
        <v>152200</v>
      </c>
      <c r="CH534" t="str">
        <f t="shared" si="8"/>
        <v>update valuation set market_land =49200, market_bldg=103000, market_total =152200, market_mdno =405, market_date ='9/10/2023' where link_id = (select link_id from parcel where parcel_year = '2024' and parcel_id = '19111512044');</v>
      </c>
    </row>
    <row r="535" spans="1:86" x14ac:dyDescent="0.25">
      <c r="A535">
        <v>19111512045</v>
      </c>
      <c r="B535">
        <v>0.23</v>
      </c>
      <c r="C535">
        <v>9972</v>
      </c>
      <c r="D535" t="s">
        <v>144</v>
      </c>
      <c r="E535" t="s">
        <v>54</v>
      </c>
      <c r="F535" t="s">
        <v>54</v>
      </c>
      <c r="G535">
        <v>3</v>
      </c>
      <c r="H535" t="s">
        <v>55</v>
      </c>
      <c r="I535">
        <v>183100</v>
      </c>
      <c r="J535">
        <v>35500</v>
      </c>
      <c r="K535">
        <v>0.23</v>
      </c>
      <c r="L535">
        <f>IF(Wapato_Inventory[[#This Row],[parcel_acres]]-Wapato_Inventory[[#This Row],[non_valued_acres]] =0,0,LN(Wapato_Inventory[[#This Row],[parcel_acres]]-Wapato_Inventory[[#This Row],[non_valued_acres]]))</f>
        <v>-1.4696759700589417</v>
      </c>
      <c r="M535">
        <v>0</v>
      </c>
      <c r="N535">
        <v>0</v>
      </c>
      <c r="O535">
        <v>0</v>
      </c>
      <c r="P535">
        <v>27904.037</v>
      </c>
      <c r="Q535">
        <v>74398</v>
      </c>
      <c r="R535" s="3">
        <f>(Wapato_Inventory[[#This Row],[ln_acres]]*Wapato_Inventory[[#This Row],[coeff]])+Wapato_Inventory[[#This Row],[const]]</f>
        <v>33388.107353464402</v>
      </c>
      <c r="S535" t="s">
        <v>66</v>
      </c>
      <c r="T535">
        <v>1</v>
      </c>
      <c r="U535" t="s">
        <v>71</v>
      </c>
      <c r="V535" t="s">
        <v>68</v>
      </c>
      <c r="W535">
        <v>0</v>
      </c>
      <c r="X535">
        <v>0</v>
      </c>
      <c r="Y535">
        <v>53</v>
      </c>
      <c r="Z535">
        <v>93</v>
      </c>
      <c r="AA535">
        <v>100</v>
      </c>
      <c r="AB535">
        <v>1500</v>
      </c>
      <c r="AC535">
        <v>1032</v>
      </c>
      <c r="AD535">
        <v>1032</v>
      </c>
      <c r="AE535">
        <v>0</v>
      </c>
      <c r="AF535">
        <v>0</v>
      </c>
      <c r="AG535">
        <v>0</v>
      </c>
      <c r="AH535">
        <v>240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5</v>
      </c>
      <c r="AQ535">
        <v>0</v>
      </c>
      <c r="AR535">
        <v>0</v>
      </c>
      <c r="AS535" t="s">
        <v>59</v>
      </c>
      <c r="AT535">
        <v>1</v>
      </c>
      <c r="AU535" t="s">
        <v>72</v>
      </c>
      <c r="AV535" t="s">
        <v>77</v>
      </c>
      <c r="AW535">
        <v>0</v>
      </c>
      <c r="AX535">
        <v>2</v>
      </c>
      <c r="AY535">
        <v>0</v>
      </c>
      <c r="AZ535">
        <v>41400</v>
      </c>
      <c r="BA535">
        <v>100</v>
      </c>
      <c r="BB535">
        <v>100</v>
      </c>
      <c r="BC535">
        <v>100</v>
      </c>
      <c r="BD535">
        <v>100</v>
      </c>
      <c r="BE535">
        <v>1</v>
      </c>
      <c r="BF535">
        <v>15000</v>
      </c>
      <c r="BG535">
        <v>1000</v>
      </c>
      <c r="BH535" s="7">
        <f>ROUND(Wapato_Inventory[[#This Row],[detatched_value]]*Lookups!$B$22*Lookups!$H$48,-2)</f>
        <v>37000</v>
      </c>
      <c r="BI535" s="7">
        <f>ROUND(((Wapato_Inventory[[#This Row],[land_extract]]*Lookups!$B$3) +(Lookups!$B$2*0.5))*Lookups!$H$48,-2)</f>
        <v>54300</v>
      </c>
      <c r="BJ535" s="7">
        <f>IF(Wapato_Inventory[[#This Row],[bldg_style]]="",0,Lookups!$B$2*0.5)</f>
        <v>53765.27</v>
      </c>
      <c r="BK535" s="7">
        <f>_xlfn.IFNA(VLOOKUP(Wapato_Inventory[[#This Row],[quality]],Lookups!$H$2:$J$14,3,FALSE),0)</f>
        <v>28034</v>
      </c>
      <c r="BL535" s="7">
        <f>_xlfn.IFNA(VLOOKUP(Wapato_Inventory[[#This Row],[condition]],Lookups!$H$17:$J$24,3,FALSE),0)</f>
        <v>52231</v>
      </c>
      <c r="BM535" s="7">
        <f>Wapato_Inventory[[#This Row],[Age]]*Lookups!$B$16</f>
        <v>-34472.840100000001</v>
      </c>
      <c r="BN535" s="7">
        <f>Wapato_Inventory[[#This Row],[Main Floor]]*Lookups!$B$17</f>
        <v>43138.362648000002</v>
      </c>
      <c r="BO535" s="7">
        <f>Wapato_Inventory[[#This Row],[Upper Floor]]*Lookups!$B$18</f>
        <v>0</v>
      </c>
      <c r="BP535" s="7">
        <f>Wapato_Inventory[[#This Row],[Fin BSMT]]*Lookups!$B$19</f>
        <v>0</v>
      </c>
      <c r="BQ535" s="7">
        <f>(Wapato_Inventory[[#This Row],[att_gar]]+Wapato_Inventory[[#This Row],[blt_gar]])*Lookups!$B$20</f>
        <v>0</v>
      </c>
      <c r="BR535" s="7">
        <f>Wapato_Inventory[[#This Row],[Patio]]*Lookups!$B$21</f>
        <v>0</v>
      </c>
      <c r="BS535" s="7">
        <f>SUM(Wapato_Inventory[[#This Row],[intercept]:[patio_value]])*Wapato_Inventory[[#This Row],[res_pct]]</f>
        <v>142695.792548</v>
      </c>
      <c r="BT535" s="7">
        <f>Wapato_Inventory[[#This Row],[land_value]]</f>
        <v>54300</v>
      </c>
      <c r="BU535" s="2">
        <f>_xlfn.IFNA(VLOOKUP(Wapato_Inventory[[#This Row],[quality]],Lookups!$A$28:$C$37,3,FALSE),1)</f>
        <v>0.96265813922927435</v>
      </c>
      <c r="BV535" s="2">
        <f>_xlfn.IFNA(VLOOKUP(Wapato_Inventory[[#This Row],[condition]],Lookups!$A$41:$C$48,3,FALSE),1)</f>
        <v>0.9832333997567807</v>
      </c>
      <c r="BW535" s="2">
        <f>IF(Wapato_Inventory[[#This Row],[decade]]="",1,_xlfn.IFNA(VLOOKUP(Wapato_Inventory[[#This Row],[decade]],Lookups!$F$28:$H$45,3,FALSE),1))</f>
        <v>1.0114203040664467</v>
      </c>
      <c r="BX535" s="2">
        <f>_xlfn.IFNA(VLOOKUP(Wapato_Inventory[[#This Row],[living_area_range]],Lookups!$K$28:$M$37,3,FALSE),1)</f>
        <v>1.0061411172456287</v>
      </c>
      <c r="BY535" s="2">
        <f>AVERAGE(Wapato_Inventory[[#This Row],[qual_adj]:[range_adj]])</f>
        <v>0.99086324007453253</v>
      </c>
      <c r="BZ535" s="7">
        <f>(Wapato_Inventory[[#This Row],[sum_land]]-IF(Wapato_Inventory[[#This Row],[no_utilities]]=1,12000,0))/IF(Wapato_Inventory[[#This Row],[unbuildable]]=1,2,1)</f>
        <v>54300</v>
      </c>
      <c r="CA535" s="7">
        <f>Wapato_Inventory[[#This Row],[pre_res]]*Wapato_Inventory[[#This Row],[overall_adj]]</f>
        <v>141392.0153491146</v>
      </c>
      <c r="CB535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535" s="3">
        <f>IF(ROUND(Wapato_Inventory[[#This Row],[adj_res]]*Lookups!$H$48,-2)&lt;Wapato_Inventory[[#This Row],[min_res]],Wapato_Inventory[[#This Row],[min_res]],ROUND(Wapato_Inventory[[#This Row],[adj_res]]*Lookups!$H$48,-2))</f>
        <v>134300</v>
      </c>
      <c r="CD535" s="3">
        <f>ROUND(Wapato_Inventory[[#This Row],[det_value]]*Lookups!$H$48,-2)</f>
        <v>35200</v>
      </c>
      <c r="CE535" s="3">
        <f>Wapato_Inventory[[#This Row],[final_res]]+Wapato_Inventory[[#This Row],[final_det]]</f>
        <v>169500</v>
      </c>
      <c r="CF535" s="3">
        <f>Wapato_Inventory[[#This Row],[crop_value]]+Wapato_Inventory[[#This Row],[final_land]]+Wapato_Inventory[[#This Row],[final_imp]]</f>
        <v>221100</v>
      </c>
      <c r="CH535" t="str">
        <f t="shared" si="8"/>
        <v>update valuation set market_land =51600, market_bldg=169500, market_total =221100, market_mdno =405, market_date ='9/10/2023' where link_id = (select link_id from parcel where parcel_year = '2024' and parcel_id = '19111512045');</v>
      </c>
    </row>
    <row r="536" spans="1:86" x14ac:dyDescent="0.25">
      <c r="A536">
        <v>19111512046</v>
      </c>
      <c r="B536">
        <v>0.11</v>
      </c>
      <c r="C536">
        <v>4948</v>
      </c>
      <c r="D536" t="s">
        <v>144</v>
      </c>
      <c r="E536" t="s">
        <v>54</v>
      </c>
      <c r="F536" t="s">
        <v>54</v>
      </c>
      <c r="G536">
        <v>3</v>
      </c>
      <c r="H536" t="s">
        <v>55</v>
      </c>
      <c r="I536">
        <v>95100</v>
      </c>
      <c r="J536">
        <v>30200</v>
      </c>
      <c r="K536">
        <v>0.11</v>
      </c>
      <c r="L536">
        <f>IF(Wapato_Inventory[[#This Row],[parcel_acres]]-Wapato_Inventory[[#This Row],[non_valued_acres]] =0,0,LN(Wapato_Inventory[[#This Row],[parcel_acres]]-Wapato_Inventory[[#This Row],[non_valued_acres]]))</f>
        <v>-2.2072749131897207</v>
      </c>
      <c r="M536">
        <v>0</v>
      </c>
      <c r="N536">
        <v>0</v>
      </c>
      <c r="O536">
        <v>0</v>
      </c>
      <c r="P536">
        <v>27904.037</v>
      </c>
      <c r="Q536">
        <v>74398</v>
      </c>
      <c r="R536" s="3">
        <f>(Wapato_Inventory[[#This Row],[ln_acres]]*Wapato_Inventory[[#This Row],[coeff]])+Wapato_Inventory[[#This Row],[const]]</f>
        <v>12806.119153182248</v>
      </c>
      <c r="S536" t="s">
        <v>66</v>
      </c>
      <c r="T536">
        <v>1</v>
      </c>
      <c r="U536" t="s">
        <v>78</v>
      </c>
      <c r="V536" t="s">
        <v>68</v>
      </c>
      <c r="W536">
        <v>0</v>
      </c>
      <c r="X536">
        <v>0</v>
      </c>
      <c r="Y536">
        <v>51</v>
      </c>
      <c r="Z536">
        <v>77</v>
      </c>
      <c r="AA536">
        <v>80</v>
      </c>
      <c r="AB536">
        <v>1000</v>
      </c>
      <c r="AC536">
        <v>576</v>
      </c>
      <c r="AD536">
        <v>576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30</v>
      </c>
      <c r="AO536">
        <v>0</v>
      </c>
      <c r="AP536">
        <v>5</v>
      </c>
      <c r="AQ536">
        <v>0</v>
      </c>
      <c r="AR536">
        <v>0</v>
      </c>
      <c r="AS536" t="s">
        <v>59</v>
      </c>
      <c r="AT536">
        <v>1</v>
      </c>
      <c r="AU536" t="s">
        <v>76</v>
      </c>
      <c r="AV536" t="s">
        <v>61</v>
      </c>
      <c r="AW536">
        <v>0</v>
      </c>
      <c r="AX536">
        <v>1</v>
      </c>
      <c r="AY536">
        <v>0</v>
      </c>
      <c r="AZ536">
        <v>0</v>
      </c>
      <c r="BA536">
        <v>100</v>
      </c>
      <c r="BB536">
        <v>100</v>
      </c>
      <c r="BC536">
        <v>100</v>
      </c>
      <c r="BD536">
        <v>100</v>
      </c>
      <c r="BE536">
        <v>1</v>
      </c>
      <c r="BF536">
        <v>15000</v>
      </c>
      <c r="BG536">
        <v>1000</v>
      </c>
      <c r="BH536" s="7">
        <f>ROUND(Wapato_Inventory[[#This Row],[detatched_value]]*Lookups!$B$22*Lookups!$H$48,-2)</f>
        <v>0</v>
      </c>
      <c r="BI536" s="7">
        <f>ROUND(((Wapato_Inventory[[#This Row],[land_extract]]*Lookups!$B$3) +(Lookups!$B$2*0.5))*Lookups!$H$48,-2)</f>
        <v>52300</v>
      </c>
      <c r="BJ536" s="7">
        <f>IF(Wapato_Inventory[[#This Row],[bldg_style]]="",0,Lookups!$B$2*0.5)</f>
        <v>53765.27</v>
      </c>
      <c r="BK536" s="7">
        <f>_xlfn.IFNA(VLOOKUP(Wapato_Inventory[[#This Row],[quality]],Lookups!$H$2:$J$14,3,FALSE),0)</f>
        <v>23424</v>
      </c>
      <c r="BL536" s="7">
        <f>_xlfn.IFNA(VLOOKUP(Wapato_Inventory[[#This Row],[condition]],Lookups!$H$17:$J$24,3,FALSE),0)</f>
        <v>52231</v>
      </c>
      <c r="BM536" s="7">
        <f>Wapato_Inventory[[#This Row],[Age]]*Lookups!$B$16</f>
        <v>-28542.028900000001</v>
      </c>
      <c r="BN536" s="7">
        <f>Wapato_Inventory[[#This Row],[Main Floor]]*Lookups!$B$17</f>
        <v>24077.225664000001</v>
      </c>
      <c r="BO536" s="7">
        <f>Wapato_Inventory[[#This Row],[Upper Floor]]*Lookups!$B$18</f>
        <v>0</v>
      </c>
      <c r="BP536" s="7">
        <f>Wapato_Inventory[[#This Row],[Fin BSMT]]*Lookups!$B$19</f>
        <v>0</v>
      </c>
      <c r="BQ536" s="7">
        <f>(Wapato_Inventory[[#This Row],[att_gar]]+Wapato_Inventory[[#This Row],[blt_gar]])*Lookups!$B$20</f>
        <v>0</v>
      </c>
      <c r="BR536" s="7">
        <f>Wapato_Inventory[[#This Row],[Patio]]*Lookups!$B$21</f>
        <v>0</v>
      </c>
      <c r="BS536" s="7">
        <f>SUM(Wapato_Inventory[[#This Row],[intercept]:[patio_value]])*Wapato_Inventory[[#This Row],[res_pct]]</f>
        <v>124955.46676399998</v>
      </c>
      <c r="BT536" s="7">
        <f>Wapato_Inventory[[#This Row],[land_value]]</f>
        <v>52300</v>
      </c>
      <c r="BU536" s="2">
        <f>_xlfn.IFNA(VLOOKUP(Wapato_Inventory[[#This Row],[quality]],Lookups!$A$28:$C$37,3,FALSE),1)</f>
        <v>1.0091195562373767</v>
      </c>
      <c r="BV536" s="2">
        <f>_xlfn.IFNA(VLOOKUP(Wapato_Inventory[[#This Row],[condition]],Lookups!$A$41:$C$48,3,FALSE),1)</f>
        <v>0.9832333997567807</v>
      </c>
      <c r="BW536" s="2">
        <f>IF(Wapato_Inventory[[#This Row],[decade]]="",1,_xlfn.IFNA(VLOOKUP(Wapato_Inventory[[#This Row],[decade]],Lookups!$F$28:$H$45,3,FALSE),1))</f>
        <v>0.8438929209510081</v>
      </c>
      <c r="BX536" s="2">
        <f>_xlfn.IFNA(VLOOKUP(Wapato_Inventory[[#This Row],[living_area_range]],Lookups!$K$28:$M$37,3,FALSE),1)</f>
        <v>0.99022994770196116</v>
      </c>
      <c r="BY536" s="2">
        <f>AVERAGE(Wapato_Inventory[[#This Row],[qual_adj]:[range_adj]])</f>
        <v>0.95661895616178172</v>
      </c>
      <c r="BZ536" s="7">
        <f>(Wapato_Inventory[[#This Row],[sum_land]]-IF(Wapato_Inventory[[#This Row],[no_utilities]]=1,12000,0))/IF(Wapato_Inventory[[#This Row],[unbuildable]]=1,2,1)</f>
        <v>52300</v>
      </c>
      <c r="CA536" s="7">
        <f>Wapato_Inventory[[#This Row],[pre_res]]*Wapato_Inventory[[#This Row],[overall_adj]]</f>
        <v>119534.76818248587</v>
      </c>
      <c r="CB536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36" s="3">
        <f>IF(ROUND(Wapato_Inventory[[#This Row],[adj_res]]*Lookups!$H$48,-2)&lt;Wapato_Inventory[[#This Row],[min_res]],Wapato_Inventory[[#This Row],[min_res]],ROUND(Wapato_Inventory[[#This Row],[adj_res]]*Lookups!$H$48,-2))</f>
        <v>113600</v>
      </c>
      <c r="CD536" s="3">
        <f>ROUND(Wapato_Inventory[[#This Row],[det_value]]*Lookups!$H$48,-2)</f>
        <v>0</v>
      </c>
      <c r="CE536" s="3">
        <f>Wapato_Inventory[[#This Row],[final_res]]+Wapato_Inventory[[#This Row],[final_det]]</f>
        <v>113600</v>
      </c>
      <c r="CF536" s="3">
        <f>Wapato_Inventory[[#This Row],[crop_value]]+Wapato_Inventory[[#This Row],[final_land]]+Wapato_Inventory[[#This Row],[final_imp]]</f>
        <v>163300</v>
      </c>
      <c r="CH536" t="str">
        <f t="shared" si="8"/>
        <v>update valuation set market_land =49700, market_bldg=113600, market_total =163300, market_mdno =405, market_date ='9/10/2023' where link_id = (select link_id from parcel where parcel_year = '2024' and parcel_id = '19111512046');</v>
      </c>
    </row>
    <row r="537" spans="1:86" x14ac:dyDescent="0.25">
      <c r="A537">
        <v>19111512048</v>
      </c>
      <c r="B537">
        <v>0.11</v>
      </c>
      <c r="C537">
        <v>4949</v>
      </c>
      <c r="D537" t="s">
        <v>144</v>
      </c>
      <c r="E537" t="s">
        <v>54</v>
      </c>
      <c r="F537" t="s">
        <v>54</v>
      </c>
      <c r="G537">
        <v>3</v>
      </c>
      <c r="H537" t="s">
        <v>55</v>
      </c>
      <c r="I537">
        <v>83600</v>
      </c>
      <c r="J537">
        <v>30200</v>
      </c>
      <c r="K537">
        <v>0.11</v>
      </c>
      <c r="L537">
        <f>IF(Wapato_Inventory[[#This Row],[parcel_acres]]-Wapato_Inventory[[#This Row],[non_valued_acres]] =0,0,LN(Wapato_Inventory[[#This Row],[parcel_acres]]-Wapato_Inventory[[#This Row],[non_valued_acres]]))</f>
        <v>-2.2072749131897207</v>
      </c>
      <c r="M537">
        <v>0</v>
      </c>
      <c r="N537">
        <v>0</v>
      </c>
      <c r="O537">
        <v>0</v>
      </c>
      <c r="P537">
        <v>27904.037</v>
      </c>
      <c r="Q537">
        <v>74398</v>
      </c>
      <c r="R537" s="3">
        <f>(Wapato_Inventory[[#This Row],[ln_acres]]*Wapato_Inventory[[#This Row],[coeff]])+Wapato_Inventory[[#This Row],[const]]</f>
        <v>12806.119153182248</v>
      </c>
      <c r="S537" t="s">
        <v>66</v>
      </c>
      <c r="T537">
        <v>1</v>
      </c>
      <c r="U537" t="s">
        <v>71</v>
      </c>
      <c r="V537" t="s">
        <v>68</v>
      </c>
      <c r="W537">
        <v>0</v>
      </c>
      <c r="X537">
        <v>0</v>
      </c>
      <c r="Y537">
        <v>52</v>
      </c>
      <c r="Z537">
        <v>88</v>
      </c>
      <c r="AA537">
        <v>90</v>
      </c>
      <c r="AB537">
        <v>500</v>
      </c>
      <c r="AC537">
        <v>476</v>
      </c>
      <c r="AD537">
        <v>476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35</v>
      </c>
      <c r="AO537">
        <v>0</v>
      </c>
      <c r="AP537">
        <v>5</v>
      </c>
      <c r="AQ537">
        <v>0</v>
      </c>
      <c r="AR537">
        <v>0</v>
      </c>
      <c r="AS537" t="s">
        <v>59</v>
      </c>
      <c r="AT537">
        <v>1</v>
      </c>
      <c r="AU537" t="s">
        <v>64</v>
      </c>
      <c r="AV537" t="s">
        <v>65</v>
      </c>
      <c r="AW537">
        <v>0</v>
      </c>
      <c r="AX537">
        <v>2</v>
      </c>
      <c r="AY537">
        <v>0</v>
      </c>
      <c r="AZ537">
        <v>5300</v>
      </c>
      <c r="BA537">
        <v>100</v>
      </c>
      <c r="BB537">
        <v>100</v>
      </c>
      <c r="BC537">
        <v>100</v>
      </c>
      <c r="BD537">
        <v>100</v>
      </c>
      <c r="BE537">
        <v>1</v>
      </c>
      <c r="BF537">
        <v>15000</v>
      </c>
      <c r="BG537">
        <v>1000</v>
      </c>
      <c r="BH537" s="7">
        <f>ROUND(Wapato_Inventory[[#This Row],[detatched_value]]*Lookups!$B$22*Lookups!$H$48,-2)</f>
        <v>4700</v>
      </c>
      <c r="BI537" s="7">
        <f>ROUND(((Wapato_Inventory[[#This Row],[land_extract]]*Lookups!$B$3) +(Lookups!$B$2*0.5))*Lookups!$H$48,-2)</f>
        <v>52300</v>
      </c>
      <c r="BJ537" s="7">
        <f>IF(Wapato_Inventory[[#This Row],[bldg_style]]="",0,Lookups!$B$2*0.5)</f>
        <v>53765.27</v>
      </c>
      <c r="BK537" s="7">
        <f>_xlfn.IFNA(VLOOKUP(Wapato_Inventory[[#This Row],[quality]],Lookups!$H$2:$J$14,3,FALSE),0)</f>
        <v>28034</v>
      </c>
      <c r="BL537" s="7">
        <f>_xlfn.IFNA(VLOOKUP(Wapato_Inventory[[#This Row],[condition]],Lookups!$H$17:$J$24,3,FALSE),0)</f>
        <v>52231</v>
      </c>
      <c r="BM537" s="7">
        <f>Wapato_Inventory[[#This Row],[Age]]*Lookups!$B$16</f>
        <v>-32619.461600000002</v>
      </c>
      <c r="BN537" s="7">
        <f>Wapato_Inventory[[#This Row],[Main Floor]]*Lookups!$B$17</f>
        <v>19897.151763999998</v>
      </c>
      <c r="BO537" s="7">
        <f>Wapato_Inventory[[#This Row],[Upper Floor]]*Lookups!$B$18</f>
        <v>0</v>
      </c>
      <c r="BP537" s="7">
        <f>Wapato_Inventory[[#This Row],[Fin BSMT]]*Lookups!$B$19</f>
        <v>0</v>
      </c>
      <c r="BQ537" s="7">
        <f>(Wapato_Inventory[[#This Row],[att_gar]]+Wapato_Inventory[[#This Row],[blt_gar]])*Lookups!$B$20</f>
        <v>0</v>
      </c>
      <c r="BR537" s="7">
        <f>Wapato_Inventory[[#This Row],[Patio]]*Lookups!$B$21</f>
        <v>0</v>
      </c>
      <c r="BS537" s="7">
        <f>SUM(Wapato_Inventory[[#This Row],[intercept]:[patio_value]])*Wapato_Inventory[[#This Row],[res_pct]]</f>
        <v>121307.96016399997</v>
      </c>
      <c r="BT537" s="7">
        <f>Wapato_Inventory[[#This Row],[land_value]]</f>
        <v>52300</v>
      </c>
      <c r="BU537" s="2">
        <f>_xlfn.IFNA(VLOOKUP(Wapato_Inventory[[#This Row],[quality]],Lookups!$A$28:$C$37,3,FALSE),1)</f>
        <v>0.96265813922927435</v>
      </c>
      <c r="BV537" s="2">
        <f>_xlfn.IFNA(VLOOKUP(Wapato_Inventory[[#This Row],[condition]],Lookups!$A$41:$C$48,3,FALSE),1)</f>
        <v>0.9832333997567807</v>
      </c>
      <c r="BW537" s="2">
        <f>IF(Wapato_Inventory[[#This Row],[decade]]="",1,_xlfn.IFNA(VLOOKUP(Wapato_Inventory[[#This Row],[decade]],Lookups!$F$28:$H$45,3,FALSE),1))</f>
        <v>0.94742695999815718</v>
      </c>
      <c r="BX537" s="2">
        <f>_xlfn.IFNA(VLOOKUP(Wapato_Inventory[[#This Row],[living_area_range]],Lookups!$K$28:$M$37,3,FALSE),1)</f>
        <v>0.62984720518148585</v>
      </c>
      <c r="BY537" s="2">
        <f>AVERAGE(Wapato_Inventory[[#This Row],[qual_adj]:[range_adj]])</f>
        <v>0.88079142604142446</v>
      </c>
      <c r="BZ537" s="7">
        <f>(Wapato_Inventory[[#This Row],[sum_land]]-IF(Wapato_Inventory[[#This Row],[no_utilities]]=1,12000,0))/IF(Wapato_Inventory[[#This Row],[unbuildable]]=1,2,1)</f>
        <v>52300</v>
      </c>
      <c r="CA537" s="7">
        <f>Wapato_Inventory[[#This Row],[pre_res]]*Wapato_Inventory[[#This Row],[overall_adj]]</f>
        <v>106847.01122302585</v>
      </c>
      <c r="CB537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37" s="3">
        <f>IF(ROUND(Wapato_Inventory[[#This Row],[adj_res]]*Lookups!$H$48,-2)&lt;Wapato_Inventory[[#This Row],[min_res]],Wapato_Inventory[[#This Row],[min_res]],ROUND(Wapato_Inventory[[#This Row],[adj_res]]*Lookups!$H$48,-2))</f>
        <v>101500</v>
      </c>
      <c r="CD537" s="3">
        <f>ROUND(Wapato_Inventory[[#This Row],[det_value]]*Lookups!$H$48,-2)</f>
        <v>4500</v>
      </c>
      <c r="CE537" s="3">
        <f>Wapato_Inventory[[#This Row],[final_res]]+Wapato_Inventory[[#This Row],[final_det]]</f>
        <v>106000</v>
      </c>
      <c r="CF537" s="3">
        <f>Wapato_Inventory[[#This Row],[crop_value]]+Wapato_Inventory[[#This Row],[final_land]]+Wapato_Inventory[[#This Row],[final_imp]]</f>
        <v>155700</v>
      </c>
      <c r="CH537" t="str">
        <f t="shared" si="8"/>
        <v>update valuation set market_land =49700, market_bldg=106000, market_total =155700, market_mdno =405, market_date ='9/10/2023' where link_id = (select link_id from parcel where parcel_year = '2024' and parcel_id = '19111512048');</v>
      </c>
    </row>
    <row r="538" spans="1:86" x14ac:dyDescent="0.25">
      <c r="A538">
        <v>19111512050</v>
      </c>
      <c r="B538">
        <v>0.11</v>
      </c>
      <c r="C538">
        <v>4861</v>
      </c>
      <c r="D538" t="s">
        <v>144</v>
      </c>
      <c r="E538" t="s">
        <v>54</v>
      </c>
      <c r="F538" t="s">
        <v>54</v>
      </c>
      <c r="G538">
        <v>3</v>
      </c>
      <c r="H538" t="s">
        <v>55</v>
      </c>
      <c r="I538">
        <v>114700</v>
      </c>
      <c r="J538">
        <v>30200</v>
      </c>
      <c r="K538">
        <v>0.11</v>
      </c>
      <c r="L538">
        <f>IF(Wapato_Inventory[[#This Row],[parcel_acres]]-Wapato_Inventory[[#This Row],[non_valued_acres]] =0,0,LN(Wapato_Inventory[[#This Row],[parcel_acres]]-Wapato_Inventory[[#This Row],[non_valued_acres]]))</f>
        <v>-2.2072749131897207</v>
      </c>
      <c r="M538">
        <v>0</v>
      </c>
      <c r="N538">
        <v>0</v>
      </c>
      <c r="O538">
        <v>0</v>
      </c>
      <c r="P538">
        <v>27904.037</v>
      </c>
      <c r="Q538">
        <v>74398</v>
      </c>
      <c r="R538" s="3">
        <f>(Wapato_Inventory[[#This Row],[ln_acres]]*Wapato_Inventory[[#This Row],[coeff]])+Wapato_Inventory[[#This Row],[const]]</f>
        <v>12806.119153182248</v>
      </c>
      <c r="S538" t="s">
        <v>66</v>
      </c>
      <c r="T538">
        <v>1</v>
      </c>
      <c r="U538" t="s">
        <v>71</v>
      </c>
      <c r="V538" t="s">
        <v>68</v>
      </c>
      <c r="W538">
        <v>0</v>
      </c>
      <c r="X538">
        <v>0</v>
      </c>
      <c r="Y538">
        <v>51</v>
      </c>
      <c r="Z538">
        <v>83</v>
      </c>
      <c r="AA538">
        <v>90</v>
      </c>
      <c r="AB538">
        <v>1500</v>
      </c>
      <c r="AC538">
        <v>1015</v>
      </c>
      <c r="AD538">
        <v>1015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56</v>
      </c>
      <c r="AP538">
        <v>5</v>
      </c>
      <c r="AQ538">
        <v>0</v>
      </c>
      <c r="AR538">
        <v>0</v>
      </c>
      <c r="AS538" t="s">
        <v>59</v>
      </c>
      <c r="AT538">
        <v>1</v>
      </c>
      <c r="AU538" t="s">
        <v>72</v>
      </c>
      <c r="AV538" t="s">
        <v>61</v>
      </c>
      <c r="AW538">
        <v>0</v>
      </c>
      <c r="AX538">
        <v>2</v>
      </c>
      <c r="AY538">
        <v>0</v>
      </c>
      <c r="AZ538">
        <v>0</v>
      </c>
      <c r="BA538">
        <v>100</v>
      </c>
      <c r="BB538">
        <v>100</v>
      </c>
      <c r="BC538">
        <v>100</v>
      </c>
      <c r="BD538">
        <v>100</v>
      </c>
      <c r="BE538">
        <v>1</v>
      </c>
      <c r="BF538">
        <v>15000</v>
      </c>
      <c r="BG538">
        <v>1000</v>
      </c>
      <c r="BH538" s="7">
        <f>ROUND(Wapato_Inventory[[#This Row],[detatched_value]]*Lookups!$B$22*Lookups!$H$48,-2)</f>
        <v>0</v>
      </c>
      <c r="BI538" s="7">
        <f>ROUND(((Wapato_Inventory[[#This Row],[land_extract]]*Lookups!$B$3) +(Lookups!$B$2*0.5))*Lookups!$H$48,-2)</f>
        <v>52300</v>
      </c>
      <c r="BJ538" s="7">
        <f>IF(Wapato_Inventory[[#This Row],[bldg_style]]="",0,Lookups!$B$2*0.5)</f>
        <v>53765.27</v>
      </c>
      <c r="BK538" s="7">
        <f>_xlfn.IFNA(VLOOKUP(Wapato_Inventory[[#This Row],[quality]],Lookups!$H$2:$J$14,3,FALSE),0)</f>
        <v>28034</v>
      </c>
      <c r="BL538" s="7">
        <f>_xlfn.IFNA(VLOOKUP(Wapato_Inventory[[#This Row],[condition]],Lookups!$H$17:$J$24,3,FALSE),0)</f>
        <v>52231</v>
      </c>
      <c r="BM538" s="7">
        <f>Wapato_Inventory[[#This Row],[Age]]*Lookups!$B$16</f>
        <v>-30766.0831</v>
      </c>
      <c r="BN538" s="7">
        <f>Wapato_Inventory[[#This Row],[Main Floor]]*Lookups!$B$17</f>
        <v>42427.750085</v>
      </c>
      <c r="BO538" s="7">
        <f>Wapato_Inventory[[#This Row],[Upper Floor]]*Lookups!$B$18</f>
        <v>0</v>
      </c>
      <c r="BP538" s="7">
        <f>Wapato_Inventory[[#This Row],[Fin BSMT]]*Lookups!$B$19</f>
        <v>0</v>
      </c>
      <c r="BQ538" s="7">
        <f>(Wapato_Inventory[[#This Row],[att_gar]]+Wapato_Inventory[[#This Row],[blt_gar]])*Lookups!$B$20</f>
        <v>0</v>
      </c>
      <c r="BR538" s="7">
        <f>Wapato_Inventory[[#This Row],[Patio]]*Lookups!$B$21</f>
        <v>0</v>
      </c>
      <c r="BS538" s="7">
        <f>SUM(Wapato_Inventory[[#This Row],[intercept]:[patio_value]])*Wapato_Inventory[[#This Row],[res_pct]]</f>
        <v>145691.93698499998</v>
      </c>
      <c r="BT538" s="7">
        <f>Wapato_Inventory[[#This Row],[land_value]]</f>
        <v>52300</v>
      </c>
      <c r="BU538" s="2">
        <f>_xlfn.IFNA(VLOOKUP(Wapato_Inventory[[#This Row],[quality]],Lookups!$A$28:$C$37,3,FALSE),1)</f>
        <v>0.96265813922927435</v>
      </c>
      <c r="BV538" s="2">
        <f>_xlfn.IFNA(VLOOKUP(Wapato_Inventory[[#This Row],[condition]],Lookups!$A$41:$C$48,3,FALSE),1)</f>
        <v>0.9832333997567807</v>
      </c>
      <c r="BW538" s="2">
        <f>IF(Wapato_Inventory[[#This Row],[decade]]="",1,_xlfn.IFNA(VLOOKUP(Wapato_Inventory[[#This Row],[decade]],Lookups!$F$28:$H$45,3,FALSE),1))</f>
        <v>0.94742695999815718</v>
      </c>
      <c r="BX538" s="2">
        <f>_xlfn.IFNA(VLOOKUP(Wapato_Inventory[[#This Row],[living_area_range]],Lookups!$K$28:$M$37,3,FALSE),1)</f>
        <v>1.0061411172456287</v>
      </c>
      <c r="BY538" s="2">
        <f>AVERAGE(Wapato_Inventory[[#This Row],[qual_adj]:[range_adj]])</f>
        <v>0.97486490405746018</v>
      </c>
      <c r="BZ538" s="7">
        <f>(Wapato_Inventory[[#This Row],[sum_land]]-IF(Wapato_Inventory[[#This Row],[no_utilities]]=1,12000,0))/IF(Wapato_Inventory[[#This Row],[unbuildable]]=1,2,1)</f>
        <v>52300</v>
      </c>
      <c r="CA538" s="7">
        <f>Wapato_Inventory[[#This Row],[pre_res]]*Wapato_Inventory[[#This Row],[overall_adj]]</f>
        <v>142029.95617082753</v>
      </c>
      <c r="CB538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38" s="3">
        <f>IF(ROUND(Wapato_Inventory[[#This Row],[adj_res]]*Lookups!$H$48,-2)&lt;Wapato_Inventory[[#This Row],[min_res]],Wapato_Inventory[[#This Row],[min_res]],ROUND(Wapato_Inventory[[#This Row],[adj_res]]*Lookups!$H$48,-2))</f>
        <v>134900</v>
      </c>
      <c r="CD538" s="3">
        <f>ROUND(Wapato_Inventory[[#This Row],[det_value]]*Lookups!$H$48,-2)</f>
        <v>0</v>
      </c>
      <c r="CE538" s="3">
        <f>Wapato_Inventory[[#This Row],[final_res]]+Wapato_Inventory[[#This Row],[final_det]]</f>
        <v>134900</v>
      </c>
      <c r="CF538" s="3">
        <f>Wapato_Inventory[[#This Row],[crop_value]]+Wapato_Inventory[[#This Row],[final_land]]+Wapato_Inventory[[#This Row],[final_imp]]</f>
        <v>184600</v>
      </c>
      <c r="CH538" t="str">
        <f t="shared" si="8"/>
        <v>update valuation set market_land =49700, market_bldg=134900, market_total =184600, market_mdno =405, market_date ='9/10/2023' where link_id = (select link_id from parcel where parcel_year = '2024' and parcel_id = '19111512050');</v>
      </c>
    </row>
    <row r="539" spans="1:86" x14ac:dyDescent="0.25">
      <c r="A539">
        <v>19111512051</v>
      </c>
      <c r="B539">
        <v>0.23</v>
      </c>
      <c r="C539">
        <v>10020</v>
      </c>
      <c r="D539" t="s">
        <v>144</v>
      </c>
      <c r="E539" t="s">
        <v>54</v>
      </c>
      <c r="F539" t="s">
        <v>54</v>
      </c>
      <c r="G539">
        <v>3</v>
      </c>
      <c r="H539" t="s">
        <v>55</v>
      </c>
      <c r="I539">
        <v>189800</v>
      </c>
      <c r="J539">
        <v>35500</v>
      </c>
      <c r="K539">
        <v>0.23</v>
      </c>
      <c r="L539">
        <f>IF(Wapato_Inventory[[#This Row],[parcel_acres]]-Wapato_Inventory[[#This Row],[non_valued_acres]] =0,0,LN(Wapato_Inventory[[#This Row],[parcel_acres]]-Wapato_Inventory[[#This Row],[non_valued_acres]]))</f>
        <v>-1.4696759700589417</v>
      </c>
      <c r="M539">
        <v>0</v>
      </c>
      <c r="N539">
        <v>0</v>
      </c>
      <c r="O539">
        <v>0</v>
      </c>
      <c r="P539">
        <v>27904.037</v>
      </c>
      <c r="Q539">
        <v>74398</v>
      </c>
      <c r="R539" s="3">
        <f>(Wapato_Inventory[[#This Row],[ln_acres]]*Wapato_Inventory[[#This Row],[coeff]])+Wapato_Inventory[[#This Row],[const]]</f>
        <v>33388.107353464402</v>
      </c>
      <c r="S539" t="s">
        <v>62</v>
      </c>
      <c r="T539">
        <v>1</v>
      </c>
      <c r="U539" t="s">
        <v>75</v>
      </c>
      <c r="V539" t="s">
        <v>68</v>
      </c>
      <c r="W539">
        <v>0</v>
      </c>
      <c r="X539">
        <v>0</v>
      </c>
      <c r="Y539">
        <v>48</v>
      </c>
      <c r="Z539">
        <v>63</v>
      </c>
      <c r="AA539">
        <v>70</v>
      </c>
      <c r="AB539">
        <v>1500</v>
      </c>
      <c r="AC539">
        <v>1404</v>
      </c>
      <c r="AD539">
        <v>1404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7</v>
      </c>
      <c r="AQ539">
        <v>0</v>
      </c>
      <c r="AR539">
        <v>1</v>
      </c>
      <c r="AS539" t="s">
        <v>59</v>
      </c>
      <c r="AT539">
        <v>1</v>
      </c>
      <c r="AU539" t="s">
        <v>64</v>
      </c>
      <c r="AV539" t="s">
        <v>61</v>
      </c>
      <c r="AW539">
        <v>1</v>
      </c>
      <c r="AX539">
        <v>3</v>
      </c>
      <c r="AY539">
        <v>0</v>
      </c>
      <c r="AZ539">
        <v>0</v>
      </c>
      <c r="BA539">
        <v>100</v>
      </c>
      <c r="BB539">
        <v>100</v>
      </c>
      <c r="BC539">
        <v>100</v>
      </c>
      <c r="BD539">
        <v>100</v>
      </c>
      <c r="BE539">
        <v>1</v>
      </c>
      <c r="BF539">
        <v>15000</v>
      </c>
      <c r="BG539">
        <v>1000</v>
      </c>
      <c r="BH539" s="7">
        <f>ROUND(Wapato_Inventory[[#This Row],[detatched_value]]*Lookups!$B$22*Lookups!$H$48,-2)</f>
        <v>0</v>
      </c>
      <c r="BI539" s="7">
        <f>ROUND(((Wapato_Inventory[[#This Row],[land_extract]]*Lookups!$B$3) +(Lookups!$B$2*0.5))*Lookups!$H$48,-2)</f>
        <v>54300</v>
      </c>
      <c r="BJ539" s="7">
        <f>IF(Wapato_Inventory[[#This Row],[bldg_style]]="",0,Lookups!$B$2*0.5)</f>
        <v>53765.27</v>
      </c>
      <c r="BK539" s="7">
        <f>_xlfn.IFNA(VLOOKUP(Wapato_Inventory[[#This Row],[quality]],Lookups!$H$2:$J$14,3,FALSE),0)</f>
        <v>48043</v>
      </c>
      <c r="BL539" s="7">
        <f>_xlfn.IFNA(VLOOKUP(Wapato_Inventory[[#This Row],[condition]],Lookups!$H$17:$J$24,3,FALSE),0)</f>
        <v>52231</v>
      </c>
      <c r="BM539" s="7">
        <f>Wapato_Inventory[[#This Row],[Age]]*Lookups!$B$16</f>
        <v>-23352.569100000001</v>
      </c>
      <c r="BN539" s="7">
        <f>Wapato_Inventory[[#This Row],[Main Floor]]*Lookups!$B$17</f>
        <v>58688.237556</v>
      </c>
      <c r="BO539" s="7">
        <f>Wapato_Inventory[[#This Row],[Upper Floor]]*Lookups!$B$18</f>
        <v>0</v>
      </c>
      <c r="BP539" s="7">
        <f>Wapato_Inventory[[#This Row],[Fin BSMT]]*Lookups!$B$19</f>
        <v>0</v>
      </c>
      <c r="BQ539" s="7">
        <f>(Wapato_Inventory[[#This Row],[att_gar]]+Wapato_Inventory[[#This Row],[blt_gar]])*Lookups!$B$20</f>
        <v>0</v>
      </c>
      <c r="BR539" s="7">
        <f>Wapato_Inventory[[#This Row],[Patio]]*Lookups!$B$21</f>
        <v>0</v>
      </c>
      <c r="BS539" s="7">
        <f>SUM(Wapato_Inventory[[#This Row],[intercept]:[patio_value]])*Wapato_Inventory[[#This Row],[res_pct]]</f>
        <v>189374.938456</v>
      </c>
      <c r="BT539" s="7">
        <f>Wapato_Inventory[[#This Row],[land_value]]</f>
        <v>54300</v>
      </c>
      <c r="BU539" s="2">
        <f>_xlfn.IFNA(VLOOKUP(Wapato_Inventory[[#This Row],[quality]],Lookups!$A$28:$C$37,3,FALSE),1)</f>
        <v>0.98196844879778955</v>
      </c>
      <c r="BV539" s="2">
        <f>_xlfn.IFNA(VLOOKUP(Wapato_Inventory[[#This Row],[condition]],Lookups!$A$41:$C$48,3,FALSE),1)</f>
        <v>0.9832333997567807</v>
      </c>
      <c r="BW539" s="2">
        <f>IF(Wapato_Inventory[[#This Row],[decade]]="",1,_xlfn.IFNA(VLOOKUP(Wapato_Inventory[[#This Row],[decade]],Lookups!$F$28:$H$45,3,FALSE),1))</f>
        <v>1.0012715221492001</v>
      </c>
      <c r="BX539" s="2">
        <f>_xlfn.IFNA(VLOOKUP(Wapato_Inventory[[#This Row],[living_area_range]],Lookups!$K$28:$M$37,3,FALSE),1)</f>
        <v>1.0061411172456287</v>
      </c>
      <c r="BY539" s="2">
        <f>AVERAGE(Wapato_Inventory[[#This Row],[qual_adj]:[range_adj]])</f>
        <v>0.9931536219873498</v>
      </c>
      <c r="BZ539" s="7">
        <f>(Wapato_Inventory[[#This Row],[sum_land]]-IF(Wapato_Inventory[[#This Row],[no_utilities]]=1,12000,0))/IF(Wapato_Inventory[[#This Row],[unbuildable]]=1,2,1)</f>
        <v>54300</v>
      </c>
      <c r="CA539" s="7">
        <f>Wapato_Inventory[[#This Row],[pre_res]]*Wapato_Inventory[[#This Row],[overall_adj]]</f>
        <v>188078.40604120787</v>
      </c>
      <c r="CB539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539" s="3">
        <f>IF(ROUND(Wapato_Inventory[[#This Row],[adj_res]]*Lookups!$H$48,-2)&lt;Wapato_Inventory[[#This Row],[min_res]],Wapato_Inventory[[#This Row],[min_res]],ROUND(Wapato_Inventory[[#This Row],[adj_res]]*Lookups!$H$48,-2))</f>
        <v>178700</v>
      </c>
      <c r="CD539" s="3">
        <f>ROUND(Wapato_Inventory[[#This Row],[det_value]]*Lookups!$H$48,-2)</f>
        <v>0</v>
      </c>
      <c r="CE539" s="3">
        <f>Wapato_Inventory[[#This Row],[final_res]]+Wapato_Inventory[[#This Row],[final_det]]</f>
        <v>178700</v>
      </c>
      <c r="CF539" s="3">
        <f>Wapato_Inventory[[#This Row],[crop_value]]+Wapato_Inventory[[#This Row],[final_land]]+Wapato_Inventory[[#This Row],[final_imp]]</f>
        <v>230300</v>
      </c>
      <c r="CH539" t="str">
        <f t="shared" si="8"/>
        <v>update valuation set market_land =51600, market_bldg=178700, market_total =230300, market_mdno =405, market_date ='9/10/2023' where link_id = (select link_id from parcel where parcel_year = '2024' and parcel_id = '19111512051');</v>
      </c>
    </row>
    <row r="540" spans="1:86" x14ac:dyDescent="0.25">
      <c r="A540">
        <v>19111512052</v>
      </c>
      <c r="B540">
        <v>0.12</v>
      </c>
      <c r="C540">
        <v>5077</v>
      </c>
      <c r="D540" t="s">
        <v>144</v>
      </c>
      <c r="E540" t="s">
        <v>54</v>
      </c>
      <c r="F540" t="s">
        <v>54</v>
      </c>
      <c r="G540">
        <v>3</v>
      </c>
      <c r="H540" t="s">
        <v>55</v>
      </c>
      <c r="I540">
        <v>271700</v>
      </c>
      <c r="J540">
        <v>30800</v>
      </c>
      <c r="K540">
        <v>0.12</v>
      </c>
      <c r="L540">
        <f>IF(Wapato_Inventory[[#This Row],[parcel_acres]]-Wapato_Inventory[[#This Row],[non_valued_acres]] =0,0,LN(Wapato_Inventory[[#This Row],[parcel_acres]]-Wapato_Inventory[[#This Row],[non_valued_acres]]))</f>
        <v>-2.120263536200091</v>
      </c>
      <c r="M540">
        <v>0</v>
      </c>
      <c r="N540">
        <v>0</v>
      </c>
      <c r="O540">
        <v>0</v>
      </c>
      <c r="P540">
        <v>27904.037</v>
      </c>
      <c r="Q540">
        <v>74398</v>
      </c>
      <c r="R540" s="3">
        <f>(Wapato_Inventory[[#This Row],[ln_acres]]*Wapato_Inventory[[#This Row],[coeff]])+Wapato_Inventory[[#This Row],[const]]</f>
        <v>15234.08783612182</v>
      </c>
      <c r="S540" t="s">
        <v>62</v>
      </c>
      <c r="T540">
        <v>1</v>
      </c>
      <c r="U540" t="s">
        <v>67</v>
      </c>
      <c r="V540" t="s">
        <v>58</v>
      </c>
      <c r="W540">
        <v>0</v>
      </c>
      <c r="X540">
        <v>0</v>
      </c>
      <c r="Y540">
        <v>9</v>
      </c>
      <c r="Z540">
        <v>9</v>
      </c>
      <c r="AA540">
        <v>10</v>
      </c>
      <c r="AB540">
        <v>1500</v>
      </c>
      <c r="AC540">
        <v>1344</v>
      </c>
      <c r="AD540">
        <v>1344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100</v>
      </c>
      <c r="AO540">
        <v>0</v>
      </c>
      <c r="AP540">
        <v>8</v>
      </c>
      <c r="AQ540">
        <v>0</v>
      </c>
      <c r="AR540">
        <v>0</v>
      </c>
      <c r="AS540" t="s">
        <v>59</v>
      </c>
      <c r="AT540">
        <v>1</v>
      </c>
      <c r="AU540" t="s">
        <v>60</v>
      </c>
      <c r="AV540" t="s">
        <v>61</v>
      </c>
      <c r="AW540">
        <v>1</v>
      </c>
      <c r="AX540">
        <v>3</v>
      </c>
      <c r="AY540">
        <v>0</v>
      </c>
      <c r="AZ540">
        <v>0</v>
      </c>
      <c r="BA540">
        <v>100</v>
      </c>
      <c r="BB540">
        <v>100</v>
      </c>
      <c r="BC540">
        <v>100</v>
      </c>
      <c r="BD540">
        <v>100</v>
      </c>
      <c r="BE540">
        <v>1</v>
      </c>
      <c r="BF540">
        <v>15000</v>
      </c>
      <c r="BG540">
        <v>1000</v>
      </c>
      <c r="BH540" s="7">
        <f>ROUND(Wapato_Inventory[[#This Row],[detatched_value]]*Lookups!$B$22*Lookups!$H$48,-2)</f>
        <v>0</v>
      </c>
      <c r="BI540" s="7">
        <f>ROUND(((Wapato_Inventory[[#This Row],[land_extract]]*Lookups!$B$3) +(Lookups!$B$2*0.5))*Lookups!$H$48,-2)</f>
        <v>52500</v>
      </c>
      <c r="BJ540" s="7">
        <f>IF(Wapato_Inventory[[#This Row],[bldg_style]]="",0,Lookups!$B$2*0.5)</f>
        <v>53765.27</v>
      </c>
      <c r="BK540" s="7">
        <f>_xlfn.IFNA(VLOOKUP(Wapato_Inventory[[#This Row],[quality]],Lookups!$H$2:$J$14,3,FALSE),0)</f>
        <v>50405</v>
      </c>
      <c r="BL540" s="7">
        <f>_xlfn.IFNA(VLOOKUP(Wapato_Inventory[[#This Row],[condition]],Lookups!$H$17:$J$24,3,FALSE),0)</f>
        <v>122095</v>
      </c>
      <c r="BM540" s="7">
        <f>Wapato_Inventory[[#This Row],[Age]]*Lookups!$B$16</f>
        <v>-3336.0812999999998</v>
      </c>
      <c r="BN540" s="7">
        <f>Wapato_Inventory[[#This Row],[Main Floor]]*Lookups!$B$17</f>
        <v>56180.193216</v>
      </c>
      <c r="BO540" s="7">
        <f>Wapato_Inventory[[#This Row],[Upper Floor]]*Lookups!$B$18</f>
        <v>0</v>
      </c>
      <c r="BP540" s="7">
        <f>Wapato_Inventory[[#This Row],[Fin BSMT]]*Lookups!$B$19</f>
        <v>0</v>
      </c>
      <c r="BQ540" s="7">
        <f>(Wapato_Inventory[[#This Row],[att_gar]]+Wapato_Inventory[[#This Row],[blt_gar]])*Lookups!$B$20</f>
        <v>0</v>
      </c>
      <c r="BR540" s="7">
        <f>Wapato_Inventory[[#This Row],[Patio]]*Lookups!$B$21</f>
        <v>0</v>
      </c>
      <c r="BS540" s="7">
        <f>SUM(Wapato_Inventory[[#This Row],[intercept]:[patio_value]])*Wapato_Inventory[[#This Row],[res_pct]]</f>
        <v>279109.38191599998</v>
      </c>
      <c r="BT540" s="7">
        <f>Wapato_Inventory[[#This Row],[land_value]]</f>
        <v>52500</v>
      </c>
      <c r="BU540" s="2">
        <f>_xlfn.IFNA(VLOOKUP(Wapato_Inventory[[#This Row],[quality]],Lookups!$A$28:$C$37,3,FALSE),1)</f>
        <v>0.97993206410140754</v>
      </c>
      <c r="BV540" s="2">
        <f>_xlfn.IFNA(VLOOKUP(Wapato_Inventory[[#This Row],[condition]],Lookups!$A$41:$C$48,3,FALSE),1)</f>
        <v>1.00041560026225</v>
      </c>
      <c r="BW540" s="2">
        <f>IF(Wapato_Inventory[[#This Row],[decade]]="",1,_xlfn.IFNA(VLOOKUP(Wapato_Inventory[[#This Row],[decade]],Lookups!$F$28:$H$45,3,FALSE),1))</f>
        <v>1.0321018519633791</v>
      </c>
      <c r="BX540" s="2">
        <f>_xlfn.IFNA(VLOOKUP(Wapato_Inventory[[#This Row],[living_area_range]],Lookups!$K$28:$M$37,3,FALSE),1)</f>
        <v>1.0061411172456287</v>
      </c>
      <c r="BY540" s="2">
        <f>AVERAGE(Wapato_Inventory[[#This Row],[qual_adj]:[range_adj]])</f>
        <v>1.0046476583931663</v>
      </c>
      <c r="BZ540" s="7">
        <f>(Wapato_Inventory[[#This Row],[sum_land]]-IF(Wapato_Inventory[[#This Row],[no_utilities]]=1,12000,0))/IF(Wapato_Inventory[[#This Row],[unbuildable]]=1,2,1)</f>
        <v>52500</v>
      </c>
      <c r="CA540" s="7">
        <f>Wapato_Inventory[[#This Row],[pre_res]]*Wapato_Inventory[[#This Row],[overall_adj]]</f>
        <v>280406.58697747334</v>
      </c>
      <c r="CB540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540" s="3">
        <f>IF(ROUND(Wapato_Inventory[[#This Row],[adj_res]]*Lookups!$H$48,-2)&lt;Wapato_Inventory[[#This Row],[min_res]],Wapato_Inventory[[#This Row],[min_res]],ROUND(Wapato_Inventory[[#This Row],[adj_res]]*Lookups!$H$48,-2))</f>
        <v>266400</v>
      </c>
      <c r="CD540" s="3">
        <f>ROUND(Wapato_Inventory[[#This Row],[det_value]]*Lookups!$H$48,-2)</f>
        <v>0</v>
      </c>
      <c r="CE540" s="3">
        <f>Wapato_Inventory[[#This Row],[final_res]]+Wapato_Inventory[[#This Row],[final_det]]</f>
        <v>266400</v>
      </c>
      <c r="CF540" s="3">
        <f>Wapato_Inventory[[#This Row],[crop_value]]+Wapato_Inventory[[#This Row],[final_land]]+Wapato_Inventory[[#This Row],[final_imp]]</f>
        <v>316300</v>
      </c>
      <c r="CH540" t="str">
        <f t="shared" si="8"/>
        <v>update valuation set market_land =49900, market_bldg=266400, market_total =316300, market_mdno =405, market_date ='9/10/2023' where link_id = (select link_id from parcel where parcel_year = '2024' and parcel_id = '19111512052');</v>
      </c>
    </row>
    <row r="541" spans="1:86" x14ac:dyDescent="0.25">
      <c r="A541">
        <v>19111512054</v>
      </c>
      <c r="B541">
        <v>0.12</v>
      </c>
      <c r="C541">
        <v>5011</v>
      </c>
      <c r="D541" t="s">
        <v>144</v>
      </c>
      <c r="E541" t="s">
        <v>54</v>
      </c>
      <c r="F541" t="s">
        <v>54</v>
      </c>
      <c r="G541">
        <v>3</v>
      </c>
      <c r="H541" t="s">
        <v>55</v>
      </c>
      <c r="I541">
        <v>156100</v>
      </c>
      <c r="J541">
        <v>30800</v>
      </c>
      <c r="K541">
        <v>0.12</v>
      </c>
      <c r="L541">
        <f>IF(Wapato_Inventory[[#This Row],[parcel_acres]]-Wapato_Inventory[[#This Row],[non_valued_acres]] =0,0,LN(Wapato_Inventory[[#This Row],[parcel_acres]]-Wapato_Inventory[[#This Row],[non_valued_acres]]))</f>
        <v>-2.120263536200091</v>
      </c>
      <c r="M541">
        <v>0</v>
      </c>
      <c r="N541">
        <v>0</v>
      </c>
      <c r="O541">
        <v>0</v>
      </c>
      <c r="P541">
        <v>27904.037</v>
      </c>
      <c r="Q541">
        <v>74398</v>
      </c>
      <c r="R541" s="3">
        <f>(Wapato_Inventory[[#This Row],[ln_acres]]*Wapato_Inventory[[#This Row],[coeff]])+Wapato_Inventory[[#This Row],[const]]</f>
        <v>15234.08783612182</v>
      </c>
      <c r="S541" t="s">
        <v>56</v>
      </c>
      <c r="T541">
        <v>2</v>
      </c>
      <c r="U541" t="s">
        <v>71</v>
      </c>
      <c r="V541" t="s">
        <v>68</v>
      </c>
      <c r="W541">
        <v>0</v>
      </c>
      <c r="X541">
        <v>0</v>
      </c>
      <c r="Y541">
        <v>50</v>
      </c>
      <c r="Z541">
        <v>73</v>
      </c>
      <c r="AA541">
        <v>80</v>
      </c>
      <c r="AB541">
        <v>2000</v>
      </c>
      <c r="AC541">
        <v>1845</v>
      </c>
      <c r="AD541">
        <v>1253</v>
      </c>
      <c r="AE541">
        <v>592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48</v>
      </c>
      <c r="AO541">
        <v>0</v>
      </c>
      <c r="AP541">
        <v>8</v>
      </c>
      <c r="AQ541">
        <v>0</v>
      </c>
      <c r="AR541">
        <v>0</v>
      </c>
      <c r="AS541" t="s">
        <v>59</v>
      </c>
      <c r="AT541">
        <v>1</v>
      </c>
      <c r="AU541" t="s">
        <v>64</v>
      </c>
      <c r="AV541" t="s">
        <v>65</v>
      </c>
      <c r="AW541">
        <v>0</v>
      </c>
      <c r="AX541">
        <v>4</v>
      </c>
      <c r="AY541">
        <v>0</v>
      </c>
      <c r="AZ541">
        <v>0</v>
      </c>
      <c r="BA541">
        <v>100</v>
      </c>
      <c r="BB541">
        <v>100</v>
      </c>
      <c r="BC541">
        <v>100</v>
      </c>
      <c r="BD541">
        <v>100</v>
      </c>
      <c r="BE541">
        <v>1</v>
      </c>
      <c r="BF541">
        <v>15000</v>
      </c>
      <c r="BG541">
        <v>1000</v>
      </c>
      <c r="BH541" s="7">
        <f>ROUND(Wapato_Inventory[[#This Row],[detatched_value]]*Lookups!$B$22*Lookups!$H$48,-2)</f>
        <v>0</v>
      </c>
      <c r="BI541" s="7">
        <f>ROUND(((Wapato_Inventory[[#This Row],[land_extract]]*Lookups!$B$3) +(Lookups!$B$2*0.5))*Lookups!$H$48,-2)</f>
        <v>52500</v>
      </c>
      <c r="BJ541" s="7">
        <f>IF(Wapato_Inventory[[#This Row],[bldg_style]]="",0,Lookups!$B$2*0.5)</f>
        <v>53765.27</v>
      </c>
      <c r="BK541" s="7">
        <f>_xlfn.IFNA(VLOOKUP(Wapato_Inventory[[#This Row],[quality]],Lookups!$H$2:$J$14,3,FALSE),0)</f>
        <v>28034</v>
      </c>
      <c r="BL541" s="7">
        <f>_xlfn.IFNA(VLOOKUP(Wapato_Inventory[[#This Row],[condition]],Lookups!$H$17:$J$24,3,FALSE),0)</f>
        <v>52231</v>
      </c>
      <c r="BM541" s="7">
        <f>Wapato_Inventory[[#This Row],[Age]]*Lookups!$B$16</f>
        <v>-27059.326100000002</v>
      </c>
      <c r="BN541" s="7">
        <f>Wapato_Inventory[[#This Row],[Main Floor]]*Lookups!$B$17</f>
        <v>52376.325966999997</v>
      </c>
      <c r="BO541" s="7">
        <f>Wapato_Inventory[[#This Row],[Upper Floor]]*Lookups!$B$18</f>
        <v>29363.874288000003</v>
      </c>
      <c r="BP541" s="7">
        <f>Wapato_Inventory[[#This Row],[Fin BSMT]]*Lookups!$B$19</f>
        <v>0</v>
      </c>
      <c r="BQ541" s="7">
        <f>(Wapato_Inventory[[#This Row],[att_gar]]+Wapato_Inventory[[#This Row],[blt_gar]])*Lookups!$B$20</f>
        <v>0</v>
      </c>
      <c r="BR541" s="7">
        <f>Wapato_Inventory[[#This Row],[Patio]]*Lookups!$B$21</f>
        <v>0</v>
      </c>
      <c r="BS541" s="7">
        <f>SUM(Wapato_Inventory[[#This Row],[intercept]:[patio_value]])*Wapato_Inventory[[#This Row],[res_pct]]</f>
        <v>188711.14415499999</v>
      </c>
      <c r="BT541" s="7">
        <f>Wapato_Inventory[[#This Row],[land_value]]</f>
        <v>52500</v>
      </c>
      <c r="BU541" s="2">
        <f>_xlfn.IFNA(VLOOKUP(Wapato_Inventory[[#This Row],[quality]],Lookups!$A$28:$C$37,3,FALSE),1)</f>
        <v>0.96265813922927435</v>
      </c>
      <c r="BV541" s="2">
        <f>_xlfn.IFNA(VLOOKUP(Wapato_Inventory[[#This Row],[condition]],Lookups!$A$41:$C$48,3,FALSE),1)</f>
        <v>0.9832333997567807</v>
      </c>
      <c r="BW541" s="2">
        <f>IF(Wapato_Inventory[[#This Row],[decade]]="",1,_xlfn.IFNA(VLOOKUP(Wapato_Inventory[[#This Row],[decade]],Lookups!$F$28:$H$45,3,FALSE),1))</f>
        <v>0.8438929209510081</v>
      </c>
      <c r="BX541" s="2">
        <f>_xlfn.IFNA(VLOOKUP(Wapato_Inventory[[#This Row],[living_area_range]],Lookups!$K$28:$M$37,3,FALSE),1)</f>
        <v>0.99330894324714125</v>
      </c>
      <c r="BY541" s="2">
        <f>AVERAGE(Wapato_Inventory[[#This Row],[qual_adj]:[range_adj]])</f>
        <v>0.94577335079605107</v>
      </c>
      <c r="BZ541" s="7">
        <f>(Wapato_Inventory[[#This Row],[sum_land]]-IF(Wapato_Inventory[[#This Row],[no_utilities]]=1,12000,0))/IF(Wapato_Inventory[[#This Row],[unbuildable]]=1,2,1)</f>
        <v>52500</v>
      </c>
      <c r="CA541" s="7">
        <f>Wapato_Inventory[[#This Row],[pre_res]]*Wapato_Inventory[[#This Row],[overall_adj]]</f>
        <v>178477.97114003098</v>
      </c>
      <c r="CB541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541" s="3">
        <f>IF(ROUND(Wapato_Inventory[[#This Row],[adj_res]]*Lookups!$H$48,-2)&lt;Wapato_Inventory[[#This Row],[min_res]],Wapato_Inventory[[#This Row],[min_res]],ROUND(Wapato_Inventory[[#This Row],[adj_res]]*Lookups!$H$48,-2))</f>
        <v>169600</v>
      </c>
      <c r="CD541" s="3">
        <f>ROUND(Wapato_Inventory[[#This Row],[det_value]]*Lookups!$H$48,-2)</f>
        <v>0</v>
      </c>
      <c r="CE541" s="3">
        <f>Wapato_Inventory[[#This Row],[final_res]]+Wapato_Inventory[[#This Row],[final_det]]</f>
        <v>169600</v>
      </c>
      <c r="CF541" s="3">
        <f>Wapato_Inventory[[#This Row],[crop_value]]+Wapato_Inventory[[#This Row],[final_land]]+Wapato_Inventory[[#This Row],[final_imp]]</f>
        <v>219500</v>
      </c>
      <c r="CH541" t="str">
        <f t="shared" si="8"/>
        <v>update valuation set market_land =49900, market_bldg=169600, market_total =219500, market_mdno =405, market_date ='9/10/2023' where link_id = (select link_id from parcel where parcel_year = '2024' and parcel_id = '19111512054');</v>
      </c>
    </row>
    <row r="542" spans="1:86" x14ac:dyDescent="0.25">
      <c r="A542">
        <v>19111512055</v>
      </c>
      <c r="B542">
        <v>0.06</v>
      </c>
      <c r="C542">
        <v>2663</v>
      </c>
      <c r="D542" t="s">
        <v>144</v>
      </c>
      <c r="E542" t="s">
        <v>54</v>
      </c>
      <c r="F542" t="s">
        <v>54</v>
      </c>
      <c r="G542">
        <v>3</v>
      </c>
      <c r="H542" t="s">
        <v>55</v>
      </c>
      <c r="I542">
        <v>157000</v>
      </c>
      <c r="J542">
        <v>25800</v>
      </c>
      <c r="K542">
        <v>0.06</v>
      </c>
      <c r="L542">
        <f>IF(Wapato_Inventory[[#This Row],[parcel_acres]]-Wapato_Inventory[[#This Row],[non_valued_acres]] =0,0,LN(Wapato_Inventory[[#This Row],[parcel_acres]]-Wapato_Inventory[[#This Row],[non_valued_acres]]))</f>
        <v>-2.8134107167600364</v>
      </c>
      <c r="M542">
        <v>0</v>
      </c>
      <c r="N542">
        <v>0</v>
      </c>
      <c r="O542">
        <v>0</v>
      </c>
      <c r="P542">
        <v>27904.037</v>
      </c>
      <c r="Q542">
        <v>74398</v>
      </c>
      <c r="R542" s="3">
        <f>(Wapato_Inventory[[#This Row],[ln_acres]]*Wapato_Inventory[[#This Row],[coeff]])+Wapato_Inventory[[#This Row],[const]]</f>
        <v>-4107.5167366685782</v>
      </c>
      <c r="S542" t="s">
        <v>66</v>
      </c>
      <c r="T542">
        <v>1</v>
      </c>
      <c r="U542" t="s">
        <v>78</v>
      </c>
      <c r="V542" t="s">
        <v>69</v>
      </c>
      <c r="W542">
        <v>0</v>
      </c>
      <c r="X542">
        <v>0</v>
      </c>
      <c r="Y542">
        <v>52</v>
      </c>
      <c r="Z542">
        <v>88</v>
      </c>
      <c r="AA542">
        <v>90</v>
      </c>
      <c r="AB542">
        <v>1500</v>
      </c>
      <c r="AC542">
        <v>1050</v>
      </c>
      <c r="AD542">
        <v>1050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5</v>
      </c>
      <c r="AQ542">
        <v>0</v>
      </c>
      <c r="AR542">
        <v>0</v>
      </c>
      <c r="AS542" t="s">
        <v>59</v>
      </c>
      <c r="AT542">
        <v>1</v>
      </c>
      <c r="AU542" t="s">
        <v>76</v>
      </c>
      <c r="AV542" t="s">
        <v>61</v>
      </c>
      <c r="AW542">
        <v>0</v>
      </c>
      <c r="AX542">
        <v>2</v>
      </c>
      <c r="AY542">
        <v>0</v>
      </c>
      <c r="AZ542">
        <v>0</v>
      </c>
      <c r="BA542">
        <v>100</v>
      </c>
      <c r="BB542">
        <v>100</v>
      </c>
      <c r="BC542">
        <v>100</v>
      </c>
      <c r="BD542">
        <v>100</v>
      </c>
      <c r="BE542">
        <v>1</v>
      </c>
      <c r="BF542">
        <v>15000</v>
      </c>
      <c r="BG542">
        <v>1000</v>
      </c>
      <c r="BH542" s="7">
        <f>ROUND(Wapato_Inventory[[#This Row],[detatched_value]]*Lookups!$B$22*Lookups!$H$48,-2)</f>
        <v>0</v>
      </c>
      <c r="BI542" s="7">
        <f>ROUND(((Wapato_Inventory[[#This Row],[land_extract]]*Lookups!$B$3) +(Lookups!$B$2*0.5))*Lookups!$H$48,-2)</f>
        <v>50700</v>
      </c>
      <c r="BJ542" s="7">
        <f>IF(Wapato_Inventory[[#This Row],[bldg_style]]="",0,Lookups!$B$2*0.5)</f>
        <v>53765.27</v>
      </c>
      <c r="BK542" s="7">
        <f>_xlfn.IFNA(VLOOKUP(Wapato_Inventory[[#This Row],[quality]],Lookups!$H$2:$J$14,3,FALSE),0)</f>
        <v>23424</v>
      </c>
      <c r="BL542" s="7">
        <f>_xlfn.IFNA(VLOOKUP(Wapato_Inventory[[#This Row],[condition]],Lookups!$H$17:$J$24,3,FALSE),0)</f>
        <v>74543</v>
      </c>
      <c r="BM542" s="7">
        <f>Wapato_Inventory[[#This Row],[Age]]*Lookups!$B$16</f>
        <v>-32619.461600000002</v>
      </c>
      <c r="BN542" s="7">
        <f>Wapato_Inventory[[#This Row],[Main Floor]]*Lookups!$B$17</f>
        <v>43890.775950000003</v>
      </c>
      <c r="BO542" s="7">
        <f>Wapato_Inventory[[#This Row],[Upper Floor]]*Lookups!$B$18</f>
        <v>0</v>
      </c>
      <c r="BP542" s="7">
        <f>Wapato_Inventory[[#This Row],[Fin BSMT]]*Lookups!$B$19</f>
        <v>0</v>
      </c>
      <c r="BQ542" s="7">
        <f>(Wapato_Inventory[[#This Row],[att_gar]]+Wapato_Inventory[[#This Row],[blt_gar]])*Lookups!$B$20</f>
        <v>0</v>
      </c>
      <c r="BR542" s="7">
        <f>Wapato_Inventory[[#This Row],[Patio]]*Lookups!$B$21</f>
        <v>0</v>
      </c>
      <c r="BS542" s="7">
        <f>SUM(Wapato_Inventory[[#This Row],[intercept]:[patio_value]])*Wapato_Inventory[[#This Row],[res_pct]]</f>
        <v>163003.58434999999</v>
      </c>
      <c r="BT542" s="7">
        <f>Wapato_Inventory[[#This Row],[land_value]]</f>
        <v>50700</v>
      </c>
      <c r="BU542" s="2">
        <f>_xlfn.IFNA(VLOOKUP(Wapato_Inventory[[#This Row],[quality]],Lookups!$A$28:$C$37,3,FALSE),1)</f>
        <v>1.0091195562373767</v>
      </c>
      <c r="BV542" s="2">
        <f>_xlfn.IFNA(VLOOKUP(Wapato_Inventory[[#This Row],[condition]],Lookups!$A$41:$C$48,3,FALSE),1)</f>
        <v>0.98442438223270734</v>
      </c>
      <c r="BW542" s="2">
        <f>IF(Wapato_Inventory[[#This Row],[decade]]="",1,_xlfn.IFNA(VLOOKUP(Wapato_Inventory[[#This Row],[decade]],Lookups!$F$28:$H$45,3,FALSE),1))</f>
        <v>0.94742695999815718</v>
      </c>
      <c r="BX542" s="2">
        <f>_xlfn.IFNA(VLOOKUP(Wapato_Inventory[[#This Row],[living_area_range]],Lookups!$K$28:$M$37,3,FALSE),1)</f>
        <v>1.0061411172456287</v>
      </c>
      <c r="BY542" s="2">
        <f>AVERAGE(Wapato_Inventory[[#This Row],[qual_adj]:[range_adj]])</f>
        <v>0.98677800392846748</v>
      </c>
      <c r="BZ542" s="7">
        <f>(Wapato_Inventory[[#This Row],[sum_land]]-IF(Wapato_Inventory[[#This Row],[no_utilities]]=1,12000,0))/IF(Wapato_Inventory[[#This Row],[unbuildable]]=1,2,1)</f>
        <v>50700</v>
      </c>
      <c r="CA542" s="7">
        <f>Wapato_Inventory[[#This Row],[pre_res]]*Wapato_Inventory[[#This Row],[overall_adj]]</f>
        <v>160848.35159807856</v>
      </c>
      <c r="CB542" s="3">
        <f>IF(ROUND(Wapato_Inventory[[#This Row],[adj_land]]*Lookups!$H$48,-2)&lt;Wapato_Inventory[[#This Row],[min_land]],Wapato_Inventory[[#This Row],[min_land]],ROUND(Wapato_Inventory[[#This Row],[adj_land]]*Lookups!$H$48,-2))</f>
        <v>48200</v>
      </c>
      <c r="CC542" s="3">
        <f>IF(ROUND(Wapato_Inventory[[#This Row],[adj_res]]*Lookups!$H$48,-2)&lt;Wapato_Inventory[[#This Row],[min_res]],Wapato_Inventory[[#This Row],[min_res]],ROUND(Wapato_Inventory[[#This Row],[adj_res]]*Lookups!$H$48,-2))</f>
        <v>152800</v>
      </c>
      <c r="CD542" s="3">
        <f>ROUND(Wapato_Inventory[[#This Row],[det_value]]*Lookups!$H$48,-2)</f>
        <v>0</v>
      </c>
      <c r="CE542" s="3">
        <f>Wapato_Inventory[[#This Row],[final_res]]+Wapato_Inventory[[#This Row],[final_det]]</f>
        <v>152800</v>
      </c>
      <c r="CF542" s="3">
        <f>Wapato_Inventory[[#This Row],[crop_value]]+Wapato_Inventory[[#This Row],[final_land]]+Wapato_Inventory[[#This Row],[final_imp]]</f>
        <v>201000</v>
      </c>
      <c r="CH542" t="str">
        <f t="shared" si="8"/>
        <v>update valuation set market_land =48200, market_bldg=152800, market_total =201000, market_mdno =405, market_date ='9/10/2023' where link_id = (select link_id from parcel where parcel_year = '2024' and parcel_id = '19111512055');</v>
      </c>
    </row>
    <row r="543" spans="1:86" x14ac:dyDescent="0.25">
      <c r="A543">
        <v>19111512056</v>
      </c>
      <c r="B543">
        <v>0.22</v>
      </c>
      <c r="C543">
        <v>9457</v>
      </c>
      <c r="D543" t="s">
        <v>144</v>
      </c>
      <c r="E543" t="s">
        <v>54</v>
      </c>
      <c r="F543" t="s">
        <v>54</v>
      </c>
      <c r="G543">
        <v>3</v>
      </c>
      <c r="H543" t="s">
        <v>55</v>
      </c>
      <c r="I543">
        <v>287500</v>
      </c>
      <c r="J543">
        <v>35100</v>
      </c>
      <c r="K543">
        <v>0.22</v>
      </c>
      <c r="L543">
        <f>IF(Wapato_Inventory[[#This Row],[parcel_acres]]-Wapato_Inventory[[#This Row],[non_valued_acres]] =0,0,LN(Wapato_Inventory[[#This Row],[parcel_acres]]-Wapato_Inventory[[#This Row],[non_valued_acres]]))</f>
        <v>-1.5141277326297755</v>
      </c>
      <c r="M543">
        <v>0</v>
      </c>
      <c r="N543">
        <v>0</v>
      </c>
      <c r="O543">
        <v>0</v>
      </c>
      <c r="P543">
        <v>27904.037</v>
      </c>
      <c r="Q543">
        <v>74398</v>
      </c>
      <c r="R543" s="3">
        <f>(Wapato_Inventory[[#This Row],[ln_acres]]*Wapato_Inventory[[#This Row],[coeff]])+Wapato_Inventory[[#This Row],[const]]</f>
        <v>32147.723725972639</v>
      </c>
      <c r="S543" t="s">
        <v>66</v>
      </c>
      <c r="T543">
        <v>1</v>
      </c>
      <c r="U543" t="s">
        <v>67</v>
      </c>
      <c r="V543" t="s">
        <v>58</v>
      </c>
      <c r="W543">
        <v>0</v>
      </c>
      <c r="X543">
        <v>0</v>
      </c>
      <c r="Y543">
        <v>4</v>
      </c>
      <c r="Z543">
        <v>4</v>
      </c>
      <c r="AA543">
        <v>10</v>
      </c>
      <c r="AB543">
        <v>2000</v>
      </c>
      <c r="AC543">
        <v>1564</v>
      </c>
      <c r="AD543">
        <v>1564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100</v>
      </c>
      <c r="AO543">
        <v>0</v>
      </c>
      <c r="AP543">
        <v>8</v>
      </c>
      <c r="AQ543">
        <v>0</v>
      </c>
      <c r="AR543">
        <v>0</v>
      </c>
      <c r="AS543" t="s">
        <v>59</v>
      </c>
      <c r="AT543">
        <v>1</v>
      </c>
      <c r="AU543" t="s">
        <v>60</v>
      </c>
      <c r="AV543" t="s">
        <v>61</v>
      </c>
      <c r="AW543">
        <v>1</v>
      </c>
      <c r="AX543">
        <v>3</v>
      </c>
      <c r="AY543">
        <v>0</v>
      </c>
      <c r="AZ543">
        <v>0</v>
      </c>
      <c r="BA543">
        <v>100</v>
      </c>
      <c r="BB543">
        <v>100</v>
      </c>
      <c r="BC543">
        <v>100</v>
      </c>
      <c r="BD543">
        <v>100</v>
      </c>
      <c r="BE543">
        <v>1</v>
      </c>
      <c r="BF543">
        <v>15000</v>
      </c>
      <c r="BG543">
        <v>1000</v>
      </c>
      <c r="BH543" s="7">
        <f>ROUND(Wapato_Inventory[[#This Row],[detatched_value]]*Lookups!$B$22*Lookups!$H$48,-2)</f>
        <v>0</v>
      </c>
      <c r="BI543" s="7">
        <f>ROUND(((Wapato_Inventory[[#This Row],[land_extract]]*Lookups!$B$3) +(Lookups!$B$2*0.5))*Lookups!$H$48,-2)</f>
        <v>54200</v>
      </c>
      <c r="BJ543" s="7">
        <f>IF(Wapato_Inventory[[#This Row],[bldg_style]]="",0,Lookups!$B$2*0.5)</f>
        <v>53765.27</v>
      </c>
      <c r="BK543" s="7">
        <f>_xlfn.IFNA(VLOOKUP(Wapato_Inventory[[#This Row],[quality]],Lookups!$H$2:$J$14,3,FALSE),0)</f>
        <v>50405</v>
      </c>
      <c r="BL543" s="7">
        <f>_xlfn.IFNA(VLOOKUP(Wapato_Inventory[[#This Row],[condition]],Lookups!$H$17:$J$24,3,FALSE),0)</f>
        <v>122095</v>
      </c>
      <c r="BM543" s="7">
        <f>Wapato_Inventory[[#This Row],[Age]]*Lookups!$B$16</f>
        <v>-1482.7028</v>
      </c>
      <c r="BN543" s="7">
        <f>Wapato_Inventory[[#This Row],[Main Floor]]*Lookups!$B$17</f>
        <v>65376.355796000003</v>
      </c>
      <c r="BO543" s="7">
        <f>Wapato_Inventory[[#This Row],[Upper Floor]]*Lookups!$B$18</f>
        <v>0</v>
      </c>
      <c r="BP543" s="7">
        <f>Wapato_Inventory[[#This Row],[Fin BSMT]]*Lookups!$B$19</f>
        <v>0</v>
      </c>
      <c r="BQ543" s="7">
        <f>(Wapato_Inventory[[#This Row],[att_gar]]+Wapato_Inventory[[#This Row],[blt_gar]])*Lookups!$B$20</f>
        <v>0</v>
      </c>
      <c r="BR543" s="7">
        <f>Wapato_Inventory[[#This Row],[Patio]]*Lookups!$B$21</f>
        <v>0</v>
      </c>
      <c r="BS543" s="7">
        <f>SUM(Wapato_Inventory[[#This Row],[intercept]:[patio_value]])*Wapato_Inventory[[#This Row],[res_pct]]</f>
        <v>290158.92299599998</v>
      </c>
      <c r="BT543" s="7">
        <f>Wapato_Inventory[[#This Row],[land_value]]</f>
        <v>54200</v>
      </c>
      <c r="BU543" s="2">
        <f>_xlfn.IFNA(VLOOKUP(Wapato_Inventory[[#This Row],[quality]],Lookups!$A$28:$C$37,3,FALSE),1)</f>
        <v>0.97993206410140754</v>
      </c>
      <c r="BV543" s="2">
        <f>_xlfn.IFNA(VLOOKUP(Wapato_Inventory[[#This Row],[condition]],Lookups!$A$41:$C$48,3,FALSE),1)</f>
        <v>1.00041560026225</v>
      </c>
      <c r="BW543" s="2">
        <f>IF(Wapato_Inventory[[#This Row],[decade]]="",1,_xlfn.IFNA(VLOOKUP(Wapato_Inventory[[#This Row],[decade]],Lookups!$F$28:$H$45,3,FALSE),1))</f>
        <v>1.0321018519633791</v>
      </c>
      <c r="BX543" s="2">
        <f>_xlfn.IFNA(VLOOKUP(Wapato_Inventory[[#This Row],[living_area_range]],Lookups!$K$28:$M$37,3,FALSE),1)</f>
        <v>0.99330894324714125</v>
      </c>
      <c r="BY543" s="2">
        <f>AVERAGE(Wapato_Inventory[[#This Row],[qual_adj]:[range_adj]])</f>
        <v>1.0014396148935445</v>
      </c>
      <c r="BZ543" s="7">
        <f>(Wapato_Inventory[[#This Row],[sum_land]]-IF(Wapato_Inventory[[#This Row],[no_utilities]]=1,12000,0))/IF(Wapato_Inventory[[#This Row],[unbuildable]]=1,2,1)</f>
        <v>54200</v>
      </c>
      <c r="CA543" s="7">
        <f>Wapato_Inventory[[#This Row],[pre_res]]*Wapato_Inventory[[#This Row],[overall_adj]]</f>
        <v>290576.64010303986</v>
      </c>
      <c r="CB543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543" s="3">
        <f>IF(ROUND(Wapato_Inventory[[#This Row],[adj_res]]*Lookups!$H$48,-2)&lt;Wapato_Inventory[[#This Row],[min_res]],Wapato_Inventory[[#This Row],[min_res]],ROUND(Wapato_Inventory[[#This Row],[adj_res]]*Lookups!$H$48,-2))</f>
        <v>276000</v>
      </c>
      <c r="CD543" s="3">
        <f>ROUND(Wapato_Inventory[[#This Row],[det_value]]*Lookups!$H$48,-2)</f>
        <v>0</v>
      </c>
      <c r="CE543" s="3">
        <f>Wapato_Inventory[[#This Row],[final_res]]+Wapato_Inventory[[#This Row],[final_det]]</f>
        <v>276000</v>
      </c>
      <c r="CF543" s="3">
        <f>Wapato_Inventory[[#This Row],[crop_value]]+Wapato_Inventory[[#This Row],[final_land]]+Wapato_Inventory[[#This Row],[final_imp]]</f>
        <v>327500</v>
      </c>
      <c r="CH543" t="str">
        <f t="shared" si="8"/>
        <v>update valuation set market_land =51500, market_bldg=276000, market_total =327500, market_mdno =405, market_date ='9/10/2023' where link_id = (select link_id from parcel where parcel_year = '2024' and parcel_id = '19111512056');</v>
      </c>
    </row>
    <row r="544" spans="1:86" x14ac:dyDescent="0.25">
      <c r="A544">
        <v>19111512057</v>
      </c>
      <c r="B544">
        <v>0.14000000000000001</v>
      </c>
      <c r="C544">
        <v>6015</v>
      </c>
      <c r="D544" t="s">
        <v>144</v>
      </c>
      <c r="E544" t="s">
        <v>54</v>
      </c>
      <c r="F544" t="s">
        <v>54</v>
      </c>
      <c r="G544">
        <v>3</v>
      </c>
      <c r="H544" t="s">
        <v>55</v>
      </c>
      <c r="I544">
        <v>118700</v>
      </c>
      <c r="J544">
        <v>31900</v>
      </c>
      <c r="K544">
        <v>0.14000000000000001</v>
      </c>
      <c r="L544">
        <f>IF(Wapato_Inventory[[#This Row],[parcel_acres]]-Wapato_Inventory[[#This Row],[non_valued_acres]] =0,0,LN(Wapato_Inventory[[#This Row],[parcel_acres]]-Wapato_Inventory[[#This Row],[non_valued_acres]]))</f>
        <v>-1.9661128563728327</v>
      </c>
      <c r="M544">
        <v>0</v>
      </c>
      <c r="N544">
        <v>0</v>
      </c>
      <c r="O544">
        <v>0</v>
      </c>
      <c r="P544">
        <v>27904.037</v>
      </c>
      <c r="Q544">
        <v>74398</v>
      </c>
      <c r="R544" s="3">
        <f>(Wapato_Inventory[[#This Row],[ln_acres]]*Wapato_Inventory[[#This Row],[coeff]])+Wapato_Inventory[[#This Row],[const]]</f>
        <v>19535.514109596792</v>
      </c>
      <c r="S544" t="s">
        <v>66</v>
      </c>
      <c r="T544">
        <v>1</v>
      </c>
      <c r="U544" t="s">
        <v>71</v>
      </c>
      <c r="V544" t="s">
        <v>73</v>
      </c>
      <c r="W544">
        <v>0</v>
      </c>
      <c r="X544">
        <v>0</v>
      </c>
      <c r="Y544">
        <v>52</v>
      </c>
      <c r="Z544">
        <v>88</v>
      </c>
      <c r="AA544">
        <v>90</v>
      </c>
      <c r="AB544">
        <v>1500</v>
      </c>
      <c r="AC544">
        <v>1498</v>
      </c>
      <c r="AD544">
        <v>1498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532</v>
      </c>
      <c r="AM544">
        <v>0</v>
      </c>
      <c r="AN544">
        <v>40</v>
      </c>
      <c r="AO544">
        <v>532</v>
      </c>
      <c r="AP544">
        <v>5</v>
      </c>
      <c r="AQ544">
        <v>0</v>
      </c>
      <c r="AR544">
        <v>0</v>
      </c>
      <c r="AS544" t="s">
        <v>59</v>
      </c>
      <c r="AT544">
        <v>0</v>
      </c>
      <c r="AU544" t="s">
        <v>80</v>
      </c>
      <c r="AV544" t="s">
        <v>65</v>
      </c>
      <c r="AW544">
        <v>0</v>
      </c>
      <c r="AX544">
        <v>2</v>
      </c>
      <c r="AY544">
        <v>0</v>
      </c>
      <c r="AZ544">
        <v>0</v>
      </c>
      <c r="BA544">
        <v>100</v>
      </c>
      <c r="BB544">
        <v>100</v>
      </c>
      <c r="BC544">
        <v>100</v>
      </c>
      <c r="BD544">
        <v>100</v>
      </c>
      <c r="BE544">
        <v>1</v>
      </c>
      <c r="BF544">
        <v>15000</v>
      </c>
      <c r="BG544">
        <v>1000</v>
      </c>
      <c r="BH544" s="7">
        <f>ROUND(Wapato_Inventory[[#This Row],[detatched_value]]*Lookups!$B$22*Lookups!$H$48,-2)</f>
        <v>0</v>
      </c>
      <c r="BI544" s="7">
        <f>ROUND(((Wapato_Inventory[[#This Row],[land_extract]]*Lookups!$B$3) +(Lookups!$B$2*0.5))*Lookups!$H$48,-2)</f>
        <v>53000</v>
      </c>
      <c r="BJ544" s="7">
        <f>IF(Wapato_Inventory[[#This Row],[bldg_style]]="",0,Lookups!$B$2*0.5)</f>
        <v>53765.27</v>
      </c>
      <c r="BK544" s="7">
        <f>_xlfn.IFNA(VLOOKUP(Wapato_Inventory[[#This Row],[quality]],Lookups!$H$2:$J$14,3,FALSE),0)</f>
        <v>28034</v>
      </c>
      <c r="BL544" s="7">
        <f>_xlfn.IFNA(VLOOKUP(Wapato_Inventory[[#This Row],[condition]],Lookups!$H$17:$J$24,3,FALSE),0)</f>
        <v>16276</v>
      </c>
      <c r="BM544" s="7">
        <f>Wapato_Inventory[[#This Row],[Age]]*Lookups!$B$16</f>
        <v>-32619.461600000002</v>
      </c>
      <c r="BN544" s="7">
        <f>Wapato_Inventory[[#This Row],[Main Floor]]*Lookups!$B$17</f>
        <v>62617.507021999998</v>
      </c>
      <c r="BO544" s="7">
        <f>Wapato_Inventory[[#This Row],[Upper Floor]]*Lookups!$B$18</f>
        <v>0</v>
      </c>
      <c r="BP544" s="7">
        <f>Wapato_Inventory[[#This Row],[Fin BSMT]]*Lookups!$B$19</f>
        <v>0</v>
      </c>
      <c r="BQ544" s="7">
        <f>(Wapato_Inventory[[#This Row],[att_gar]]+Wapato_Inventory[[#This Row],[blt_gar]])*Lookups!$B$20</f>
        <v>0</v>
      </c>
      <c r="BR544" s="7">
        <f>Wapato_Inventory[[#This Row],[Patio]]*Lookups!$B$21</f>
        <v>0</v>
      </c>
      <c r="BS544" s="7">
        <f>SUM(Wapato_Inventory[[#This Row],[intercept]:[patio_value]])*Wapato_Inventory[[#This Row],[res_pct]]</f>
        <v>128073.31542199999</v>
      </c>
      <c r="BT544" s="7">
        <f>Wapato_Inventory[[#This Row],[land_value]]</f>
        <v>53000</v>
      </c>
      <c r="BU544" s="2">
        <f>_xlfn.IFNA(VLOOKUP(Wapato_Inventory[[#This Row],[quality]],Lookups!$A$28:$C$37,3,FALSE),1)</f>
        <v>0.96265813922927435</v>
      </c>
      <c r="BV544" s="2">
        <f>_xlfn.IFNA(VLOOKUP(Wapato_Inventory[[#This Row],[condition]],Lookups!$A$41:$C$48,3,FALSE),1)</f>
        <v>0.93399385491337139</v>
      </c>
      <c r="BW544" s="2">
        <f>IF(Wapato_Inventory[[#This Row],[decade]]="",1,_xlfn.IFNA(VLOOKUP(Wapato_Inventory[[#This Row],[decade]],Lookups!$F$28:$H$45,3,FALSE),1))</f>
        <v>0.94742695999815718</v>
      </c>
      <c r="BX544" s="2">
        <f>_xlfn.IFNA(VLOOKUP(Wapato_Inventory[[#This Row],[living_area_range]],Lookups!$K$28:$M$37,3,FALSE),1)</f>
        <v>1.0061411172456287</v>
      </c>
      <c r="BY544" s="2">
        <f>AVERAGE(Wapato_Inventory[[#This Row],[qual_adj]:[range_adj]])</f>
        <v>0.96255501784660791</v>
      </c>
      <c r="BZ544" s="7">
        <f>(Wapato_Inventory[[#This Row],[sum_land]]-IF(Wapato_Inventory[[#This Row],[no_utilities]]=1,12000,0))/IF(Wapato_Inventory[[#This Row],[unbuildable]]=1,2,1)</f>
        <v>53000</v>
      </c>
      <c r="CA544" s="7">
        <f>Wapato_Inventory[[#This Row],[pre_res]]*Wapato_Inventory[[#This Row],[overall_adj]]</f>
        <v>123277.61241169744</v>
      </c>
      <c r="CB54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44" s="3">
        <f>IF(ROUND(Wapato_Inventory[[#This Row],[adj_res]]*Lookups!$H$48,-2)&lt;Wapato_Inventory[[#This Row],[min_res]],Wapato_Inventory[[#This Row],[min_res]],ROUND(Wapato_Inventory[[#This Row],[adj_res]]*Lookups!$H$48,-2))</f>
        <v>117100</v>
      </c>
      <c r="CD544" s="3">
        <f>ROUND(Wapato_Inventory[[#This Row],[det_value]]*Lookups!$H$48,-2)</f>
        <v>0</v>
      </c>
      <c r="CE544" s="3">
        <f>Wapato_Inventory[[#This Row],[final_res]]+Wapato_Inventory[[#This Row],[final_det]]</f>
        <v>117100</v>
      </c>
      <c r="CF544" s="3">
        <f>Wapato_Inventory[[#This Row],[crop_value]]+Wapato_Inventory[[#This Row],[final_land]]+Wapato_Inventory[[#This Row],[final_imp]]</f>
        <v>167500</v>
      </c>
      <c r="CH544" t="str">
        <f t="shared" si="8"/>
        <v>update valuation set market_land =50400, market_bldg=117100, market_total =167500, market_mdno =405, market_date ='9/10/2023' where link_id = (select link_id from parcel where parcel_year = '2024' and parcel_id = '19111512057');</v>
      </c>
    </row>
    <row r="545" spans="1:86" x14ac:dyDescent="0.25">
      <c r="A545">
        <v>19111512060</v>
      </c>
      <c r="B545">
        <v>0.18</v>
      </c>
      <c r="C545">
        <v>7869</v>
      </c>
      <c r="D545" t="s">
        <v>144</v>
      </c>
      <c r="E545" t="s">
        <v>54</v>
      </c>
      <c r="F545" t="s">
        <v>54</v>
      </c>
      <c r="G545">
        <v>3</v>
      </c>
      <c r="H545" t="s">
        <v>55</v>
      </c>
      <c r="I545">
        <v>218300</v>
      </c>
      <c r="J545">
        <v>33700</v>
      </c>
      <c r="K545">
        <v>0.18</v>
      </c>
      <c r="L545">
        <f>IF(Wapato_Inventory[[#This Row],[parcel_acres]]-Wapato_Inventory[[#This Row],[non_valued_acres]] =0,0,LN(Wapato_Inventory[[#This Row],[parcel_acres]]-Wapato_Inventory[[#This Row],[non_valued_acres]]))</f>
        <v>-1.7147984280919266</v>
      </c>
      <c r="M545">
        <v>0</v>
      </c>
      <c r="N545">
        <v>0</v>
      </c>
      <c r="O545">
        <v>0</v>
      </c>
      <c r="P545">
        <v>27904.037</v>
      </c>
      <c r="Q545">
        <v>74398</v>
      </c>
      <c r="R545" s="3">
        <f>(Wapato_Inventory[[#This Row],[ln_acres]]*Wapato_Inventory[[#This Row],[coeff]])+Wapato_Inventory[[#This Row],[const]]</f>
        <v>26548.20121498104</v>
      </c>
      <c r="S545" t="s">
        <v>62</v>
      </c>
      <c r="T545">
        <v>1</v>
      </c>
      <c r="U545" t="s">
        <v>75</v>
      </c>
      <c r="V545" t="s">
        <v>69</v>
      </c>
      <c r="W545">
        <v>0</v>
      </c>
      <c r="X545">
        <v>0</v>
      </c>
      <c r="Y545">
        <v>45</v>
      </c>
      <c r="Z545">
        <v>52</v>
      </c>
      <c r="AA545">
        <v>60</v>
      </c>
      <c r="AB545">
        <v>1500</v>
      </c>
      <c r="AC545">
        <v>1482</v>
      </c>
      <c r="AD545">
        <v>1482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288</v>
      </c>
      <c r="AN545">
        <v>0</v>
      </c>
      <c r="AO545">
        <v>0</v>
      </c>
      <c r="AP545">
        <v>7</v>
      </c>
      <c r="AQ545">
        <v>0</v>
      </c>
      <c r="AR545">
        <v>0</v>
      </c>
      <c r="AS545" t="s">
        <v>59</v>
      </c>
      <c r="AT545">
        <v>1</v>
      </c>
      <c r="AU545" t="s">
        <v>64</v>
      </c>
      <c r="AV545" t="s">
        <v>65</v>
      </c>
      <c r="AW545">
        <v>0</v>
      </c>
      <c r="AX545">
        <v>4</v>
      </c>
      <c r="AY545">
        <v>0</v>
      </c>
      <c r="AZ545">
        <v>0</v>
      </c>
      <c r="BA545">
        <v>100</v>
      </c>
      <c r="BB545">
        <v>100</v>
      </c>
      <c r="BC545">
        <v>100</v>
      </c>
      <c r="BD545">
        <v>100</v>
      </c>
      <c r="BE545">
        <v>1</v>
      </c>
      <c r="BF545">
        <v>15000</v>
      </c>
      <c r="BG545">
        <v>1000</v>
      </c>
      <c r="BH545" s="7">
        <f>ROUND(Wapato_Inventory[[#This Row],[detatched_value]]*Lookups!$B$22*Lookups!$H$48,-2)</f>
        <v>0</v>
      </c>
      <c r="BI545" s="7">
        <f>ROUND(((Wapato_Inventory[[#This Row],[land_extract]]*Lookups!$B$3) +(Lookups!$B$2*0.5))*Lookups!$H$48,-2)</f>
        <v>53600</v>
      </c>
      <c r="BJ545" s="7">
        <f>IF(Wapato_Inventory[[#This Row],[bldg_style]]="",0,Lookups!$B$2*0.5)</f>
        <v>53765.27</v>
      </c>
      <c r="BK545" s="7">
        <f>_xlfn.IFNA(VLOOKUP(Wapato_Inventory[[#This Row],[quality]],Lookups!$H$2:$J$14,3,FALSE),0)</f>
        <v>48043</v>
      </c>
      <c r="BL545" s="7">
        <f>_xlfn.IFNA(VLOOKUP(Wapato_Inventory[[#This Row],[condition]],Lookups!$H$17:$J$24,3,FALSE),0)</f>
        <v>74543</v>
      </c>
      <c r="BM545" s="7">
        <f>Wapato_Inventory[[#This Row],[Age]]*Lookups!$B$16</f>
        <v>-19275.136399999999</v>
      </c>
      <c r="BN545" s="7">
        <f>Wapato_Inventory[[#This Row],[Main Floor]]*Lookups!$B$17</f>
        <v>61948.695198000001</v>
      </c>
      <c r="BO545" s="7">
        <f>Wapato_Inventory[[#This Row],[Upper Floor]]*Lookups!$B$18</f>
        <v>0</v>
      </c>
      <c r="BP545" s="7">
        <f>Wapato_Inventory[[#This Row],[Fin BSMT]]*Lookups!$B$19</f>
        <v>0</v>
      </c>
      <c r="BQ545" s="7">
        <f>(Wapato_Inventory[[#This Row],[att_gar]]+Wapato_Inventory[[#This Row],[blt_gar]])*Lookups!$B$20</f>
        <v>0</v>
      </c>
      <c r="BR545" s="7">
        <f>Wapato_Inventory[[#This Row],[Patio]]*Lookups!$B$21</f>
        <v>12477.305952000001</v>
      </c>
      <c r="BS545" s="7">
        <f>SUM(Wapato_Inventory[[#This Row],[intercept]:[patio_value]])*Wapato_Inventory[[#This Row],[res_pct]]</f>
        <v>231502.13475</v>
      </c>
      <c r="BT545" s="7">
        <f>Wapato_Inventory[[#This Row],[land_value]]</f>
        <v>53600</v>
      </c>
      <c r="BU545" s="2">
        <f>_xlfn.IFNA(VLOOKUP(Wapato_Inventory[[#This Row],[quality]],Lookups!$A$28:$C$37,3,FALSE),1)</f>
        <v>0.98196844879778955</v>
      </c>
      <c r="BV545" s="2">
        <f>_xlfn.IFNA(VLOOKUP(Wapato_Inventory[[#This Row],[condition]],Lookups!$A$41:$C$48,3,FALSE),1)</f>
        <v>0.98442438223270734</v>
      </c>
      <c r="BW545" s="2">
        <f>IF(Wapato_Inventory[[#This Row],[decade]]="",1,_xlfn.IFNA(VLOOKUP(Wapato_Inventory[[#This Row],[decade]],Lookups!$F$28:$H$45,3,FALSE),1))</f>
        <v>1.035341704162583</v>
      </c>
      <c r="BX545" s="2">
        <f>_xlfn.IFNA(VLOOKUP(Wapato_Inventory[[#This Row],[living_area_range]],Lookups!$K$28:$M$37,3,FALSE),1)</f>
        <v>1.0061411172456287</v>
      </c>
      <c r="BY545" s="2">
        <f>AVERAGE(Wapato_Inventory[[#This Row],[qual_adj]:[range_adj]])</f>
        <v>1.0019689131096772</v>
      </c>
      <c r="BZ545" s="7">
        <f>(Wapato_Inventory[[#This Row],[sum_land]]-IF(Wapato_Inventory[[#This Row],[no_utilities]]=1,12000,0))/IF(Wapato_Inventory[[#This Row],[unbuildable]]=1,2,1)</f>
        <v>53600</v>
      </c>
      <c r="CA545" s="7">
        <f>Wapato_Inventory[[#This Row],[pre_res]]*Wapato_Inventory[[#This Row],[overall_adj]]</f>
        <v>231957.94233802753</v>
      </c>
      <c r="CB545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545" s="3">
        <f>IF(ROUND(Wapato_Inventory[[#This Row],[adj_res]]*Lookups!$H$48,-2)&lt;Wapato_Inventory[[#This Row],[min_res]],Wapato_Inventory[[#This Row],[min_res]],ROUND(Wapato_Inventory[[#This Row],[adj_res]]*Lookups!$H$48,-2))</f>
        <v>220400</v>
      </c>
      <c r="CD545" s="3">
        <f>ROUND(Wapato_Inventory[[#This Row],[det_value]]*Lookups!$H$48,-2)</f>
        <v>0</v>
      </c>
      <c r="CE545" s="3">
        <f>Wapato_Inventory[[#This Row],[final_res]]+Wapato_Inventory[[#This Row],[final_det]]</f>
        <v>220400</v>
      </c>
      <c r="CF545" s="3">
        <f>Wapato_Inventory[[#This Row],[crop_value]]+Wapato_Inventory[[#This Row],[final_land]]+Wapato_Inventory[[#This Row],[final_imp]]</f>
        <v>271300</v>
      </c>
      <c r="CH545" t="str">
        <f t="shared" si="8"/>
        <v>update valuation set market_land =50900, market_bldg=220400, market_total =271300, market_mdno =405, market_date ='9/10/2023' where link_id = (select link_id from parcel where parcel_year = '2024' and parcel_id = '19111512060');</v>
      </c>
    </row>
    <row r="546" spans="1:86" x14ac:dyDescent="0.25">
      <c r="A546">
        <v>19111512066</v>
      </c>
      <c r="B546">
        <v>0.11</v>
      </c>
      <c r="C546">
        <v>4866</v>
      </c>
      <c r="D546" t="s">
        <v>144</v>
      </c>
      <c r="E546" t="s">
        <v>54</v>
      </c>
      <c r="F546" t="s">
        <v>54</v>
      </c>
      <c r="G546">
        <v>3</v>
      </c>
      <c r="H546" t="s">
        <v>55</v>
      </c>
      <c r="I546">
        <v>115100</v>
      </c>
      <c r="J546">
        <v>30200</v>
      </c>
      <c r="K546">
        <v>0.11</v>
      </c>
      <c r="L546">
        <f>IF(Wapato_Inventory[[#This Row],[parcel_acres]]-Wapato_Inventory[[#This Row],[non_valued_acres]] =0,0,LN(Wapato_Inventory[[#This Row],[parcel_acres]]-Wapato_Inventory[[#This Row],[non_valued_acres]]))</f>
        <v>-2.2072749131897207</v>
      </c>
      <c r="M546">
        <v>0</v>
      </c>
      <c r="N546">
        <v>0</v>
      </c>
      <c r="O546">
        <v>0</v>
      </c>
      <c r="P546">
        <v>27904.037</v>
      </c>
      <c r="Q546">
        <v>74398</v>
      </c>
      <c r="R546" s="3">
        <f>(Wapato_Inventory[[#This Row],[ln_acres]]*Wapato_Inventory[[#This Row],[coeff]])+Wapato_Inventory[[#This Row],[const]]</f>
        <v>12806.119153182248</v>
      </c>
      <c r="S546" t="s">
        <v>66</v>
      </c>
      <c r="T546">
        <v>1</v>
      </c>
      <c r="U546" t="s">
        <v>71</v>
      </c>
      <c r="V546" t="s">
        <v>68</v>
      </c>
      <c r="W546">
        <v>0</v>
      </c>
      <c r="X546">
        <v>0</v>
      </c>
      <c r="Y546">
        <v>51</v>
      </c>
      <c r="Z546">
        <v>83</v>
      </c>
      <c r="AA546">
        <v>90</v>
      </c>
      <c r="AB546">
        <v>1500</v>
      </c>
      <c r="AC546">
        <v>1102</v>
      </c>
      <c r="AD546">
        <v>1102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114</v>
      </c>
      <c r="AO546">
        <v>0</v>
      </c>
      <c r="AP546">
        <v>5</v>
      </c>
      <c r="AQ546">
        <v>0</v>
      </c>
      <c r="AR546">
        <v>0</v>
      </c>
      <c r="AS546" t="s">
        <v>59</v>
      </c>
      <c r="AT546">
        <v>1</v>
      </c>
      <c r="AU546" t="s">
        <v>76</v>
      </c>
      <c r="AV546" t="s">
        <v>61</v>
      </c>
      <c r="AW546">
        <v>0</v>
      </c>
      <c r="AX546">
        <v>2</v>
      </c>
      <c r="AY546">
        <v>0</v>
      </c>
      <c r="AZ546">
        <v>0</v>
      </c>
      <c r="BA546">
        <v>100</v>
      </c>
      <c r="BB546">
        <v>100</v>
      </c>
      <c r="BC546">
        <v>100</v>
      </c>
      <c r="BD546">
        <v>100</v>
      </c>
      <c r="BE546">
        <v>1</v>
      </c>
      <c r="BF546">
        <v>15000</v>
      </c>
      <c r="BG546">
        <v>1000</v>
      </c>
      <c r="BH546" s="7">
        <f>ROUND(Wapato_Inventory[[#This Row],[detatched_value]]*Lookups!$B$22*Lookups!$H$48,-2)</f>
        <v>0</v>
      </c>
      <c r="BI546" s="7">
        <f>ROUND(((Wapato_Inventory[[#This Row],[land_extract]]*Lookups!$B$3) +(Lookups!$B$2*0.5))*Lookups!$H$48,-2)</f>
        <v>52300</v>
      </c>
      <c r="BJ546" s="7">
        <f>IF(Wapato_Inventory[[#This Row],[bldg_style]]="",0,Lookups!$B$2*0.5)</f>
        <v>53765.27</v>
      </c>
      <c r="BK546" s="7">
        <f>_xlfn.IFNA(VLOOKUP(Wapato_Inventory[[#This Row],[quality]],Lookups!$H$2:$J$14,3,FALSE),0)</f>
        <v>28034</v>
      </c>
      <c r="BL546" s="7">
        <f>_xlfn.IFNA(VLOOKUP(Wapato_Inventory[[#This Row],[condition]],Lookups!$H$17:$J$24,3,FALSE),0)</f>
        <v>52231</v>
      </c>
      <c r="BM546" s="7">
        <f>Wapato_Inventory[[#This Row],[Age]]*Lookups!$B$16</f>
        <v>-30766.0831</v>
      </c>
      <c r="BN546" s="7">
        <f>Wapato_Inventory[[#This Row],[Main Floor]]*Lookups!$B$17</f>
        <v>46064.414378000001</v>
      </c>
      <c r="BO546" s="7">
        <f>Wapato_Inventory[[#This Row],[Upper Floor]]*Lookups!$B$18</f>
        <v>0</v>
      </c>
      <c r="BP546" s="7">
        <f>Wapato_Inventory[[#This Row],[Fin BSMT]]*Lookups!$B$19</f>
        <v>0</v>
      </c>
      <c r="BQ546" s="7">
        <f>(Wapato_Inventory[[#This Row],[att_gar]]+Wapato_Inventory[[#This Row],[blt_gar]])*Lookups!$B$20</f>
        <v>0</v>
      </c>
      <c r="BR546" s="7">
        <f>Wapato_Inventory[[#This Row],[Patio]]*Lookups!$B$21</f>
        <v>0</v>
      </c>
      <c r="BS546" s="7">
        <f>SUM(Wapato_Inventory[[#This Row],[intercept]:[patio_value]])*Wapato_Inventory[[#This Row],[res_pct]]</f>
        <v>149328.60127799999</v>
      </c>
      <c r="BT546" s="7">
        <f>Wapato_Inventory[[#This Row],[land_value]]</f>
        <v>52300</v>
      </c>
      <c r="BU546" s="2">
        <f>_xlfn.IFNA(VLOOKUP(Wapato_Inventory[[#This Row],[quality]],Lookups!$A$28:$C$37,3,FALSE),1)</f>
        <v>0.96265813922927435</v>
      </c>
      <c r="BV546" s="2">
        <f>_xlfn.IFNA(VLOOKUP(Wapato_Inventory[[#This Row],[condition]],Lookups!$A$41:$C$48,3,FALSE),1)</f>
        <v>0.9832333997567807</v>
      </c>
      <c r="BW546" s="2">
        <f>IF(Wapato_Inventory[[#This Row],[decade]]="",1,_xlfn.IFNA(VLOOKUP(Wapato_Inventory[[#This Row],[decade]],Lookups!$F$28:$H$45,3,FALSE),1))</f>
        <v>0.94742695999815718</v>
      </c>
      <c r="BX546" s="2">
        <f>_xlfn.IFNA(VLOOKUP(Wapato_Inventory[[#This Row],[living_area_range]],Lookups!$K$28:$M$37,3,FALSE),1)</f>
        <v>1.0061411172456287</v>
      </c>
      <c r="BY546" s="2">
        <f>AVERAGE(Wapato_Inventory[[#This Row],[qual_adj]:[range_adj]])</f>
        <v>0.97486490405746018</v>
      </c>
      <c r="BZ546" s="7">
        <f>(Wapato_Inventory[[#This Row],[sum_land]]-IF(Wapato_Inventory[[#This Row],[no_utilities]]=1,12000,0))/IF(Wapato_Inventory[[#This Row],[unbuildable]]=1,2,1)</f>
        <v>52300</v>
      </c>
      <c r="CA546" s="7">
        <f>Wapato_Inventory[[#This Row],[pre_res]]*Wapato_Inventory[[#This Row],[overall_adj]]</f>
        <v>145575.21255791219</v>
      </c>
      <c r="CB546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46" s="3">
        <f>IF(ROUND(Wapato_Inventory[[#This Row],[adj_res]]*Lookups!$H$48,-2)&lt;Wapato_Inventory[[#This Row],[min_res]],Wapato_Inventory[[#This Row],[min_res]],ROUND(Wapato_Inventory[[#This Row],[adj_res]]*Lookups!$H$48,-2))</f>
        <v>138300</v>
      </c>
      <c r="CD546" s="3">
        <f>ROUND(Wapato_Inventory[[#This Row],[det_value]]*Lookups!$H$48,-2)</f>
        <v>0</v>
      </c>
      <c r="CE546" s="3">
        <f>Wapato_Inventory[[#This Row],[final_res]]+Wapato_Inventory[[#This Row],[final_det]]</f>
        <v>138300</v>
      </c>
      <c r="CF546" s="3">
        <f>Wapato_Inventory[[#This Row],[crop_value]]+Wapato_Inventory[[#This Row],[final_land]]+Wapato_Inventory[[#This Row],[final_imp]]</f>
        <v>188000</v>
      </c>
      <c r="CH546" t="str">
        <f t="shared" si="8"/>
        <v>update valuation set market_land =49700, market_bldg=138300, market_total =188000, market_mdno =405, market_date ='9/10/2023' where link_id = (select link_id from parcel where parcel_year = '2024' and parcel_id = '19111512066');</v>
      </c>
    </row>
    <row r="547" spans="1:86" x14ac:dyDescent="0.25">
      <c r="A547">
        <v>19111512071</v>
      </c>
      <c r="B547">
        <v>0.14000000000000001</v>
      </c>
      <c r="C547">
        <v>6006</v>
      </c>
      <c r="D547" t="s">
        <v>144</v>
      </c>
      <c r="E547" t="s">
        <v>54</v>
      </c>
      <c r="F547" t="s">
        <v>54</v>
      </c>
      <c r="G547">
        <v>3</v>
      </c>
      <c r="H547" t="s">
        <v>55</v>
      </c>
      <c r="I547">
        <v>127400</v>
      </c>
      <c r="J547">
        <v>31900</v>
      </c>
      <c r="K547">
        <v>0.14000000000000001</v>
      </c>
      <c r="L547">
        <f>IF(Wapato_Inventory[[#This Row],[parcel_acres]]-Wapato_Inventory[[#This Row],[non_valued_acres]] =0,0,LN(Wapato_Inventory[[#This Row],[parcel_acres]]-Wapato_Inventory[[#This Row],[non_valued_acres]]))</f>
        <v>-1.9661128563728327</v>
      </c>
      <c r="M547">
        <v>0</v>
      </c>
      <c r="N547">
        <v>0</v>
      </c>
      <c r="O547">
        <v>0</v>
      </c>
      <c r="P547">
        <v>27904.037</v>
      </c>
      <c r="Q547">
        <v>74398</v>
      </c>
      <c r="R547" s="3">
        <f>(Wapato_Inventory[[#This Row],[ln_acres]]*Wapato_Inventory[[#This Row],[coeff]])+Wapato_Inventory[[#This Row],[const]]</f>
        <v>19535.514109596792</v>
      </c>
      <c r="S547" t="s">
        <v>66</v>
      </c>
      <c r="T547">
        <v>1</v>
      </c>
      <c r="U547" t="s">
        <v>71</v>
      </c>
      <c r="V547" t="s">
        <v>68</v>
      </c>
      <c r="W547">
        <v>0</v>
      </c>
      <c r="X547">
        <v>0</v>
      </c>
      <c r="Y547">
        <v>51</v>
      </c>
      <c r="Z547">
        <v>78</v>
      </c>
      <c r="AA547">
        <v>80</v>
      </c>
      <c r="AB547">
        <v>1500</v>
      </c>
      <c r="AC547">
        <v>1258</v>
      </c>
      <c r="AD547">
        <v>1258</v>
      </c>
      <c r="AE547">
        <v>0</v>
      </c>
      <c r="AF547">
        <v>0</v>
      </c>
      <c r="AG547">
        <v>0</v>
      </c>
      <c r="AH547">
        <v>350</v>
      </c>
      <c r="AI547">
        <v>0</v>
      </c>
      <c r="AJ547">
        <v>0</v>
      </c>
      <c r="AK547">
        <v>576</v>
      </c>
      <c r="AL547">
        <v>0</v>
      </c>
      <c r="AM547">
        <v>0</v>
      </c>
      <c r="AN547">
        <v>0</v>
      </c>
      <c r="AO547">
        <v>0</v>
      </c>
      <c r="AP547">
        <v>5</v>
      </c>
      <c r="AQ547">
        <v>0</v>
      </c>
      <c r="AR547">
        <v>0</v>
      </c>
      <c r="AS547" t="s">
        <v>59</v>
      </c>
      <c r="AT547">
        <v>1</v>
      </c>
      <c r="AU547" t="s">
        <v>76</v>
      </c>
      <c r="AV547" t="s">
        <v>61</v>
      </c>
      <c r="AW547">
        <v>0</v>
      </c>
      <c r="AX547">
        <v>2</v>
      </c>
      <c r="AY547">
        <v>0</v>
      </c>
      <c r="AZ547">
        <v>0</v>
      </c>
      <c r="BA547">
        <v>100</v>
      </c>
      <c r="BB547">
        <v>100</v>
      </c>
      <c r="BC547">
        <v>100</v>
      </c>
      <c r="BD547">
        <v>100</v>
      </c>
      <c r="BE547">
        <v>1</v>
      </c>
      <c r="BF547">
        <v>15000</v>
      </c>
      <c r="BG547">
        <v>1000</v>
      </c>
      <c r="BH547" s="7">
        <f>ROUND(Wapato_Inventory[[#This Row],[detatched_value]]*Lookups!$B$22*Lookups!$H$48,-2)</f>
        <v>0</v>
      </c>
      <c r="BI547" s="7">
        <f>ROUND(((Wapato_Inventory[[#This Row],[land_extract]]*Lookups!$B$3) +(Lookups!$B$2*0.5))*Lookups!$H$48,-2)</f>
        <v>53000</v>
      </c>
      <c r="BJ547" s="7">
        <f>IF(Wapato_Inventory[[#This Row],[bldg_style]]="",0,Lookups!$B$2*0.5)</f>
        <v>53765.27</v>
      </c>
      <c r="BK547" s="7">
        <f>_xlfn.IFNA(VLOOKUP(Wapato_Inventory[[#This Row],[quality]],Lookups!$H$2:$J$14,3,FALSE),0)</f>
        <v>28034</v>
      </c>
      <c r="BL547" s="7">
        <f>_xlfn.IFNA(VLOOKUP(Wapato_Inventory[[#This Row],[condition]],Lookups!$H$17:$J$24,3,FALSE),0)</f>
        <v>52231</v>
      </c>
      <c r="BM547" s="7">
        <f>Wapato_Inventory[[#This Row],[Age]]*Lookups!$B$16</f>
        <v>-28912.704600000001</v>
      </c>
      <c r="BN547" s="7">
        <f>Wapato_Inventory[[#This Row],[Main Floor]]*Lookups!$B$17</f>
        <v>52585.329662000004</v>
      </c>
      <c r="BO547" s="7">
        <f>Wapato_Inventory[[#This Row],[Upper Floor]]*Lookups!$B$18</f>
        <v>0</v>
      </c>
      <c r="BP547" s="7">
        <f>Wapato_Inventory[[#This Row],[Fin BSMT]]*Lookups!$B$19</f>
        <v>0</v>
      </c>
      <c r="BQ547" s="7">
        <f>(Wapato_Inventory[[#This Row],[att_gar]]+Wapato_Inventory[[#This Row],[blt_gar]])*Lookups!$B$20</f>
        <v>0</v>
      </c>
      <c r="BR547" s="7">
        <f>Wapato_Inventory[[#This Row],[Patio]]*Lookups!$B$21</f>
        <v>0</v>
      </c>
      <c r="BS547" s="7">
        <f>SUM(Wapato_Inventory[[#This Row],[intercept]:[patio_value]])*Wapato_Inventory[[#This Row],[res_pct]]</f>
        <v>157702.895062</v>
      </c>
      <c r="BT547" s="7">
        <f>Wapato_Inventory[[#This Row],[land_value]]</f>
        <v>53000</v>
      </c>
      <c r="BU547" s="2">
        <f>_xlfn.IFNA(VLOOKUP(Wapato_Inventory[[#This Row],[quality]],Lookups!$A$28:$C$37,3,FALSE),1)</f>
        <v>0.96265813922927435</v>
      </c>
      <c r="BV547" s="2">
        <f>_xlfn.IFNA(VLOOKUP(Wapato_Inventory[[#This Row],[condition]],Lookups!$A$41:$C$48,3,FALSE),1)</f>
        <v>0.9832333997567807</v>
      </c>
      <c r="BW547" s="2">
        <f>IF(Wapato_Inventory[[#This Row],[decade]]="",1,_xlfn.IFNA(VLOOKUP(Wapato_Inventory[[#This Row],[decade]],Lookups!$F$28:$H$45,3,FALSE),1))</f>
        <v>0.8438929209510081</v>
      </c>
      <c r="BX547" s="2">
        <f>_xlfn.IFNA(VLOOKUP(Wapato_Inventory[[#This Row],[living_area_range]],Lookups!$K$28:$M$37,3,FALSE),1)</f>
        <v>1.0061411172456287</v>
      </c>
      <c r="BY547" s="2">
        <f>AVERAGE(Wapato_Inventory[[#This Row],[qual_adj]:[range_adj]])</f>
        <v>0.94898139429567296</v>
      </c>
      <c r="BZ547" s="7">
        <f>(Wapato_Inventory[[#This Row],[sum_land]]-IF(Wapato_Inventory[[#This Row],[no_utilities]]=1,12000,0))/IF(Wapato_Inventory[[#This Row],[unbuildable]]=1,2,1)</f>
        <v>53000</v>
      </c>
      <c r="CA547" s="7">
        <f>Wapato_Inventory[[#This Row],[pre_res]]*Wapato_Inventory[[#This Row],[overall_adj]]</f>
        <v>149657.11324040097</v>
      </c>
      <c r="CB54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47" s="3">
        <f>IF(ROUND(Wapato_Inventory[[#This Row],[adj_res]]*Lookups!$H$48,-2)&lt;Wapato_Inventory[[#This Row],[min_res]],Wapato_Inventory[[#This Row],[min_res]],ROUND(Wapato_Inventory[[#This Row],[adj_res]]*Lookups!$H$48,-2))</f>
        <v>142200</v>
      </c>
      <c r="CD547" s="3">
        <f>ROUND(Wapato_Inventory[[#This Row],[det_value]]*Lookups!$H$48,-2)</f>
        <v>0</v>
      </c>
      <c r="CE547" s="3">
        <f>Wapato_Inventory[[#This Row],[final_res]]+Wapato_Inventory[[#This Row],[final_det]]</f>
        <v>142200</v>
      </c>
      <c r="CF547" s="3">
        <f>Wapato_Inventory[[#This Row],[crop_value]]+Wapato_Inventory[[#This Row],[final_land]]+Wapato_Inventory[[#This Row],[final_imp]]</f>
        <v>192600</v>
      </c>
      <c r="CH547" t="str">
        <f t="shared" si="8"/>
        <v>update valuation set market_land =50400, market_bldg=142200, market_total =192600, market_mdno =405, market_date ='9/10/2023' where link_id = (select link_id from parcel where parcel_year = '2024' and parcel_id = '19111512071');</v>
      </c>
    </row>
    <row r="548" spans="1:86" x14ac:dyDescent="0.25">
      <c r="A548">
        <v>19111512072</v>
      </c>
      <c r="B548">
        <v>0.11</v>
      </c>
      <c r="C548">
        <v>4733</v>
      </c>
      <c r="D548" t="s">
        <v>144</v>
      </c>
      <c r="E548" t="s">
        <v>54</v>
      </c>
      <c r="F548" t="s">
        <v>54</v>
      </c>
      <c r="G548">
        <v>3</v>
      </c>
      <c r="H548" t="s">
        <v>55</v>
      </c>
      <c r="I548">
        <v>217200</v>
      </c>
      <c r="J548">
        <v>30200</v>
      </c>
      <c r="K548">
        <v>0.11</v>
      </c>
      <c r="L548">
        <f>IF(Wapato_Inventory[[#This Row],[parcel_acres]]-Wapato_Inventory[[#This Row],[non_valued_acres]] =0,0,LN(Wapato_Inventory[[#This Row],[parcel_acres]]-Wapato_Inventory[[#This Row],[non_valued_acres]]))</f>
        <v>-2.2072749131897207</v>
      </c>
      <c r="M548">
        <v>0</v>
      </c>
      <c r="N548">
        <v>0</v>
      </c>
      <c r="O548">
        <v>0</v>
      </c>
      <c r="P548">
        <v>27904.037</v>
      </c>
      <c r="Q548">
        <v>74398</v>
      </c>
      <c r="R548" s="3">
        <f>(Wapato_Inventory[[#This Row],[ln_acres]]*Wapato_Inventory[[#This Row],[coeff]])+Wapato_Inventory[[#This Row],[const]]</f>
        <v>12806.119153182248</v>
      </c>
      <c r="S548" t="s">
        <v>62</v>
      </c>
      <c r="T548">
        <v>1</v>
      </c>
      <c r="U548" t="s">
        <v>67</v>
      </c>
      <c r="V548" t="s">
        <v>69</v>
      </c>
      <c r="W548">
        <v>0</v>
      </c>
      <c r="X548">
        <v>0</v>
      </c>
      <c r="Y548">
        <v>25</v>
      </c>
      <c r="Z548">
        <v>25</v>
      </c>
      <c r="AA548">
        <v>30</v>
      </c>
      <c r="AB548">
        <v>1500</v>
      </c>
      <c r="AC548">
        <v>1200</v>
      </c>
      <c r="AD548">
        <v>1200</v>
      </c>
      <c r="AE548">
        <v>0</v>
      </c>
      <c r="AF548">
        <v>0</v>
      </c>
      <c r="AG548">
        <v>0</v>
      </c>
      <c r="AH548">
        <v>0</v>
      </c>
      <c r="AI548">
        <v>240</v>
      </c>
      <c r="AJ548">
        <v>0</v>
      </c>
      <c r="AK548">
        <v>0</v>
      </c>
      <c r="AL548">
        <v>0</v>
      </c>
      <c r="AM548">
        <v>0</v>
      </c>
      <c r="AN548">
        <v>45</v>
      </c>
      <c r="AO548">
        <v>0</v>
      </c>
      <c r="AP548">
        <v>8</v>
      </c>
      <c r="AQ548">
        <v>0</v>
      </c>
      <c r="AR548">
        <v>0</v>
      </c>
      <c r="AS548" t="s">
        <v>59</v>
      </c>
      <c r="AT548">
        <v>1</v>
      </c>
      <c r="AU548" t="s">
        <v>64</v>
      </c>
      <c r="AV548" t="s">
        <v>65</v>
      </c>
      <c r="AW548">
        <v>1</v>
      </c>
      <c r="AX548">
        <v>3</v>
      </c>
      <c r="AY548">
        <v>0</v>
      </c>
      <c r="AZ548">
        <v>0</v>
      </c>
      <c r="BA548">
        <v>100</v>
      </c>
      <c r="BB548">
        <v>100</v>
      </c>
      <c r="BC548">
        <v>100</v>
      </c>
      <c r="BD548">
        <v>100</v>
      </c>
      <c r="BE548">
        <v>1</v>
      </c>
      <c r="BF548">
        <v>15000</v>
      </c>
      <c r="BG548">
        <v>1000</v>
      </c>
      <c r="BH548" s="7">
        <f>ROUND(Wapato_Inventory[[#This Row],[detatched_value]]*Lookups!$B$22*Lookups!$H$48,-2)</f>
        <v>0</v>
      </c>
      <c r="BI548" s="7">
        <f>ROUND(((Wapato_Inventory[[#This Row],[land_extract]]*Lookups!$B$3) +(Lookups!$B$2*0.5))*Lookups!$H$48,-2)</f>
        <v>52300</v>
      </c>
      <c r="BJ548" s="7">
        <f>IF(Wapato_Inventory[[#This Row],[bldg_style]]="",0,Lookups!$B$2*0.5)</f>
        <v>53765.27</v>
      </c>
      <c r="BK548" s="7">
        <f>_xlfn.IFNA(VLOOKUP(Wapato_Inventory[[#This Row],[quality]],Lookups!$H$2:$J$14,3,FALSE),0)</f>
        <v>50405</v>
      </c>
      <c r="BL548" s="7">
        <f>_xlfn.IFNA(VLOOKUP(Wapato_Inventory[[#This Row],[condition]],Lookups!$H$17:$J$24,3,FALSE),0)</f>
        <v>74543</v>
      </c>
      <c r="BM548" s="7">
        <f>Wapato_Inventory[[#This Row],[Age]]*Lookups!$B$16</f>
        <v>-9266.8924999999999</v>
      </c>
      <c r="BN548" s="7">
        <f>Wapato_Inventory[[#This Row],[Main Floor]]*Lookups!$B$17</f>
        <v>50160.8868</v>
      </c>
      <c r="BO548" s="7">
        <f>Wapato_Inventory[[#This Row],[Upper Floor]]*Lookups!$B$18</f>
        <v>0</v>
      </c>
      <c r="BP548" s="7">
        <f>Wapato_Inventory[[#This Row],[Fin BSMT]]*Lookups!$B$19</f>
        <v>0</v>
      </c>
      <c r="BQ548" s="7">
        <f>(Wapato_Inventory[[#This Row],[att_gar]]+Wapato_Inventory[[#This Row],[blt_gar]])*Lookups!$B$20</f>
        <v>8882.100480000001</v>
      </c>
      <c r="BR548" s="7">
        <f>Wapato_Inventory[[#This Row],[Patio]]*Lookups!$B$21</f>
        <v>0</v>
      </c>
      <c r="BS548" s="7">
        <f>SUM(Wapato_Inventory[[#This Row],[intercept]:[patio_value]])*Wapato_Inventory[[#This Row],[res_pct]]</f>
        <v>228489.36478</v>
      </c>
      <c r="BT548" s="7">
        <f>Wapato_Inventory[[#This Row],[land_value]]</f>
        <v>52300</v>
      </c>
      <c r="BU548" s="2">
        <f>_xlfn.IFNA(VLOOKUP(Wapato_Inventory[[#This Row],[quality]],Lookups!$A$28:$C$37,3,FALSE),1)</f>
        <v>0.97993206410140754</v>
      </c>
      <c r="BV548" s="2">
        <f>_xlfn.IFNA(VLOOKUP(Wapato_Inventory[[#This Row],[condition]],Lookups!$A$41:$C$48,3,FALSE),1)</f>
        <v>0.98442438223270734</v>
      </c>
      <c r="BW548" s="2">
        <f>IF(Wapato_Inventory[[#This Row],[decade]]="",1,_xlfn.IFNA(VLOOKUP(Wapato_Inventory[[#This Row],[decade]],Lookups!$F$28:$H$45,3,FALSE),1))</f>
        <v>1.0490505496896987</v>
      </c>
      <c r="BX548" s="2">
        <f>_xlfn.IFNA(VLOOKUP(Wapato_Inventory[[#This Row],[living_area_range]],Lookups!$K$28:$M$37,3,FALSE),1)</f>
        <v>1.0061411172456287</v>
      </c>
      <c r="BY548" s="2">
        <f>AVERAGE(Wapato_Inventory[[#This Row],[qual_adj]:[range_adj]])</f>
        <v>1.0048870283173605</v>
      </c>
      <c r="BZ548" s="7">
        <f>(Wapato_Inventory[[#This Row],[sum_land]]-IF(Wapato_Inventory[[#This Row],[no_utilities]]=1,12000,0))/IF(Wapato_Inventory[[#This Row],[unbuildable]]=1,2,1)</f>
        <v>52300</v>
      </c>
      <c r="CA548" s="7">
        <f>Wapato_Inventory[[#This Row],[pre_res]]*Wapato_Inventory[[#This Row],[overall_adj]]</f>
        <v>229605.9987758956</v>
      </c>
      <c r="CB548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48" s="3">
        <f>IF(ROUND(Wapato_Inventory[[#This Row],[adj_res]]*Lookups!$H$48,-2)&lt;Wapato_Inventory[[#This Row],[min_res]],Wapato_Inventory[[#This Row],[min_res]],ROUND(Wapato_Inventory[[#This Row],[adj_res]]*Lookups!$H$48,-2))</f>
        <v>218100</v>
      </c>
      <c r="CD548" s="3">
        <f>ROUND(Wapato_Inventory[[#This Row],[det_value]]*Lookups!$H$48,-2)</f>
        <v>0</v>
      </c>
      <c r="CE548" s="3">
        <f>Wapato_Inventory[[#This Row],[final_res]]+Wapato_Inventory[[#This Row],[final_det]]</f>
        <v>218100</v>
      </c>
      <c r="CF548" s="3">
        <f>Wapato_Inventory[[#This Row],[crop_value]]+Wapato_Inventory[[#This Row],[final_land]]+Wapato_Inventory[[#This Row],[final_imp]]</f>
        <v>267800</v>
      </c>
      <c r="CH548" t="str">
        <f t="shared" si="8"/>
        <v>update valuation set market_land =49700, market_bldg=218100, market_total =267800, market_mdno =405, market_date ='9/10/2023' where link_id = (select link_id from parcel where parcel_year = '2024' and parcel_id = '19111512072');</v>
      </c>
    </row>
    <row r="549" spans="1:86" x14ac:dyDescent="0.25">
      <c r="A549">
        <v>19111512074</v>
      </c>
      <c r="B549">
        <v>0.12</v>
      </c>
      <c r="C549">
        <v>5040</v>
      </c>
      <c r="D549" t="s">
        <v>144</v>
      </c>
      <c r="E549" t="s">
        <v>54</v>
      </c>
      <c r="F549" t="s">
        <v>54</v>
      </c>
      <c r="G549">
        <v>3</v>
      </c>
      <c r="H549" t="s">
        <v>55</v>
      </c>
      <c r="I549">
        <v>270700</v>
      </c>
      <c r="J549">
        <v>30800</v>
      </c>
      <c r="K549">
        <v>0.12</v>
      </c>
      <c r="L549">
        <f>IF(Wapato_Inventory[[#This Row],[parcel_acres]]-Wapato_Inventory[[#This Row],[non_valued_acres]] =0,0,LN(Wapato_Inventory[[#This Row],[parcel_acres]]-Wapato_Inventory[[#This Row],[non_valued_acres]]))</f>
        <v>-2.120263536200091</v>
      </c>
      <c r="M549">
        <v>0</v>
      </c>
      <c r="N549">
        <v>0</v>
      </c>
      <c r="O549">
        <v>0</v>
      </c>
      <c r="P549">
        <v>27904.037</v>
      </c>
      <c r="Q549">
        <v>74398</v>
      </c>
      <c r="R549" s="3">
        <f>(Wapato_Inventory[[#This Row],[ln_acres]]*Wapato_Inventory[[#This Row],[coeff]])+Wapato_Inventory[[#This Row],[const]]</f>
        <v>15234.08783612182</v>
      </c>
      <c r="S549" t="s">
        <v>66</v>
      </c>
      <c r="T549">
        <v>1</v>
      </c>
      <c r="U549" t="s">
        <v>67</v>
      </c>
      <c r="V549" t="s">
        <v>58</v>
      </c>
      <c r="W549">
        <v>0</v>
      </c>
      <c r="X549">
        <v>0</v>
      </c>
      <c r="Y549">
        <v>8</v>
      </c>
      <c r="Z549">
        <v>8</v>
      </c>
      <c r="AA549">
        <v>10</v>
      </c>
      <c r="AB549">
        <v>1500</v>
      </c>
      <c r="AC549">
        <v>1320</v>
      </c>
      <c r="AD549">
        <v>1320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120</v>
      </c>
      <c r="AO549">
        <v>0</v>
      </c>
      <c r="AP549">
        <v>8</v>
      </c>
      <c r="AQ549">
        <v>0</v>
      </c>
      <c r="AR549">
        <v>0</v>
      </c>
      <c r="AS549" t="s">
        <v>59</v>
      </c>
      <c r="AT549">
        <v>1</v>
      </c>
      <c r="AU549" t="s">
        <v>60</v>
      </c>
      <c r="AV549" t="s">
        <v>61</v>
      </c>
      <c r="AW549">
        <v>1</v>
      </c>
      <c r="AX549">
        <v>3</v>
      </c>
      <c r="AY549">
        <v>0</v>
      </c>
      <c r="AZ549">
        <v>0</v>
      </c>
      <c r="BA549">
        <v>100</v>
      </c>
      <c r="BB549">
        <v>100</v>
      </c>
      <c r="BC549">
        <v>100</v>
      </c>
      <c r="BD549">
        <v>100</v>
      </c>
      <c r="BE549">
        <v>1</v>
      </c>
      <c r="BF549">
        <v>15000</v>
      </c>
      <c r="BG549">
        <v>1000</v>
      </c>
      <c r="BH549" s="7">
        <f>ROUND(Wapato_Inventory[[#This Row],[detatched_value]]*Lookups!$B$22*Lookups!$H$48,-2)</f>
        <v>0</v>
      </c>
      <c r="BI549" s="7">
        <f>ROUND(((Wapato_Inventory[[#This Row],[land_extract]]*Lookups!$B$3) +(Lookups!$B$2*0.5))*Lookups!$H$48,-2)</f>
        <v>52500</v>
      </c>
      <c r="BJ549" s="7">
        <f>IF(Wapato_Inventory[[#This Row],[bldg_style]]="",0,Lookups!$B$2*0.5)</f>
        <v>53765.27</v>
      </c>
      <c r="BK549" s="7">
        <f>_xlfn.IFNA(VLOOKUP(Wapato_Inventory[[#This Row],[quality]],Lookups!$H$2:$J$14,3,FALSE),0)</f>
        <v>50405</v>
      </c>
      <c r="BL549" s="7">
        <f>_xlfn.IFNA(VLOOKUP(Wapato_Inventory[[#This Row],[condition]],Lookups!$H$17:$J$24,3,FALSE),0)</f>
        <v>122095</v>
      </c>
      <c r="BM549" s="7">
        <f>Wapato_Inventory[[#This Row],[Age]]*Lookups!$B$16</f>
        <v>-2965.4056</v>
      </c>
      <c r="BN549" s="7">
        <f>Wapato_Inventory[[#This Row],[Main Floor]]*Lookups!$B$17</f>
        <v>55176.975480000001</v>
      </c>
      <c r="BO549" s="7">
        <f>Wapato_Inventory[[#This Row],[Upper Floor]]*Lookups!$B$18</f>
        <v>0</v>
      </c>
      <c r="BP549" s="7">
        <f>Wapato_Inventory[[#This Row],[Fin BSMT]]*Lookups!$B$19</f>
        <v>0</v>
      </c>
      <c r="BQ549" s="7">
        <f>(Wapato_Inventory[[#This Row],[att_gar]]+Wapato_Inventory[[#This Row],[blt_gar]])*Lookups!$B$20</f>
        <v>0</v>
      </c>
      <c r="BR549" s="7">
        <f>Wapato_Inventory[[#This Row],[Patio]]*Lookups!$B$21</f>
        <v>0</v>
      </c>
      <c r="BS549" s="7">
        <f>SUM(Wapato_Inventory[[#This Row],[intercept]:[patio_value]])*Wapato_Inventory[[#This Row],[res_pct]]</f>
        <v>278476.83987999998</v>
      </c>
      <c r="BT549" s="7">
        <f>Wapato_Inventory[[#This Row],[land_value]]</f>
        <v>52500</v>
      </c>
      <c r="BU549" s="2">
        <f>_xlfn.IFNA(VLOOKUP(Wapato_Inventory[[#This Row],[quality]],Lookups!$A$28:$C$37,3,FALSE),1)</f>
        <v>0.97993206410140754</v>
      </c>
      <c r="BV549" s="2">
        <f>_xlfn.IFNA(VLOOKUP(Wapato_Inventory[[#This Row],[condition]],Lookups!$A$41:$C$48,3,FALSE),1)</f>
        <v>1.00041560026225</v>
      </c>
      <c r="BW549" s="2">
        <f>IF(Wapato_Inventory[[#This Row],[decade]]="",1,_xlfn.IFNA(VLOOKUP(Wapato_Inventory[[#This Row],[decade]],Lookups!$F$28:$H$45,3,FALSE),1))</f>
        <v>1.0321018519633791</v>
      </c>
      <c r="BX549" s="2">
        <f>_xlfn.IFNA(VLOOKUP(Wapato_Inventory[[#This Row],[living_area_range]],Lookups!$K$28:$M$37,3,FALSE),1)</f>
        <v>1.0061411172456287</v>
      </c>
      <c r="BY549" s="2">
        <f>AVERAGE(Wapato_Inventory[[#This Row],[qual_adj]:[range_adj]])</f>
        <v>1.0046476583931663</v>
      </c>
      <c r="BZ549" s="7">
        <f>(Wapato_Inventory[[#This Row],[sum_land]]-IF(Wapato_Inventory[[#This Row],[no_utilities]]=1,12000,0))/IF(Wapato_Inventory[[#This Row],[unbuildable]]=1,2,1)</f>
        <v>52500</v>
      </c>
      <c r="CA549" s="7">
        <f>Wapato_Inventory[[#This Row],[pre_res]]*Wapato_Inventory[[#This Row],[overall_adj]]</f>
        <v>279771.10510217067</v>
      </c>
      <c r="CB549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549" s="3">
        <f>IF(ROUND(Wapato_Inventory[[#This Row],[adj_res]]*Lookups!$H$48,-2)&lt;Wapato_Inventory[[#This Row],[min_res]],Wapato_Inventory[[#This Row],[min_res]],ROUND(Wapato_Inventory[[#This Row],[adj_res]]*Lookups!$H$48,-2))</f>
        <v>265800</v>
      </c>
      <c r="CD549" s="3">
        <f>ROUND(Wapato_Inventory[[#This Row],[det_value]]*Lookups!$H$48,-2)</f>
        <v>0</v>
      </c>
      <c r="CE549" s="3">
        <f>Wapato_Inventory[[#This Row],[final_res]]+Wapato_Inventory[[#This Row],[final_det]]</f>
        <v>265800</v>
      </c>
      <c r="CF549" s="3">
        <f>Wapato_Inventory[[#This Row],[crop_value]]+Wapato_Inventory[[#This Row],[final_land]]+Wapato_Inventory[[#This Row],[final_imp]]</f>
        <v>315700</v>
      </c>
      <c r="CH549" t="str">
        <f t="shared" si="8"/>
        <v>update valuation set market_land =49900, market_bldg=265800, market_total =315700, market_mdno =405, market_date ='9/10/2023' where link_id = (select link_id from parcel where parcel_year = '2024' and parcel_id = '19111512074');</v>
      </c>
    </row>
    <row r="550" spans="1:86" x14ac:dyDescent="0.25">
      <c r="A550">
        <v>19111512400</v>
      </c>
      <c r="B550">
        <v>0.16</v>
      </c>
      <c r="C550">
        <v>7128</v>
      </c>
      <c r="D550" t="s">
        <v>144</v>
      </c>
      <c r="E550" t="s">
        <v>54</v>
      </c>
      <c r="F550" t="s">
        <v>54</v>
      </c>
      <c r="G550">
        <v>3</v>
      </c>
      <c r="H550" t="s">
        <v>55</v>
      </c>
      <c r="I550">
        <v>231300</v>
      </c>
      <c r="J550">
        <v>32800</v>
      </c>
      <c r="K550">
        <v>0.16</v>
      </c>
      <c r="L550">
        <f>IF(Wapato_Inventory[[#This Row],[parcel_acres]]-Wapato_Inventory[[#This Row],[non_valued_acres]] =0,0,LN(Wapato_Inventory[[#This Row],[parcel_acres]]-Wapato_Inventory[[#This Row],[non_valued_acres]]))</f>
        <v>-1.8325814637483102</v>
      </c>
      <c r="M550">
        <v>0</v>
      </c>
      <c r="N550">
        <v>0</v>
      </c>
      <c r="O550">
        <v>0</v>
      </c>
      <c r="P550">
        <v>27904.037</v>
      </c>
      <c r="Q550">
        <v>74398</v>
      </c>
      <c r="R550" s="3">
        <f>(Wapato_Inventory[[#This Row],[ln_acres]]*Wapato_Inventory[[#This Row],[coeff]])+Wapato_Inventory[[#This Row],[const]]</f>
        <v>23261.579030052992</v>
      </c>
      <c r="S550" t="s">
        <v>66</v>
      </c>
      <c r="T550">
        <v>1</v>
      </c>
      <c r="U550" t="s">
        <v>75</v>
      </c>
      <c r="V550" t="s">
        <v>69</v>
      </c>
      <c r="W550">
        <v>0</v>
      </c>
      <c r="X550">
        <v>0</v>
      </c>
      <c r="Y550">
        <v>52</v>
      </c>
      <c r="Z550">
        <v>88</v>
      </c>
      <c r="AA550">
        <v>90</v>
      </c>
      <c r="AB550">
        <v>2000</v>
      </c>
      <c r="AC550">
        <v>1740</v>
      </c>
      <c r="AD550">
        <v>1740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720</v>
      </c>
      <c r="AL550">
        <v>0</v>
      </c>
      <c r="AM550">
        <v>0</v>
      </c>
      <c r="AN550">
        <v>60</v>
      </c>
      <c r="AO550">
        <v>0</v>
      </c>
      <c r="AP550">
        <v>8</v>
      </c>
      <c r="AQ550">
        <v>0</v>
      </c>
      <c r="AR550">
        <v>0</v>
      </c>
      <c r="AS550" t="s">
        <v>59</v>
      </c>
      <c r="AT550">
        <v>1</v>
      </c>
      <c r="AU550" t="s">
        <v>64</v>
      </c>
      <c r="AV550" t="s">
        <v>61</v>
      </c>
      <c r="AW550">
        <v>1</v>
      </c>
      <c r="AX550">
        <v>4</v>
      </c>
      <c r="AY550">
        <v>0</v>
      </c>
      <c r="AZ550">
        <v>0</v>
      </c>
      <c r="BA550">
        <v>100</v>
      </c>
      <c r="BB550">
        <v>100</v>
      </c>
      <c r="BC550">
        <v>100</v>
      </c>
      <c r="BD550">
        <v>100</v>
      </c>
      <c r="BE550">
        <v>1</v>
      </c>
      <c r="BF550">
        <v>15000</v>
      </c>
      <c r="BG550">
        <v>1000</v>
      </c>
      <c r="BH550" s="7">
        <f>ROUND(Wapato_Inventory[[#This Row],[detatched_value]]*Lookups!$B$22*Lookups!$H$48,-2)</f>
        <v>0</v>
      </c>
      <c r="BI550" s="7">
        <f>ROUND(((Wapato_Inventory[[#This Row],[land_extract]]*Lookups!$B$3) +(Lookups!$B$2*0.5))*Lookups!$H$48,-2)</f>
        <v>53300</v>
      </c>
      <c r="BJ550" s="7">
        <f>IF(Wapato_Inventory[[#This Row],[bldg_style]]="",0,Lookups!$B$2*0.5)</f>
        <v>53765.27</v>
      </c>
      <c r="BK550" s="7">
        <f>_xlfn.IFNA(VLOOKUP(Wapato_Inventory[[#This Row],[quality]],Lookups!$H$2:$J$14,3,FALSE),0)</f>
        <v>48043</v>
      </c>
      <c r="BL550" s="7">
        <f>_xlfn.IFNA(VLOOKUP(Wapato_Inventory[[#This Row],[condition]],Lookups!$H$17:$J$24,3,FALSE),0)</f>
        <v>74543</v>
      </c>
      <c r="BM550" s="7">
        <f>Wapato_Inventory[[#This Row],[Age]]*Lookups!$B$16</f>
        <v>-32619.461600000002</v>
      </c>
      <c r="BN550" s="7">
        <f>Wapato_Inventory[[#This Row],[Main Floor]]*Lookups!$B$17</f>
        <v>72733.285860000004</v>
      </c>
      <c r="BO550" s="7">
        <f>Wapato_Inventory[[#This Row],[Upper Floor]]*Lookups!$B$18</f>
        <v>0</v>
      </c>
      <c r="BP550" s="7">
        <f>Wapato_Inventory[[#This Row],[Fin BSMT]]*Lookups!$B$19</f>
        <v>0</v>
      </c>
      <c r="BQ550" s="7">
        <f>(Wapato_Inventory[[#This Row],[att_gar]]+Wapato_Inventory[[#This Row],[blt_gar]])*Lookups!$B$20</f>
        <v>0</v>
      </c>
      <c r="BR550" s="7">
        <f>Wapato_Inventory[[#This Row],[Patio]]*Lookups!$B$21</f>
        <v>0</v>
      </c>
      <c r="BS550" s="7">
        <f>SUM(Wapato_Inventory[[#This Row],[intercept]:[patio_value]])*Wapato_Inventory[[#This Row],[res_pct]]</f>
        <v>216465.09425999998</v>
      </c>
      <c r="BT550" s="7">
        <f>Wapato_Inventory[[#This Row],[land_value]]</f>
        <v>53300</v>
      </c>
      <c r="BU550" s="2">
        <f>_xlfn.IFNA(VLOOKUP(Wapato_Inventory[[#This Row],[quality]],Lookups!$A$28:$C$37,3,FALSE),1)</f>
        <v>0.98196844879778955</v>
      </c>
      <c r="BV550" s="2">
        <f>_xlfn.IFNA(VLOOKUP(Wapato_Inventory[[#This Row],[condition]],Lookups!$A$41:$C$48,3,FALSE),1)</f>
        <v>0.98442438223270734</v>
      </c>
      <c r="BW550" s="2">
        <f>IF(Wapato_Inventory[[#This Row],[decade]]="",1,_xlfn.IFNA(VLOOKUP(Wapato_Inventory[[#This Row],[decade]],Lookups!$F$28:$H$45,3,FALSE),1))</f>
        <v>0.94742695999815718</v>
      </c>
      <c r="BX550" s="2">
        <f>_xlfn.IFNA(VLOOKUP(Wapato_Inventory[[#This Row],[living_area_range]],Lookups!$K$28:$M$37,3,FALSE),1)</f>
        <v>0.99330894324714125</v>
      </c>
      <c r="BY550" s="2">
        <f>AVERAGE(Wapato_Inventory[[#This Row],[qual_adj]:[range_adj]])</f>
        <v>0.97678218356894875</v>
      </c>
      <c r="BZ550" s="7">
        <f>(Wapato_Inventory[[#This Row],[sum_land]]-IF(Wapato_Inventory[[#This Row],[no_utilities]]=1,12000,0))/IF(Wapato_Inventory[[#This Row],[unbuildable]]=1,2,1)</f>
        <v>53300</v>
      </c>
      <c r="CA550" s="7">
        <f>Wapato_Inventory[[#This Row],[pre_res]]*Wapato_Inventory[[#This Row],[overall_adj]]</f>
        <v>211439.24743774108</v>
      </c>
      <c r="CB550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550" s="3">
        <f>IF(ROUND(Wapato_Inventory[[#This Row],[adj_res]]*Lookups!$H$48,-2)&lt;Wapato_Inventory[[#This Row],[min_res]],Wapato_Inventory[[#This Row],[min_res]],ROUND(Wapato_Inventory[[#This Row],[adj_res]]*Lookups!$H$48,-2))</f>
        <v>200900</v>
      </c>
      <c r="CD550" s="3">
        <f>ROUND(Wapato_Inventory[[#This Row],[det_value]]*Lookups!$H$48,-2)</f>
        <v>0</v>
      </c>
      <c r="CE550" s="3">
        <f>Wapato_Inventory[[#This Row],[final_res]]+Wapato_Inventory[[#This Row],[final_det]]</f>
        <v>200900</v>
      </c>
      <c r="CF550" s="3">
        <f>Wapato_Inventory[[#This Row],[crop_value]]+Wapato_Inventory[[#This Row],[final_land]]+Wapato_Inventory[[#This Row],[final_imp]]</f>
        <v>251500</v>
      </c>
      <c r="CH550" t="str">
        <f t="shared" si="8"/>
        <v>update valuation set market_land =50600, market_bldg=200900, market_total =251500, market_mdno =405, market_date ='9/10/2023' where link_id = (select link_id from parcel where parcel_year = '2024' and parcel_id = '19111512400');</v>
      </c>
    </row>
    <row r="551" spans="1:86" x14ac:dyDescent="0.25">
      <c r="A551">
        <v>19111512401</v>
      </c>
      <c r="B551">
        <v>0.14000000000000001</v>
      </c>
      <c r="C551">
        <v>6015</v>
      </c>
      <c r="D551" t="s">
        <v>144</v>
      </c>
      <c r="E551" t="s">
        <v>54</v>
      </c>
      <c r="F551" t="s">
        <v>54</v>
      </c>
      <c r="G551">
        <v>3</v>
      </c>
      <c r="H551" t="s">
        <v>55</v>
      </c>
      <c r="I551">
        <v>161300</v>
      </c>
      <c r="J551">
        <v>31900</v>
      </c>
      <c r="K551">
        <v>0.14000000000000001</v>
      </c>
      <c r="L551">
        <f>IF(Wapato_Inventory[[#This Row],[parcel_acres]]-Wapato_Inventory[[#This Row],[non_valued_acres]] =0,0,LN(Wapato_Inventory[[#This Row],[parcel_acres]]-Wapato_Inventory[[#This Row],[non_valued_acres]]))</f>
        <v>-1.9661128563728327</v>
      </c>
      <c r="M551">
        <v>0</v>
      </c>
      <c r="N551">
        <v>0</v>
      </c>
      <c r="O551">
        <v>0</v>
      </c>
      <c r="P551">
        <v>27904.037</v>
      </c>
      <c r="Q551">
        <v>74398</v>
      </c>
      <c r="R551" s="3">
        <f>(Wapato_Inventory[[#This Row],[ln_acres]]*Wapato_Inventory[[#This Row],[coeff]])+Wapato_Inventory[[#This Row],[const]]</f>
        <v>19535.514109596792</v>
      </c>
      <c r="S551" t="s">
        <v>62</v>
      </c>
      <c r="T551">
        <v>1</v>
      </c>
      <c r="U551" t="s">
        <v>75</v>
      </c>
      <c r="V551" t="s">
        <v>68</v>
      </c>
      <c r="W551">
        <v>0</v>
      </c>
      <c r="X551">
        <v>0</v>
      </c>
      <c r="Y551">
        <v>46</v>
      </c>
      <c r="Z551">
        <v>53</v>
      </c>
      <c r="AA551">
        <v>60</v>
      </c>
      <c r="AB551">
        <v>1500</v>
      </c>
      <c r="AC551">
        <v>1196</v>
      </c>
      <c r="AD551">
        <v>1196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686</v>
      </c>
      <c r="AL551">
        <v>0</v>
      </c>
      <c r="AM551">
        <v>51</v>
      </c>
      <c r="AN551">
        <v>0</v>
      </c>
      <c r="AO551">
        <v>51</v>
      </c>
      <c r="AP551">
        <v>6</v>
      </c>
      <c r="AQ551">
        <v>0</v>
      </c>
      <c r="AR551">
        <v>0</v>
      </c>
      <c r="AS551" t="s">
        <v>59</v>
      </c>
      <c r="AT551">
        <v>1</v>
      </c>
      <c r="AU551" t="s">
        <v>64</v>
      </c>
      <c r="AV551" t="s">
        <v>65</v>
      </c>
      <c r="AW551">
        <v>0</v>
      </c>
      <c r="AX551">
        <v>3</v>
      </c>
      <c r="AY551">
        <v>0</v>
      </c>
      <c r="AZ551">
        <v>0</v>
      </c>
      <c r="BA551">
        <v>100</v>
      </c>
      <c r="BB551">
        <v>100</v>
      </c>
      <c r="BC551">
        <v>100</v>
      </c>
      <c r="BD551">
        <v>100</v>
      </c>
      <c r="BE551">
        <v>1</v>
      </c>
      <c r="BF551">
        <v>15000</v>
      </c>
      <c r="BG551">
        <v>1000</v>
      </c>
      <c r="BH551" s="7">
        <f>ROUND(Wapato_Inventory[[#This Row],[detatched_value]]*Lookups!$B$22*Lookups!$H$48,-2)</f>
        <v>0</v>
      </c>
      <c r="BI551" s="7">
        <f>ROUND(((Wapato_Inventory[[#This Row],[land_extract]]*Lookups!$B$3) +(Lookups!$B$2*0.5))*Lookups!$H$48,-2)</f>
        <v>53000</v>
      </c>
      <c r="BJ551" s="7">
        <f>IF(Wapato_Inventory[[#This Row],[bldg_style]]="",0,Lookups!$B$2*0.5)</f>
        <v>53765.27</v>
      </c>
      <c r="BK551" s="7">
        <f>_xlfn.IFNA(VLOOKUP(Wapato_Inventory[[#This Row],[quality]],Lookups!$H$2:$J$14,3,FALSE),0)</f>
        <v>48043</v>
      </c>
      <c r="BL551" s="7">
        <f>_xlfn.IFNA(VLOOKUP(Wapato_Inventory[[#This Row],[condition]],Lookups!$H$17:$J$24,3,FALSE),0)</f>
        <v>52231</v>
      </c>
      <c r="BM551" s="7">
        <f>Wapato_Inventory[[#This Row],[Age]]*Lookups!$B$16</f>
        <v>-19645.812099999999</v>
      </c>
      <c r="BN551" s="7">
        <f>Wapato_Inventory[[#This Row],[Main Floor]]*Lookups!$B$17</f>
        <v>49993.683843999999</v>
      </c>
      <c r="BO551" s="7">
        <f>Wapato_Inventory[[#This Row],[Upper Floor]]*Lookups!$B$18</f>
        <v>0</v>
      </c>
      <c r="BP551" s="7">
        <f>Wapato_Inventory[[#This Row],[Fin BSMT]]*Lookups!$B$19</f>
        <v>0</v>
      </c>
      <c r="BQ551" s="7">
        <f>(Wapato_Inventory[[#This Row],[att_gar]]+Wapato_Inventory[[#This Row],[blt_gar]])*Lookups!$B$20</f>
        <v>0</v>
      </c>
      <c r="BR551" s="7">
        <f>Wapato_Inventory[[#This Row],[Patio]]*Lookups!$B$21</f>
        <v>2209.5229290000002</v>
      </c>
      <c r="BS551" s="7">
        <f>SUM(Wapato_Inventory[[#This Row],[intercept]:[patio_value]])*Wapato_Inventory[[#This Row],[res_pct]]</f>
        <v>186596.66467299996</v>
      </c>
      <c r="BT551" s="7">
        <f>Wapato_Inventory[[#This Row],[land_value]]</f>
        <v>53000</v>
      </c>
      <c r="BU551" s="2">
        <f>_xlfn.IFNA(VLOOKUP(Wapato_Inventory[[#This Row],[quality]],Lookups!$A$28:$C$37,3,FALSE),1)</f>
        <v>0.98196844879778955</v>
      </c>
      <c r="BV551" s="2">
        <f>_xlfn.IFNA(VLOOKUP(Wapato_Inventory[[#This Row],[condition]],Lookups!$A$41:$C$48,3,FALSE),1)</f>
        <v>0.9832333997567807</v>
      </c>
      <c r="BW551" s="2">
        <f>IF(Wapato_Inventory[[#This Row],[decade]]="",1,_xlfn.IFNA(VLOOKUP(Wapato_Inventory[[#This Row],[decade]],Lookups!$F$28:$H$45,3,FALSE),1))</f>
        <v>1.035341704162583</v>
      </c>
      <c r="BX551" s="2">
        <f>_xlfn.IFNA(VLOOKUP(Wapato_Inventory[[#This Row],[living_area_range]],Lookups!$K$28:$M$37,3,FALSE),1)</f>
        <v>1.0061411172456287</v>
      </c>
      <c r="BY551" s="2">
        <f>AVERAGE(Wapato_Inventory[[#This Row],[qual_adj]:[range_adj]])</f>
        <v>1.0016711674906955</v>
      </c>
      <c r="BZ551" s="7">
        <f>(Wapato_Inventory[[#This Row],[sum_land]]-IF(Wapato_Inventory[[#This Row],[no_utilities]]=1,12000,0))/IF(Wapato_Inventory[[#This Row],[unbuildable]]=1,2,1)</f>
        <v>53000</v>
      </c>
      <c r="CA551" s="7">
        <f>Wapato_Inventory[[#This Row],[pre_res]]*Wapato_Inventory[[#This Row],[overall_adj]]</f>
        <v>186908.49895287369</v>
      </c>
      <c r="CB55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51" s="3">
        <f>IF(ROUND(Wapato_Inventory[[#This Row],[adj_res]]*Lookups!$H$48,-2)&lt;Wapato_Inventory[[#This Row],[min_res]],Wapato_Inventory[[#This Row],[min_res]],ROUND(Wapato_Inventory[[#This Row],[adj_res]]*Lookups!$H$48,-2))</f>
        <v>177600</v>
      </c>
      <c r="CD551" s="3">
        <f>ROUND(Wapato_Inventory[[#This Row],[det_value]]*Lookups!$H$48,-2)</f>
        <v>0</v>
      </c>
      <c r="CE551" s="3">
        <f>Wapato_Inventory[[#This Row],[final_res]]+Wapato_Inventory[[#This Row],[final_det]]</f>
        <v>177600</v>
      </c>
      <c r="CF551" s="3">
        <f>Wapato_Inventory[[#This Row],[crop_value]]+Wapato_Inventory[[#This Row],[final_land]]+Wapato_Inventory[[#This Row],[final_imp]]</f>
        <v>228000</v>
      </c>
      <c r="CH551" t="str">
        <f t="shared" si="8"/>
        <v>update valuation set market_land =50400, market_bldg=177600, market_total =228000, market_mdno =405, market_date ='9/10/2023' where link_id = (select link_id from parcel where parcel_year = '2024' and parcel_id = '19111512401');</v>
      </c>
    </row>
    <row r="552" spans="1:86" x14ac:dyDescent="0.25">
      <c r="A552">
        <v>19111512402</v>
      </c>
      <c r="B552">
        <v>0.12</v>
      </c>
      <c r="C552">
        <v>5318</v>
      </c>
      <c r="D552" t="s">
        <v>144</v>
      </c>
      <c r="E552" t="s">
        <v>54</v>
      </c>
      <c r="F552" t="s">
        <v>54</v>
      </c>
      <c r="G552">
        <v>3</v>
      </c>
      <c r="H552" t="s">
        <v>55</v>
      </c>
      <c r="I552">
        <v>111200</v>
      </c>
      <c r="J552">
        <v>30800</v>
      </c>
      <c r="K552">
        <v>0.12</v>
      </c>
      <c r="L552">
        <f>IF(Wapato_Inventory[[#This Row],[parcel_acres]]-Wapato_Inventory[[#This Row],[non_valued_acres]] =0,0,LN(Wapato_Inventory[[#This Row],[parcel_acres]]-Wapato_Inventory[[#This Row],[non_valued_acres]]))</f>
        <v>-2.120263536200091</v>
      </c>
      <c r="M552">
        <v>0</v>
      </c>
      <c r="N552">
        <v>0</v>
      </c>
      <c r="O552">
        <v>0</v>
      </c>
      <c r="P552">
        <v>27904.037</v>
      </c>
      <c r="Q552">
        <v>74398</v>
      </c>
      <c r="R552" s="3">
        <f>(Wapato_Inventory[[#This Row],[ln_acres]]*Wapato_Inventory[[#This Row],[coeff]])+Wapato_Inventory[[#This Row],[const]]</f>
        <v>15234.08783612182</v>
      </c>
      <c r="S552" t="s">
        <v>66</v>
      </c>
      <c r="T552">
        <v>1</v>
      </c>
      <c r="U552" t="s">
        <v>71</v>
      </c>
      <c r="V552" t="s">
        <v>68</v>
      </c>
      <c r="W552">
        <v>0</v>
      </c>
      <c r="X552">
        <v>0</v>
      </c>
      <c r="Y552">
        <v>57</v>
      </c>
      <c r="Z552">
        <v>103</v>
      </c>
      <c r="AA552">
        <v>110</v>
      </c>
      <c r="AB552">
        <v>1000</v>
      </c>
      <c r="AC552">
        <v>888</v>
      </c>
      <c r="AD552">
        <v>888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117</v>
      </c>
      <c r="AN552">
        <v>0</v>
      </c>
      <c r="AO552">
        <v>117</v>
      </c>
      <c r="AP552">
        <v>5</v>
      </c>
      <c r="AQ552">
        <v>0</v>
      </c>
      <c r="AR552">
        <v>0</v>
      </c>
      <c r="AS552" t="s">
        <v>59</v>
      </c>
      <c r="AT552">
        <v>1</v>
      </c>
      <c r="AU552" t="s">
        <v>64</v>
      </c>
      <c r="AV552" t="s">
        <v>61</v>
      </c>
      <c r="AW552">
        <v>0</v>
      </c>
      <c r="AX552">
        <v>2</v>
      </c>
      <c r="AY552">
        <v>0</v>
      </c>
      <c r="AZ552">
        <v>3100</v>
      </c>
      <c r="BA552">
        <v>100</v>
      </c>
      <c r="BB552">
        <v>100</v>
      </c>
      <c r="BC552">
        <v>100</v>
      </c>
      <c r="BD552">
        <v>100</v>
      </c>
      <c r="BE552">
        <v>1</v>
      </c>
      <c r="BF552">
        <v>15000</v>
      </c>
      <c r="BG552">
        <v>1000</v>
      </c>
      <c r="BH552" s="7">
        <f>ROUND(Wapato_Inventory[[#This Row],[detatched_value]]*Lookups!$B$22*Lookups!$H$48,-2)</f>
        <v>2800</v>
      </c>
      <c r="BI552" s="7">
        <f>ROUND(((Wapato_Inventory[[#This Row],[land_extract]]*Lookups!$B$3) +(Lookups!$B$2*0.5))*Lookups!$H$48,-2)</f>
        <v>52500</v>
      </c>
      <c r="BJ552" s="7">
        <f>IF(Wapato_Inventory[[#This Row],[bldg_style]]="",0,Lookups!$B$2*0.5)</f>
        <v>53765.27</v>
      </c>
      <c r="BK552" s="7">
        <f>_xlfn.IFNA(VLOOKUP(Wapato_Inventory[[#This Row],[quality]],Lookups!$H$2:$J$14,3,FALSE),0)</f>
        <v>28034</v>
      </c>
      <c r="BL552" s="7">
        <f>_xlfn.IFNA(VLOOKUP(Wapato_Inventory[[#This Row],[condition]],Lookups!$H$17:$J$24,3,FALSE),0)</f>
        <v>52231</v>
      </c>
      <c r="BM552" s="7">
        <f>Wapato_Inventory[[#This Row],[Age]]*Lookups!$B$16</f>
        <v>-38179.597099999999</v>
      </c>
      <c r="BN552" s="7">
        <f>Wapato_Inventory[[#This Row],[Main Floor]]*Lookups!$B$17</f>
        <v>37119.056232000003</v>
      </c>
      <c r="BO552" s="7">
        <f>Wapato_Inventory[[#This Row],[Upper Floor]]*Lookups!$B$18</f>
        <v>0</v>
      </c>
      <c r="BP552" s="7">
        <f>Wapato_Inventory[[#This Row],[Fin BSMT]]*Lookups!$B$19</f>
        <v>0</v>
      </c>
      <c r="BQ552" s="7">
        <f>(Wapato_Inventory[[#This Row],[att_gar]]+Wapato_Inventory[[#This Row],[blt_gar]])*Lookups!$B$20</f>
        <v>0</v>
      </c>
      <c r="BR552" s="7">
        <f>Wapato_Inventory[[#This Row],[Patio]]*Lookups!$B$21</f>
        <v>5068.9055429999999</v>
      </c>
      <c r="BS552" s="7">
        <f>SUM(Wapato_Inventory[[#This Row],[intercept]:[patio_value]])*Wapato_Inventory[[#This Row],[res_pct]]</f>
        <v>138038.63467500001</v>
      </c>
      <c r="BT552" s="7">
        <f>Wapato_Inventory[[#This Row],[land_value]]</f>
        <v>52500</v>
      </c>
      <c r="BU552" s="2">
        <f>_xlfn.IFNA(VLOOKUP(Wapato_Inventory[[#This Row],[quality]],Lookups!$A$28:$C$37,3,FALSE),1)</f>
        <v>0.96265813922927435</v>
      </c>
      <c r="BV552" s="2">
        <f>_xlfn.IFNA(VLOOKUP(Wapato_Inventory[[#This Row],[condition]],Lookups!$A$41:$C$48,3,FALSE),1)</f>
        <v>0.9832333997567807</v>
      </c>
      <c r="BW552" s="2">
        <f>IF(Wapato_Inventory[[#This Row],[decade]]="",1,_xlfn.IFNA(VLOOKUP(Wapato_Inventory[[#This Row],[decade]],Lookups!$F$28:$H$45,3,FALSE),1))</f>
        <v>0.93664589651353292</v>
      </c>
      <c r="BX552" s="2">
        <f>_xlfn.IFNA(VLOOKUP(Wapato_Inventory[[#This Row],[living_area_range]],Lookups!$K$28:$M$37,3,FALSE),1)</f>
        <v>0.99022994770196116</v>
      </c>
      <c r="BY552" s="2">
        <f>AVERAGE(Wapato_Inventory[[#This Row],[qual_adj]:[range_adj]])</f>
        <v>0.9681918458003872</v>
      </c>
      <c r="BZ552" s="7">
        <f>(Wapato_Inventory[[#This Row],[sum_land]]-IF(Wapato_Inventory[[#This Row],[no_utilities]]=1,12000,0))/IF(Wapato_Inventory[[#This Row],[unbuildable]]=1,2,1)</f>
        <v>52500</v>
      </c>
      <c r="CA552" s="7">
        <f>Wapato_Inventory[[#This Row],[pre_res]]*Wapato_Inventory[[#This Row],[overall_adj]]</f>
        <v>133647.88049775359</v>
      </c>
      <c r="CB552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552" s="3">
        <f>IF(ROUND(Wapato_Inventory[[#This Row],[adj_res]]*Lookups!$H$48,-2)&lt;Wapato_Inventory[[#This Row],[min_res]],Wapato_Inventory[[#This Row],[min_res]],ROUND(Wapato_Inventory[[#This Row],[adj_res]]*Lookups!$H$48,-2))</f>
        <v>127000</v>
      </c>
      <c r="CD552" s="3">
        <f>ROUND(Wapato_Inventory[[#This Row],[det_value]]*Lookups!$H$48,-2)</f>
        <v>2700</v>
      </c>
      <c r="CE552" s="3">
        <f>Wapato_Inventory[[#This Row],[final_res]]+Wapato_Inventory[[#This Row],[final_det]]</f>
        <v>129700</v>
      </c>
      <c r="CF552" s="3">
        <f>Wapato_Inventory[[#This Row],[crop_value]]+Wapato_Inventory[[#This Row],[final_land]]+Wapato_Inventory[[#This Row],[final_imp]]</f>
        <v>179600</v>
      </c>
      <c r="CH552" t="str">
        <f t="shared" si="8"/>
        <v>update valuation set market_land =49900, market_bldg=129700, market_total =179600, market_mdno =405, market_date ='9/10/2023' where link_id = (select link_id from parcel where parcel_year = '2024' and parcel_id = '19111512402');</v>
      </c>
    </row>
    <row r="553" spans="1:86" x14ac:dyDescent="0.25">
      <c r="A553">
        <v>19111512404</v>
      </c>
      <c r="B553">
        <v>0.15</v>
      </c>
      <c r="C553">
        <v>6393</v>
      </c>
      <c r="D553" t="s">
        <v>144</v>
      </c>
      <c r="E553" t="s">
        <v>54</v>
      </c>
      <c r="F553" t="s">
        <v>54</v>
      </c>
      <c r="G553">
        <v>3</v>
      </c>
      <c r="H553" t="s">
        <v>55</v>
      </c>
      <c r="I553">
        <v>79900</v>
      </c>
      <c r="J553">
        <v>32300</v>
      </c>
      <c r="K553">
        <v>0.15</v>
      </c>
      <c r="L553">
        <f>IF(Wapato_Inventory[[#This Row],[parcel_acres]]-Wapato_Inventory[[#This Row],[non_valued_acres]] =0,0,LN(Wapato_Inventory[[#This Row],[parcel_acres]]-Wapato_Inventory[[#This Row],[non_valued_acres]]))</f>
        <v>-1.8971199848858813</v>
      </c>
      <c r="M553">
        <v>0</v>
      </c>
      <c r="N553">
        <v>0</v>
      </c>
      <c r="O553">
        <v>0</v>
      </c>
      <c r="P553">
        <v>27904.037</v>
      </c>
      <c r="Q553">
        <v>74398</v>
      </c>
      <c r="R553" s="3">
        <f>(Wapato_Inventory[[#This Row],[ln_acres]]*Wapato_Inventory[[#This Row],[coeff]])+Wapato_Inventory[[#This Row],[const]]</f>
        <v>21460.693748304926</v>
      </c>
      <c r="S553" t="s">
        <v>66</v>
      </c>
      <c r="T553">
        <v>1</v>
      </c>
      <c r="U553" t="s">
        <v>78</v>
      </c>
      <c r="V553" t="s">
        <v>73</v>
      </c>
      <c r="W553">
        <v>0</v>
      </c>
      <c r="X553">
        <v>0</v>
      </c>
      <c r="Y553">
        <v>55</v>
      </c>
      <c r="Z553">
        <v>98</v>
      </c>
      <c r="AA553">
        <v>100</v>
      </c>
      <c r="AB553">
        <v>500</v>
      </c>
      <c r="AC553">
        <v>432</v>
      </c>
      <c r="AD553">
        <v>432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5</v>
      </c>
      <c r="AQ553">
        <v>0</v>
      </c>
      <c r="AR553">
        <v>0</v>
      </c>
      <c r="AS553" t="s">
        <v>59</v>
      </c>
      <c r="AT553">
        <v>1</v>
      </c>
      <c r="AU553" t="s">
        <v>64</v>
      </c>
      <c r="AV553" t="s">
        <v>65</v>
      </c>
      <c r="AW553">
        <v>0</v>
      </c>
      <c r="AX553">
        <v>1</v>
      </c>
      <c r="AY553">
        <v>0</v>
      </c>
      <c r="AZ553">
        <v>0</v>
      </c>
      <c r="BA553">
        <v>100</v>
      </c>
      <c r="BB553">
        <v>100</v>
      </c>
      <c r="BC553">
        <v>100</v>
      </c>
      <c r="BD553">
        <v>100</v>
      </c>
      <c r="BE553">
        <v>1</v>
      </c>
      <c r="BF553">
        <v>15000</v>
      </c>
      <c r="BG553">
        <v>1000</v>
      </c>
      <c r="BH553" s="7">
        <f>ROUND(Wapato_Inventory[[#This Row],[detatched_value]]*Lookups!$B$22*Lookups!$H$48,-2)</f>
        <v>0</v>
      </c>
      <c r="BI553" s="7">
        <f>ROUND(((Wapato_Inventory[[#This Row],[land_extract]]*Lookups!$B$3) +(Lookups!$B$2*0.5))*Lookups!$H$48,-2)</f>
        <v>53100</v>
      </c>
      <c r="BJ553" s="7">
        <f>IF(Wapato_Inventory[[#This Row],[bldg_style]]="",0,Lookups!$B$2*0.5)</f>
        <v>53765.27</v>
      </c>
      <c r="BK553" s="7">
        <f>_xlfn.IFNA(VLOOKUP(Wapato_Inventory[[#This Row],[quality]],Lookups!$H$2:$J$14,3,FALSE),0)</f>
        <v>23424</v>
      </c>
      <c r="BL553" s="7">
        <f>_xlfn.IFNA(VLOOKUP(Wapato_Inventory[[#This Row],[condition]],Lookups!$H$17:$J$24,3,FALSE),0)</f>
        <v>16276</v>
      </c>
      <c r="BM553" s="7">
        <f>Wapato_Inventory[[#This Row],[Age]]*Lookups!$B$16</f>
        <v>-36326.2186</v>
      </c>
      <c r="BN553" s="7">
        <f>Wapato_Inventory[[#This Row],[Main Floor]]*Lookups!$B$17</f>
        <v>18057.919247999998</v>
      </c>
      <c r="BO553" s="7">
        <f>Wapato_Inventory[[#This Row],[Upper Floor]]*Lookups!$B$18</f>
        <v>0</v>
      </c>
      <c r="BP553" s="7">
        <f>Wapato_Inventory[[#This Row],[Fin BSMT]]*Lookups!$B$19</f>
        <v>0</v>
      </c>
      <c r="BQ553" s="7">
        <f>(Wapato_Inventory[[#This Row],[att_gar]]+Wapato_Inventory[[#This Row],[blt_gar]])*Lookups!$B$20</f>
        <v>0</v>
      </c>
      <c r="BR553" s="7">
        <f>Wapato_Inventory[[#This Row],[Patio]]*Lookups!$B$21</f>
        <v>0</v>
      </c>
      <c r="BS553" s="7">
        <f>SUM(Wapato_Inventory[[#This Row],[intercept]:[patio_value]])*Wapato_Inventory[[#This Row],[res_pct]]</f>
        <v>75196.970647999988</v>
      </c>
      <c r="BT553" s="7">
        <f>Wapato_Inventory[[#This Row],[land_value]]</f>
        <v>53100</v>
      </c>
      <c r="BU553" s="2">
        <f>_xlfn.IFNA(VLOOKUP(Wapato_Inventory[[#This Row],[quality]],Lookups!$A$28:$C$37,3,FALSE),1)</f>
        <v>1.0091195562373767</v>
      </c>
      <c r="BV553" s="2">
        <f>_xlfn.IFNA(VLOOKUP(Wapato_Inventory[[#This Row],[condition]],Lookups!$A$41:$C$48,3,FALSE),1)</f>
        <v>0.93399385491337139</v>
      </c>
      <c r="BW553" s="2">
        <f>IF(Wapato_Inventory[[#This Row],[decade]]="",1,_xlfn.IFNA(VLOOKUP(Wapato_Inventory[[#This Row],[decade]],Lookups!$F$28:$H$45,3,FALSE),1))</f>
        <v>1.0114203040664467</v>
      </c>
      <c r="BX553" s="2">
        <f>_xlfn.IFNA(VLOOKUP(Wapato_Inventory[[#This Row],[living_area_range]],Lookups!$K$28:$M$37,3,FALSE),1)</f>
        <v>0.62984720518148585</v>
      </c>
      <c r="BY553" s="2">
        <f>AVERAGE(Wapato_Inventory[[#This Row],[qual_adj]:[range_adj]])</f>
        <v>0.89609523009967007</v>
      </c>
      <c r="BZ553" s="7">
        <f>(Wapato_Inventory[[#This Row],[sum_land]]-IF(Wapato_Inventory[[#This Row],[no_utilities]]=1,12000,0))/IF(Wapato_Inventory[[#This Row],[unbuildable]]=1,2,1)</f>
        <v>53100</v>
      </c>
      <c r="CA553" s="7">
        <f>Wapato_Inventory[[#This Row],[pre_res]]*Wapato_Inventory[[#This Row],[overall_adj]]</f>
        <v>67383.64671561768</v>
      </c>
      <c r="CB55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53" s="3">
        <f>IF(ROUND(Wapato_Inventory[[#This Row],[adj_res]]*Lookups!$H$48,-2)&lt;Wapato_Inventory[[#This Row],[min_res]],Wapato_Inventory[[#This Row],[min_res]],ROUND(Wapato_Inventory[[#This Row],[adj_res]]*Lookups!$H$48,-2))</f>
        <v>64000</v>
      </c>
      <c r="CD553" s="3">
        <f>ROUND(Wapato_Inventory[[#This Row],[det_value]]*Lookups!$H$48,-2)</f>
        <v>0</v>
      </c>
      <c r="CE553" s="3">
        <f>Wapato_Inventory[[#This Row],[final_res]]+Wapato_Inventory[[#This Row],[final_det]]</f>
        <v>64000</v>
      </c>
      <c r="CF553" s="3">
        <f>Wapato_Inventory[[#This Row],[crop_value]]+Wapato_Inventory[[#This Row],[final_land]]+Wapato_Inventory[[#This Row],[final_imp]]</f>
        <v>114400</v>
      </c>
      <c r="CH553" t="str">
        <f t="shared" si="8"/>
        <v>update valuation set market_land =50400, market_bldg=64000, market_total =114400, market_mdno =405, market_date ='9/10/2023' where link_id = (select link_id from parcel where parcel_year = '2024' and parcel_id = '19111512404');</v>
      </c>
    </row>
    <row r="554" spans="1:86" x14ac:dyDescent="0.25">
      <c r="A554">
        <v>19111512422</v>
      </c>
      <c r="B554">
        <v>0.14000000000000001</v>
      </c>
      <c r="C554">
        <v>5888</v>
      </c>
      <c r="D554" t="s">
        <v>144</v>
      </c>
      <c r="E554" t="s">
        <v>54</v>
      </c>
      <c r="F554" t="s">
        <v>54</v>
      </c>
      <c r="G554">
        <v>3</v>
      </c>
      <c r="H554" t="s">
        <v>55</v>
      </c>
      <c r="I554">
        <v>77200</v>
      </c>
      <c r="J554">
        <v>31900</v>
      </c>
      <c r="K554">
        <v>0.14000000000000001</v>
      </c>
      <c r="L554">
        <f>IF(Wapato_Inventory[[#This Row],[parcel_acres]]-Wapato_Inventory[[#This Row],[non_valued_acres]] =0,0,LN(Wapato_Inventory[[#This Row],[parcel_acres]]-Wapato_Inventory[[#This Row],[non_valued_acres]]))</f>
        <v>-1.9661128563728327</v>
      </c>
      <c r="M554">
        <v>0</v>
      </c>
      <c r="N554">
        <v>0</v>
      </c>
      <c r="O554">
        <v>0</v>
      </c>
      <c r="P554">
        <v>27904.037</v>
      </c>
      <c r="Q554">
        <v>74398</v>
      </c>
      <c r="R554" s="3">
        <f>(Wapato_Inventory[[#This Row],[ln_acres]]*Wapato_Inventory[[#This Row],[coeff]])+Wapato_Inventory[[#This Row],[const]]</f>
        <v>19535.514109596792</v>
      </c>
      <c r="S554" t="s">
        <v>145</v>
      </c>
      <c r="T554">
        <v>1</v>
      </c>
      <c r="U554" t="s">
        <v>71</v>
      </c>
      <c r="V554" t="s">
        <v>73</v>
      </c>
      <c r="W554">
        <v>0</v>
      </c>
      <c r="X554">
        <v>0</v>
      </c>
      <c r="Y554">
        <v>57</v>
      </c>
      <c r="Z554">
        <v>103</v>
      </c>
      <c r="AA554">
        <v>110</v>
      </c>
      <c r="AB554">
        <v>1000</v>
      </c>
      <c r="AC554">
        <v>831</v>
      </c>
      <c r="AD554">
        <v>831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128</v>
      </c>
      <c r="AO554">
        <v>0</v>
      </c>
      <c r="AP554">
        <v>5</v>
      </c>
      <c r="AQ554">
        <v>0</v>
      </c>
      <c r="AR554">
        <v>1</v>
      </c>
      <c r="AS554" t="s">
        <v>59</v>
      </c>
      <c r="AT554">
        <v>1</v>
      </c>
      <c r="AU554" t="s">
        <v>72</v>
      </c>
      <c r="AV554" t="s">
        <v>61</v>
      </c>
      <c r="AW554">
        <v>0</v>
      </c>
      <c r="AX554">
        <v>2</v>
      </c>
      <c r="AY554">
        <v>0</v>
      </c>
      <c r="AZ554">
        <v>7200</v>
      </c>
      <c r="BA554">
        <v>100</v>
      </c>
      <c r="BB554">
        <v>100</v>
      </c>
      <c r="BC554">
        <v>100</v>
      </c>
      <c r="BD554">
        <v>100</v>
      </c>
      <c r="BE554">
        <v>1</v>
      </c>
      <c r="BF554">
        <v>15000</v>
      </c>
      <c r="BG554">
        <v>1000</v>
      </c>
      <c r="BH554" s="7">
        <f>ROUND(Wapato_Inventory[[#This Row],[detatched_value]]*Lookups!$B$22*Lookups!$H$48,-2)</f>
        <v>6400</v>
      </c>
      <c r="BI554" s="7">
        <f>ROUND(((Wapato_Inventory[[#This Row],[land_extract]]*Lookups!$B$3) +(Lookups!$B$2*0.5))*Lookups!$H$48,-2)</f>
        <v>53000</v>
      </c>
      <c r="BJ554" s="7">
        <f>IF(Wapato_Inventory[[#This Row],[bldg_style]]="",0,Lookups!$B$2*0.5)</f>
        <v>53765.27</v>
      </c>
      <c r="BK554" s="7">
        <f>_xlfn.IFNA(VLOOKUP(Wapato_Inventory[[#This Row],[quality]],Lookups!$H$2:$J$14,3,FALSE),0)</f>
        <v>28034</v>
      </c>
      <c r="BL554" s="7">
        <f>_xlfn.IFNA(VLOOKUP(Wapato_Inventory[[#This Row],[condition]],Lookups!$H$17:$J$24,3,FALSE),0)</f>
        <v>16276</v>
      </c>
      <c r="BM554" s="7">
        <f>Wapato_Inventory[[#This Row],[Age]]*Lookups!$B$16</f>
        <v>-38179.597099999999</v>
      </c>
      <c r="BN554" s="7">
        <f>Wapato_Inventory[[#This Row],[Main Floor]]*Lookups!$B$17</f>
        <v>34736.414108999998</v>
      </c>
      <c r="BO554" s="7">
        <f>Wapato_Inventory[[#This Row],[Upper Floor]]*Lookups!$B$18</f>
        <v>0</v>
      </c>
      <c r="BP554" s="7">
        <f>Wapato_Inventory[[#This Row],[Fin BSMT]]*Lookups!$B$19</f>
        <v>0</v>
      </c>
      <c r="BQ554" s="7">
        <f>(Wapato_Inventory[[#This Row],[att_gar]]+Wapato_Inventory[[#This Row],[blt_gar]])*Lookups!$B$20</f>
        <v>0</v>
      </c>
      <c r="BR554" s="7">
        <f>Wapato_Inventory[[#This Row],[Patio]]*Lookups!$B$21</f>
        <v>0</v>
      </c>
      <c r="BS554" s="7">
        <f>SUM(Wapato_Inventory[[#This Row],[intercept]:[patio_value]])*Wapato_Inventory[[#This Row],[res_pct]]</f>
        <v>94632.087008999981</v>
      </c>
      <c r="BT554" s="7">
        <f>Wapato_Inventory[[#This Row],[land_value]]</f>
        <v>53000</v>
      </c>
      <c r="BU554" s="2">
        <f>_xlfn.IFNA(VLOOKUP(Wapato_Inventory[[#This Row],[quality]],Lookups!$A$28:$C$37,3,FALSE),1)</f>
        <v>0.96265813922927435</v>
      </c>
      <c r="BV554" s="2">
        <f>_xlfn.IFNA(VLOOKUP(Wapato_Inventory[[#This Row],[condition]],Lookups!$A$41:$C$48,3,FALSE),1)</f>
        <v>0.93399385491337139</v>
      </c>
      <c r="BW554" s="2">
        <f>IF(Wapato_Inventory[[#This Row],[decade]]="",1,_xlfn.IFNA(VLOOKUP(Wapato_Inventory[[#This Row],[decade]],Lookups!$F$28:$H$45,3,FALSE),1))</f>
        <v>0.93664589651353292</v>
      </c>
      <c r="BX554" s="2">
        <f>_xlfn.IFNA(VLOOKUP(Wapato_Inventory[[#This Row],[living_area_range]],Lookups!$K$28:$M$37,3,FALSE),1)</f>
        <v>0.99022994770196116</v>
      </c>
      <c r="BY554" s="2">
        <f>AVERAGE(Wapato_Inventory[[#This Row],[qual_adj]:[range_adj]])</f>
        <v>0.95588195958953504</v>
      </c>
      <c r="BZ554" s="7">
        <f>(Wapato_Inventory[[#This Row],[sum_land]]-IF(Wapato_Inventory[[#This Row],[no_utilities]]=1,12000,0))/IF(Wapato_Inventory[[#This Row],[unbuildable]]=1,2,1)</f>
        <v>53000</v>
      </c>
      <c r="CA554" s="7">
        <f>Wapato_Inventory[[#This Row],[pre_res]]*Wapato_Inventory[[#This Row],[overall_adj]]</f>
        <v>90457.104770210281</v>
      </c>
      <c r="CB55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54" s="3">
        <f>IF(ROUND(Wapato_Inventory[[#This Row],[adj_res]]*Lookups!$H$48,-2)&lt;Wapato_Inventory[[#This Row],[min_res]],Wapato_Inventory[[#This Row],[min_res]],ROUND(Wapato_Inventory[[#This Row],[adj_res]]*Lookups!$H$48,-2))</f>
        <v>85900</v>
      </c>
      <c r="CD554" s="3">
        <f>ROUND(Wapato_Inventory[[#This Row],[det_value]]*Lookups!$H$48,-2)</f>
        <v>6100</v>
      </c>
      <c r="CE554" s="3">
        <f>Wapato_Inventory[[#This Row],[final_res]]+Wapato_Inventory[[#This Row],[final_det]]</f>
        <v>92000</v>
      </c>
      <c r="CF554" s="3">
        <f>Wapato_Inventory[[#This Row],[crop_value]]+Wapato_Inventory[[#This Row],[final_land]]+Wapato_Inventory[[#This Row],[final_imp]]</f>
        <v>142400</v>
      </c>
      <c r="CH554" t="str">
        <f t="shared" si="8"/>
        <v>update valuation set market_land =50400, market_bldg=92000, market_total =142400, market_mdno =405, market_date ='9/10/2023' where link_id = (select link_id from parcel where parcel_year = '2024' and parcel_id = '19111512422');</v>
      </c>
    </row>
    <row r="555" spans="1:86" x14ac:dyDescent="0.25">
      <c r="A555">
        <v>19111512423</v>
      </c>
      <c r="B555">
        <v>0.13</v>
      </c>
      <c r="C555">
        <v>5531</v>
      </c>
      <c r="D555" t="s">
        <v>144</v>
      </c>
      <c r="E555" t="s">
        <v>54</v>
      </c>
      <c r="F555" t="s">
        <v>54</v>
      </c>
      <c r="G555">
        <v>3</v>
      </c>
      <c r="H555" t="s">
        <v>55</v>
      </c>
      <c r="I555">
        <v>180500</v>
      </c>
      <c r="J555">
        <v>31400</v>
      </c>
      <c r="K555">
        <v>0.13</v>
      </c>
      <c r="L555">
        <f>IF(Wapato_Inventory[[#This Row],[parcel_acres]]-Wapato_Inventory[[#This Row],[non_valued_acres]] =0,0,LN(Wapato_Inventory[[#This Row],[parcel_acres]]-Wapato_Inventory[[#This Row],[non_valued_acres]]))</f>
        <v>-2.0402208285265546</v>
      </c>
      <c r="M555">
        <v>0</v>
      </c>
      <c r="N555">
        <v>0</v>
      </c>
      <c r="O555">
        <v>0</v>
      </c>
      <c r="P555">
        <v>27904.037</v>
      </c>
      <c r="Q555">
        <v>74398</v>
      </c>
      <c r="R555" s="3">
        <f>(Wapato_Inventory[[#This Row],[ln_acres]]*Wapato_Inventory[[#This Row],[coeff]])+Wapato_Inventory[[#This Row],[const]]</f>
        <v>17467.602512624362</v>
      </c>
      <c r="S555" t="s">
        <v>56</v>
      </c>
      <c r="T555">
        <v>2</v>
      </c>
      <c r="U555" t="s">
        <v>67</v>
      </c>
      <c r="V555" t="s">
        <v>68</v>
      </c>
      <c r="W555">
        <v>0</v>
      </c>
      <c r="X555">
        <v>0</v>
      </c>
      <c r="Y555">
        <v>52</v>
      </c>
      <c r="Z555">
        <v>85</v>
      </c>
      <c r="AA555">
        <v>90</v>
      </c>
      <c r="AB555">
        <v>2000</v>
      </c>
      <c r="AC555">
        <v>1753</v>
      </c>
      <c r="AD555">
        <v>1081</v>
      </c>
      <c r="AE555">
        <v>672</v>
      </c>
      <c r="AF555">
        <v>0</v>
      </c>
      <c r="AG555">
        <v>0</v>
      </c>
      <c r="AH555">
        <v>928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8</v>
      </c>
      <c r="AQ555">
        <v>0</v>
      </c>
      <c r="AR555">
        <v>1</v>
      </c>
      <c r="AS555" t="s">
        <v>59</v>
      </c>
      <c r="AT555">
        <v>1</v>
      </c>
      <c r="AU555" t="s">
        <v>64</v>
      </c>
      <c r="AV555" t="s">
        <v>65</v>
      </c>
      <c r="AW555">
        <v>0</v>
      </c>
      <c r="AX555">
        <v>5</v>
      </c>
      <c r="AY555">
        <v>0</v>
      </c>
      <c r="AZ555">
        <v>5000</v>
      </c>
      <c r="BA555">
        <v>100</v>
      </c>
      <c r="BB555">
        <v>100</v>
      </c>
      <c r="BC555">
        <v>100</v>
      </c>
      <c r="BD555">
        <v>100</v>
      </c>
      <c r="BE555">
        <v>1</v>
      </c>
      <c r="BF555">
        <v>15000</v>
      </c>
      <c r="BG555">
        <v>1000</v>
      </c>
      <c r="BH555" s="7">
        <f>ROUND(Wapato_Inventory[[#This Row],[detatched_value]]*Lookups!$B$22*Lookups!$H$48,-2)</f>
        <v>4500</v>
      </c>
      <c r="BI555" s="7">
        <f>ROUND(((Wapato_Inventory[[#This Row],[land_extract]]*Lookups!$B$3) +(Lookups!$B$2*0.5))*Lookups!$H$48,-2)</f>
        <v>52800</v>
      </c>
      <c r="BJ555" s="7">
        <f>IF(Wapato_Inventory[[#This Row],[bldg_style]]="",0,Lookups!$B$2*0.5)</f>
        <v>53765.27</v>
      </c>
      <c r="BK555" s="7">
        <f>_xlfn.IFNA(VLOOKUP(Wapato_Inventory[[#This Row],[quality]],Lookups!$H$2:$J$14,3,FALSE),0)</f>
        <v>50405</v>
      </c>
      <c r="BL555" s="7">
        <f>_xlfn.IFNA(VLOOKUP(Wapato_Inventory[[#This Row],[condition]],Lookups!$H$17:$J$24,3,FALSE),0)</f>
        <v>52231</v>
      </c>
      <c r="BM555" s="7">
        <f>Wapato_Inventory[[#This Row],[Age]]*Lookups!$B$16</f>
        <v>-31507.434499999999</v>
      </c>
      <c r="BN555" s="7">
        <f>Wapato_Inventory[[#This Row],[Main Floor]]*Lookups!$B$17</f>
        <v>45186.598858999998</v>
      </c>
      <c r="BO555" s="7">
        <f>Wapato_Inventory[[#This Row],[Upper Floor]]*Lookups!$B$18</f>
        <v>33331.965408000004</v>
      </c>
      <c r="BP555" s="7">
        <f>Wapato_Inventory[[#This Row],[Fin BSMT]]*Lookups!$B$19</f>
        <v>0</v>
      </c>
      <c r="BQ555" s="7">
        <f>(Wapato_Inventory[[#This Row],[att_gar]]+Wapato_Inventory[[#This Row],[blt_gar]])*Lookups!$B$20</f>
        <v>0</v>
      </c>
      <c r="BR555" s="7">
        <f>Wapato_Inventory[[#This Row],[Patio]]*Lookups!$B$21</f>
        <v>0</v>
      </c>
      <c r="BS555" s="7">
        <f>SUM(Wapato_Inventory[[#This Row],[intercept]:[patio_value]])*Wapato_Inventory[[#This Row],[res_pct]]</f>
        <v>203412.399767</v>
      </c>
      <c r="BT555" s="7">
        <f>Wapato_Inventory[[#This Row],[land_value]]</f>
        <v>52800</v>
      </c>
      <c r="BU555" s="2">
        <f>_xlfn.IFNA(VLOOKUP(Wapato_Inventory[[#This Row],[quality]],Lookups!$A$28:$C$37,3,FALSE),1)</f>
        <v>0.97993206410140754</v>
      </c>
      <c r="BV555" s="2">
        <f>_xlfn.IFNA(VLOOKUP(Wapato_Inventory[[#This Row],[condition]],Lookups!$A$41:$C$48,3,FALSE),1)</f>
        <v>0.9832333997567807</v>
      </c>
      <c r="BW555" s="2">
        <f>IF(Wapato_Inventory[[#This Row],[decade]]="",1,_xlfn.IFNA(VLOOKUP(Wapato_Inventory[[#This Row],[decade]],Lookups!$F$28:$H$45,3,FALSE),1))</f>
        <v>0.94742695999815718</v>
      </c>
      <c r="BX555" s="2">
        <f>_xlfn.IFNA(VLOOKUP(Wapato_Inventory[[#This Row],[living_area_range]],Lookups!$K$28:$M$37,3,FALSE),1)</f>
        <v>0.99330894324714125</v>
      </c>
      <c r="BY555" s="2">
        <f>AVERAGE(Wapato_Inventory[[#This Row],[qual_adj]:[range_adj]])</f>
        <v>0.97597534177587164</v>
      </c>
      <c r="BZ555" s="7">
        <f>(Wapato_Inventory[[#This Row],[sum_land]]-IF(Wapato_Inventory[[#This Row],[no_utilities]]=1,12000,0))/IF(Wapato_Inventory[[#This Row],[unbuildable]]=1,2,1)</f>
        <v>52800</v>
      </c>
      <c r="CA555" s="7">
        <f>Wapato_Inventory[[#This Row],[pre_res]]*Wapato_Inventory[[#This Row],[overall_adj]]</f>
        <v>198525.48638404804</v>
      </c>
      <c r="CB555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555" s="3">
        <f>IF(ROUND(Wapato_Inventory[[#This Row],[adj_res]]*Lookups!$H$48,-2)&lt;Wapato_Inventory[[#This Row],[min_res]],Wapato_Inventory[[#This Row],[min_res]],ROUND(Wapato_Inventory[[#This Row],[adj_res]]*Lookups!$H$48,-2))</f>
        <v>188600</v>
      </c>
      <c r="CD555" s="3">
        <f>ROUND(Wapato_Inventory[[#This Row],[det_value]]*Lookups!$H$48,-2)</f>
        <v>4300</v>
      </c>
      <c r="CE555" s="3">
        <f>Wapato_Inventory[[#This Row],[final_res]]+Wapato_Inventory[[#This Row],[final_det]]</f>
        <v>192900</v>
      </c>
      <c r="CF555" s="3">
        <f>Wapato_Inventory[[#This Row],[crop_value]]+Wapato_Inventory[[#This Row],[final_land]]+Wapato_Inventory[[#This Row],[final_imp]]</f>
        <v>243100</v>
      </c>
      <c r="CH555" t="str">
        <f t="shared" si="8"/>
        <v>update valuation set market_land =50200, market_bldg=192900, market_total =243100, market_mdno =405, market_date ='9/10/2023' where link_id = (select link_id from parcel where parcel_year = '2024' and parcel_id = '19111512423');</v>
      </c>
    </row>
    <row r="556" spans="1:86" x14ac:dyDescent="0.25">
      <c r="A556">
        <v>19111512424</v>
      </c>
      <c r="B556">
        <v>0.17</v>
      </c>
      <c r="C556">
        <v>7381</v>
      </c>
      <c r="D556" t="s">
        <v>144</v>
      </c>
      <c r="E556" t="s">
        <v>54</v>
      </c>
      <c r="F556" t="s">
        <v>54</v>
      </c>
      <c r="G556">
        <v>3</v>
      </c>
      <c r="H556" t="s">
        <v>55</v>
      </c>
      <c r="I556">
        <v>110500</v>
      </c>
      <c r="J556">
        <v>33200</v>
      </c>
      <c r="K556">
        <v>0.17</v>
      </c>
      <c r="L556">
        <f>IF(Wapato_Inventory[[#This Row],[parcel_acres]]-Wapato_Inventory[[#This Row],[non_valued_acres]] =0,0,LN(Wapato_Inventory[[#This Row],[parcel_acres]]-Wapato_Inventory[[#This Row],[non_valued_acres]]))</f>
        <v>-1.7719568419318752</v>
      </c>
      <c r="M556">
        <v>0</v>
      </c>
      <c r="N556">
        <v>0</v>
      </c>
      <c r="O556">
        <v>0</v>
      </c>
      <c r="P556">
        <v>27904.037</v>
      </c>
      <c r="Q556">
        <v>74398</v>
      </c>
      <c r="R556" s="3">
        <f>(Wapato_Inventory[[#This Row],[ln_acres]]*Wapato_Inventory[[#This Row],[coeff]])+Wapato_Inventory[[#This Row],[const]]</f>
        <v>24953.250720329801</v>
      </c>
      <c r="S556" t="s">
        <v>66</v>
      </c>
      <c r="T556">
        <v>1</v>
      </c>
      <c r="U556" t="s">
        <v>71</v>
      </c>
      <c r="V556" t="s">
        <v>68</v>
      </c>
      <c r="W556">
        <v>0</v>
      </c>
      <c r="X556">
        <v>0</v>
      </c>
      <c r="Y556">
        <v>57</v>
      </c>
      <c r="Z556">
        <v>103</v>
      </c>
      <c r="AA556">
        <v>110</v>
      </c>
      <c r="AB556">
        <v>1500</v>
      </c>
      <c r="AC556">
        <v>1114</v>
      </c>
      <c r="AD556">
        <v>1114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5</v>
      </c>
      <c r="AQ556">
        <v>0</v>
      </c>
      <c r="AR556">
        <v>0</v>
      </c>
      <c r="AS556" t="s">
        <v>59</v>
      </c>
      <c r="AT556">
        <v>0</v>
      </c>
      <c r="AU556" t="s">
        <v>80</v>
      </c>
      <c r="AV556" t="s">
        <v>65</v>
      </c>
      <c r="AW556">
        <v>0</v>
      </c>
      <c r="AX556">
        <v>2</v>
      </c>
      <c r="AY556">
        <v>0</v>
      </c>
      <c r="AZ556">
        <v>0</v>
      </c>
      <c r="BA556">
        <v>100</v>
      </c>
      <c r="BB556">
        <v>100</v>
      </c>
      <c r="BC556">
        <v>100</v>
      </c>
      <c r="BD556">
        <v>100</v>
      </c>
      <c r="BE556">
        <v>1</v>
      </c>
      <c r="BF556">
        <v>15000</v>
      </c>
      <c r="BG556">
        <v>1000</v>
      </c>
      <c r="BH556" s="7">
        <f>ROUND(Wapato_Inventory[[#This Row],[detatched_value]]*Lookups!$B$22*Lookups!$H$48,-2)</f>
        <v>0</v>
      </c>
      <c r="BI556" s="7">
        <f>ROUND(((Wapato_Inventory[[#This Row],[land_extract]]*Lookups!$B$3) +(Lookups!$B$2*0.5))*Lookups!$H$48,-2)</f>
        <v>53500</v>
      </c>
      <c r="BJ556" s="7">
        <f>IF(Wapato_Inventory[[#This Row],[bldg_style]]="",0,Lookups!$B$2*0.5)</f>
        <v>53765.27</v>
      </c>
      <c r="BK556" s="7">
        <f>_xlfn.IFNA(VLOOKUP(Wapato_Inventory[[#This Row],[quality]],Lookups!$H$2:$J$14,3,FALSE),0)</f>
        <v>28034</v>
      </c>
      <c r="BL556" s="7">
        <f>_xlfn.IFNA(VLOOKUP(Wapato_Inventory[[#This Row],[condition]],Lookups!$H$17:$J$24,3,FALSE),0)</f>
        <v>52231</v>
      </c>
      <c r="BM556" s="7">
        <f>Wapato_Inventory[[#This Row],[Age]]*Lookups!$B$16</f>
        <v>-38179.597099999999</v>
      </c>
      <c r="BN556" s="7">
        <f>Wapato_Inventory[[#This Row],[Main Floor]]*Lookups!$B$17</f>
        <v>46566.023245999997</v>
      </c>
      <c r="BO556" s="7">
        <f>Wapato_Inventory[[#This Row],[Upper Floor]]*Lookups!$B$18</f>
        <v>0</v>
      </c>
      <c r="BP556" s="7">
        <f>Wapato_Inventory[[#This Row],[Fin BSMT]]*Lookups!$B$19</f>
        <v>0</v>
      </c>
      <c r="BQ556" s="7">
        <f>(Wapato_Inventory[[#This Row],[att_gar]]+Wapato_Inventory[[#This Row],[blt_gar]])*Lookups!$B$20</f>
        <v>0</v>
      </c>
      <c r="BR556" s="7">
        <f>Wapato_Inventory[[#This Row],[Patio]]*Lookups!$B$21</f>
        <v>0</v>
      </c>
      <c r="BS556" s="7">
        <f>SUM(Wapato_Inventory[[#This Row],[intercept]:[patio_value]])*Wapato_Inventory[[#This Row],[res_pct]]</f>
        <v>142416.696146</v>
      </c>
      <c r="BT556" s="7">
        <f>Wapato_Inventory[[#This Row],[land_value]]</f>
        <v>53500</v>
      </c>
      <c r="BU556" s="2">
        <f>_xlfn.IFNA(VLOOKUP(Wapato_Inventory[[#This Row],[quality]],Lookups!$A$28:$C$37,3,FALSE),1)</f>
        <v>0.96265813922927435</v>
      </c>
      <c r="BV556" s="2">
        <f>_xlfn.IFNA(VLOOKUP(Wapato_Inventory[[#This Row],[condition]],Lookups!$A$41:$C$48,3,FALSE),1)</f>
        <v>0.9832333997567807</v>
      </c>
      <c r="BW556" s="2">
        <f>IF(Wapato_Inventory[[#This Row],[decade]]="",1,_xlfn.IFNA(VLOOKUP(Wapato_Inventory[[#This Row],[decade]],Lookups!$F$28:$H$45,3,FALSE),1))</f>
        <v>0.93664589651353292</v>
      </c>
      <c r="BX556" s="2">
        <f>_xlfn.IFNA(VLOOKUP(Wapato_Inventory[[#This Row],[living_area_range]],Lookups!$K$28:$M$37,3,FALSE),1)</f>
        <v>1.0061411172456287</v>
      </c>
      <c r="BY556" s="2">
        <f>AVERAGE(Wapato_Inventory[[#This Row],[qual_adj]:[range_adj]])</f>
        <v>0.97216963818630409</v>
      </c>
      <c r="BZ556" s="7">
        <f>(Wapato_Inventory[[#This Row],[sum_land]]-IF(Wapato_Inventory[[#This Row],[no_utilities]]=1,12000,0))/IF(Wapato_Inventory[[#This Row],[unbuildable]]=1,2,1)</f>
        <v>53500</v>
      </c>
      <c r="CA556" s="7">
        <f>Wapato_Inventory[[#This Row],[pre_res]]*Wapato_Inventory[[#This Row],[overall_adj]]</f>
        <v>138453.18796394562</v>
      </c>
      <c r="CB556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556" s="3">
        <f>IF(ROUND(Wapato_Inventory[[#This Row],[adj_res]]*Lookups!$H$48,-2)&lt;Wapato_Inventory[[#This Row],[min_res]],Wapato_Inventory[[#This Row],[min_res]],ROUND(Wapato_Inventory[[#This Row],[adj_res]]*Lookups!$H$48,-2))</f>
        <v>131500</v>
      </c>
      <c r="CD556" s="3">
        <f>ROUND(Wapato_Inventory[[#This Row],[det_value]]*Lookups!$H$48,-2)</f>
        <v>0</v>
      </c>
      <c r="CE556" s="3">
        <f>Wapato_Inventory[[#This Row],[final_res]]+Wapato_Inventory[[#This Row],[final_det]]</f>
        <v>131500</v>
      </c>
      <c r="CF556" s="3">
        <f>Wapato_Inventory[[#This Row],[crop_value]]+Wapato_Inventory[[#This Row],[final_land]]+Wapato_Inventory[[#This Row],[final_imp]]</f>
        <v>182300</v>
      </c>
      <c r="CH556" t="str">
        <f t="shared" si="8"/>
        <v>update valuation set market_land =50800, market_bldg=131500, market_total =182300, market_mdno =405, market_date ='9/10/2023' where link_id = (select link_id from parcel where parcel_year = '2024' and parcel_id = '19111512424');</v>
      </c>
    </row>
    <row r="557" spans="1:86" x14ac:dyDescent="0.25">
      <c r="A557">
        <v>19111512425</v>
      </c>
      <c r="B557">
        <v>0.14000000000000001</v>
      </c>
      <c r="C557">
        <v>6037</v>
      </c>
      <c r="D557" t="s">
        <v>144</v>
      </c>
      <c r="E557" t="s">
        <v>54</v>
      </c>
      <c r="F557" t="s">
        <v>54</v>
      </c>
      <c r="G557">
        <v>3</v>
      </c>
      <c r="H557" t="s">
        <v>55</v>
      </c>
      <c r="I557">
        <v>114800</v>
      </c>
      <c r="J557">
        <v>31900</v>
      </c>
      <c r="K557">
        <v>0.14000000000000001</v>
      </c>
      <c r="L557">
        <f>IF(Wapato_Inventory[[#This Row],[parcel_acres]]-Wapato_Inventory[[#This Row],[non_valued_acres]] =0,0,LN(Wapato_Inventory[[#This Row],[parcel_acres]]-Wapato_Inventory[[#This Row],[non_valued_acres]]))</f>
        <v>-1.9661128563728327</v>
      </c>
      <c r="M557">
        <v>0</v>
      </c>
      <c r="N557">
        <v>0</v>
      </c>
      <c r="O557">
        <v>0</v>
      </c>
      <c r="P557">
        <v>27904.037</v>
      </c>
      <c r="Q557">
        <v>74398</v>
      </c>
      <c r="R557" s="3">
        <f>(Wapato_Inventory[[#This Row],[ln_acres]]*Wapato_Inventory[[#This Row],[coeff]])+Wapato_Inventory[[#This Row],[const]]</f>
        <v>19535.514109596792</v>
      </c>
      <c r="S557" t="s">
        <v>145</v>
      </c>
      <c r="T557">
        <v>1</v>
      </c>
      <c r="U557" t="s">
        <v>75</v>
      </c>
      <c r="V557" t="s">
        <v>73</v>
      </c>
      <c r="W557">
        <v>0</v>
      </c>
      <c r="X557">
        <v>0</v>
      </c>
      <c r="Y557">
        <v>57</v>
      </c>
      <c r="Z557">
        <v>103</v>
      </c>
      <c r="AA557">
        <v>110</v>
      </c>
      <c r="AB557">
        <v>1500</v>
      </c>
      <c r="AC557">
        <v>1351</v>
      </c>
      <c r="AD557">
        <v>1236</v>
      </c>
      <c r="AE557">
        <v>0</v>
      </c>
      <c r="AF557">
        <v>0</v>
      </c>
      <c r="AG557">
        <v>115</v>
      </c>
      <c r="AH557">
        <v>115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170</v>
      </c>
      <c r="AO557">
        <v>0</v>
      </c>
      <c r="AP557">
        <v>5</v>
      </c>
      <c r="AQ557">
        <v>0</v>
      </c>
      <c r="AR557">
        <v>0</v>
      </c>
      <c r="AS557" t="s">
        <v>59</v>
      </c>
      <c r="AT557">
        <v>1</v>
      </c>
      <c r="AU557" t="s">
        <v>64</v>
      </c>
      <c r="AV557" t="s">
        <v>65</v>
      </c>
      <c r="AW557">
        <v>0</v>
      </c>
      <c r="AX557">
        <v>3</v>
      </c>
      <c r="AY557">
        <v>0</v>
      </c>
      <c r="AZ557">
        <v>4700</v>
      </c>
      <c r="BA557">
        <v>100</v>
      </c>
      <c r="BB557">
        <v>100</v>
      </c>
      <c r="BC557">
        <v>100</v>
      </c>
      <c r="BD557">
        <v>100</v>
      </c>
      <c r="BE557">
        <v>1</v>
      </c>
      <c r="BF557">
        <v>15000</v>
      </c>
      <c r="BG557">
        <v>1000</v>
      </c>
      <c r="BH557" s="7">
        <f>ROUND(Wapato_Inventory[[#This Row],[detatched_value]]*Lookups!$B$22*Lookups!$H$48,-2)</f>
        <v>4200</v>
      </c>
      <c r="BI557" s="7">
        <f>ROUND(((Wapato_Inventory[[#This Row],[land_extract]]*Lookups!$B$3) +(Lookups!$B$2*0.5))*Lookups!$H$48,-2)</f>
        <v>53000</v>
      </c>
      <c r="BJ557" s="7">
        <f>IF(Wapato_Inventory[[#This Row],[bldg_style]]="",0,Lookups!$B$2*0.5)</f>
        <v>53765.27</v>
      </c>
      <c r="BK557" s="7">
        <f>_xlfn.IFNA(VLOOKUP(Wapato_Inventory[[#This Row],[quality]],Lookups!$H$2:$J$14,3,FALSE),0)</f>
        <v>48043</v>
      </c>
      <c r="BL557" s="7">
        <f>_xlfn.IFNA(VLOOKUP(Wapato_Inventory[[#This Row],[condition]],Lookups!$H$17:$J$24,3,FALSE),0)</f>
        <v>16276</v>
      </c>
      <c r="BM557" s="7">
        <f>Wapato_Inventory[[#This Row],[Age]]*Lookups!$B$16</f>
        <v>-38179.597099999999</v>
      </c>
      <c r="BN557" s="7">
        <f>Wapato_Inventory[[#This Row],[Main Floor]]*Lookups!$B$17</f>
        <v>51665.713404000002</v>
      </c>
      <c r="BO557" s="7">
        <f>Wapato_Inventory[[#This Row],[Upper Floor]]*Lookups!$B$18</f>
        <v>0</v>
      </c>
      <c r="BP557" s="7">
        <f>Wapato_Inventory[[#This Row],[Fin BSMT]]*Lookups!$B$19</f>
        <v>2802.1750999999999</v>
      </c>
      <c r="BQ557" s="7">
        <f>(Wapato_Inventory[[#This Row],[att_gar]]+Wapato_Inventory[[#This Row],[blt_gar]])*Lookups!$B$20</f>
        <v>0</v>
      </c>
      <c r="BR557" s="7">
        <f>Wapato_Inventory[[#This Row],[Patio]]*Lookups!$B$21</f>
        <v>0</v>
      </c>
      <c r="BS557" s="7">
        <f>SUM(Wapato_Inventory[[#This Row],[intercept]:[patio_value]])*Wapato_Inventory[[#This Row],[res_pct]]</f>
        <v>134372.56140399998</v>
      </c>
      <c r="BT557" s="7">
        <f>Wapato_Inventory[[#This Row],[land_value]]</f>
        <v>53000</v>
      </c>
      <c r="BU557" s="2">
        <f>_xlfn.IFNA(VLOOKUP(Wapato_Inventory[[#This Row],[quality]],Lookups!$A$28:$C$37,3,FALSE),1)</f>
        <v>0.98196844879778955</v>
      </c>
      <c r="BV557" s="2">
        <f>_xlfn.IFNA(VLOOKUP(Wapato_Inventory[[#This Row],[condition]],Lookups!$A$41:$C$48,3,FALSE),1)</f>
        <v>0.93399385491337139</v>
      </c>
      <c r="BW557" s="2">
        <f>IF(Wapato_Inventory[[#This Row],[decade]]="",1,_xlfn.IFNA(VLOOKUP(Wapato_Inventory[[#This Row],[decade]],Lookups!$F$28:$H$45,3,FALSE),1))</f>
        <v>0.93664589651353292</v>
      </c>
      <c r="BX557" s="2">
        <f>_xlfn.IFNA(VLOOKUP(Wapato_Inventory[[#This Row],[living_area_range]],Lookups!$K$28:$M$37,3,FALSE),1)</f>
        <v>1.0061411172456287</v>
      </c>
      <c r="BY557" s="2">
        <f>AVERAGE(Wapato_Inventory[[#This Row],[qual_adj]:[range_adj]])</f>
        <v>0.96468732936758061</v>
      </c>
      <c r="BZ557" s="7">
        <f>(Wapato_Inventory[[#This Row],[sum_land]]-IF(Wapato_Inventory[[#This Row],[no_utilities]]=1,12000,0))/IF(Wapato_Inventory[[#This Row],[unbuildable]]=1,2,1)</f>
        <v>53000</v>
      </c>
      <c r="CA557" s="7">
        <f>Wapato_Inventory[[#This Row],[pre_res]]*Wapato_Inventory[[#This Row],[overall_adj]]</f>
        <v>129627.50740110598</v>
      </c>
      <c r="CB55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57" s="3">
        <f>IF(ROUND(Wapato_Inventory[[#This Row],[adj_res]]*Lookups!$H$48,-2)&lt;Wapato_Inventory[[#This Row],[min_res]],Wapato_Inventory[[#This Row],[min_res]],ROUND(Wapato_Inventory[[#This Row],[adj_res]]*Lookups!$H$48,-2))</f>
        <v>123100</v>
      </c>
      <c r="CD557" s="3">
        <f>ROUND(Wapato_Inventory[[#This Row],[det_value]]*Lookups!$H$48,-2)</f>
        <v>4000</v>
      </c>
      <c r="CE557" s="3">
        <f>Wapato_Inventory[[#This Row],[final_res]]+Wapato_Inventory[[#This Row],[final_det]]</f>
        <v>127100</v>
      </c>
      <c r="CF557" s="3">
        <f>Wapato_Inventory[[#This Row],[crop_value]]+Wapato_Inventory[[#This Row],[final_land]]+Wapato_Inventory[[#This Row],[final_imp]]</f>
        <v>177500</v>
      </c>
      <c r="CH557" t="str">
        <f t="shared" si="8"/>
        <v>update valuation set market_land =50400, market_bldg=127100, market_total =177500, market_mdno =405, market_date ='9/10/2023' where link_id = (select link_id from parcel where parcel_year = '2024' and parcel_id = '19111512425');</v>
      </c>
    </row>
    <row r="558" spans="1:86" x14ac:dyDescent="0.25">
      <c r="A558">
        <v>19111512426</v>
      </c>
      <c r="B558">
        <v>0.15</v>
      </c>
      <c r="C558">
        <v>6702</v>
      </c>
      <c r="D558" t="s">
        <v>144</v>
      </c>
      <c r="E558" t="s">
        <v>54</v>
      </c>
      <c r="F558" t="s">
        <v>54</v>
      </c>
      <c r="G558">
        <v>3</v>
      </c>
      <c r="H558" t="s">
        <v>55</v>
      </c>
      <c r="I558">
        <v>135400</v>
      </c>
      <c r="J558">
        <v>32300</v>
      </c>
      <c r="K558">
        <v>0.15</v>
      </c>
      <c r="L558">
        <f>IF(Wapato_Inventory[[#This Row],[parcel_acres]]-Wapato_Inventory[[#This Row],[non_valued_acres]] =0,0,LN(Wapato_Inventory[[#This Row],[parcel_acres]]-Wapato_Inventory[[#This Row],[non_valued_acres]]))</f>
        <v>-1.8971199848858813</v>
      </c>
      <c r="M558">
        <v>0</v>
      </c>
      <c r="N558">
        <v>0</v>
      </c>
      <c r="O558">
        <v>0</v>
      </c>
      <c r="P558">
        <v>27904.037</v>
      </c>
      <c r="Q558">
        <v>74398</v>
      </c>
      <c r="R558" s="3">
        <f>(Wapato_Inventory[[#This Row],[ln_acres]]*Wapato_Inventory[[#This Row],[coeff]])+Wapato_Inventory[[#This Row],[const]]</f>
        <v>21460.693748304926</v>
      </c>
      <c r="S558" t="s">
        <v>66</v>
      </c>
      <c r="T558">
        <v>1</v>
      </c>
      <c r="U558" t="s">
        <v>67</v>
      </c>
      <c r="V558" t="s">
        <v>68</v>
      </c>
      <c r="W558">
        <v>0</v>
      </c>
      <c r="X558">
        <v>0</v>
      </c>
      <c r="Y558">
        <v>57</v>
      </c>
      <c r="Z558">
        <v>103</v>
      </c>
      <c r="AA558">
        <v>110</v>
      </c>
      <c r="AB558">
        <v>1500</v>
      </c>
      <c r="AC558">
        <v>1247</v>
      </c>
      <c r="AD558">
        <v>1247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5</v>
      </c>
      <c r="AQ558">
        <v>0</v>
      </c>
      <c r="AR558">
        <v>1</v>
      </c>
      <c r="AS558" t="s">
        <v>59</v>
      </c>
      <c r="AT558">
        <v>1</v>
      </c>
      <c r="AU558" t="s">
        <v>72</v>
      </c>
      <c r="AV558" t="s">
        <v>65</v>
      </c>
      <c r="AW558">
        <v>0</v>
      </c>
      <c r="AX558">
        <v>2</v>
      </c>
      <c r="AY558">
        <v>0</v>
      </c>
      <c r="AZ558">
        <v>0</v>
      </c>
      <c r="BA558">
        <v>100</v>
      </c>
      <c r="BB558">
        <v>100</v>
      </c>
      <c r="BC558">
        <v>100</v>
      </c>
      <c r="BD558">
        <v>100</v>
      </c>
      <c r="BE558">
        <v>1</v>
      </c>
      <c r="BF558">
        <v>15000</v>
      </c>
      <c r="BG558">
        <v>1000</v>
      </c>
      <c r="BH558" s="7">
        <f>ROUND(Wapato_Inventory[[#This Row],[detatched_value]]*Lookups!$B$22*Lookups!$H$48,-2)</f>
        <v>0</v>
      </c>
      <c r="BI558" s="7">
        <f>ROUND(((Wapato_Inventory[[#This Row],[land_extract]]*Lookups!$B$3) +(Lookups!$B$2*0.5))*Lookups!$H$48,-2)</f>
        <v>53100</v>
      </c>
      <c r="BJ558" s="7">
        <f>IF(Wapato_Inventory[[#This Row],[bldg_style]]="",0,Lookups!$B$2*0.5)</f>
        <v>53765.27</v>
      </c>
      <c r="BK558" s="7">
        <f>_xlfn.IFNA(VLOOKUP(Wapato_Inventory[[#This Row],[quality]],Lookups!$H$2:$J$14,3,FALSE),0)</f>
        <v>50405</v>
      </c>
      <c r="BL558" s="7">
        <f>_xlfn.IFNA(VLOOKUP(Wapato_Inventory[[#This Row],[condition]],Lookups!$H$17:$J$24,3,FALSE),0)</f>
        <v>52231</v>
      </c>
      <c r="BM558" s="7">
        <f>Wapato_Inventory[[#This Row],[Age]]*Lookups!$B$16</f>
        <v>-38179.597099999999</v>
      </c>
      <c r="BN558" s="7">
        <f>Wapato_Inventory[[#This Row],[Main Floor]]*Lookups!$B$17</f>
        <v>52125.521532999999</v>
      </c>
      <c r="BO558" s="7">
        <f>Wapato_Inventory[[#This Row],[Upper Floor]]*Lookups!$B$18</f>
        <v>0</v>
      </c>
      <c r="BP558" s="7">
        <f>Wapato_Inventory[[#This Row],[Fin BSMT]]*Lookups!$B$19</f>
        <v>0</v>
      </c>
      <c r="BQ558" s="7">
        <f>(Wapato_Inventory[[#This Row],[att_gar]]+Wapato_Inventory[[#This Row],[blt_gar]])*Lookups!$B$20</f>
        <v>0</v>
      </c>
      <c r="BR558" s="7">
        <f>Wapato_Inventory[[#This Row],[Patio]]*Lookups!$B$21</f>
        <v>0</v>
      </c>
      <c r="BS558" s="7">
        <f>SUM(Wapato_Inventory[[#This Row],[intercept]:[patio_value]])*Wapato_Inventory[[#This Row],[res_pct]]</f>
        <v>170347.194433</v>
      </c>
      <c r="BT558" s="7">
        <f>Wapato_Inventory[[#This Row],[land_value]]</f>
        <v>53100</v>
      </c>
      <c r="BU558" s="2">
        <f>_xlfn.IFNA(VLOOKUP(Wapato_Inventory[[#This Row],[quality]],Lookups!$A$28:$C$37,3,FALSE),1)</f>
        <v>0.97993206410140754</v>
      </c>
      <c r="BV558" s="2">
        <f>_xlfn.IFNA(VLOOKUP(Wapato_Inventory[[#This Row],[condition]],Lookups!$A$41:$C$48,3,FALSE),1)</f>
        <v>0.9832333997567807</v>
      </c>
      <c r="BW558" s="2">
        <f>IF(Wapato_Inventory[[#This Row],[decade]]="",1,_xlfn.IFNA(VLOOKUP(Wapato_Inventory[[#This Row],[decade]],Lookups!$F$28:$H$45,3,FALSE),1))</f>
        <v>0.93664589651353292</v>
      </c>
      <c r="BX558" s="2">
        <f>_xlfn.IFNA(VLOOKUP(Wapato_Inventory[[#This Row],[living_area_range]],Lookups!$K$28:$M$37,3,FALSE),1)</f>
        <v>1.0061411172456287</v>
      </c>
      <c r="BY558" s="2">
        <f>AVERAGE(Wapato_Inventory[[#This Row],[qual_adj]:[range_adj]])</f>
        <v>0.97648811940433755</v>
      </c>
      <c r="BZ558" s="7">
        <f>(Wapato_Inventory[[#This Row],[sum_land]]-IF(Wapato_Inventory[[#This Row],[no_utilities]]=1,12000,0))/IF(Wapato_Inventory[[#This Row],[unbuildable]]=1,2,1)</f>
        <v>53100</v>
      </c>
      <c r="CA558" s="7">
        <f>Wapato_Inventory[[#This Row],[pre_res]]*Wapato_Inventory[[#This Row],[overall_adj]]</f>
        <v>166342.0115376852</v>
      </c>
      <c r="CB55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58" s="3">
        <f>IF(ROUND(Wapato_Inventory[[#This Row],[adj_res]]*Lookups!$H$48,-2)&lt;Wapato_Inventory[[#This Row],[min_res]],Wapato_Inventory[[#This Row],[min_res]],ROUND(Wapato_Inventory[[#This Row],[adj_res]]*Lookups!$H$48,-2))</f>
        <v>158000</v>
      </c>
      <c r="CD558" s="3">
        <f>ROUND(Wapato_Inventory[[#This Row],[det_value]]*Lookups!$H$48,-2)</f>
        <v>0</v>
      </c>
      <c r="CE558" s="3">
        <f>Wapato_Inventory[[#This Row],[final_res]]+Wapato_Inventory[[#This Row],[final_det]]</f>
        <v>158000</v>
      </c>
      <c r="CF558" s="3">
        <f>Wapato_Inventory[[#This Row],[crop_value]]+Wapato_Inventory[[#This Row],[final_land]]+Wapato_Inventory[[#This Row],[final_imp]]</f>
        <v>208400</v>
      </c>
      <c r="CH558" t="str">
        <f t="shared" si="8"/>
        <v>update valuation set market_land =50400, market_bldg=158000, market_total =208400, market_mdno =405, market_date ='9/10/2023' where link_id = (select link_id from parcel where parcel_year = '2024' and parcel_id = '19111512426');</v>
      </c>
    </row>
    <row r="559" spans="1:86" x14ac:dyDescent="0.25">
      <c r="A559">
        <v>19111512427</v>
      </c>
      <c r="B559">
        <v>0.08</v>
      </c>
      <c r="C559">
        <v>3532</v>
      </c>
      <c r="D559" t="s">
        <v>144</v>
      </c>
      <c r="E559" t="s">
        <v>54</v>
      </c>
      <c r="F559" t="s">
        <v>54</v>
      </c>
      <c r="G559">
        <v>3</v>
      </c>
      <c r="H559" t="s">
        <v>55</v>
      </c>
      <c r="I559">
        <v>92500</v>
      </c>
      <c r="J559">
        <v>27900</v>
      </c>
      <c r="K559">
        <v>0.08</v>
      </c>
      <c r="L559">
        <f>IF(Wapato_Inventory[[#This Row],[parcel_acres]]-Wapato_Inventory[[#This Row],[non_valued_acres]] =0,0,LN(Wapato_Inventory[[#This Row],[parcel_acres]]-Wapato_Inventory[[#This Row],[non_valued_acres]]))</f>
        <v>-2.5257286443082556</v>
      </c>
      <c r="M559">
        <v>0</v>
      </c>
      <c r="N559">
        <v>0</v>
      </c>
      <c r="O559">
        <v>0</v>
      </c>
      <c r="P559">
        <v>27904.037</v>
      </c>
      <c r="Q559">
        <v>74398</v>
      </c>
      <c r="R559" s="3">
        <f>(Wapato_Inventory[[#This Row],[ln_acres]]*Wapato_Inventory[[#This Row],[coeff]])+Wapato_Inventory[[#This Row],[const]]</f>
        <v>3919.9744572625932</v>
      </c>
      <c r="S559" t="s">
        <v>66</v>
      </c>
      <c r="T559">
        <v>1</v>
      </c>
      <c r="U559" t="s">
        <v>78</v>
      </c>
      <c r="V559" t="s">
        <v>68</v>
      </c>
      <c r="W559">
        <v>0</v>
      </c>
      <c r="X559">
        <v>0</v>
      </c>
      <c r="Y559">
        <v>55</v>
      </c>
      <c r="Z559">
        <v>98</v>
      </c>
      <c r="AA559">
        <v>100</v>
      </c>
      <c r="AB559">
        <v>1000</v>
      </c>
      <c r="AC559">
        <v>800</v>
      </c>
      <c r="AD559">
        <v>800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5</v>
      </c>
      <c r="AQ559">
        <v>0</v>
      </c>
      <c r="AR559">
        <v>0</v>
      </c>
      <c r="AS559" t="s">
        <v>59</v>
      </c>
      <c r="AT559">
        <v>1</v>
      </c>
      <c r="AU559" t="s">
        <v>72</v>
      </c>
      <c r="AV559" t="s">
        <v>65</v>
      </c>
      <c r="AW559">
        <v>0</v>
      </c>
      <c r="AX559">
        <v>2</v>
      </c>
      <c r="AY559">
        <v>0</v>
      </c>
      <c r="AZ559">
        <v>0</v>
      </c>
      <c r="BA559">
        <v>100</v>
      </c>
      <c r="BB559">
        <v>100</v>
      </c>
      <c r="BC559">
        <v>100</v>
      </c>
      <c r="BD559">
        <v>100</v>
      </c>
      <c r="BE559">
        <v>1</v>
      </c>
      <c r="BF559">
        <v>15000</v>
      </c>
      <c r="BG559">
        <v>1000</v>
      </c>
      <c r="BH559" s="7">
        <f>ROUND(Wapato_Inventory[[#This Row],[detatched_value]]*Lookups!$B$22*Lookups!$H$48,-2)</f>
        <v>0</v>
      </c>
      <c r="BI559" s="7">
        <f>ROUND(((Wapato_Inventory[[#This Row],[land_extract]]*Lookups!$B$3) +(Lookups!$B$2*0.5))*Lookups!$H$48,-2)</f>
        <v>51500</v>
      </c>
      <c r="BJ559" s="7">
        <f>IF(Wapato_Inventory[[#This Row],[bldg_style]]="",0,Lookups!$B$2*0.5)</f>
        <v>53765.27</v>
      </c>
      <c r="BK559" s="7">
        <f>_xlfn.IFNA(VLOOKUP(Wapato_Inventory[[#This Row],[quality]],Lookups!$H$2:$J$14,3,FALSE),0)</f>
        <v>23424</v>
      </c>
      <c r="BL559" s="7">
        <f>_xlfn.IFNA(VLOOKUP(Wapato_Inventory[[#This Row],[condition]],Lookups!$H$17:$J$24,3,FALSE),0)</f>
        <v>52231</v>
      </c>
      <c r="BM559" s="7">
        <f>Wapato_Inventory[[#This Row],[Age]]*Lookups!$B$16</f>
        <v>-36326.2186</v>
      </c>
      <c r="BN559" s="7">
        <f>Wapato_Inventory[[#This Row],[Main Floor]]*Lookups!$B$17</f>
        <v>33440.591200000003</v>
      </c>
      <c r="BO559" s="7">
        <f>Wapato_Inventory[[#This Row],[Upper Floor]]*Lookups!$B$18</f>
        <v>0</v>
      </c>
      <c r="BP559" s="7">
        <f>Wapato_Inventory[[#This Row],[Fin BSMT]]*Lookups!$B$19</f>
        <v>0</v>
      </c>
      <c r="BQ559" s="7">
        <f>(Wapato_Inventory[[#This Row],[att_gar]]+Wapato_Inventory[[#This Row],[blt_gar]])*Lookups!$B$20</f>
        <v>0</v>
      </c>
      <c r="BR559" s="7">
        <f>Wapato_Inventory[[#This Row],[Patio]]*Lookups!$B$21</f>
        <v>0</v>
      </c>
      <c r="BS559" s="7">
        <f>SUM(Wapato_Inventory[[#This Row],[intercept]:[patio_value]])*Wapato_Inventory[[#This Row],[res_pct]]</f>
        <v>126534.64259999999</v>
      </c>
      <c r="BT559" s="7">
        <f>Wapato_Inventory[[#This Row],[land_value]]</f>
        <v>51500</v>
      </c>
      <c r="BU559" s="2">
        <f>_xlfn.IFNA(VLOOKUP(Wapato_Inventory[[#This Row],[quality]],Lookups!$A$28:$C$37,3,FALSE),1)</f>
        <v>1.0091195562373767</v>
      </c>
      <c r="BV559" s="2">
        <f>_xlfn.IFNA(VLOOKUP(Wapato_Inventory[[#This Row],[condition]],Lookups!$A$41:$C$48,3,FALSE),1)</f>
        <v>0.9832333997567807</v>
      </c>
      <c r="BW559" s="2">
        <f>IF(Wapato_Inventory[[#This Row],[decade]]="",1,_xlfn.IFNA(VLOOKUP(Wapato_Inventory[[#This Row],[decade]],Lookups!$F$28:$H$45,3,FALSE),1))</f>
        <v>1.0114203040664467</v>
      </c>
      <c r="BX559" s="2">
        <f>_xlfn.IFNA(VLOOKUP(Wapato_Inventory[[#This Row],[living_area_range]],Lookups!$K$28:$M$37,3,FALSE),1)</f>
        <v>0.99022994770196116</v>
      </c>
      <c r="BY559" s="2">
        <f>AVERAGE(Wapato_Inventory[[#This Row],[qual_adj]:[range_adj]])</f>
        <v>0.99850080194064128</v>
      </c>
      <c r="BZ559" s="7">
        <f>(Wapato_Inventory[[#This Row],[sum_land]]-IF(Wapato_Inventory[[#This Row],[no_utilities]]=1,12000,0))/IF(Wapato_Inventory[[#This Row],[unbuildable]]=1,2,1)</f>
        <v>51500</v>
      </c>
      <c r="CA559" s="7">
        <f>Wapato_Inventory[[#This Row],[pre_res]]*Wapato_Inventory[[#This Row],[overall_adj]]</f>
        <v>126344.94210937242</v>
      </c>
      <c r="CB559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559" s="3">
        <f>IF(ROUND(Wapato_Inventory[[#This Row],[adj_res]]*Lookups!$H$48,-2)&lt;Wapato_Inventory[[#This Row],[min_res]],Wapato_Inventory[[#This Row],[min_res]],ROUND(Wapato_Inventory[[#This Row],[adj_res]]*Lookups!$H$48,-2))</f>
        <v>120000</v>
      </c>
      <c r="CD559" s="3">
        <f>ROUND(Wapato_Inventory[[#This Row],[det_value]]*Lookups!$H$48,-2)</f>
        <v>0</v>
      </c>
      <c r="CE559" s="3">
        <f>Wapato_Inventory[[#This Row],[final_res]]+Wapato_Inventory[[#This Row],[final_det]]</f>
        <v>120000</v>
      </c>
      <c r="CF559" s="3">
        <f>Wapato_Inventory[[#This Row],[crop_value]]+Wapato_Inventory[[#This Row],[final_land]]+Wapato_Inventory[[#This Row],[final_imp]]</f>
        <v>168900</v>
      </c>
      <c r="CH559" t="str">
        <f t="shared" si="8"/>
        <v>update valuation set market_land =48900, market_bldg=120000, market_total =168900, market_mdno =405, market_date ='9/10/2023' where link_id = (select link_id from parcel where parcel_year = '2024' and parcel_id = '19111512427');</v>
      </c>
    </row>
    <row r="560" spans="1:86" x14ac:dyDescent="0.25">
      <c r="A560">
        <v>19111512428</v>
      </c>
      <c r="B560">
        <v>0.1</v>
      </c>
      <c r="C560">
        <v>4187</v>
      </c>
      <c r="D560" t="s">
        <v>144</v>
      </c>
      <c r="E560" t="s">
        <v>54</v>
      </c>
      <c r="F560" t="s">
        <v>54</v>
      </c>
      <c r="G560">
        <v>3</v>
      </c>
      <c r="H560" t="s">
        <v>55</v>
      </c>
      <c r="I560">
        <v>202000</v>
      </c>
      <c r="J560">
        <v>29500</v>
      </c>
      <c r="K560">
        <v>0.1</v>
      </c>
      <c r="L560">
        <f>IF(Wapato_Inventory[[#This Row],[parcel_acres]]-Wapato_Inventory[[#This Row],[non_valued_acres]] =0,0,LN(Wapato_Inventory[[#This Row],[parcel_acres]]-Wapato_Inventory[[#This Row],[non_valued_acres]]))</f>
        <v>-2.3025850929940455</v>
      </c>
      <c r="M560">
        <v>0</v>
      </c>
      <c r="N560">
        <v>0</v>
      </c>
      <c r="O560">
        <v>0</v>
      </c>
      <c r="P560">
        <v>27904.037</v>
      </c>
      <c r="Q560">
        <v>74398</v>
      </c>
      <c r="R560" s="3">
        <f>(Wapato_Inventory[[#This Row],[ln_acres]]*Wapato_Inventory[[#This Row],[coeff]])+Wapato_Inventory[[#This Row],[const]]</f>
        <v>10146.580369445714</v>
      </c>
      <c r="S560" t="s">
        <v>56</v>
      </c>
      <c r="T560">
        <v>2</v>
      </c>
      <c r="U560" t="s">
        <v>75</v>
      </c>
      <c r="V560" t="s">
        <v>69</v>
      </c>
      <c r="W560">
        <v>0</v>
      </c>
      <c r="X560">
        <v>0</v>
      </c>
      <c r="Y560">
        <v>48</v>
      </c>
      <c r="Z560">
        <v>103</v>
      </c>
      <c r="AA560">
        <v>110</v>
      </c>
      <c r="AB560">
        <v>1500</v>
      </c>
      <c r="AC560">
        <v>1488</v>
      </c>
      <c r="AD560">
        <v>1032</v>
      </c>
      <c r="AE560">
        <v>456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112</v>
      </c>
      <c r="AP560">
        <v>7</v>
      </c>
      <c r="AQ560">
        <v>0</v>
      </c>
      <c r="AR560">
        <v>0</v>
      </c>
      <c r="AS560" t="s">
        <v>59</v>
      </c>
      <c r="AT560">
        <v>1</v>
      </c>
      <c r="AU560" t="s">
        <v>64</v>
      </c>
      <c r="AV560" t="s">
        <v>61</v>
      </c>
      <c r="AW560">
        <v>0</v>
      </c>
      <c r="AX560">
        <v>5</v>
      </c>
      <c r="AY560">
        <v>0</v>
      </c>
      <c r="AZ560">
        <v>0</v>
      </c>
      <c r="BA560">
        <v>100</v>
      </c>
      <c r="BB560">
        <v>100</v>
      </c>
      <c r="BC560">
        <v>100</v>
      </c>
      <c r="BD560">
        <v>100</v>
      </c>
      <c r="BE560">
        <v>1</v>
      </c>
      <c r="BF560">
        <v>15000</v>
      </c>
      <c r="BG560">
        <v>1000</v>
      </c>
      <c r="BH560" s="7">
        <f>ROUND(Wapato_Inventory[[#This Row],[detatched_value]]*Lookups!$B$22*Lookups!$H$48,-2)</f>
        <v>0</v>
      </c>
      <c r="BI560" s="7">
        <f>ROUND(((Wapato_Inventory[[#This Row],[land_extract]]*Lookups!$B$3) +(Lookups!$B$2*0.5))*Lookups!$H$48,-2)</f>
        <v>52100</v>
      </c>
      <c r="BJ560" s="7">
        <f>IF(Wapato_Inventory[[#This Row],[bldg_style]]="",0,Lookups!$B$2*0.5)</f>
        <v>53765.27</v>
      </c>
      <c r="BK560" s="7">
        <f>_xlfn.IFNA(VLOOKUP(Wapato_Inventory[[#This Row],[quality]],Lookups!$H$2:$J$14,3,FALSE),0)</f>
        <v>48043</v>
      </c>
      <c r="BL560" s="7">
        <f>_xlfn.IFNA(VLOOKUP(Wapato_Inventory[[#This Row],[condition]],Lookups!$H$17:$J$24,3,FALSE),0)</f>
        <v>74543</v>
      </c>
      <c r="BM560" s="7">
        <f>Wapato_Inventory[[#This Row],[Age]]*Lookups!$B$16</f>
        <v>-38179.597099999999</v>
      </c>
      <c r="BN560" s="7">
        <f>Wapato_Inventory[[#This Row],[Main Floor]]*Lookups!$B$17</f>
        <v>43138.362648000002</v>
      </c>
      <c r="BO560" s="7">
        <f>Wapato_Inventory[[#This Row],[Upper Floor]]*Lookups!$B$18</f>
        <v>22618.119384000001</v>
      </c>
      <c r="BP560" s="7">
        <f>Wapato_Inventory[[#This Row],[Fin BSMT]]*Lookups!$B$19</f>
        <v>0</v>
      </c>
      <c r="BQ560" s="7">
        <f>(Wapato_Inventory[[#This Row],[att_gar]]+Wapato_Inventory[[#This Row],[blt_gar]])*Lookups!$B$20</f>
        <v>0</v>
      </c>
      <c r="BR560" s="7">
        <f>Wapato_Inventory[[#This Row],[Patio]]*Lookups!$B$21</f>
        <v>0</v>
      </c>
      <c r="BS560" s="7">
        <f>SUM(Wapato_Inventory[[#This Row],[intercept]:[patio_value]])*Wapato_Inventory[[#This Row],[res_pct]]</f>
        <v>203928.154932</v>
      </c>
      <c r="BT560" s="7">
        <f>Wapato_Inventory[[#This Row],[land_value]]</f>
        <v>52100</v>
      </c>
      <c r="BU560" s="2">
        <f>_xlfn.IFNA(VLOOKUP(Wapato_Inventory[[#This Row],[quality]],Lookups!$A$28:$C$37,3,FALSE),1)</f>
        <v>0.98196844879778955</v>
      </c>
      <c r="BV560" s="2">
        <f>_xlfn.IFNA(VLOOKUP(Wapato_Inventory[[#This Row],[condition]],Lookups!$A$41:$C$48,3,FALSE),1)</f>
        <v>0.98442438223270734</v>
      </c>
      <c r="BW560" s="2">
        <f>IF(Wapato_Inventory[[#This Row],[decade]]="",1,_xlfn.IFNA(VLOOKUP(Wapato_Inventory[[#This Row],[decade]],Lookups!$F$28:$H$45,3,FALSE),1))</f>
        <v>0.93664589651353292</v>
      </c>
      <c r="BX560" s="2">
        <f>_xlfn.IFNA(VLOOKUP(Wapato_Inventory[[#This Row],[living_area_range]],Lookups!$K$28:$M$37,3,FALSE),1)</f>
        <v>1.0061411172456287</v>
      </c>
      <c r="BY560" s="2">
        <f>AVERAGE(Wapato_Inventory[[#This Row],[qual_adj]:[range_adj]])</f>
        <v>0.97729496119741466</v>
      </c>
      <c r="BZ560" s="7">
        <f>(Wapato_Inventory[[#This Row],[sum_land]]-IF(Wapato_Inventory[[#This Row],[no_utilities]]=1,12000,0))/IF(Wapato_Inventory[[#This Row],[unbuildable]]=1,2,1)</f>
        <v>52100</v>
      </c>
      <c r="CA560" s="7">
        <f>Wapato_Inventory[[#This Row],[pre_res]]*Wapato_Inventory[[#This Row],[overall_adj]]</f>
        <v>199297.9582613293</v>
      </c>
      <c r="CB560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560" s="3">
        <f>IF(ROUND(Wapato_Inventory[[#This Row],[adj_res]]*Lookups!$H$48,-2)&lt;Wapato_Inventory[[#This Row],[min_res]],Wapato_Inventory[[#This Row],[min_res]],ROUND(Wapato_Inventory[[#This Row],[adj_res]]*Lookups!$H$48,-2))</f>
        <v>189300</v>
      </c>
      <c r="CD560" s="3">
        <f>ROUND(Wapato_Inventory[[#This Row],[det_value]]*Lookups!$H$48,-2)</f>
        <v>0</v>
      </c>
      <c r="CE560" s="3">
        <f>Wapato_Inventory[[#This Row],[final_res]]+Wapato_Inventory[[#This Row],[final_det]]</f>
        <v>189300</v>
      </c>
      <c r="CF560" s="3">
        <f>Wapato_Inventory[[#This Row],[crop_value]]+Wapato_Inventory[[#This Row],[final_land]]+Wapato_Inventory[[#This Row],[final_imp]]</f>
        <v>238800</v>
      </c>
      <c r="CH560" t="str">
        <f t="shared" si="8"/>
        <v>update valuation set market_land =49500, market_bldg=189300, market_total =238800, market_mdno =405, market_date ='9/10/2023' where link_id = (select link_id from parcel where parcel_year = '2024' and parcel_id = '19111512428');</v>
      </c>
    </row>
    <row r="561" spans="1:86" x14ac:dyDescent="0.25">
      <c r="A561">
        <v>19111512431</v>
      </c>
      <c r="B561">
        <v>0.15</v>
      </c>
      <c r="C561">
        <v>6326</v>
      </c>
      <c r="D561" t="s">
        <v>144</v>
      </c>
      <c r="E561" t="s">
        <v>54</v>
      </c>
      <c r="F561" t="s">
        <v>54</v>
      </c>
      <c r="G561">
        <v>3</v>
      </c>
      <c r="H561" t="s">
        <v>55</v>
      </c>
      <c r="I561">
        <v>222100</v>
      </c>
      <c r="J561">
        <v>32300</v>
      </c>
      <c r="K561">
        <v>0.15</v>
      </c>
      <c r="L561">
        <f>IF(Wapato_Inventory[[#This Row],[parcel_acres]]-Wapato_Inventory[[#This Row],[non_valued_acres]] =0,0,LN(Wapato_Inventory[[#This Row],[parcel_acres]]-Wapato_Inventory[[#This Row],[non_valued_acres]]))</f>
        <v>-1.8971199848858813</v>
      </c>
      <c r="M561">
        <v>0</v>
      </c>
      <c r="N561">
        <v>0</v>
      </c>
      <c r="O561">
        <v>0</v>
      </c>
      <c r="P561">
        <v>27904.037</v>
      </c>
      <c r="Q561">
        <v>74398</v>
      </c>
      <c r="R561" s="3">
        <f>(Wapato_Inventory[[#This Row],[ln_acres]]*Wapato_Inventory[[#This Row],[coeff]])+Wapato_Inventory[[#This Row],[const]]</f>
        <v>21460.693748304926</v>
      </c>
      <c r="S561" t="s">
        <v>66</v>
      </c>
      <c r="T561">
        <v>1</v>
      </c>
      <c r="U561" t="s">
        <v>75</v>
      </c>
      <c r="V561" t="s">
        <v>70</v>
      </c>
      <c r="W561">
        <v>0</v>
      </c>
      <c r="X561">
        <v>0</v>
      </c>
      <c r="Y561">
        <v>23</v>
      </c>
      <c r="Z561">
        <v>93</v>
      </c>
      <c r="AA561">
        <v>100</v>
      </c>
      <c r="AB561">
        <v>1500</v>
      </c>
      <c r="AC561">
        <v>1195</v>
      </c>
      <c r="AD561">
        <v>1195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25</v>
      </c>
      <c r="AO561">
        <v>0</v>
      </c>
      <c r="AP561">
        <v>8</v>
      </c>
      <c r="AQ561">
        <v>0</v>
      </c>
      <c r="AR561">
        <v>0</v>
      </c>
      <c r="AS561" t="s">
        <v>59</v>
      </c>
      <c r="AT561">
        <v>0</v>
      </c>
      <c r="AU561" t="s">
        <v>80</v>
      </c>
      <c r="AV561" t="s">
        <v>61</v>
      </c>
      <c r="AW561">
        <v>0</v>
      </c>
      <c r="AX561">
        <v>3</v>
      </c>
      <c r="AY561">
        <v>0</v>
      </c>
      <c r="AZ561">
        <v>0</v>
      </c>
      <c r="BA561">
        <v>100</v>
      </c>
      <c r="BB561">
        <v>100</v>
      </c>
      <c r="BC561">
        <v>100</v>
      </c>
      <c r="BD561">
        <v>100</v>
      </c>
      <c r="BE561">
        <v>1</v>
      </c>
      <c r="BF561">
        <v>15000</v>
      </c>
      <c r="BG561">
        <v>1000</v>
      </c>
      <c r="BH561" s="7">
        <f>ROUND(Wapato_Inventory[[#This Row],[detatched_value]]*Lookups!$B$22*Lookups!$H$48,-2)</f>
        <v>0</v>
      </c>
      <c r="BI561" s="7">
        <f>ROUND(((Wapato_Inventory[[#This Row],[land_extract]]*Lookups!$B$3) +(Lookups!$B$2*0.5))*Lookups!$H$48,-2)</f>
        <v>53100</v>
      </c>
      <c r="BJ561" s="7">
        <f>IF(Wapato_Inventory[[#This Row],[bldg_style]]="",0,Lookups!$B$2*0.5)</f>
        <v>53765.27</v>
      </c>
      <c r="BK561" s="7">
        <f>_xlfn.IFNA(VLOOKUP(Wapato_Inventory[[#This Row],[quality]],Lookups!$H$2:$J$14,3,FALSE),0)</f>
        <v>48043</v>
      </c>
      <c r="BL561" s="7">
        <f>_xlfn.IFNA(VLOOKUP(Wapato_Inventory[[#This Row],[condition]],Lookups!$H$17:$J$24,3,FALSE),0)</f>
        <v>84338</v>
      </c>
      <c r="BM561" s="7">
        <f>Wapato_Inventory[[#This Row],[Age]]*Lookups!$B$16</f>
        <v>-34472.840100000001</v>
      </c>
      <c r="BN561" s="7">
        <f>Wapato_Inventory[[#This Row],[Main Floor]]*Lookups!$B$17</f>
        <v>49951.883105000001</v>
      </c>
      <c r="BO561" s="7">
        <f>Wapato_Inventory[[#This Row],[Upper Floor]]*Lookups!$B$18</f>
        <v>0</v>
      </c>
      <c r="BP561" s="7">
        <f>Wapato_Inventory[[#This Row],[Fin BSMT]]*Lookups!$B$19</f>
        <v>0</v>
      </c>
      <c r="BQ561" s="7">
        <f>(Wapato_Inventory[[#This Row],[att_gar]]+Wapato_Inventory[[#This Row],[blt_gar]])*Lookups!$B$20</f>
        <v>0</v>
      </c>
      <c r="BR561" s="7">
        <f>Wapato_Inventory[[#This Row],[Patio]]*Lookups!$B$21</f>
        <v>0</v>
      </c>
      <c r="BS561" s="7">
        <f>SUM(Wapato_Inventory[[#This Row],[intercept]:[patio_value]])*Wapato_Inventory[[#This Row],[res_pct]]</f>
        <v>201625.313005</v>
      </c>
      <c r="BT561" s="7">
        <f>Wapato_Inventory[[#This Row],[land_value]]</f>
        <v>53100</v>
      </c>
      <c r="BU561" s="2">
        <f>_xlfn.IFNA(VLOOKUP(Wapato_Inventory[[#This Row],[quality]],Lookups!$A$28:$C$37,3,FALSE),1)</f>
        <v>0.98196844879778955</v>
      </c>
      <c r="BV561" s="2">
        <f>_xlfn.IFNA(VLOOKUP(Wapato_Inventory[[#This Row],[condition]],Lookups!$A$41:$C$48,3,FALSE),1)</f>
        <v>0.99478075210508476</v>
      </c>
      <c r="BW561" s="2">
        <f>IF(Wapato_Inventory[[#This Row],[decade]]="",1,_xlfn.IFNA(VLOOKUP(Wapato_Inventory[[#This Row],[decade]],Lookups!$F$28:$H$45,3,FALSE),1))</f>
        <v>1.0114203040664467</v>
      </c>
      <c r="BX561" s="2">
        <f>_xlfn.IFNA(VLOOKUP(Wapato_Inventory[[#This Row],[living_area_range]],Lookups!$K$28:$M$37,3,FALSE),1)</f>
        <v>1.0061411172456287</v>
      </c>
      <c r="BY561" s="2">
        <f>AVERAGE(Wapato_Inventory[[#This Row],[qual_adj]:[range_adj]])</f>
        <v>0.99857765555373734</v>
      </c>
      <c r="BZ561" s="7">
        <f>(Wapato_Inventory[[#This Row],[sum_land]]-IF(Wapato_Inventory[[#This Row],[no_utilities]]=1,12000,0))/IF(Wapato_Inventory[[#This Row],[unbuildable]]=1,2,1)</f>
        <v>53100</v>
      </c>
      <c r="CA561" s="7">
        <f>Wapato_Inventory[[#This Row],[pre_res]]*Wapato_Inventory[[#This Row],[overall_adj]]</f>
        <v>201338.53236082138</v>
      </c>
      <c r="CB56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61" s="3">
        <f>IF(ROUND(Wapato_Inventory[[#This Row],[adj_res]]*Lookups!$H$48,-2)&lt;Wapato_Inventory[[#This Row],[min_res]],Wapato_Inventory[[#This Row],[min_res]],ROUND(Wapato_Inventory[[#This Row],[adj_res]]*Lookups!$H$48,-2))</f>
        <v>191300</v>
      </c>
      <c r="CD561" s="3">
        <f>ROUND(Wapato_Inventory[[#This Row],[det_value]]*Lookups!$H$48,-2)</f>
        <v>0</v>
      </c>
      <c r="CE561" s="3">
        <f>Wapato_Inventory[[#This Row],[final_res]]+Wapato_Inventory[[#This Row],[final_det]]</f>
        <v>191300</v>
      </c>
      <c r="CF561" s="3">
        <f>Wapato_Inventory[[#This Row],[crop_value]]+Wapato_Inventory[[#This Row],[final_land]]+Wapato_Inventory[[#This Row],[final_imp]]</f>
        <v>241700</v>
      </c>
      <c r="CH561" t="str">
        <f t="shared" si="8"/>
        <v>update valuation set market_land =50400, market_bldg=191300, market_total =241700, market_mdno =405, market_date ='9/10/2023' where link_id = (select link_id from parcel where parcel_year = '2024' and parcel_id = '19111512431');</v>
      </c>
    </row>
    <row r="562" spans="1:86" x14ac:dyDescent="0.25">
      <c r="A562">
        <v>19111512432</v>
      </c>
      <c r="B562">
        <v>0.13</v>
      </c>
      <c r="C562">
        <v>5555</v>
      </c>
      <c r="D562" t="s">
        <v>144</v>
      </c>
      <c r="E562" t="s">
        <v>54</v>
      </c>
      <c r="F562" t="s">
        <v>54</v>
      </c>
      <c r="G562">
        <v>3</v>
      </c>
      <c r="H562" t="s">
        <v>55</v>
      </c>
      <c r="I562">
        <v>53100</v>
      </c>
      <c r="J562">
        <v>31400</v>
      </c>
      <c r="K562">
        <v>0.13</v>
      </c>
      <c r="L562">
        <f>IF(Wapato_Inventory[[#This Row],[parcel_acres]]-Wapato_Inventory[[#This Row],[non_valued_acres]] =0,0,LN(Wapato_Inventory[[#This Row],[parcel_acres]]-Wapato_Inventory[[#This Row],[non_valued_acres]]))</f>
        <v>-2.0402208285265546</v>
      </c>
      <c r="M562">
        <v>0</v>
      </c>
      <c r="N562">
        <v>0</v>
      </c>
      <c r="O562">
        <v>0</v>
      </c>
      <c r="P562">
        <v>27904.037</v>
      </c>
      <c r="Q562">
        <v>74398</v>
      </c>
      <c r="R562" s="3">
        <f>(Wapato_Inventory[[#This Row],[ln_acres]]*Wapato_Inventory[[#This Row],[coeff]])+Wapato_Inventory[[#This Row],[const]]</f>
        <v>17467.602512624362</v>
      </c>
      <c r="S562" t="s">
        <v>66</v>
      </c>
      <c r="T562">
        <v>1</v>
      </c>
      <c r="U562" t="s">
        <v>71</v>
      </c>
      <c r="V562" t="s">
        <v>73</v>
      </c>
      <c r="W562">
        <v>0</v>
      </c>
      <c r="X562">
        <v>0</v>
      </c>
      <c r="Y562">
        <v>57</v>
      </c>
      <c r="Z562">
        <v>103</v>
      </c>
      <c r="AA562">
        <v>110</v>
      </c>
      <c r="AB562">
        <v>1000</v>
      </c>
      <c r="AC562">
        <v>696</v>
      </c>
      <c r="AD562">
        <v>696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184</v>
      </c>
      <c r="AO562">
        <v>0</v>
      </c>
      <c r="AP562">
        <v>5</v>
      </c>
      <c r="AQ562">
        <v>0</v>
      </c>
      <c r="AR562">
        <v>0</v>
      </c>
      <c r="AS562" t="s">
        <v>59</v>
      </c>
      <c r="AT562">
        <v>0</v>
      </c>
      <c r="AU562" t="s">
        <v>80</v>
      </c>
      <c r="AV562" t="s">
        <v>77</v>
      </c>
      <c r="AW562">
        <v>0</v>
      </c>
      <c r="AX562">
        <v>2</v>
      </c>
      <c r="AY562">
        <v>0</v>
      </c>
      <c r="AZ562">
        <v>0</v>
      </c>
      <c r="BA562">
        <v>100</v>
      </c>
      <c r="BB562">
        <v>100</v>
      </c>
      <c r="BC562">
        <v>100</v>
      </c>
      <c r="BD562">
        <v>100</v>
      </c>
      <c r="BE562">
        <v>1</v>
      </c>
      <c r="BF562">
        <v>15000</v>
      </c>
      <c r="BG562">
        <v>1000</v>
      </c>
      <c r="BH562" s="7">
        <f>ROUND(Wapato_Inventory[[#This Row],[detatched_value]]*Lookups!$B$22*Lookups!$H$48,-2)</f>
        <v>0</v>
      </c>
      <c r="BI562" s="7">
        <f>ROUND(((Wapato_Inventory[[#This Row],[land_extract]]*Lookups!$B$3) +(Lookups!$B$2*0.5))*Lookups!$H$48,-2)</f>
        <v>52800</v>
      </c>
      <c r="BJ562" s="7">
        <f>IF(Wapato_Inventory[[#This Row],[bldg_style]]="",0,Lookups!$B$2*0.5)</f>
        <v>53765.27</v>
      </c>
      <c r="BK562" s="7">
        <f>_xlfn.IFNA(VLOOKUP(Wapato_Inventory[[#This Row],[quality]],Lookups!$H$2:$J$14,3,FALSE),0)</f>
        <v>28034</v>
      </c>
      <c r="BL562" s="7">
        <f>_xlfn.IFNA(VLOOKUP(Wapato_Inventory[[#This Row],[condition]],Lookups!$H$17:$J$24,3,FALSE),0)</f>
        <v>16276</v>
      </c>
      <c r="BM562" s="7">
        <f>Wapato_Inventory[[#This Row],[Age]]*Lookups!$B$16</f>
        <v>-38179.597099999999</v>
      </c>
      <c r="BN562" s="7">
        <f>Wapato_Inventory[[#This Row],[Main Floor]]*Lookups!$B$17</f>
        <v>29093.314343999999</v>
      </c>
      <c r="BO562" s="7">
        <f>Wapato_Inventory[[#This Row],[Upper Floor]]*Lookups!$B$18</f>
        <v>0</v>
      </c>
      <c r="BP562" s="7">
        <f>Wapato_Inventory[[#This Row],[Fin BSMT]]*Lookups!$B$19</f>
        <v>0</v>
      </c>
      <c r="BQ562" s="7">
        <f>(Wapato_Inventory[[#This Row],[att_gar]]+Wapato_Inventory[[#This Row],[blt_gar]])*Lookups!$B$20</f>
        <v>0</v>
      </c>
      <c r="BR562" s="7">
        <f>Wapato_Inventory[[#This Row],[Patio]]*Lookups!$B$21</f>
        <v>0</v>
      </c>
      <c r="BS562" s="7">
        <f>SUM(Wapato_Inventory[[#This Row],[intercept]:[patio_value]])*Wapato_Inventory[[#This Row],[res_pct]]</f>
        <v>88988.987243999989</v>
      </c>
      <c r="BT562" s="7">
        <f>Wapato_Inventory[[#This Row],[land_value]]</f>
        <v>52800</v>
      </c>
      <c r="BU562" s="2">
        <f>_xlfn.IFNA(VLOOKUP(Wapato_Inventory[[#This Row],[quality]],Lookups!$A$28:$C$37,3,FALSE),1)</f>
        <v>0.96265813922927435</v>
      </c>
      <c r="BV562" s="2">
        <f>_xlfn.IFNA(VLOOKUP(Wapato_Inventory[[#This Row],[condition]],Lookups!$A$41:$C$48,3,FALSE),1)</f>
        <v>0.93399385491337139</v>
      </c>
      <c r="BW562" s="2">
        <f>IF(Wapato_Inventory[[#This Row],[decade]]="",1,_xlfn.IFNA(VLOOKUP(Wapato_Inventory[[#This Row],[decade]],Lookups!$F$28:$H$45,3,FALSE),1))</f>
        <v>0.93664589651353292</v>
      </c>
      <c r="BX562" s="2">
        <f>_xlfn.IFNA(VLOOKUP(Wapato_Inventory[[#This Row],[living_area_range]],Lookups!$K$28:$M$37,3,FALSE),1)</f>
        <v>0.99022994770196116</v>
      </c>
      <c r="BY562" s="2">
        <f>AVERAGE(Wapato_Inventory[[#This Row],[qual_adj]:[range_adj]])</f>
        <v>0.95588195958953504</v>
      </c>
      <c r="BZ562" s="7">
        <f>(Wapato_Inventory[[#This Row],[sum_land]]-IF(Wapato_Inventory[[#This Row],[no_utilities]]=1,12000,0))/IF(Wapato_Inventory[[#This Row],[unbuildable]]=1,2,1)</f>
        <v>52800</v>
      </c>
      <c r="CA562" s="7">
        <f>Wapato_Inventory[[#This Row],[pre_res]]*Wapato_Inventory[[#This Row],[overall_adj]]</f>
        <v>85062.96750868285</v>
      </c>
      <c r="CB562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562" s="3">
        <f>IF(ROUND(Wapato_Inventory[[#This Row],[adj_res]]*Lookups!$H$48,-2)&lt;Wapato_Inventory[[#This Row],[min_res]],Wapato_Inventory[[#This Row],[min_res]],ROUND(Wapato_Inventory[[#This Row],[adj_res]]*Lookups!$H$48,-2))</f>
        <v>80800</v>
      </c>
      <c r="CD562" s="3">
        <f>ROUND(Wapato_Inventory[[#This Row],[det_value]]*Lookups!$H$48,-2)</f>
        <v>0</v>
      </c>
      <c r="CE562" s="3">
        <f>Wapato_Inventory[[#This Row],[final_res]]+Wapato_Inventory[[#This Row],[final_det]]</f>
        <v>80800</v>
      </c>
      <c r="CF562" s="3">
        <f>Wapato_Inventory[[#This Row],[crop_value]]+Wapato_Inventory[[#This Row],[final_land]]+Wapato_Inventory[[#This Row],[final_imp]]</f>
        <v>131000</v>
      </c>
      <c r="CH562" t="str">
        <f t="shared" si="8"/>
        <v>update valuation set market_land =50200, market_bldg=80800, market_total =131000, market_mdno =405, market_date ='9/10/2023' where link_id = (select link_id from parcel where parcel_year = '2024' and parcel_id = '19111512432');</v>
      </c>
    </row>
    <row r="563" spans="1:86" x14ac:dyDescent="0.25">
      <c r="A563">
        <v>19111512433</v>
      </c>
      <c r="B563">
        <v>0.16</v>
      </c>
      <c r="C563">
        <v>7006</v>
      </c>
      <c r="D563" t="s">
        <v>144</v>
      </c>
      <c r="E563" t="s">
        <v>54</v>
      </c>
      <c r="F563" t="s">
        <v>54</v>
      </c>
      <c r="G563">
        <v>3</v>
      </c>
      <c r="H563" t="s">
        <v>55</v>
      </c>
      <c r="I563">
        <v>124400</v>
      </c>
      <c r="J563">
        <v>32800</v>
      </c>
      <c r="K563">
        <v>0.16</v>
      </c>
      <c r="L563">
        <f>IF(Wapato_Inventory[[#This Row],[parcel_acres]]-Wapato_Inventory[[#This Row],[non_valued_acres]] =0,0,LN(Wapato_Inventory[[#This Row],[parcel_acres]]-Wapato_Inventory[[#This Row],[non_valued_acres]]))</f>
        <v>-1.8325814637483102</v>
      </c>
      <c r="M563">
        <v>0</v>
      </c>
      <c r="N563">
        <v>0</v>
      </c>
      <c r="O563">
        <v>0</v>
      </c>
      <c r="P563">
        <v>27904.037</v>
      </c>
      <c r="Q563">
        <v>74398</v>
      </c>
      <c r="R563" s="3">
        <f>(Wapato_Inventory[[#This Row],[ln_acres]]*Wapato_Inventory[[#This Row],[coeff]])+Wapato_Inventory[[#This Row],[const]]</f>
        <v>23261.579030052992</v>
      </c>
      <c r="S563" t="s">
        <v>66</v>
      </c>
      <c r="T563">
        <v>1</v>
      </c>
      <c r="U563" t="s">
        <v>71</v>
      </c>
      <c r="V563" t="s">
        <v>68</v>
      </c>
      <c r="W563">
        <v>0</v>
      </c>
      <c r="X563">
        <v>0</v>
      </c>
      <c r="Y563">
        <v>52</v>
      </c>
      <c r="Z563">
        <v>88</v>
      </c>
      <c r="AA563">
        <v>90</v>
      </c>
      <c r="AB563">
        <v>1500</v>
      </c>
      <c r="AC563">
        <v>1040</v>
      </c>
      <c r="AD563">
        <v>1040</v>
      </c>
      <c r="AE563">
        <v>0</v>
      </c>
      <c r="AF563">
        <v>0</v>
      </c>
      <c r="AG563">
        <v>0</v>
      </c>
      <c r="AH563">
        <v>670</v>
      </c>
      <c r="AI563">
        <v>0</v>
      </c>
      <c r="AJ563">
        <v>0</v>
      </c>
      <c r="AK563">
        <v>576</v>
      </c>
      <c r="AL563">
        <v>0</v>
      </c>
      <c r="AM563">
        <v>0</v>
      </c>
      <c r="AN563">
        <v>0</v>
      </c>
      <c r="AO563">
        <v>0</v>
      </c>
      <c r="AP563">
        <v>5</v>
      </c>
      <c r="AQ563">
        <v>0</v>
      </c>
      <c r="AR563">
        <v>1</v>
      </c>
      <c r="AS563" t="s">
        <v>59</v>
      </c>
      <c r="AT563">
        <v>1</v>
      </c>
      <c r="AU563" t="s">
        <v>64</v>
      </c>
      <c r="AV563" t="s">
        <v>77</v>
      </c>
      <c r="AW563">
        <v>0</v>
      </c>
      <c r="AX563">
        <v>2</v>
      </c>
      <c r="AY563">
        <v>0</v>
      </c>
      <c r="AZ563">
        <v>3300</v>
      </c>
      <c r="BA563">
        <v>100</v>
      </c>
      <c r="BB563">
        <v>100</v>
      </c>
      <c r="BC563">
        <v>100</v>
      </c>
      <c r="BD563">
        <v>100</v>
      </c>
      <c r="BE563">
        <v>1</v>
      </c>
      <c r="BF563">
        <v>15000</v>
      </c>
      <c r="BG563">
        <v>1000</v>
      </c>
      <c r="BH563" s="7">
        <f>ROUND(Wapato_Inventory[[#This Row],[detatched_value]]*Lookups!$B$22*Lookups!$H$48,-2)</f>
        <v>2900</v>
      </c>
      <c r="BI563" s="7">
        <f>ROUND(((Wapato_Inventory[[#This Row],[land_extract]]*Lookups!$B$3) +(Lookups!$B$2*0.5))*Lookups!$H$48,-2)</f>
        <v>53300</v>
      </c>
      <c r="BJ563" s="7">
        <f>IF(Wapato_Inventory[[#This Row],[bldg_style]]="",0,Lookups!$B$2*0.5)</f>
        <v>53765.27</v>
      </c>
      <c r="BK563" s="7">
        <f>_xlfn.IFNA(VLOOKUP(Wapato_Inventory[[#This Row],[quality]],Lookups!$H$2:$J$14,3,FALSE),0)</f>
        <v>28034</v>
      </c>
      <c r="BL563" s="7">
        <f>_xlfn.IFNA(VLOOKUP(Wapato_Inventory[[#This Row],[condition]],Lookups!$H$17:$J$24,3,FALSE),0)</f>
        <v>52231</v>
      </c>
      <c r="BM563" s="7">
        <f>Wapato_Inventory[[#This Row],[Age]]*Lookups!$B$16</f>
        <v>-32619.461600000002</v>
      </c>
      <c r="BN563" s="7">
        <f>Wapato_Inventory[[#This Row],[Main Floor]]*Lookups!$B$17</f>
        <v>43472.768559999997</v>
      </c>
      <c r="BO563" s="7">
        <f>Wapato_Inventory[[#This Row],[Upper Floor]]*Lookups!$B$18</f>
        <v>0</v>
      </c>
      <c r="BP563" s="7">
        <f>Wapato_Inventory[[#This Row],[Fin BSMT]]*Lookups!$B$19</f>
        <v>0</v>
      </c>
      <c r="BQ563" s="7">
        <f>(Wapato_Inventory[[#This Row],[att_gar]]+Wapato_Inventory[[#This Row],[blt_gar]])*Lookups!$B$20</f>
        <v>0</v>
      </c>
      <c r="BR563" s="7">
        <f>Wapato_Inventory[[#This Row],[Patio]]*Lookups!$B$21</f>
        <v>0</v>
      </c>
      <c r="BS563" s="7">
        <f>SUM(Wapato_Inventory[[#This Row],[intercept]:[patio_value]])*Wapato_Inventory[[#This Row],[res_pct]]</f>
        <v>144883.57695999998</v>
      </c>
      <c r="BT563" s="7">
        <f>Wapato_Inventory[[#This Row],[land_value]]</f>
        <v>53300</v>
      </c>
      <c r="BU563" s="2">
        <f>_xlfn.IFNA(VLOOKUP(Wapato_Inventory[[#This Row],[quality]],Lookups!$A$28:$C$37,3,FALSE),1)</f>
        <v>0.96265813922927435</v>
      </c>
      <c r="BV563" s="2">
        <f>_xlfn.IFNA(VLOOKUP(Wapato_Inventory[[#This Row],[condition]],Lookups!$A$41:$C$48,3,FALSE),1)</f>
        <v>0.9832333997567807</v>
      </c>
      <c r="BW563" s="2">
        <f>IF(Wapato_Inventory[[#This Row],[decade]]="",1,_xlfn.IFNA(VLOOKUP(Wapato_Inventory[[#This Row],[decade]],Lookups!$F$28:$H$45,3,FALSE),1))</f>
        <v>0.94742695999815718</v>
      </c>
      <c r="BX563" s="2">
        <f>_xlfn.IFNA(VLOOKUP(Wapato_Inventory[[#This Row],[living_area_range]],Lookups!$K$28:$M$37,3,FALSE),1)</f>
        <v>1.0061411172456287</v>
      </c>
      <c r="BY563" s="2">
        <f>AVERAGE(Wapato_Inventory[[#This Row],[qual_adj]:[range_adj]])</f>
        <v>0.97486490405746018</v>
      </c>
      <c r="BZ563" s="7">
        <f>(Wapato_Inventory[[#This Row],[sum_land]]-IF(Wapato_Inventory[[#This Row],[no_utilities]]=1,12000,0))/IF(Wapato_Inventory[[#This Row],[unbuildable]]=1,2,1)</f>
        <v>53300</v>
      </c>
      <c r="CA563" s="7">
        <f>Wapato_Inventory[[#This Row],[pre_res]]*Wapato_Inventory[[#This Row],[overall_adj]]</f>
        <v>141241.91435261202</v>
      </c>
      <c r="CB563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563" s="3">
        <f>IF(ROUND(Wapato_Inventory[[#This Row],[adj_res]]*Lookups!$H$48,-2)&lt;Wapato_Inventory[[#This Row],[min_res]],Wapato_Inventory[[#This Row],[min_res]],ROUND(Wapato_Inventory[[#This Row],[adj_res]]*Lookups!$H$48,-2))</f>
        <v>134200</v>
      </c>
      <c r="CD563" s="3">
        <f>ROUND(Wapato_Inventory[[#This Row],[det_value]]*Lookups!$H$48,-2)</f>
        <v>2800</v>
      </c>
      <c r="CE563" s="3">
        <f>Wapato_Inventory[[#This Row],[final_res]]+Wapato_Inventory[[#This Row],[final_det]]</f>
        <v>137000</v>
      </c>
      <c r="CF563" s="3">
        <f>Wapato_Inventory[[#This Row],[crop_value]]+Wapato_Inventory[[#This Row],[final_land]]+Wapato_Inventory[[#This Row],[final_imp]]</f>
        <v>187600</v>
      </c>
      <c r="CH563" t="str">
        <f t="shared" si="8"/>
        <v>update valuation set market_land =50600, market_bldg=137000, market_total =187600, market_mdno =405, market_date ='9/10/2023' where link_id = (select link_id from parcel where parcel_year = '2024' and parcel_id = '19111512433');</v>
      </c>
    </row>
    <row r="564" spans="1:86" x14ac:dyDescent="0.25">
      <c r="A564">
        <v>19111512434</v>
      </c>
      <c r="B564">
        <v>0.18</v>
      </c>
      <c r="C564">
        <v>7818</v>
      </c>
      <c r="D564" t="s">
        <v>144</v>
      </c>
      <c r="E564" t="s">
        <v>54</v>
      </c>
      <c r="F564" t="s">
        <v>54</v>
      </c>
      <c r="G564">
        <v>3</v>
      </c>
      <c r="H564" t="s">
        <v>55</v>
      </c>
      <c r="I564">
        <v>184700</v>
      </c>
      <c r="J564">
        <v>33700</v>
      </c>
      <c r="K564">
        <v>0.18</v>
      </c>
      <c r="L564">
        <f>IF(Wapato_Inventory[[#This Row],[parcel_acres]]-Wapato_Inventory[[#This Row],[non_valued_acres]] =0,0,LN(Wapato_Inventory[[#This Row],[parcel_acres]]-Wapato_Inventory[[#This Row],[non_valued_acres]]))</f>
        <v>-1.7147984280919266</v>
      </c>
      <c r="M564">
        <v>0</v>
      </c>
      <c r="N564">
        <v>0</v>
      </c>
      <c r="O564">
        <v>0</v>
      </c>
      <c r="P564">
        <v>27904.037</v>
      </c>
      <c r="Q564">
        <v>74398</v>
      </c>
      <c r="R564" s="3">
        <f>(Wapato_Inventory[[#This Row],[ln_acres]]*Wapato_Inventory[[#This Row],[coeff]])+Wapato_Inventory[[#This Row],[const]]</f>
        <v>26548.20121498104</v>
      </c>
      <c r="S564" t="s">
        <v>145</v>
      </c>
      <c r="T564">
        <v>1</v>
      </c>
      <c r="U564" t="s">
        <v>75</v>
      </c>
      <c r="V564" t="s">
        <v>69</v>
      </c>
      <c r="W564">
        <v>0</v>
      </c>
      <c r="X564">
        <v>0</v>
      </c>
      <c r="Y564">
        <v>57</v>
      </c>
      <c r="Z564">
        <v>103</v>
      </c>
      <c r="AA564">
        <v>110</v>
      </c>
      <c r="AB564">
        <v>2000</v>
      </c>
      <c r="AC564">
        <v>1804</v>
      </c>
      <c r="AD564">
        <v>908</v>
      </c>
      <c r="AE564">
        <v>0</v>
      </c>
      <c r="AF564">
        <v>0</v>
      </c>
      <c r="AG564">
        <v>896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40</v>
      </c>
      <c r="AO564">
        <v>0</v>
      </c>
      <c r="AP564">
        <v>5</v>
      </c>
      <c r="AQ564">
        <v>0</v>
      </c>
      <c r="AR564">
        <v>0</v>
      </c>
      <c r="AS564" t="s">
        <v>59</v>
      </c>
      <c r="AT564">
        <v>1</v>
      </c>
      <c r="AU564" t="s">
        <v>64</v>
      </c>
      <c r="AV564" t="s">
        <v>65</v>
      </c>
      <c r="AW564">
        <v>0</v>
      </c>
      <c r="AX564">
        <v>4</v>
      </c>
      <c r="AY564">
        <v>0</v>
      </c>
      <c r="AZ564">
        <v>17800</v>
      </c>
      <c r="BA564">
        <v>100</v>
      </c>
      <c r="BB564">
        <v>100</v>
      </c>
      <c r="BC564">
        <v>100</v>
      </c>
      <c r="BD564">
        <v>100</v>
      </c>
      <c r="BE564">
        <v>1</v>
      </c>
      <c r="BF564">
        <v>15000</v>
      </c>
      <c r="BG564">
        <v>1000</v>
      </c>
      <c r="BH564" s="7">
        <f>ROUND(Wapato_Inventory[[#This Row],[detatched_value]]*Lookups!$B$22*Lookups!$H$48,-2)</f>
        <v>15900</v>
      </c>
      <c r="BI564" s="7">
        <f>ROUND(((Wapato_Inventory[[#This Row],[land_extract]]*Lookups!$B$3) +(Lookups!$B$2*0.5))*Lookups!$H$48,-2)</f>
        <v>53600</v>
      </c>
      <c r="BJ564" s="7">
        <f>IF(Wapato_Inventory[[#This Row],[bldg_style]]="",0,Lookups!$B$2*0.5)</f>
        <v>53765.27</v>
      </c>
      <c r="BK564" s="7">
        <f>_xlfn.IFNA(VLOOKUP(Wapato_Inventory[[#This Row],[quality]],Lookups!$H$2:$J$14,3,FALSE),0)</f>
        <v>48043</v>
      </c>
      <c r="BL564" s="7">
        <f>_xlfn.IFNA(VLOOKUP(Wapato_Inventory[[#This Row],[condition]],Lookups!$H$17:$J$24,3,FALSE),0)</f>
        <v>74543</v>
      </c>
      <c r="BM564" s="7">
        <f>Wapato_Inventory[[#This Row],[Age]]*Lookups!$B$16</f>
        <v>-38179.597099999999</v>
      </c>
      <c r="BN564" s="7">
        <f>Wapato_Inventory[[#This Row],[Main Floor]]*Lookups!$B$17</f>
        <v>37955.071012</v>
      </c>
      <c r="BO564" s="7">
        <f>Wapato_Inventory[[#This Row],[Upper Floor]]*Lookups!$B$18</f>
        <v>0</v>
      </c>
      <c r="BP564" s="7">
        <f>Wapato_Inventory[[#This Row],[Fin BSMT]]*Lookups!$B$19</f>
        <v>21832.599040000001</v>
      </c>
      <c r="BQ564" s="7">
        <f>(Wapato_Inventory[[#This Row],[att_gar]]+Wapato_Inventory[[#This Row],[blt_gar]])*Lookups!$B$20</f>
        <v>0</v>
      </c>
      <c r="BR564" s="7">
        <f>Wapato_Inventory[[#This Row],[Patio]]*Lookups!$B$21</f>
        <v>0</v>
      </c>
      <c r="BS564" s="7">
        <f>SUM(Wapato_Inventory[[#This Row],[intercept]:[patio_value]])*Wapato_Inventory[[#This Row],[res_pct]]</f>
        <v>197959.34295200001</v>
      </c>
      <c r="BT564" s="7">
        <f>Wapato_Inventory[[#This Row],[land_value]]</f>
        <v>53600</v>
      </c>
      <c r="BU564" s="2">
        <f>_xlfn.IFNA(VLOOKUP(Wapato_Inventory[[#This Row],[quality]],Lookups!$A$28:$C$37,3,FALSE),1)</f>
        <v>0.98196844879778955</v>
      </c>
      <c r="BV564" s="2">
        <f>_xlfn.IFNA(VLOOKUP(Wapato_Inventory[[#This Row],[condition]],Lookups!$A$41:$C$48,3,FALSE),1)</f>
        <v>0.98442438223270734</v>
      </c>
      <c r="BW564" s="2">
        <f>IF(Wapato_Inventory[[#This Row],[decade]]="",1,_xlfn.IFNA(VLOOKUP(Wapato_Inventory[[#This Row],[decade]],Lookups!$F$28:$H$45,3,FALSE),1))</f>
        <v>0.93664589651353292</v>
      </c>
      <c r="BX564" s="2">
        <f>_xlfn.IFNA(VLOOKUP(Wapato_Inventory[[#This Row],[living_area_range]],Lookups!$K$28:$M$37,3,FALSE),1)</f>
        <v>0.99330894324714125</v>
      </c>
      <c r="BY564" s="2">
        <f>AVERAGE(Wapato_Inventory[[#This Row],[qual_adj]:[range_adj]])</f>
        <v>0.97408691769779276</v>
      </c>
      <c r="BZ564" s="7">
        <f>(Wapato_Inventory[[#This Row],[sum_land]]-IF(Wapato_Inventory[[#This Row],[no_utilities]]=1,12000,0))/IF(Wapato_Inventory[[#This Row],[unbuildable]]=1,2,1)</f>
        <v>53600</v>
      </c>
      <c r="CA564" s="7">
        <f>Wapato_Inventory[[#This Row],[pre_res]]*Wapato_Inventory[[#This Row],[overall_adj]]</f>
        <v>192829.60620559397</v>
      </c>
      <c r="CB564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564" s="3">
        <f>IF(ROUND(Wapato_Inventory[[#This Row],[adj_res]]*Lookups!$H$48,-2)&lt;Wapato_Inventory[[#This Row],[min_res]],Wapato_Inventory[[#This Row],[min_res]],ROUND(Wapato_Inventory[[#This Row],[adj_res]]*Lookups!$H$48,-2))</f>
        <v>183200</v>
      </c>
      <c r="CD564" s="3">
        <f>ROUND(Wapato_Inventory[[#This Row],[det_value]]*Lookups!$H$48,-2)</f>
        <v>15100</v>
      </c>
      <c r="CE564" s="3">
        <f>Wapato_Inventory[[#This Row],[final_res]]+Wapato_Inventory[[#This Row],[final_det]]</f>
        <v>198300</v>
      </c>
      <c r="CF564" s="3">
        <f>Wapato_Inventory[[#This Row],[crop_value]]+Wapato_Inventory[[#This Row],[final_land]]+Wapato_Inventory[[#This Row],[final_imp]]</f>
        <v>249200</v>
      </c>
      <c r="CH564" t="str">
        <f t="shared" si="8"/>
        <v>update valuation set market_land =50900, market_bldg=198300, market_total =249200, market_mdno =405, market_date ='9/10/2023' where link_id = (select link_id from parcel where parcel_year = '2024' and parcel_id = '19111512434');</v>
      </c>
    </row>
    <row r="565" spans="1:86" x14ac:dyDescent="0.25">
      <c r="A565">
        <v>19111512436</v>
      </c>
      <c r="B565">
        <v>0.19</v>
      </c>
      <c r="C565">
        <v>8343</v>
      </c>
      <c r="D565" t="s">
        <v>144</v>
      </c>
      <c r="E565" t="s">
        <v>54</v>
      </c>
      <c r="F565" t="s">
        <v>54</v>
      </c>
      <c r="G565">
        <v>3</v>
      </c>
      <c r="H565" t="s">
        <v>55</v>
      </c>
      <c r="I565">
        <v>161200</v>
      </c>
      <c r="J565">
        <v>34100</v>
      </c>
      <c r="K565">
        <v>0.19</v>
      </c>
      <c r="L565">
        <f>IF(Wapato_Inventory[[#This Row],[parcel_acres]]-Wapato_Inventory[[#This Row],[non_valued_acres]] =0,0,LN(Wapato_Inventory[[#This Row],[parcel_acres]]-Wapato_Inventory[[#This Row],[non_valued_acres]]))</f>
        <v>-1.6607312068216509</v>
      </c>
      <c r="M565">
        <v>0</v>
      </c>
      <c r="N565">
        <v>0</v>
      </c>
      <c r="O565">
        <v>0</v>
      </c>
      <c r="P565">
        <v>27904.037</v>
      </c>
      <c r="Q565">
        <v>74398</v>
      </c>
      <c r="R565" s="3">
        <f>(Wapato_Inventory[[#This Row],[ln_acres]]*Wapato_Inventory[[#This Row],[coeff]])+Wapato_Inventory[[#This Row],[const]]</f>
        <v>28056.894957794</v>
      </c>
      <c r="S565" t="s">
        <v>66</v>
      </c>
      <c r="T565">
        <v>1</v>
      </c>
      <c r="U565" t="s">
        <v>67</v>
      </c>
      <c r="V565" t="s">
        <v>68</v>
      </c>
      <c r="W565">
        <v>0</v>
      </c>
      <c r="X565">
        <v>0</v>
      </c>
      <c r="Y565">
        <v>51</v>
      </c>
      <c r="Z565">
        <v>81</v>
      </c>
      <c r="AA565">
        <v>90</v>
      </c>
      <c r="AB565">
        <v>2500</v>
      </c>
      <c r="AC565">
        <v>2142</v>
      </c>
      <c r="AD565">
        <v>1071</v>
      </c>
      <c r="AE565">
        <v>0</v>
      </c>
      <c r="AF565">
        <v>0</v>
      </c>
      <c r="AG565">
        <v>1071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64</v>
      </c>
      <c r="AO565">
        <v>0</v>
      </c>
      <c r="AP565">
        <v>5</v>
      </c>
      <c r="AQ565">
        <v>0</v>
      </c>
      <c r="AR565">
        <v>1</v>
      </c>
      <c r="AS565" t="s">
        <v>59</v>
      </c>
      <c r="AT565">
        <v>1</v>
      </c>
      <c r="AU565" t="s">
        <v>64</v>
      </c>
      <c r="AV565" t="s">
        <v>65</v>
      </c>
      <c r="AW565">
        <v>1</v>
      </c>
      <c r="AX565">
        <v>3</v>
      </c>
      <c r="AY565">
        <v>0</v>
      </c>
      <c r="AZ565">
        <v>8100</v>
      </c>
      <c r="BA565">
        <v>100</v>
      </c>
      <c r="BB565">
        <v>100</v>
      </c>
      <c r="BC565">
        <v>100</v>
      </c>
      <c r="BD565">
        <v>100</v>
      </c>
      <c r="BE565">
        <v>1</v>
      </c>
      <c r="BF565">
        <v>15000</v>
      </c>
      <c r="BG565">
        <v>1000</v>
      </c>
      <c r="BH565" s="7">
        <f>ROUND(Wapato_Inventory[[#This Row],[detatched_value]]*Lookups!$B$22*Lookups!$H$48,-2)</f>
        <v>7200</v>
      </c>
      <c r="BI565" s="7">
        <f>ROUND(((Wapato_Inventory[[#This Row],[land_extract]]*Lookups!$B$3) +(Lookups!$B$2*0.5))*Lookups!$H$48,-2)</f>
        <v>53800</v>
      </c>
      <c r="BJ565" s="7">
        <f>IF(Wapato_Inventory[[#This Row],[bldg_style]]="",0,Lookups!$B$2*0.5)</f>
        <v>53765.27</v>
      </c>
      <c r="BK565" s="7">
        <f>_xlfn.IFNA(VLOOKUP(Wapato_Inventory[[#This Row],[quality]],Lookups!$H$2:$J$14,3,FALSE),0)</f>
        <v>50405</v>
      </c>
      <c r="BL565" s="7">
        <f>_xlfn.IFNA(VLOOKUP(Wapato_Inventory[[#This Row],[condition]],Lookups!$H$17:$J$24,3,FALSE),0)</f>
        <v>52231</v>
      </c>
      <c r="BM565" s="7">
        <f>Wapato_Inventory[[#This Row],[Age]]*Lookups!$B$16</f>
        <v>-30024.7317</v>
      </c>
      <c r="BN565" s="7">
        <f>Wapato_Inventory[[#This Row],[Main Floor]]*Lookups!$B$17</f>
        <v>44768.591468999999</v>
      </c>
      <c r="BO565" s="7">
        <f>Wapato_Inventory[[#This Row],[Upper Floor]]*Lookups!$B$18</f>
        <v>0</v>
      </c>
      <c r="BP565" s="7">
        <f>Wapato_Inventory[[#This Row],[Fin BSMT]]*Lookups!$B$19</f>
        <v>26096.778539999999</v>
      </c>
      <c r="BQ565" s="7">
        <f>(Wapato_Inventory[[#This Row],[att_gar]]+Wapato_Inventory[[#This Row],[blt_gar]])*Lookups!$B$20</f>
        <v>0</v>
      </c>
      <c r="BR565" s="7">
        <f>Wapato_Inventory[[#This Row],[Patio]]*Lookups!$B$21</f>
        <v>0</v>
      </c>
      <c r="BS565" s="7">
        <f>SUM(Wapato_Inventory[[#This Row],[intercept]:[patio_value]])*Wapato_Inventory[[#This Row],[res_pct]]</f>
        <v>197241.90830899999</v>
      </c>
      <c r="BT565" s="7">
        <f>Wapato_Inventory[[#This Row],[land_value]]</f>
        <v>53800</v>
      </c>
      <c r="BU565" s="2">
        <f>_xlfn.IFNA(VLOOKUP(Wapato_Inventory[[#This Row],[quality]],Lookups!$A$28:$C$37,3,FALSE),1)</f>
        <v>0.97993206410140754</v>
      </c>
      <c r="BV565" s="2">
        <f>_xlfn.IFNA(VLOOKUP(Wapato_Inventory[[#This Row],[condition]],Lookups!$A$41:$C$48,3,FALSE),1)</f>
        <v>0.9832333997567807</v>
      </c>
      <c r="BW565" s="2">
        <f>IF(Wapato_Inventory[[#This Row],[decade]]="",1,_xlfn.IFNA(VLOOKUP(Wapato_Inventory[[#This Row],[decade]],Lookups!$F$28:$H$45,3,FALSE),1))</f>
        <v>0.94742695999815718</v>
      </c>
      <c r="BX565" s="2">
        <f>_xlfn.IFNA(VLOOKUP(Wapato_Inventory[[#This Row],[living_area_range]],Lookups!$K$28:$M$37,3,FALSE),1)</f>
        <v>0.90813907160181651</v>
      </c>
      <c r="BY565" s="2">
        <f>AVERAGE(Wapato_Inventory[[#This Row],[qual_adj]:[range_adj]])</f>
        <v>0.95468287386454054</v>
      </c>
      <c r="BZ565" s="7">
        <f>(Wapato_Inventory[[#This Row],[sum_land]]-IF(Wapato_Inventory[[#This Row],[no_utilities]]=1,12000,0))/IF(Wapato_Inventory[[#This Row],[unbuildable]]=1,2,1)</f>
        <v>53800</v>
      </c>
      <c r="CA565" s="7">
        <f>Wapato_Inventory[[#This Row],[pre_res]]*Wapato_Inventory[[#This Row],[overall_adj]]</f>
        <v>188303.4718709623</v>
      </c>
      <c r="CB565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565" s="3">
        <f>IF(ROUND(Wapato_Inventory[[#This Row],[adj_res]]*Lookups!$H$48,-2)&lt;Wapato_Inventory[[#This Row],[min_res]],Wapato_Inventory[[#This Row],[min_res]],ROUND(Wapato_Inventory[[#This Row],[adj_res]]*Lookups!$H$48,-2))</f>
        <v>178900</v>
      </c>
      <c r="CD565" s="3">
        <f>ROUND(Wapato_Inventory[[#This Row],[det_value]]*Lookups!$H$48,-2)</f>
        <v>6800</v>
      </c>
      <c r="CE565" s="3">
        <f>Wapato_Inventory[[#This Row],[final_res]]+Wapato_Inventory[[#This Row],[final_det]]</f>
        <v>185700</v>
      </c>
      <c r="CF565" s="3">
        <f>Wapato_Inventory[[#This Row],[crop_value]]+Wapato_Inventory[[#This Row],[final_land]]+Wapato_Inventory[[#This Row],[final_imp]]</f>
        <v>236800</v>
      </c>
      <c r="CH565" t="str">
        <f t="shared" si="8"/>
        <v>update valuation set market_land =51100, market_bldg=185700, market_total =236800, market_mdno =405, market_date ='9/10/2023' where link_id = (select link_id from parcel where parcel_year = '2024' and parcel_id = '19111512436');</v>
      </c>
    </row>
    <row r="566" spans="1:86" x14ac:dyDescent="0.25">
      <c r="A566">
        <v>19111512437</v>
      </c>
      <c r="B566">
        <v>0.2</v>
      </c>
      <c r="C566">
        <v>8914</v>
      </c>
      <c r="D566" t="s">
        <v>144</v>
      </c>
      <c r="E566" t="s">
        <v>54</v>
      </c>
      <c r="F566" t="s">
        <v>54</v>
      </c>
      <c r="G566">
        <v>3</v>
      </c>
      <c r="H566" t="s">
        <v>55</v>
      </c>
      <c r="I566">
        <v>162900</v>
      </c>
      <c r="J566">
        <v>34400</v>
      </c>
      <c r="K566">
        <v>0.2</v>
      </c>
      <c r="L566">
        <f>IF(Wapato_Inventory[[#This Row],[parcel_acres]]-Wapato_Inventory[[#This Row],[non_valued_acres]] =0,0,LN(Wapato_Inventory[[#This Row],[parcel_acres]]-Wapato_Inventory[[#This Row],[non_valued_acres]]))</f>
        <v>-1.6094379124341003</v>
      </c>
      <c r="M566">
        <v>0</v>
      </c>
      <c r="N566">
        <v>0</v>
      </c>
      <c r="O566">
        <v>0</v>
      </c>
      <c r="P566">
        <v>27904.037</v>
      </c>
      <c r="Q566">
        <v>74398</v>
      </c>
      <c r="R566" s="3">
        <f>(Wapato_Inventory[[#This Row],[ln_acres]]*Wapato_Inventory[[#This Row],[coeff]])+Wapato_Inventory[[#This Row],[const]]</f>
        <v>29488.184942236105</v>
      </c>
      <c r="S566" t="s">
        <v>145</v>
      </c>
      <c r="T566">
        <v>1</v>
      </c>
      <c r="U566" t="s">
        <v>67</v>
      </c>
      <c r="V566" t="s">
        <v>68</v>
      </c>
      <c r="W566">
        <v>0</v>
      </c>
      <c r="X566">
        <v>0</v>
      </c>
      <c r="Y566">
        <v>57</v>
      </c>
      <c r="Z566">
        <v>103</v>
      </c>
      <c r="AA566">
        <v>110</v>
      </c>
      <c r="AB566">
        <v>2000</v>
      </c>
      <c r="AC566">
        <v>1689</v>
      </c>
      <c r="AD566">
        <v>1338</v>
      </c>
      <c r="AE566">
        <v>0</v>
      </c>
      <c r="AF566">
        <v>0</v>
      </c>
      <c r="AG566">
        <v>351</v>
      </c>
      <c r="AH566">
        <v>713</v>
      </c>
      <c r="AI566">
        <v>0</v>
      </c>
      <c r="AJ566">
        <v>0</v>
      </c>
      <c r="AK566">
        <v>400</v>
      </c>
      <c r="AL566">
        <v>148</v>
      </c>
      <c r="AM566">
        <v>0</v>
      </c>
      <c r="AN566">
        <v>128</v>
      </c>
      <c r="AO566">
        <v>196</v>
      </c>
      <c r="AP566">
        <v>8</v>
      </c>
      <c r="AQ566">
        <v>0</v>
      </c>
      <c r="AR566">
        <v>1</v>
      </c>
      <c r="AS566" t="s">
        <v>59</v>
      </c>
      <c r="AT566">
        <v>1</v>
      </c>
      <c r="AU566" t="s">
        <v>64</v>
      </c>
      <c r="AV566" t="s">
        <v>65</v>
      </c>
      <c r="AW566">
        <v>0</v>
      </c>
      <c r="AX566">
        <v>2</v>
      </c>
      <c r="AY566">
        <v>0</v>
      </c>
      <c r="AZ566">
        <v>3300</v>
      </c>
      <c r="BA566">
        <v>100</v>
      </c>
      <c r="BB566">
        <v>100</v>
      </c>
      <c r="BC566">
        <v>100</v>
      </c>
      <c r="BD566">
        <v>100</v>
      </c>
      <c r="BE566">
        <v>1</v>
      </c>
      <c r="BF566">
        <v>15000</v>
      </c>
      <c r="BG566">
        <v>1000</v>
      </c>
      <c r="BH566" s="7">
        <f>ROUND(Wapato_Inventory[[#This Row],[detatched_value]]*Lookups!$B$22*Lookups!$H$48,-2)</f>
        <v>2900</v>
      </c>
      <c r="BI566" s="7">
        <f>ROUND(((Wapato_Inventory[[#This Row],[land_extract]]*Lookups!$B$3) +(Lookups!$B$2*0.5))*Lookups!$H$48,-2)</f>
        <v>53900</v>
      </c>
      <c r="BJ566" s="7">
        <f>IF(Wapato_Inventory[[#This Row],[bldg_style]]="",0,Lookups!$B$2*0.5)</f>
        <v>53765.27</v>
      </c>
      <c r="BK566" s="7">
        <f>_xlfn.IFNA(VLOOKUP(Wapato_Inventory[[#This Row],[quality]],Lookups!$H$2:$J$14,3,FALSE),0)</f>
        <v>50405</v>
      </c>
      <c r="BL566" s="7">
        <f>_xlfn.IFNA(VLOOKUP(Wapato_Inventory[[#This Row],[condition]],Lookups!$H$17:$J$24,3,FALSE),0)</f>
        <v>52231</v>
      </c>
      <c r="BM566" s="7">
        <f>Wapato_Inventory[[#This Row],[Age]]*Lookups!$B$16</f>
        <v>-38179.597099999999</v>
      </c>
      <c r="BN566" s="7">
        <f>Wapato_Inventory[[#This Row],[Main Floor]]*Lookups!$B$17</f>
        <v>55929.388782000002</v>
      </c>
      <c r="BO566" s="7">
        <f>Wapato_Inventory[[#This Row],[Upper Floor]]*Lookups!$B$18</f>
        <v>0</v>
      </c>
      <c r="BP566" s="7">
        <f>Wapato_Inventory[[#This Row],[Fin BSMT]]*Lookups!$B$19</f>
        <v>8552.7257399999999</v>
      </c>
      <c r="BQ566" s="7">
        <f>(Wapato_Inventory[[#This Row],[att_gar]]+Wapato_Inventory[[#This Row],[blt_gar]])*Lookups!$B$20</f>
        <v>0</v>
      </c>
      <c r="BR566" s="7">
        <f>Wapato_Inventory[[#This Row],[Patio]]*Lookups!$B$21</f>
        <v>0</v>
      </c>
      <c r="BS566" s="7">
        <f>SUM(Wapato_Inventory[[#This Row],[intercept]:[patio_value]])*Wapato_Inventory[[#This Row],[res_pct]]</f>
        <v>182703.78742199999</v>
      </c>
      <c r="BT566" s="7">
        <f>Wapato_Inventory[[#This Row],[land_value]]</f>
        <v>53900</v>
      </c>
      <c r="BU566" s="2">
        <f>_xlfn.IFNA(VLOOKUP(Wapato_Inventory[[#This Row],[quality]],Lookups!$A$28:$C$37,3,FALSE),1)</f>
        <v>0.97993206410140754</v>
      </c>
      <c r="BV566" s="2">
        <f>_xlfn.IFNA(VLOOKUP(Wapato_Inventory[[#This Row],[condition]],Lookups!$A$41:$C$48,3,FALSE),1)</f>
        <v>0.9832333997567807</v>
      </c>
      <c r="BW566" s="2">
        <f>IF(Wapato_Inventory[[#This Row],[decade]]="",1,_xlfn.IFNA(VLOOKUP(Wapato_Inventory[[#This Row],[decade]],Lookups!$F$28:$H$45,3,FALSE),1))</f>
        <v>0.93664589651353292</v>
      </c>
      <c r="BX566" s="2">
        <f>_xlfn.IFNA(VLOOKUP(Wapato_Inventory[[#This Row],[living_area_range]],Lookups!$K$28:$M$37,3,FALSE),1)</f>
        <v>0.99330894324714125</v>
      </c>
      <c r="BY566" s="2">
        <f>AVERAGE(Wapato_Inventory[[#This Row],[qual_adj]:[range_adj]])</f>
        <v>0.97328007590471566</v>
      </c>
      <c r="BZ566" s="7">
        <f>(Wapato_Inventory[[#This Row],[sum_land]]-IF(Wapato_Inventory[[#This Row],[no_utilities]]=1,12000,0))/IF(Wapato_Inventory[[#This Row],[unbuildable]]=1,2,1)</f>
        <v>53900</v>
      </c>
      <c r="CA566" s="7">
        <f>Wapato_Inventory[[#This Row],[pre_res]]*Wapato_Inventory[[#This Row],[overall_adj]]</f>
        <v>177821.95609016318</v>
      </c>
      <c r="CB566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566" s="3">
        <f>IF(ROUND(Wapato_Inventory[[#This Row],[adj_res]]*Lookups!$H$48,-2)&lt;Wapato_Inventory[[#This Row],[min_res]],Wapato_Inventory[[#This Row],[min_res]],ROUND(Wapato_Inventory[[#This Row],[adj_res]]*Lookups!$H$48,-2))</f>
        <v>168900</v>
      </c>
      <c r="CD566" s="3">
        <f>ROUND(Wapato_Inventory[[#This Row],[det_value]]*Lookups!$H$48,-2)</f>
        <v>2800</v>
      </c>
      <c r="CE566" s="3">
        <f>Wapato_Inventory[[#This Row],[final_res]]+Wapato_Inventory[[#This Row],[final_det]]</f>
        <v>171700</v>
      </c>
      <c r="CF566" s="3">
        <f>Wapato_Inventory[[#This Row],[crop_value]]+Wapato_Inventory[[#This Row],[final_land]]+Wapato_Inventory[[#This Row],[final_imp]]</f>
        <v>222900</v>
      </c>
      <c r="CH566" t="str">
        <f t="shared" si="8"/>
        <v>update valuation set market_land =51200, market_bldg=171700, market_total =222900, market_mdno =405, market_date ='9/10/2023' where link_id = (select link_id from parcel where parcel_year = '2024' and parcel_id = '19111512437');</v>
      </c>
    </row>
    <row r="567" spans="1:86" x14ac:dyDescent="0.25">
      <c r="A567">
        <v>19111512438</v>
      </c>
      <c r="B567">
        <v>0.15</v>
      </c>
      <c r="C567">
        <v>6709</v>
      </c>
      <c r="D567" t="s">
        <v>144</v>
      </c>
      <c r="E567" t="s">
        <v>54</v>
      </c>
      <c r="F567" t="s">
        <v>54</v>
      </c>
      <c r="G567">
        <v>3</v>
      </c>
      <c r="H567" t="s">
        <v>55</v>
      </c>
      <c r="I567">
        <v>24100</v>
      </c>
      <c r="J567">
        <v>32300</v>
      </c>
      <c r="K567">
        <v>0.15</v>
      </c>
      <c r="L567">
        <f>IF(Wapato_Inventory[[#This Row],[parcel_acres]]-Wapato_Inventory[[#This Row],[non_valued_acres]] =0,0,LN(Wapato_Inventory[[#This Row],[parcel_acres]]-Wapato_Inventory[[#This Row],[non_valued_acres]]))</f>
        <v>-1.8971199848858813</v>
      </c>
      <c r="M567">
        <v>0</v>
      </c>
      <c r="N567">
        <v>0</v>
      </c>
      <c r="O567">
        <v>0</v>
      </c>
      <c r="P567">
        <v>27904.037</v>
      </c>
      <c r="Q567">
        <v>74398</v>
      </c>
      <c r="R567" s="3">
        <f>(Wapato_Inventory[[#This Row],[ln_acres]]*Wapato_Inventory[[#This Row],[coeff]])+Wapato_Inventory[[#This Row],[const]]</f>
        <v>21460.693748304926</v>
      </c>
      <c r="S567" t="s">
        <v>145</v>
      </c>
      <c r="T567">
        <v>1</v>
      </c>
      <c r="U567" t="s">
        <v>71</v>
      </c>
      <c r="V567" t="s">
        <v>84</v>
      </c>
      <c r="W567">
        <v>0</v>
      </c>
      <c r="X567">
        <v>0</v>
      </c>
      <c r="Y567">
        <v>57</v>
      </c>
      <c r="Z567">
        <v>103</v>
      </c>
      <c r="AA567">
        <v>110</v>
      </c>
      <c r="AB567">
        <v>500</v>
      </c>
      <c r="AC567">
        <v>484</v>
      </c>
      <c r="AD567">
        <v>484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84</v>
      </c>
      <c r="AO567">
        <v>0</v>
      </c>
      <c r="AP567">
        <v>5</v>
      </c>
      <c r="AQ567">
        <v>0</v>
      </c>
      <c r="AR567">
        <v>0</v>
      </c>
      <c r="AS567" t="s">
        <v>59</v>
      </c>
      <c r="AT567">
        <v>0</v>
      </c>
      <c r="AU567" t="s">
        <v>80</v>
      </c>
      <c r="AV567" t="s">
        <v>77</v>
      </c>
      <c r="AW567">
        <v>0</v>
      </c>
      <c r="AX567">
        <v>2</v>
      </c>
      <c r="AY567">
        <v>0</v>
      </c>
      <c r="AZ567">
        <v>0</v>
      </c>
      <c r="BA567">
        <v>100</v>
      </c>
      <c r="BB567">
        <v>100</v>
      </c>
      <c r="BC567">
        <v>100</v>
      </c>
      <c r="BD567">
        <v>100</v>
      </c>
      <c r="BE567">
        <v>1</v>
      </c>
      <c r="BF567">
        <v>15000</v>
      </c>
      <c r="BG567">
        <v>1000</v>
      </c>
      <c r="BH567" s="7">
        <f>ROUND(Wapato_Inventory[[#This Row],[detatched_value]]*Lookups!$B$22*Lookups!$H$48,-2)</f>
        <v>0</v>
      </c>
      <c r="BI567" s="7">
        <f>ROUND(((Wapato_Inventory[[#This Row],[land_extract]]*Lookups!$B$3) +(Lookups!$B$2*0.5))*Lookups!$H$48,-2)</f>
        <v>53100</v>
      </c>
      <c r="BJ567" s="7">
        <f>IF(Wapato_Inventory[[#This Row],[bldg_style]]="",0,Lookups!$B$2*0.5)</f>
        <v>53765.27</v>
      </c>
      <c r="BK567" s="7">
        <f>_xlfn.IFNA(VLOOKUP(Wapato_Inventory[[#This Row],[quality]],Lookups!$H$2:$J$14,3,FALSE),0)</f>
        <v>28034</v>
      </c>
      <c r="BL567" s="7">
        <f>_xlfn.IFNA(VLOOKUP(Wapato_Inventory[[#This Row],[condition]],Lookups!$H$17:$J$24,3,FALSE),0)</f>
        <v>0</v>
      </c>
      <c r="BM567" s="7">
        <f>Wapato_Inventory[[#This Row],[Age]]*Lookups!$B$16</f>
        <v>-38179.597099999999</v>
      </c>
      <c r="BN567" s="7">
        <f>Wapato_Inventory[[#This Row],[Main Floor]]*Lookups!$B$17</f>
        <v>20231.557676</v>
      </c>
      <c r="BO567" s="7">
        <f>Wapato_Inventory[[#This Row],[Upper Floor]]*Lookups!$B$18</f>
        <v>0</v>
      </c>
      <c r="BP567" s="7">
        <f>Wapato_Inventory[[#This Row],[Fin BSMT]]*Lookups!$B$19</f>
        <v>0</v>
      </c>
      <c r="BQ567" s="7">
        <f>(Wapato_Inventory[[#This Row],[att_gar]]+Wapato_Inventory[[#This Row],[blt_gar]])*Lookups!$B$20</f>
        <v>0</v>
      </c>
      <c r="BR567" s="7">
        <f>Wapato_Inventory[[#This Row],[Patio]]*Lookups!$B$21</f>
        <v>0</v>
      </c>
      <c r="BS567" s="7">
        <f>SUM(Wapato_Inventory[[#This Row],[intercept]:[patio_value]])*Wapato_Inventory[[#This Row],[res_pct]]</f>
        <v>63851.230575999987</v>
      </c>
      <c r="BT567" s="7">
        <f>Wapato_Inventory[[#This Row],[land_value]]</f>
        <v>53100</v>
      </c>
      <c r="BU567" s="2">
        <f>_xlfn.IFNA(VLOOKUP(Wapato_Inventory[[#This Row],[quality]],Lookups!$A$28:$C$37,3,FALSE),1)</f>
        <v>0.96265813922927435</v>
      </c>
      <c r="BV567" s="2">
        <f>_xlfn.IFNA(VLOOKUP(Wapato_Inventory[[#This Row],[condition]],Lookups!$A$41:$C$48,3,FALSE),1)</f>
        <v>1.0000035546274355</v>
      </c>
      <c r="BW567" s="2">
        <f>IF(Wapato_Inventory[[#This Row],[decade]]="",1,_xlfn.IFNA(VLOOKUP(Wapato_Inventory[[#This Row],[decade]],Lookups!$F$28:$H$45,3,FALSE),1))</f>
        <v>0.93664589651353292</v>
      </c>
      <c r="BX567" s="2">
        <f>_xlfn.IFNA(VLOOKUP(Wapato_Inventory[[#This Row],[living_area_range]],Lookups!$K$28:$M$37,3,FALSE),1)</f>
        <v>0.62984720518148585</v>
      </c>
      <c r="BY567" s="2">
        <f>AVERAGE(Wapato_Inventory[[#This Row],[qual_adj]:[range_adj]])</f>
        <v>0.88228869888793215</v>
      </c>
      <c r="BZ567" s="7">
        <f>(Wapato_Inventory[[#This Row],[sum_land]]-IF(Wapato_Inventory[[#This Row],[no_utilities]]=1,12000,0))/IF(Wapato_Inventory[[#This Row],[unbuildable]]=1,2,1)</f>
        <v>53100</v>
      </c>
      <c r="CA567" s="7">
        <f>Wapato_Inventory[[#This Row],[pre_res]]*Wapato_Inventory[[#This Row],[overall_adj]]</f>
        <v>56335.219147292381</v>
      </c>
      <c r="CB56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67" s="3">
        <f>IF(ROUND(Wapato_Inventory[[#This Row],[adj_res]]*Lookups!$H$48,-2)&lt;Wapato_Inventory[[#This Row],[min_res]],Wapato_Inventory[[#This Row],[min_res]],ROUND(Wapato_Inventory[[#This Row],[adj_res]]*Lookups!$H$48,-2))</f>
        <v>53500</v>
      </c>
      <c r="CD567" s="3">
        <f>ROUND(Wapato_Inventory[[#This Row],[det_value]]*Lookups!$H$48,-2)</f>
        <v>0</v>
      </c>
      <c r="CE567" s="3">
        <f>Wapato_Inventory[[#This Row],[final_res]]+Wapato_Inventory[[#This Row],[final_det]]</f>
        <v>53500</v>
      </c>
      <c r="CF567" s="3">
        <f>Wapato_Inventory[[#This Row],[crop_value]]+Wapato_Inventory[[#This Row],[final_land]]+Wapato_Inventory[[#This Row],[final_imp]]</f>
        <v>103900</v>
      </c>
      <c r="CH567" t="str">
        <f t="shared" si="8"/>
        <v>update valuation set market_land =50400, market_bldg=53500, market_total =103900, market_mdno =405, market_date ='9/10/2023' where link_id = (select link_id from parcel where parcel_year = '2024' and parcel_id = '19111512438');</v>
      </c>
    </row>
    <row r="568" spans="1:86" x14ac:dyDescent="0.25">
      <c r="A568">
        <v>19111512439</v>
      </c>
      <c r="B568">
        <v>0.16</v>
      </c>
      <c r="C568">
        <v>6975</v>
      </c>
      <c r="D568" t="s">
        <v>144</v>
      </c>
      <c r="E568" t="s">
        <v>54</v>
      </c>
      <c r="F568" t="s">
        <v>54</v>
      </c>
      <c r="G568">
        <v>3</v>
      </c>
      <c r="H568" t="s">
        <v>55</v>
      </c>
      <c r="I568">
        <v>205300</v>
      </c>
      <c r="J568">
        <v>32800</v>
      </c>
      <c r="K568">
        <v>0.16</v>
      </c>
      <c r="L568">
        <f>IF(Wapato_Inventory[[#This Row],[parcel_acres]]-Wapato_Inventory[[#This Row],[non_valued_acres]] =0,0,LN(Wapato_Inventory[[#This Row],[parcel_acres]]-Wapato_Inventory[[#This Row],[non_valued_acres]]))</f>
        <v>-1.8325814637483102</v>
      </c>
      <c r="M568">
        <v>0</v>
      </c>
      <c r="N568">
        <v>0</v>
      </c>
      <c r="O568">
        <v>0</v>
      </c>
      <c r="P568">
        <v>27904.037</v>
      </c>
      <c r="Q568">
        <v>74398</v>
      </c>
      <c r="R568" s="3">
        <f>(Wapato_Inventory[[#This Row],[ln_acres]]*Wapato_Inventory[[#This Row],[coeff]])+Wapato_Inventory[[#This Row],[const]]</f>
        <v>23261.579030052992</v>
      </c>
      <c r="S568" t="s">
        <v>145</v>
      </c>
      <c r="T568">
        <v>1</v>
      </c>
      <c r="U568" t="s">
        <v>67</v>
      </c>
      <c r="V568" t="s">
        <v>69</v>
      </c>
      <c r="W568">
        <v>0</v>
      </c>
      <c r="X568">
        <v>0</v>
      </c>
      <c r="Y568">
        <v>51</v>
      </c>
      <c r="Z568">
        <v>78</v>
      </c>
      <c r="AA568">
        <v>80</v>
      </c>
      <c r="AB568">
        <v>1500</v>
      </c>
      <c r="AC568">
        <v>1280</v>
      </c>
      <c r="AD568">
        <v>1280</v>
      </c>
      <c r="AE568">
        <v>0</v>
      </c>
      <c r="AF568">
        <v>0</v>
      </c>
      <c r="AG568">
        <v>0</v>
      </c>
      <c r="AH568">
        <v>640</v>
      </c>
      <c r="AI568">
        <v>0</v>
      </c>
      <c r="AJ568">
        <v>0</v>
      </c>
      <c r="AK568">
        <v>0</v>
      </c>
      <c r="AL568">
        <v>0</v>
      </c>
      <c r="AM568">
        <v>200</v>
      </c>
      <c r="AN568">
        <v>0</v>
      </c>
      <c r="AO568">
        <v>200</v>
      </c>
      <c r="AP568">
        <v>5</v>
      </c>
      <c r="AQ568">
        <v>0</v>
      </c>
      <c r="AR568">
        <v>1</v>
      </c>
      <c r="AS568" t="s">
        <v>59</v>
      </c>
      <c r="AT568">
        <v>1</v>
      </c>
      <c r="AU568" t="s">
        <v>64</v>
      </c>
      <c r="AV568" t="s">
        <v>65</v>
      </c>
      <c r="AW568">
        <v>0</v>
      </c>
      <c r="AX568">
        <v>3</v>
      </c>
      <c r="AY568">
        <v>0</v>
      </c>
      <c r="AZ568">
        <v>8500</v>
      </c>
      <c r="BA568">
        <v>100</v>
      </c>
      <c r="BB568">
        <v>100</v>
      </c>
      <c r="BC568">
        <v>100</v>
      </c>
      <c r="BD568">
        <v>100</v>
      </c>
      <c r="BE568">
        <v>1</v>
      </c>
      <c r="BF568">
        <v>15000</v>
      </c>
      <c r="BG568">
        <v>1000</v>
      </c>
      <c r="BH568" s="7">
        <f>ROUND(Wapato_Inventory[[#This Row],[detatched_value]]*Lookups!$B$22*Lookups!$H$48,-2)</f>
        <v>7600</v>
      </c>
      <c r="BI568" s="7">
        <f>ROUND(((Wapato_Inventory[[#This Row],[land_extract]]*Lookups!$B$3) +(Lookups!$B$2*0.5))*Lookups!$H$48,-2)</f>
        <v>53300</v>
      </c>
      <c r="BJ568" s="7">
        <f>IF(Wapato_Inventory[[#This Row],[bldg_style]]="",0,Lookups!$B$2*0.5)</f>
        <v>53765.27</v>
      </c>
      <c r="BK568" s="7">
        <f>_xlfn.IFNA(VLOOKUP(Wapato_Inventory[[#This Row],[quality]],Lookups!$H$2:$J$14,3,FALSE),0)</f>
        <v>50405</v>
      </c>
      <c r="BL568" s="7">
        <f>_xlfn.IFNA(VLOOKUP(Wapato_Inventory[[#This Row],[condition]],Lookups!$H$17:$J$24,3,FALSE),0)</f>
        <v>74543</v>
      </c>
      <c r="BM568" s="7">
        <f>Wapato_Inventory[[#This Row],[Age]]*Lookups!$B$16</f>
        <v>-28912.704600000001</v>
      </c>
      <c r="BN568" s="7">
        <f>Wapato_Inventory[[#This Row],[Main Floor]]*Lookups!$B$17</f>
        <v>53504.945919999998</v>
      </c>
      <c r="BO568" s="7">
        <f>Wapato_Inventory[[#This Row],[Upper Floor]]*Lookups!$B$18</f>
        <v>0</v>
      </c>
      <c r="BP568" s="7">
        <f>Wapato_Inventory[[#This Row],[Fin BSMT]]*Lookups!$B$19</f>
        <v>0</v>
      </c>
      <c r="BQ568" s="7">
        <f>(Wapato_Inventory[[#This Row],[att_gar]]+Wapato_Inventory[[#This Row],[blt_gar]])*Lookups!$B$20</f>
        <v>0</v>
      </c>
      <c r="BR568" s="7">
        <f>Wapato_Inventory[[#This Row],[Patio]]*Lookups!$B$21</f>
        <v>8664.7957999999999</v>
      </c>
      <c r="BS568" s="7">
        <f>SUM(Wapato_Inventory[[#This Row],[intercept]:[patio_value]])*Wapato_Inventory[[#This Row],[res_pct]]</f>
        <v>211970.30711999998</v>
      </c>
      <c r="BT568" s="7">
        <f>Wapato_Inventory[[#This Row],[land_value]]</f>
        <v>53300</v>
      </c>
      <c r="BU568" s="2">
        <f>_xlfn.IFNA(VLOOKUP(Wapato_Inventory[[#This Row],[quality]],Lookups!$A$28:$C$37,3,FALSE),1)</f>
        <v>0.97993206410140754</v>
      </c>
      <c r="BV568" s="2">
        <f>_xlfn.IFNA(VLOOKUP(Wapato_Inventory[[#This Row],[condition]],Lookups!$A$41:$C$48,3,FALSE),1)</f>
        <v>0.98442438223270734</v>
      </c>
      <c r="BW568" s="2">
        <f>IF(Wapato_Inventory[[#This Row],[decade]]="",1,_xlfn.IFNA(VLOOKUP(Wapato_Inventory[[#This Row],[decade]],Lookups!$F$28:$H$45,3,FALSE),1))</f>
        <v>0.8438929209510081</v>
      </c>
      <c r="BX568" s="2">
        <f>_xlfn.IFNA(VLOOKUP(Wapato_Inventory[[#This Row],[living_area_range]],Lookups!$K$28:$M$37,3,FALSE),1)</f>
        <v>1.0061411172456287</v>
      </c>
      <c r="BY568" s="2">
        <f>AVERAGE(Wapato_Inventory[[#This Row],[qual_adj]:[range_adj]])</f>
        <v>0.95359762113268798</v>
      </c>
      <c r="BZ568" s="7">
        <f>(Wapato_Inventory[[#This Row],[sum_land]]-IF(Wapato_Inventory[[#This Row],[no_utilities]]=1,12000,0))/IF(Wapato_Inventory[[#This Row],[unbuildable]]=1,2,1)</f>
        <v>53300</v>
      </c>
      <c r="CA568" s="7">
        <f>Wapato_Inventory[[#This Row],[pre_res]]*Wapato_Inventory[[#This Row],[overall_adj]]</f>
        <v>202134.38062039725</v>
      </c>
      <c r="CB568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568" s="3">
        <f>IF(ROUND(Wapato_Inventory[[#This Row],[adj_res]]*Lookups!$H$48,-2)&lt;Wapato_Inventory[[#This Row],[min_res]],Wapato_Inventory[[#This Row],[min_res]],ROUND(Wapato_Inventory[[#This Row],[adj_res]]*Lookups!$H$48,-2))</f>
        <v>192000</v>
      </c>
      <c r="CD568" s="3">
        <f>ROUND(Wapato_Inventory[[#This Row],[det_value]]*Lookups!$H$48,-2)</f>
        <v>7200</v>
      </c>
      <c r="CE568" s="3">
        <f>Wapato_Inventory[[#This Row],[final_res]]+Wapato_Inventory[[#This Row],[final_det]]</f>
        <v>199200</v>
      </c>
      <c r="CF568" s="3">
        <f>Wapato_Inventory[[#This Row],[crop_value]]+Wapato_Inventory[[#This Row],[final_land]]+Wapato_Inventory[[#This Row],[final_imp]]</f>
        <v>249800</v>
      </c>
      <c r="CH568" t="str">
        <f t="shared" si="8"/>
        <v>update valuation set market_land =50600, market_bldg=199200, market_total =249800, market_mdno =405, market_date ='9/10/2023' where link_id = (select link_id from parcel where parcel_year = '2024' and parcel_id = '19111512439');</v>
      </c>
    </row>
    <row r="569" spans="1:86" x14ac:dyDescent="0.25">
      <c r="A569">
        <v>19111512440</v>
      </c>
      <c r="B569">
        <v>0.13</v>
      </c>
      <c r="C569">
        <v>5871</v>
      </c>
      <c r="D569" t="s">
        <v>144</v>
      </c>
      <c r="E569" t="s">
        <v>54</v>
      </c>
      <c r="F569" t="s">
        <v>54</v>
      </c>
      <c r="G569">
        <v>3</v>
      </c>
      <c r="H569" t="s">
        <v>55</v>
      </c>
      <c r="I569">
        <v>255300</v>
      </c>
      <c r="J569">
        <v>31400</v>
      </c>
      <c r="K569">
        <v>0.13</v>
      </c>
      <c r="L569">
        <f>IF(Wapato_Inventory[[#This Row],[parcel_acres]]-Wapato_Inventory[[#This Row],[non_valued_acres]] =0,0,LN(Wapato_Inventory[[#This Row],[parcel_acres]]-Wapato_Inventory[[#This Row],[non_valued_acres]]))</f>
        <v>-2.0402208285265546</v>
      </c>
      <c r="M569">
        <v>0</v>
      </c>
      <c r="N569">
        <v>0</v>
      </c>
      <c r="O569">
        <v>0</v>
      </c>
      <c r="P569">
        <v>27904.037</v>
      </c>
      <c r="Q569">
        <v>74398</v>
      </c>
      <c r="R569" s="3">
        <f>(Wapato_Inventory[[#This Row],[ln_acres]]*Wapato_Inventory[[#This Row],[coeff]])+Wapato_Inventory[[#This Row],[const]]</f>
        <v>17467.602512624362</v>
      </c>
      <c r="S569" t="s">
        <v>66</v>
      </c>
      <c r="T569">
        <v>1</v>
      </c>
      <c r="U569" t="s">
        <v>75</v>
      </c>
      <c r="V569" t="s">
        <v>69</v>
      </c>
      <c r="W569">
        <v>0</v>
      </c>
      <c r="X569">
        <v>0</v>
      </c>
      <c r="Y569">
        <v>23</v>
      </c>
      <c r="Z569">
        <v>98</v>
      </c>
      <c r="AA569">
        <v>100</v>
      </c>
      <c r="AB569">
        <v>1500</v>
      </c>
      <c r="AC569">
        <v>1232</v>
      </c>
      <c r="AD569">
        <v>1232</v>
      </c>
      <c r="AE569">
        <v>0</v>
      </c>
      <c r="AF569">
        <v>0</v>
      </c>
      <c r="AG569">
        <v>0</v>
      </c>
      <c r="AH569">
        <v>288</v>
      </c>
      <c r="AI569">
        <v>0</v>
      </c>
      <c r="AJ569">
        <v>0</v>
      </c>
      <c r="AK569">
        <v>260</v>
      </c>
      <c r="AL569">
        <v>0</v>
      </c>
      <c r="AM569">
        <v>0</v>
      </c>
      <c r="AN569">
        <v>280</v>
      </c>
      <c r="AO569">
        <v>0</v>
      </c>
      <c r="AP569">
        <v>7</v>
      </c>
      <c r="AQ569">
        <v>0</v>
      </c>
      <c r="AR569">
        <v>0</v>
      </c>
      <c r="AS569" t="s">
        <v>59</v>
      </c>
      <c r="AT569">
        <v>1</v>
      </c>
      <c r="AU569" t="s">
        <v>72</v>
      </c>
      <c r="AV569" t="s">
        <v>61</v>
      </c>
      <c r="AW569">
        <v>0</v>
      </c>
      <c r="AX569">
        <v>3</v>
      </c>
      <c r="AY569">
        <v>0</v>
      </c>
      <c r="AZ569">
        <v>23000</v>
      </c>
      <c r="BA569">
        <v>100</v>
      </c>
      <c r="BB569">
        <v>100</v>
      </c>
      <c r="BC569">
        <v>100</v>
      </c>
      <c r="BD569">
        <v>100</v>
      </c>
      <c r="BE569">
        <v>1</v>
      </c>
      <c r="BF569">
        <v>15000</v>
      </c>
      <c r="BG569">
        <v>1000</v>
      </c>
      <c r="BH569" s="7">
        <f>ROUND(Wapato_Inventory[[#This Row],[detatched_value]]*Lookups!$B$22*Lookups!$H$48,-2)</f>
        <v>20500</v>
      </c>
      <c r="BI569" s="7">
        <f>ROUND(((Wapato_Inventory[[#This Row],[land_extract]]*Lookups!$B$3) +(Lookups!$B$2*0.5))*Lookups!$H$48,-2)</f>
        <v>52800</v>
      </c>
      <c r="BJ569" s="7">
        <f>IF(Wapato_Inventory[[#This Row],[bldg_style]]="",0,Lookups!$B$2*0.5)</f>
        <v>53765.27</v>
      </c>
      <c r="BK569" s="7">
        <f>_xlfn.IFNA(VLOOKUP(Wapato_Inventory[[#This Row],[quality]],Lookups!$H$2:$J$14,3,FALSE),0)</f>
        <v>48043</v>
      </c>
      <c r="BL569" s="7">
        <f>_xlfn.IFNA(VLOOKUP(Wapato_Inventory[[#This Row],[condition]],Lookups!$H$17:$J$24,3,FALSE),0)</f>
        <v>74543</v>
      </c>
      <c r="BM569" s="7">
        <f>Wapato_Inventory[[#This Row],[Age]]*Lookups!$B$16</f>
        <v>-36326.2186</v>
      </c>
      <c r="BN569" s="7">
        <f>Wapato_Inventory[[#This Row],[Main Floor]]*Lookups!$B$17</f>
        <v>51498.510448000001</v>
      </c>
      <c r="BO569" s="7">
        <f>Wapato_Inventory[[#This Row],[Upper Floor]]*Lookups!$B$18</f>
        <v>0</v>
      </c>
      <c r="BP569" s="7">
        <f>Wapato_Inventory[[#This Row],[Fin BSMT]]*Lookups!$B$19</f>
        <v>0</v>
      </c>
      <c r="BQ569" s="7">
        <f>(Wapato_Inventory[[#This Row],[att_gar]]+Wapato_Inventory[[#This Row],[blt_gar]])*Lookups!$B$20</f>
        <v>0</v>
      </c>
      <c r="BR569" s="7">
        <f>Wapato_Inventory[[#This Row],[Patio]]*Lookups!$B$21</f>
        <v>0</v>
      </c>
      <c r="BS569" s="7">
        <f>SUM(Wapato_Inventory[[#This Row],[intercept]:[patio_value]])*Wapato_Inventory[[#This Row],[res_pct]]</f>
        <v>191523.56184799998</v>
      </c>
      <c r="BT569" s="7">
        <f>Wapato_Inventory[[#This Row],[land_value]]</f>
        <v>52800</v>
      </c>
      <c r="BU569" s="2">
        <f>_xlfn.IFNA(VLOOKUP(Wapato_Inventory[[#This Row],[quality]],Lookups!$A$28:$C$37,3,FALSE),1)</f>
        <v>0.98196844879778955</v>
      </c>
      <c r="BV569" s="2">
        <f>_xlfn.IFNA(VLOOKUP(Wapato_Inventory[[#This Row],[condition]],Lookups!$A$41:$C$48,3,FALSE),1)</f>
        <v>0.98442438223270734</v>
      </c>
      <c r="BW569" s="2">
        <f>IF(Wapato_Inventory[[#This Row],[decade]]="",1,_xlfn.IFNA(VLOOKUP(Wapato_Inventory[[#This Row],[decade]],Lookups!$F$28:$H$45,3,FALSE),1))</f>
        <v>1.0114203040664467</v>
      </c>
      <c r="BX569" s="2">
        <f>_xlfn.IFNA(VLOOKUP(Wapato_Inventory[[#This Row],[living_area_range]],Lookups!$K$28:$M$37,3,FALSE),1)</f>
        <v>1.0061411172456287</v>
      </c>
      <c r="BY569" s="2">
        <f>AVERAGE(Wapato_Inventory[[#This Row],[qual_adj]:[range_adj]])</f>
        <v>0.9959885630856431</v>
      </c>
      <c r="BZ569" s="7">
        <f>(Wapato_Inventory[[#This Row],[sum_land]]-IF(Wapato_Inventory[[#This Row],[no_utilities]]=1,12000,0))/IF(Wapato_Inventory[[#This Row],[unbuildable]]=1,2,1)</f>
        <v>52800</v>
      </c>
      <c r="CA569" s="7">
        <f>Wapato_Inventory[[#This Row],[pre_res]]*Wapato_Inventory[[#This Row],[overall_adj]]</f>
        <v>190755.2771620338</v>
      </c>
      <c r="CB569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569" s="3">
        <f>IF(ROUND(Wapato_Inventory[[#This Row],[adj_res]]*Lookups!$H$48,-2)&lt;Wapato_Inventory[[#This Row],[min_res]],Wapato_Inventory[[#This Row],[min_res]],ROUND(Wapato_Inventory[[#This Row],[adj_res]]*Lookups!$H$48,-2))</f>
        <v>181200</v>
      </c>
      <c r="CD569" s="3">
        <f>ROUND(Wapato_Inventory[[#This Row],[det_value]]*Lookups!$H$48,-2)</f>
        <v>19500</v>
      </c>
      <c r="CE569" s="3">
        <f>Wapato_Inventory[[#This Row],[final_res]]+Wapato_Inventory[[#This Row],[final_det]]</f>
        <v>200700</v>
      </c>
      <c r="CF569" s="3">
        <f>Wapato_Inventory[[#This Row],[crop_value]]+Wapato_Inventory[[#This Row],[final_land]]+Wapato_Inventory[[#This Row],[final_imp]]</f>
        <v>250900</v>
      </c>
      <c r="CH569" t="str">
        <f t="shared" si="8"/>
        <v>update valuation set market_land =50200, market_bldg=200700, market_total =250900, market_mdno =405, market_date ='9/10/2023' where link_id = (select link_id from parcel where parcel_year = '2024' and parcel_id = '19111512440');</v>
      </c>
    </row>
    <row r="570" spans="1:86" x14ac:dyDescent="0.25">
      <c r="A570">
        <v>19111512442</v>
      </c>
      <c r="B570">
        <v>0.16</v>
      </c>
      <c r="C570">
        <v>6779</v>
      </c>
      <c r="D570" t="s">
        <v>144</v>
      </c>
      <c r="E570" t="s">
        <v>54</v>
      </c>
      <c r="F570" t="s">
        <v>54</v>
      </c>
      <c r="G570">
        <v>3</v>
      </c>
      <c r="H570" t="s">
        <v>55</v>
      </c>
      <c r="I570">
        <v>63500</v>
      </c>
      <c r="J570">
        <v>32800</v>
      </c>
      <c r="K570">
        <v>0.16</v>
      </c>
      <c r="L570">
        <f>IF(Wapato_Inventory[[#This Row],[parcel_acres]]-Wapato_Inventory[[#This Row],[non_valued_acres]] =0,0,LN(Wapato_Inventory[[#This Row],[parcel_acres]]-Wapato_Inventory[[#This Row],[non_valued_acres]]))</f>
        <v>-1.8325814637483102</v>
      </c>
      <c r="M570">
        <v>0</v>
      </c>
      <c r="N570">
        <v>0</v>
      </c>
      <c r="O570">
        <v>0</v>
      </c>
      <c r="P570">
        <v>27904.037</v>
      </c>
      <c r="Q570">
        <v>74398</v>
      </c>
      <c r="R570" s="3">
        <f>(Wapato_Inventory[[#This Row],[ln_acres]]*Wapato_Inventory[[#This Row],[coeff]])+Wapato_Inventory[[#This Row],[const]]</f>
        <v>23261.579030052992</v>
      </c>
      <c r="S570" t="s">
        <v>66</v>
      </c>
      <c r="T570">
        <v>1</v>
      </c>
      <c r="U570" t="s">
        <v>78</v>
      </c>
      <c r="V570" t="s">
        <v>73</v>
      </c>
      <c r="W570">
        <v>0</v>
      </c>
      <c r="X570">
        <v>0</v>
      </c>
      <c r="Y570">
        <v>60</v>
      </c>
      <c r="Z570">
        <v>108</v>
      </c>
      <c r="AA570">
        <v>110</v>
      </c>
      <c r="AB570">
        <v>1000</v>
      </c>
      <c r="AC570">
        <v>798</v>
      </c>
      <c r="AD570">
        <v>798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54</v>
      </c>
      <c r="AO570">
        <v>0</v>
      </c>
      <c r="AP570">
        <v>5</v>
      </c>
      <c r="AQ570">
        <v>0</v>
      </c>
      <c r="AR570">
        <v>0</v>
      </c>
      <c r="AS570" t="s">
        <v>59</v>
      </c>
      <c r="AT570">
        <v>0</v>
      </c>
      <c r="AU570" t="s">
        <v>80</v>
      </c>
      <c r="AV570" t="s">
        <v>77</v>
      </c>
      <c r="AW570">
        <v>0</v>
      </c>
      <c r="AX570">
        <v>2</v>
      </c>
      <c r="AY570">
        <v>0</v>
      </c>
      <c r="AZ570">
        <v>0</v>
      </c>
      <c r="BA570">
        <v>100</v>
      </c>
      <c r="BB570">
        <v>100</v>
      </c>
      <c r="BC570">
        <v>100</v>
      </c>
      <c r="BD570">
        <v>100</v>
      </c>
      <c r="BE570">
        <v>1</v>
      </c>
      <c r="BF570">
        <v>15000</v>
      </c>
      <c r="BG570">
        <v>1000</v>
      </c>
      <c r="BH570" s="7">
        <f>ROUND(Wapato_Inventory[[#This Row],[detatched_value]]*Lookups!$B$22*Lookups!$H$48,-2)</f>
        <v>0</v>
      </c>
      <c r="BI570" s="7">
        <f>ROUND(((Wapato_Inventory[[#This Row],[land_extract]]*Lookups!$B$3) +(Lookups!$B$2*0.5))*Lookups!$H$48,-2)</f>
        <v>53300</v>
      </c>
      <c r="BJ570" s="7">
        <f>IF(Wapato_Inventory[[#This Row],[bldg_style]]="",0,Lookups!$B$2*0.5)</f>
        <v>53765.27</v>
      </c>
      <c r="BK570" s="7">
        <f>_xlfn.IFNA(VLOOKUP(Wapato_Inventory[[#This Row],[quality]],Lookups!$H$2:$J$14,3,FALSE),0)</f>
        <v>23424</v>
      </c>
      <c r="BL570" s="7">
        <f>_xlfn.IFNA(VLOOKUP(Wapato_Inventory[[#This Row],[condition]],Lookups!$H$17:$J$24,3,FALSE),0)</f>
        <v>16276</v>
      </c>
      <c r="BM570" s="7">
        <f>Wapato_Inventory[[#This Row],[Age]]*Lookups!$B$16</f>
        <v>-40032.975599999998</v>
      </c>
      <c r="BN570" s="7">
        <f>Wapato_Inventory[[#This Row],[Main Floor]]*Lookups!$B$17</f>
        <v>33356.989721999998</v>
      </c>
      <c r="BO570" s="7">
        <f>Wapato_Inventory[[#This Row],[Upper Floor]]*Lookups!$B$18</f>
        <v>0</v>
      </c>
      <c r="BP570" s="7">
        <f>Wapato_Inventory[[#This Row],[Fin BSMT]]*Lookups!$B$19</f>
        <v>0</v>
      </c>
      <c r="BQ570" s="7">
        <f>(Wapato_Inventory[[#This Row],[att_gar]]+Wapato_Inventory[[#This Row],[blt_gar]])*Lookups!$B$20</f>
        <v>0</v>
      </c>
      <c r="BR570" s="7">
        <f>Wapato_Inventory[[#This Row],[Patio]]*Lookups!$B$21</f>
        <v>0</v>
      </c>
      <c r="BS570" s="7">
        <f>SUM(Wapato_Inventory[[#This Row],[intercept]:[patio_value]])*Wapato_Inventory[[#This Row],[res_pct]]</f>
        <v>86789.284121999983</v>
      </c>
      <c r="BT570" s="7">
        <f>Wapato_Inventory[[#This Row],[land_value]]</f>
        <v>53300</v>
      </c>
      <c r="BU570" s="2">
        <f>_xlfn.IFNA(VLOOKUP(Wapato_Inventory[[#This Row],[quality]],Lookups!$A$28:$C$37,3,FALSE),1)</f>
        <v>1.0091195562373767</v>
      </c>
      <c r="BV570" s="2">
        <f>_xlfn.IFNA(VLOOKUP(Wapato_Inventory[[#This Row],[condition]],Lookups!$A$41:$C$48,3,FALSE),1)</f>
        <v>0.93399385491337139</v>
      </c>
      <c r="BW570" s="2">
        <f>IF(Wapato_Inventory[[#This Row],[decade]]="",1,_xlfn.IFNA(VLOOKUP(Wapato_Inventory[[#This Row],[decade]],Lookups!$F$28:$H$45,3,FALSE),1))</f>
        <v>0.93664589651353292</v>
      </c>
      <c r="BX570" s="2">
        <f>_xlfn.IFNA(VLOOKUP(Wapato_Inventory[[#This Row],[living_area_range]],Lookups!$K$28:$M$37,3,FALSE),1)</f>
        <v>0.99022994770196116</v>
      </c>
      <c r="BY570" s="2">
        <f>AVERAGE(Wapato_Inventory[[#This Row],[qual_adj]:[range_adj]])</f>
        <v>0.96749731384156046</v>
      </c>
      <c r="BZ570" s="7">
        <f>(Wapato_Inventory[[#This Row],[sum_land]]-IF(Wapato_Inventory[[#This Row],[no_utilities]]=1,12000,0))/IF(Wapato_Inventory[[#This Row],[unbuildable]]=1,2,1)</f>
        <v>53300</v>
      </c>
      <c r="CA570" s="7">
        <f>Wapato_Inventory[[#This Row],[pre_res]]*Wapato_Inventory[[#This Row],[overall_adj]]</f>
        <v>83968.399258266974</v>
      </c>
      <c r="CB570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570" s="3">
        <f>IF(ROUND(Wapato_Inventory[[#This Row],[adj_res]]*Lookups!$H$48,-2)&lt;Wapato_Inventory[[#This Row],[min_res]],Wapato_Inventory[[#This Row],[min_res]],ROUND(Wapato_Inventory[[#This Row],[adj_res]]*Lookups!$H$48,-2))</f>
        <v>79800</v>
      </c>
      <c r="CD570" s="3">
        <f>ROUND(Wapato_Inventory[[#This Row],[det_value]]*Lookups!$H$48,-2)</f>
        <v>0</v>
      </c>
      <c r="CE570" s="3">
        <f>Wapato_Inventory[[#This Row],[final_res]]+Wapato_Inventory[[#This Row],[final_det]]</f>
        <v>79800</v>
      </c>
      <c r="CF570" s="3">
        <f>Wapato_Inventory[[#This Row],[crop_value]]+Wapato_Inventory[[#This Row],[final_land]]+Wapato_Inventory[[#This Row],[final_imp]]</f>
        <v>130400</v>
      </c>
      <c r="CH570" t="str">
        <f t="shared" si="8"/>
        <v>update valuation set market_land =50600, market_bldg=79800, market_total =130400, market_mdno =405, market_date ='9/10/2023' where link_id = (select link_id from parcel where parcel_year = '2024' and parcel_id = '19111512442');</v>
      </c>
    </row>
    <row r="571" spans="1:86" x14ac:dyDescent="0.25">
      <c r="A571">
        <v>19111512444</v>
      </c>
      <c r="B571">
        <v>0.12</v>
      </c>
      <c r="C571">
        <v>5422</v>
      </c>
      <c r="D571" t="s">
        <v>144</v>
      </c>
      <c r="E571" t="s">
        <v>54</v>
      </c>
      <c r="F571" t="s">
        <v>54</v>
      </c>
      <c r="G571">
        <v>3</v>
      </c>
      <c r="H571" t="s">
        <v>55</v>
      </c>
      <c r="I571">
        <v>120300</v>
      </c>
      <c r="J571">
        <v>30800</v>
      </c>
      <c r="K571">
        <v>0.12</v>
      </c>
      <c r="L571">
        <f>IF(Wapato_Inventory[[#This Row],[parcel_acres]]-Wapato_Inventory[[#This Row],[non_valued_acres]] =0,0,LN(Wapato_Inventory[[#This Row],[parcel_acres]]-Wapato_Inventory[[#This Row],[non_valued_acres]]))</f>
        <v>-2.120263536200091</v>
      </c>
      <c r="M571">
        <v>0</v>
      </c>
      <c r="N571">
        <v>0</v>
      </c>
      <c r="O571">
        <v>0</v>
      </c>
      <c r="P571">
        <v>27904.037</v>
      </c>
      <c r="Q571">
        <v>74398</v>
      </c>
      <c r="R571" s="3">
        <f>(Wapato_Inventory[[#This Row],[ln_acres]]*Wapato_Inventory[[#This Row],[coeff]])+Wapato_Inventory[[#This Row],[const]]</f>
        <v>15234.08783612182</v>
      </c>
      <c r="S571" t="s">
        <v>66</v>
      </c>
      <c r="T571">
        <v>1</v>
      </c>
      <c r="U571" t="s">
        <v>71</v>
      </c>
      <c r="V571" t="s">
        <v>68</v>
      </c>
      <c r="W571">
        <v>0</v>
      </c>
      <c r="X571">
        <v>0</v>
      </c>
      <c r="Y571">
        <v>57</v>
      </c>
      <c r="Z571">
        <v>103</v>
      </c>
      <c r="AA571">
        <v>110</v>
      </c>
      <c r="AB571">
        <v>1500</v>
      </c>
      <c r="AC571">
        <v>1184</v>
      </c>
      <c r="AD571">
        <v>1184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50</v>
      </c>
      <c r="AN571">
        <v>0</v>
      </c>
      <c r="AO571">
        <v>50</v>
      </c>
      <c r="AP571">
        <v>5</v>
      </c>
      <c r="AQ571">
        <v>0</v>
      </c>
      <c r="AR571">
        <v>0</v>
      </c>
      <c r="AS571" t="s">
        <v>59</v>
      </c>
      <c r="AT571">
        <v>1</v>
      </c>
      <c r="AU571" t="s">
        <v>64</v>
      </c>
      <c r="AV571" t="s">
        <v>65</v>
      </c>
      <c r="AW571">
        <v>1</v>
      </c>
      <c r="AX571">
        <v>3</v>
      </c>
      <c r="AY571">
        <v>0</v>
      </c>
      <c r="AZ571">
        <v>7200</v>
      </c>
      <c r="BA571">
        <v>100</v>
      </c>
      <c r="BB571">
        <v>100</v>
      </c>
      <c r="BC571">
        <v>100</v>
      </c>
      <c r="BD571">
        <v>100</v>
      </c>
      <c r="BE571">
        <v>1</v>
      </c>
      <c r="BF571">
        <v>15000</v>
      </c>
      <c r="BG571">
        <v>1000</v>
      </c>
      <c r="BH571" s="7">
        <f>ROUND(Wapato_Inventory[[#This Row],[detatched_value]]*Lookups!$B$22*Lookups!$H$48,-2)</f>
        <v>6400</v>
      </c>
      <c r="BI571" s="7">
        <f>ROUND(((Wapato_Inventory[[#This Row],[land_extract]]*Lookups!$B$3) +(Lookups!$B$2*0.5))*Lookups!$H$48,-2)</f>
        <v>52500</v>
      </c>
      <c r="BJ571" s="7">
        <f>IF(Wapato_Inventory[[#This Row],[bldg_style]]="",0,Lookups!$B$2*0.5)</f>
        <v>53765.27</v>
      </c>
      <c r="BK571" s="7">
        <f>_xlfn.IFNA(VLOOKUP(Wapato_Inventory[[#This Row],[quality]],Lookups!$H$2:$J$14,3,FALSE),0)</f>
        <v>28034</v>
      </c>
      <c r="BL571" s="7">
        <f>_xlfn.IFNA(VLOOKUP(Wapato_Inventory[[#This Row],[condition]],Lookups!$H$17:$J$24,3,FALSE),0)</f>
        <v>52231</v>
      </c>
      <c r="BM571" s="7">
        <f>Wapato_Inventory[[#This Row],[Age]]*Lookups!$B$16</f>
        <v>-38179.597099999999</v>
      </c>
      <c r="BN571" s="7">
        <f>Wapato_Inventory[[#This Row],[Main Floor]]*Lookups!$B$17</f>
        <v>49492.074976000004</v>
      </c>
      <c r="BO571" s="7">
        <f>Wapato_Inventory[[#This Row],[Upper Floor]]*Lookups!$B$18</f>
        <v>0</v>
      </c>
      <c r="BP571" s="7">
        <f>Wapato_Inventory[[#This Row],[Fin BSMT]]*Lookups!$B$19</f>
        <v>0</v>
      </c>
      <c r="BQ571" s="7">
        <f>(Wapato_Inventory[[#This Row],[att_gar]]+Wapato_Inventory[[#This Row],[blt_gar]])*Lookups!$B$20</f>
        <v>0</v>
      </c>
      <c r="BR571" s="7">
        <f>Wapato_Inventory[[#This Row],[Patio]]*Lookups!$B$21</f>
        <v>2166.19895</v>
      </c>
      <c r="BS571" s="7">
        <f>SUM(Wapato_Inventory[[#This Row],[intercept]:[patio_value]])*Wapato_Inventory[[#This Row],[res_pct]]</f>
        <v>147508.946826</v>
      </c>
      <c r="BT571" s="7">
        <f>Wapato_Inventory[[#This Row],[land_value]]</f>
        <v>52500</v>
      </c>
      <c r="BU571" s="2">
        <f>_xlfn.IFNA(VLOOKUP(Wapato_Inventory[[#This Row],[quality]],Lookups!$A$28:$C$37,3,FALSE),1)</f>
        <v>0.96265813922927435</v>
      </c>
      <c r="BV571" s="2">
        <f>_xlfn.IFNA(VLOOKUP(Wapato_Inventory[[#This Row],[condition]],Lookups!$A$41:$C$48,3,FALSE),1)</f>
        <v>0.9832333997567807</v>
      </c>
      <c r="BW571" s="2">
        <f>IF(Wapato_Inventory[[#This Row],[decade]]="",1,_xlfn.IFNA(VLOOKUP(Wapato_Inventory[[#This Row],[decade]],Lookups!$F$28:$H$45,3,FALSE),1))</f>
        <v>0.93664589651353292</v>
      </c>
      <c r="BX571" s="2">
        <f>_xlfn.IFNA(VLOOKUP(Wapato_Inventory[[#This Row],[living_area_range]],Lookups!$K$28:$M$37,3,FALSE),1)</f>
        <v>1.0061411172456287</v>
      </c>
      <c r="BY571" s="2">
        <f>AVERAGE(Wapato_Inventory[[#This Row],[qual_adj]:[range_adj]])</f>
        <v>0.97216963818630409</v>
      </c>
      <c r="BZ571" s="7">
        <f>(Wapato_Inventory[[#This Row],[sum_land]]-IF(Wapato_Inventory[[#This Row],[no_utilities]]=1,12000,0))/IF(Wapato_Inventory[[#This Row],[unbuildable]]=1,2,1)</f>
        <v>52500</v>
      </c>
      <c r="CA571" s="7">
        <f>Wapato_Inventory[[#This Row],[pre_res]]*Wapato_Inventory[[#This Row],[overall_adj]]</f>
        <v>143403.71946507518</v>
      </c>
      <c r="CB571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571" s="3">
        <f>IF(ROUND(Wapato_Inventory[[#This Row],[adj_res]]*Lookups!$H$48,-2)&lt;Wapato_Inventory[[#This Row],[min_res]],Wapato_Inventory[[#This Row],[min_res]],ROUND(Wapato_Inventory[[#This Row],[adj_res]]*Lookups!$H$48,-2))</f>
        <v>136200</v>
      </c>
      <c r="CD571" s="3">
        <f>ROUND(Wapato_Inventory[[#This Row],[det_value]]*Lookups!$H$48,-2)</f>
        <v>6100</v>
      </c>
      <c r="CE571" s="3">
        <f>Wapato_Inventory[[#This Row],[final_res]]+Wapato_Inventory[[#This Row],[final_det]]</f>
        <v>142300</v>
      </c>
      <c r="CF571" s="3">
        <f>Wapato_Inventory[[#This Row],[crop_value]]+Wapato_Inventory[[#This Row],[final_land]]+Wapato_Inventory[[#This Row],[final_imp]]</f>
        <v>192200</v>
      </c>
      <c r="CH571" t="str">
        <f t="shared" si="8"/>
        <v>update valuation set market_land =49900, market_bldg=142300, market_total =192200, market_mdno =405, market_date ='9/10/2023' where link_id = (select link_id from parcel where parcel_year = '2024' and parcel_id = '19111512444');</v>
      </c>
    </row>
    <row r="572" spans="1:86" x14ac:dyDescent="0.25">
      <c r="A572">
        <v>19111512445</v>
      </c>
      <c r="B572">
        <v>0.17</v>
      </c>
      <c r="C572">
        <v>7598</v>
      </c>
      <c r="D572" t="s">
        <v>144</v>
      </c>
      <c r="E572" t="s">
        <v>54</v>
      </c>
      <c r="F572" t="s">
        <v>54</v>
      </c>
      <c r="G572">
        <v>3</v>
      </c>
      <c r="H572" t="s">
        <v>55</v>
      </c>
      <c r="I572">
        <v>79600</v>
      </c>
      <c r="J572">
        <v>33200</v>
      </c>
      <c r="K572">
        <v>0.17</v>
      </c>
      <c r="L572">
        <f>IF(Wapato_Inventory[[#This Row],[parcel_acres]]-Wapato_Inventory[[#This Row],[non_valued_acres]] =0,0,LN(Wapato_Inventory[[#This Row],[parcel_acres]]-Wapato_Inventory[[#This Row],[non_valued_acres]]))</f>
        <v>-1.7719568419318752</v>
      </c>
      <c r="M572">
        <v>0</v>
      </c>
      <c r="N572">
        <v>0</v>
      </c>
      <c r="O572">
        <v>0</v>
      </c>
      <c r="P572">
        <v>27904.037</v>
      </c>
      <c r="Q572">
        <v>74398</v>
      </c>
      <c r="R572" s="3">
        <f>(Wapato_Inventory[[#This Row],[ln_acres]]*Wapato_Inventory[[#This Row],[coeff]])+Wapato_Inventory[[#This Row],[const]]</f>
        <v>24953.250720329801</v>
      </c>
      <c r="S572" t="s">
        <v>66</v>
      </c>
      <c r="T572">
        <v>1</v>
      </c>
      <c r="U572" t="s">
        <v>71</v>
      </c>
      <c r="V572" t="s">
        <v>73</v>
      </c>
      <c r="W572">
        <v>0</v>
      </c>
      <c r="X572">
        <v>0</v>
      </c>
      <c r="Y572">
        <v>57</v>
      </c>
      <c r="Z572">
        <v>103</v>
      </c>
      <c r="AA572">
        <v>110</v>
      </c>
      <c r="AB572">
        <v>1000</v>
      </c>
      <c r="AC572">
        <v>928</v>
      </c>
      <c r="AD572">
        <v>928</v>
      </c>
      <c r="AE572">
        <v>0</v>
      </c>
      <c r="AF572">
        <v>0</v>
      </c>
      <c r="AG572">
        <v>0</v>
      </c>
      <c r="AH572">
        <v>464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5</v>
      </c>
      <c r="AQ572">
        <v>0</v>
      </c>
      <c r="AR572">
        <v>1</v>
      </c>
      <c r="AS572" t="s">
        <v>59</v>
      </c>
      <c r="AT572">
        <v>1</v>
      </c>
      <c r="AU572" t="s">
        <v>64</v>
      </c>
      <c r="AV572" t="s">
        <v>77</v>
      </c>
      <c r="AW572">
        <v>0</v>
      </c>
      <c r="AX572">
        <v>2</v>
      </c>
      <c r="AY572">
        <v>0</v>
      </c>
      <c r="AZ572">
        <v>4600</v>
      </c>
      <c r="BA572">
        <v>100</v>
      </c>
      <c r="BB572">
        <v>100</v>
      </c>
      <c r="BC572">
        <v>100</v>
      </c>
      <c r="BD572">
        <v>100</v>
      </c>
      <c r="BE572">
        <v>1</v>
      </c>
      <c r="BF572">
        <v>15000</v>
      </c>
      <c r="BG572">
        <v>1000</v>
      </c>
      <c r="BH572" s="7">
        <f>ROUND(Wapato_Inventory[[#This Row],[detatched_value]]*Lookups!$B$22*Lookups!$H$48,-2)</f>
        <v>4100</v>
      </c>
      <c r="BI572" s="7">
        <f>ROUND(((Wapato_Inventory[[#This Row],[land_extract]]*Lookups!$B$3) +(Lookups!$B$2*0.5))*Lookups!$H$48,-2)</f>
        <v>53500</v>
      </c>
      <c r="BJ572" s="7">
        <f>IF(Wapato_Inventory[[#This Row],[bldg_style]]="",0,Lookups!$B$2*0.5)</f>
        <v>53765.27</v>
      </c>
      <c r="BK572" s="7">
        <f>_xlfn.IFNA(VLOOKUP(Wapato_Inventory[[#This Row],[quality]],Lookups!$H$2:$J$14,3,FALSE),0)</f>
        <v>28034</v>
      </c>
      <c r="BL572" s="7">
        <f>_xlfn.IFNA(VLOOKUP(Wapato_Inventory[[#This Row],[condition]],Lookups!$H$17:$J$24,3,FALSE),0)</f>
        <v>16276</v>
      </c>
      <c r="BM572" s="7">
        <f>Wapato_Inventory[[#This Row],[Age]]*Lookups!$B$16</f>
        <v>-38179.597099999999</v>
      </c>
      <c r="BN572" s="7">
        <f>Wapato_Inventory[[#This Row],[Main Floor]]*Lookups!$B$17</f>
        <v>38791.085791999998</v>
      </c>
      <c r="BO572" s="7">
        <f>Wapato_Inventory[[#This Row],[Upper Floor]]*Lookups!$B$18</f>
        <v>0</v>
      </c>
      <c r="BP572" s="7">
        <f>Wapato_Inventory[[#This Row],[Fin BSMT]]*Lookups!$B$19</f>
        <v>0</v>
      </c>
      <c r="BQ572" s="7">
        <f>(Wapato_Inventory[[#This Row],[att_gar]]+Wapato_Inventory[[#This Row],[blt_gar]])*Lookups!$B$20</f>
        <v>0</v>
      </c>
      <c r="BR572" s="7">
        <f>Wapato_Inventory[[#This Row],[Patio]]*Lookups!$B$21</f>
        <v>0</v>
      </c>
      <c r="BS572" s="7">
        <f>SUM(Wapato_Inventory[[#This Row],[intercept]:[patio_value]])*Wapato_Inventory[[#This Row],[res_pct]]</f>
        <v>98686.758691999989</v>
      </c>
      <c r="BT572" s="7">
        <f>Wapato_Inventory[[#This Row],[land_value]]</f>
        <v>53500</v>
      </c>
      <c r="BU572" s="2">
        <f>_xlfn.IFNA(VLOOKUP(Wapato_Inventory[[#This Row],[quality]],Lookups!$A$28:$C$37,3,FALSE),1)</f>
        <v>0.96265813922927435</v>
      </c>
      <c r="BV572" s="2">
        <f>_xlfn.IFNA(VLOOKUP(Wapato_Inventory[[#This Row],[condition]],Lookups!$A$41:$C$48,3,FALSE),1)</f>
        <v>0.93399385491337139</v>
      </c>
      <c r="BW572" s="2">
        <f>IF(Wapato_Inventory[[#This Row],[decade]]="",1,_xlfn.IFNA(VLOOKUP(Wapato_Inventory[[#This Row],[decade]],Lookups!$F$28:$H$45,3,FALSE),1))</f>
        <v>0.93664589651353292</v>
      </c>
      <c r="BX572" s="2">
        <f>_xlfn.IFNA(VLOOKUP(Wapato_Inventory[[#This Row],[living_area_range]],Lookups!$K$28:$M$37,3,FALSE),1)</f>
        <v>0.99022994770196116</v>
      </c>
      <c r="BY572" s="2">
        <f>AVERAGE(Wapato_Inventory[[#This Row],[qual_adj]:[range_adj]])</f>
        <v>0.95588195958953504</v>
      </c>
      <c r="BZ572" s="7">
        <f>(Wapato_Inventory[[#This Row],[sum_land]]-IF(Wapato_Inventory[[#This Row],[no_utilities]]=1,12000,0))/IF(Wapato_Inventory[[#This Row],[unbuildable]]=1,2,1)</f>
        <v>53500</v>
      </c>
      <c r="CA572" s="7">
        <f>Wapato_Inventory[[#This Row],[pre_res]]*Wapato_Inventory[[#This Row],[overall_adj]]</f>
        <v>94332.892284048532</v>
      </c>
      <c r="CB572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572" s="3">
        <f>IF(ROUND(Wapato_Inventory[[#This Row],[adj_res]]*Lookups!$H$48,-2)&lt;Wapato_Inventory[[#This Row],[min_res]],Wapato_Inventory[[#This Row],[min_res]],ROUND(Wapato_Inventory[[#This Row],[adj_res]]*Lookups!$H$48,-2))</f>
        <v>89600</v>
      </c>
      <c r="CD572" s="3">
        <f>ROUND(Wapato_Inventory[[#This Row],[det_value]]*Lookups!$H$48,-2)</f>
        <v>3900</v>
      </c>
      <c r="CE572" s="3">
        <f>Wapato_Inventory[[#This Row],[final_res]]+Wapato_Inventory[[#This Row],[final_det]]</f>
        <v>93500</v>
      </c>
      <c r="CF572" s="3">
        <f>Wapato_Inventory[[#This Row],[crop_value]]+Wapato_Inventory[[#This Row],[final_land]]+Wapato_Inventory[[#This Row],[final_imp]]</f>
        <v>144300</v>
      </c>
      <c r="CH572" t="str">
        <f t="shared" si="8"/>
        <v>update valuation set market_land =50800, market_bldg=93500, market_total =144300, market_mdno =405, market_date ='9/10/2023' where link_id = (select link_id from parcel where parcel_year = '2024' and parcel_id = '19111512445');</v>
      </c>
    </row>
    <row r="573" spans="1:86" x14ac:dyDescent="0.25">
      <c r="A573">
        <v>19111512446</v>
      </c>
      <c r="B573">
        <v>0.14000000000000001</v>
      </c>
      <c r="C573">
        <v>5923</v>
      </c>
      <c r="D573" t="s">
        <v>144</v>
      </c>
      <c r="E573" t="s">
        <v>54</v>
      </c>
      <c r="F573" t="s">
        <v>54</v>
      </c>
      <c r="G573">
        <v>3</v>
      </c>
      <c r="H573" t="s">
        <v>55</v>
      </c>
      <c r="I573">
        <v>162200</v>
      </c>
      <c r="J573">
        <v>31900</v>
      </c>
      <c r="K573">
        <v>0.14000000000000001</v>
      </c>
      <c r="L573">
        <f>IF(Wapato_Inventory[[#This Row],[parcel_acres]]-Wapato_Inventory[[#This Row],[non_valued_acres]] =0,0,LN(Wapato_Inventory[[#This Row],[parcel_acres]]-Wapato_Inventory[[#This Row],[non_valued_acres]]))</f>
        <v>-1.9661128563728327</v>
      </c>
      <c r="M573">
        <v>0</v>
      </c>
      <c r="N573">
        <v>0</v>
      </c>
      <c r="O573">
        <v>0</v>
      </c>
      <c r="P573">
        <v>27904.037</v>
      </c>
      <c r="Q573">
        <v>74398</v>
      </c>
      <c r="R573" s="3">
        <f>(Wapato_Inventory[[#This Row],[ln_acres]]*Wapato_Inventory[[#This Row],[coeff]])+Wapato_Inventory[[#This Row],[const]]</f>
        <v>19535.514109596792</v>
      </c>
      <c r="S573" t="s">
        <v>145</v>
      </c>
      <c r="T573">
        <v>1</v>
      </c>
      <c r="U573" t="s">
        <v>67</v>
      </c>
      <c r="V573" t="s">
        <v>68</v>
      </c>
      <c r="W573">
        <v>0</v>
      </c>
      <c r="X573">
        <v>0</v>
      </c>
      <c r="Y573">
        <v>55</v>
      </c>
      <c r="Z573">
        <v>98</v>
      </c>
      <c r="AA573">
        <v>100</v>
      </c>
      <c r="AB573">
        <v>1500</v>
      </c>
      <c r="AC573">
        <v>1440</v>
      </c>
      <c r="AD573">
        <v>1440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8</v>
      </c>
      <c r="AQ573">
        <v>1</v>
      </c>
      <c r="AR573">
        <v>0</v>
      </c>
      <c r="AS573" t="s">
        <v>59</v>
      </c>
      <c r="AT573">
        <v>1</v>
      </c>
      <c r="AU573" t="s">
        <v>64</v>
      </c>
      <c r="AV573" t="s">
        <v>65</v>
      </c>
      <c r="AW573">
        <v>0</v>
      </c>
      <c r="AX573">
        <v>3</v>
      </c>
      <c r="AY573">
        <v>0</v>
      </c>
      <c r="AZ573">
        <v>7300</v>
      </c>
      <c r="BA573">
        <v>100</v>
      </c>
      <c r="BB573">
        <v>100</v>
      </c>
      <c r="BC573">
        <v>100</v>
      </c>
      <c r="BD573">
        <v>100</v>
      </c>
      <c r="BE573">
        <v>1</v>
      </c>
      <c r="BF573">
        <v>15000</v>
      </c>
      <c r="BG573">
        <v>1000</v>
      </c>
      <c r="BH573" s="7">
        <f>ROUND(Wapato_Inventory[[#This Row],[detatched_value]]*Lookups!$B$22*Lookups!$H$48,-2)</f>
        <v>6500</v>
      </c>
      <c r="BI573" s="7">
        <f>ROUND(((Wapato_Inventory[[#This Row],[land_extract]]*Lookups!$B$3) +(Lookups!$B$2*0.5))*Lookups!$H$48,-2)</f>
        <v>53000</v>
      </c>
      <c r="BJ573" s="7">
        <f>IF(Wapato_Inventory[[#This Row],[bldg_style]]="",0,Lookups!$B$2*0.5)</f>
        <v>53765.27</v>
      </c>
      <c r="BK573" s="7">
        <f>_xlfn.IFNA(VLOOKUP(Wapato_Inventory[[#This Row],[quality]],Lookups!$H$2:$J$14,3,FALSE),0)</f>
        <v>50405</v>
      </c>
      <c r="BL573" s="7">
        <f>_xlfn.IFNA(VLOOKUP(Wapato_Inventory[[#This Row],[condition]],Lookups!$H$17:$J$24,3,FALSE),0)</f>
        <v>52231</v>
      </c>
      <c r="BM573" s="7">
        <f>Wapato_Inventory[[#This Row],[Age]]*Lookups!$B$16</f>
        <v>-36326.2186</v>
      </c>
      <c r="BN573" s="7">
        <f>Wapato_Inventory[[#This Row],[Main Floor]]*Lookups!$B$17</f>
        <v>60193.064160000002</v>
      </c>
      <c r="BO573" s="7">
        <f>Wapato_Inventory[[#This Row],[Upper Floor]]*Lookups!$B$18</f>
        <v>0</v>
      </c>
      <c r="BP573" s="7">
        <f>Wapato_Inventory[[#This Row],[Fin BSMT]]*Lookups!$B$19</f>
        <v>0</v>
      </c>
      <c r="BQ573" s="7">
        <f>(Wapato_Inventory[[#This Row],[att_gar]]+Wapato_Inventory[[#This Row],[blt_gar]])*Lookups!$B$20</f>
        <v>0</v>
      </c>
      <c r="BR573" s="7">
        <f>Wapato_Inventory[[#This Row],[Patio]]*Lookups!$B$21</f>
        <v>0</v>
      </c>
      <c r="BS573" s="7">
        <f>SUM(Wapato_Inventory[[#This Row],[intercept]:[patio_value]])*Wapato_Inventory[[#This Row],[res_pct]]</f>
        <v>180268.11556000001</v>
      </c>
      <c r="BT573" s="7">
        <f>Wapato_Inventory[[#This Row],[land_value]]</f>
        <v>53000</v>
      </c>
      <c r="BU573" s="2">
        <f>_xlfn.IFNA(VLOOKUP(Wapato_Inventory[[#This Row],[quality]],Lookups!$A$28:$C$37,3,FALSE),1)</f>
        <v>0.97993206410140754</v>
      </c>
      <c r="BV573" s="2">
        <f>_xlfn.IFNA(VLOOKUP(Wapato_Inventory[[#This Row],[condition]],Lookups!$A$41:$C$48,3,FALSE),1)</f>
        <v>0.9832333997567807</v>
      </c>
      <c r="BW573" s="2">
        <f>IF(Wapato_Inventory[[#This Row],[decade]]="",1,_xlfn.IFNA(VLOOKUP(Wapato_Inventory[[#This Row],[decade]],Lookups!$F$28:$H$45,3,FALSE),1))</f>
        <v>1.0114203040664467</v>
      </c>
      <c r="BX573" s="2">
        <f>_xlfn.IFNA(VLOOKUP(Wapato_Inventory[[#This Row],[living_area_range]],Lookups!$K$28:$M$37,3,FALSE),1)</f>
        <v>1.0061411172456287</v>
      </c>
      <c r="BY573" s="2">
        <f>AVERAGE(Wapato_Inventory[[#This Row],[qual_adj]:[range_adj]])</f>
        <v>0.99518172129256599</v>
      </c>
      <c r="BZ573" s="7">
        <f>(Wapato_Inventory[[#This Row],[sum_land]]-IF(Wapato_Inventory[[#This Row],[no_utilities]]=1,12000,0))/IF(Wapato_Inventory[[#This Row],[unbuildable]]=1,2,1)</f>
        <v>53000</v>
      </c>
      <c r="CA573" s="7">
        <f>Wapato_Inventory[[#This Row],[pre_res]]*Wapato_Inventory[[#This Row],[overall_adj]]</f>
        <v>179399.533537168</v>
      </c>
      <c r="CB57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73" s="3">
        <f>IF(ROUND(Wapato_Inventory[[#This Row],[adj_res]]*Lookups!$H$48,-2)&lt;Wapato_Inventory[[#This Row],[min_res]],Wapato_Inventory[[#This Row],[min_res]],ROUND(Wapato_Inventory[[#This Row],[adj_res]]*Lookups!$H$48,-2))</f>
        <v>170400</v>
      </c>
      <c r="CD573" s="3">
        <f>ROUND(Wapato_Inventory[[#This Row],[det_value]]*Lookups!$H$48,-2)</f>
        <v>6200</v>
      </c>
      <c r="CE573" s="3">
        <f>Wapato_Inventory[[#This Row],[final_res]]+Wapato_Inventory[[#This Row],[final_det]]</f>
        <v>176600</v>
      </c>
      <c r="CF573" s="3">
        <f>Wapato_Inventory[[#This Row],[crop_value]]+Wapato_Inventory[[#This Row],[final_land]]+Wapato_Inventory[[#This Row],[final_imp]]</f>
        <v>227000</v>
      </c>
      <c r="CH573" t="str">
        <f t="shared" si="8"/>
        <v>update valuation set market_land =50400, market_bldg=176600, market_total =227000, market_mdno =405, market_date ='9/10/2023' where link_id = (select link_id from parcel where parcel_year = '2024' and parcel_id = '19111512446');</v>
      </c>
    </row>
    <row r="574" spans="1:86" x14ac:dyDescent="0.25">
      <c r="A574">
        <v>19111512447</v>
      </c>
      <c r="B574">
        <v>0.14000000000000001</v>
      </c>
      <c r="C574">
        <v>6238</v>
      </c>
      <c r="D574" t="s">
        <v>144</v>
      </c>
      <c r="E574" t="s">
        <v>54</v>
      </c>
      <c r="F574" t="s">
        <v>54</v>
      </c>
      <c r="G574">
        <v>3</v>
      </c>
      <c r="H574" t="s">
        <v>55</v>
      </c>
      <c r="I574">
        <v>133300</v>
      </c>
      <c r="J574">
        <v>31900</v>
      </c>
      <c r="K574">
        <v>0.14000000000000001</v>
      </c>
      <c r="L574">
        <f>IF(Wapato_Inventory[[#This Row],[parcel_acres]]-Wapato_Inventory[[#This Row],[non_valued_acres]] =0,0,LN(Wapato_Inventory[[#This Row],[parcel_acres]]-Wapato_Inventory[[#This Row],[non_valued_acres]]))</f>
        <v>-1.9661128563728327</v>
      </c>
      <c r="M574">
        <v>0</v>
      </c>
      <c r="N574">
        <v>0</v>
      </c>
      <c r="O574">
        <v>0</v>
      </c>
      <c r="P574">
        <v>27904.037</v>
      </c>
      <c r="Q574">
        <v>74398</v>
      </c>
      <c r="R574" s="3">
        <f>(Wapato_Inventory[[#This Row],[ln_acres]]*Wapato_Inventory[[#This Row],[coeff]])+Wapato_Inventory[[#This Row],[const]]</f>
        <v>19535.514109596792</v>
      </c>
      <c r="S574" t="s">
        <v>66</v>
      </c>
      <c r="T574">
        <v>1</v>
      </c>
      <c r="U574" t="s">
        <v>75</v>
      </c>
      <c r="V574" t="s">
        <v>68</v>
      </c>
      <c r="W574">
        <v>0</v>
      </c>
      <c r="X574">
        <v>0</v>
      </c>
      <c r="Y574">
        <v>55</v>
      </c>
      <c r="Z574">
        <v>98</v>
      </c>
      <c r="AA574">
        <v>100</v>
      </c>
      <c r="AB574">
        <v>1500</v>
      </c>
      <c r="AC574">
        <v>1012</v>
      </c>
      <c r="AD574">
        <v>1012</v>
      </c>
      <c r="AE574">
        <v>0</v>
      </c>
      <c r="AF574">
        <v>0</v>
      </c>
      <c r="AG574">
        <v>0</v>
      </c>
      <c r="AH574">
        <v>506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5</v>
      </c>
      <c r="AQ574">
        <v>0</v>
      </c>
      <c r="AR574">
        <v>0</v>
      </c>
      <c r="AS574" t="s">
        <v>59</v>
      </c>
      <c r="AT574">
        <v>1</v>
      </c>
      <c r="AU574" t="s">
        <v>64</v>
      </c>
      <c r="AV574" t="s">
        <v>65</v>
      </c>
      <c r="AW574">
        <v>0</v>
      </c>
      <c r="AX574">
        <v>2</v>
      </c>
      <c r="AY574">
        <v>0</v>
      </c>
      <c r="AZ574">
        <v>0</v>
      </c>
      <c r="BA574">
        <v>100</v>
      </c>
      <c r="BB574">
        <v>100</v>
      </c>
      <c r="BC574">
        <v>100</v>
      </c>
      <c r="BD574">
        <v>100</v>
      </c>
      <c r="BE574">
        <v>1</v>
      </c>
      <c r="BF574">
        <v>15000</v>
      </c>
      <c r="BG574">
        <v>1000</v>
      </c>
      <c r="BH574" s="7">
        <f>ROUND(Wapato_Inventory[[#This Row],[detatched_value]]*Lookups!$B$22*Lookups!$H$48,-2)</f>
        <v>0</v>
      </c>
      <c r="BI574" s="7">
        <f>ROUND(((Wapato_Inventory[[#This Row],[land_extract]]*Lookups!$B$3) +(Lookups!$B$2*0.5))*Lookups!$H$48,-2)</f>
        <v>53000</v>
      </c>
      <c r="BJ574" s="7">
        <f>IF(Wapato_Inventory[[#This Row],[bldg_style]]="",0,Lookups!$B$2*0.5)</f>
        <v>53765.27</v>
      </c>
      <c r="BK574" s="7">
        <f>_xlfn.IFNA(VLOOKUP(Wapato_Inventory[[#This Row],[quality]],Lookups!$H$2:$J$14,3,FALSE),0)</f>
        <v>48043</v>
      </c>
      <c r="BL574" s="7">
        <f>_xlfn.IFNA(VLOOKUP(Wapato_Inventory[[#This Row],[condition]],Lookups!$H$17:$J$24,3,FALSE),0)</f>
        <v>52231</v>
      </c>
      <c r="BM574" s="7">
        <f>Wapato_Inventory[[#This Row],[Age]]*Lookups!$B$16</f>
        <v>-36326.2186</v>
      </c>
      <c r="BN574" s="7">
        <f>Wapato_Inventory[[#This Row],[Main Floor]]*Lookups!$B$17</f>
        <v>42302.347867999997</v>
      </c>
      <c r="BO574" s="7">
        <f>Wapato_Inventory[[#This Row],[Upper Floor]]*Lookups!$B$18</f>
        <v>0</v>
      </c>
      <c r="BP574" s="7">
        <f>Wapato_Inventory[[#This Row],[Fin BSMT]]*Lookups!$B$19</f>
        <v>0</v>
      </c>
      <c r="BQ574" s="7">
        <f>(Wapato_Inventory[[#This Row],[att_gar]]+Wapato_Inventory[[#This Row],[blt_gar]])*Lookups!$B$20</f>
        <v>0</v>
      </c>
      <c r="BR574" s="7">
        <f>Wapato_Inventory[[#This Row],[Patio]]*Lookups!$B$21</f>
        <v>0</v>
      </c>
      <c r="BS574" s="7">
        <f>SUM(Wapato_Inventory[[#This Row],[intercept]:[patio_value]])*Wapato_Inventory[[#This Row],[res_pct]]</f>
        <v>160015.39926799998</v>
      </c>
      <c r="BT574" s="7">
        <f>Wapato_Inventory[[#This Row],[land_value]]</f>
        <v>53000</v>
      </c>
      <c r="BU574" s="2">
        <f>_xlfn.IFNA(VLOOKUP(Wapato_Inventory[[#This Row],[quality]],Lookups!$A$28:$C$37,3,FALSE),1)</f>
        <v>0.98196844879778955</v>
      </c>
      <c r="BV574" s="2">
        <f>_xlfn.IFNA(VLOOKUP(Wapato_Inventory[[#This Row],[condition]],Lookups!$A$41:$C$48,3,FALSE),1)</f>
        <v>0.9832333997567807</v>
      </c>
      <c r="BW574" s="2">
        <f>IF(Wapato_Inventory[[#This Row],[decade]]="",1,_xlfn.IFNA(VLOOKUP(Wapato_Inventory[[#This Row],[decade]],Lookups!$F$28:$H$45,3,FALSE),1))</f>
        <v>1.0114203040664467</v>
      </c>
      <c r="BX574" s="2">
        <f>_xlfn.IFNA(VLOOKUP(Wapato_Inventory[[#This Row],[living_area_range]],Lookups!$K$28:$M$37,3,FALSE),1)</f>
        <v>1.0061411172456287</v>
      </c>
      <c r="BY574" s="2">
        <f>AVERAGE(Wapato_Inventory[[#This Row],[qual_adj]:[range_adj]])</f>
        <v>0.99569081746666144</v>
      </c>
      <c r="BZ574" s="7">
        <f>(Wapato_Inventory[[#This Row],[sum_land]]-IF(Wapato_Inventory[[#This Row],[no_utilities]]=1,12000,0))/IF(Wapato_Inventory[[#This Row],[unbuildable]]=1,2,1)</f>
        <v>53000</v>
      </c>
      <c r="CA574" s="7">
        <f>Wapato_Inventory[[#This Row],[pre_res]]*Wapato_Inventory[[#This Row],[overall_adj]]</f>
        <v>159325.86370440913</v>
      </c>
      <c r="CB57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74" s="3">
        <f>IF(ROUND(Wapato_Inventory[[#This Row],[adj_res]]*Lookups!$H$48,-2)&lt;Wapato_Inventory[[#This Row],[min_res]],Wapato_Inventory[[#This Row],[min_res]],ROUND(Wapato_Inventory[[#This Row],[adj_res]]*Lookups!$H$48,-2))</f>
        <v>151400</v>
      </c>
      <c r="CD574" s="3">
        <f>ROUND(Wapato_Inventory[[#This Row],[det_value]]*Lookups!$H$48,-2)</f>
        <v>0</v>
      </c>
      <c r="CE574" s="3">
        <f>Wapato_Inventory[[#This Row],[final_res]]+Wapato_Inventory[[#This Row],[final_det]]</f>
        <v>151400</v>
      </c>
      <c r="CF574" s="3">
        <f>Wapato_Inventory[[#This Row],[crop_value]]+Wapato_Inventory[[#This Row],[final_land]]+Wapato_Inventory[[#This Row],[final_imp]]</f>
        <v>201800</v>
      </c>
      <c r="CH574" t="str">
        <f t="shared" si="8"/>
        <v>update valuation set market_land =50400, market_bldg=151400, market_total =201800, market_mdno =405, market_date ='9/10/2023' where link_id = (select link_id from parcel where parcel_year = '2024' and parcel_id = '19111512447');</v>
      </c>
    </row>
    <row r="575" spans="1:86" x14ac:dyDescent="0.25">
      <c r="A575">
        <v>19111512448</v>
      </c>
      <c r="B575">
        <v>0.17</v>
      </c>
      <c r="C575">
        <v>7471</v>
      </c>
      <c r="D575" t="s">
        <v>144</v>
      </c>
      <c r="E575" t="s">
        <v>54</v>
      </c>
      <c r="F575" t="s">
        <v>54</v>
      </c>
      <c r="G575">
        <v>3</v>
      </c>
      <c r="H575" t="s">
        <v>55</v>
      </c>
      <c r="I575">
        <v>176700</v>
      </c>
      <c r="J575">
        <v>33200</v>
      </c>
      <c r="K575">
        <v>0.17</v>
      </c>
      <c r="L575">
        <f>IF(Wapato_Inventory[[#This Row],[parcel_acres]]-Wapato_Inventory[[#This Row],[non_valued_acres]] =0,0,LN(Wapato_Inventory[[#This Row],[parcel_acres]]-Wapato_Inventory[[#This Row],[non_valued_acres]]))</f>
        <v>-1.7719568419318752</v>
      </c>
      <c r="M575">
        <v>0</v>
      </c>
      <c r="N575">
        <v>0</v>
      </c>
      <c r="O575">
        <v>0</v>
      </c>
      <c r="P575">
        <v>27904.037</v>
      </c>
      <c r="Q575">
        <v>74398</v>
      </c>
      <c r="R575" s="3">
        <f>(Wapato_Inventory[[#This Row],[ln_acres]]*Wapato_Inventory[[#This Row],[coeff]])+Wapato_Inventory[[#This Row],[const]]</f>
        <v>24953.250720329801</v>
      </c>
      <c r="S575" t="s">
        <v>66</v>
      </c>
      <c r="T575">
        <v>1</v>
      </c>
      <c r="U575" t="s">
        <v>75</v>
      </c>
      <c r="V575" t="s">
        <v>69</v>
      </c>
      <c r="W575">
        <v>0</v>
      </c>
      <c r="X575">
        <v>0</v>
      </c>
      <c r="Y575">
        <v>55</v>
      </c>
      <c r="Z575">
        <v>98</v>
      </c>
      <c r="AA575">
        <v>100</v>
      </c>
      <c r="AB575">
        <v>1000</v>
      </c>
      <c r="AC575">
        <v>996</v>
      </c>
      <c r="AD575">
        <v>996</v>
      </c>
      <c r="AE575">
        <v>0</v>
      </c>
      <c r="AF575">
        <v>0</v>
      </c>
      <c r="AG575">
        <v>0</v>
      </c>
      <c r="AH575">
        <v>884</v>
      </c>
      <c r="AI575">
        <v>0</v>
      </c>
      <c r="AJ575">
        <v>0</v>
      </c>
      <c r="AK575">
        <v>0</v>
      </c>
      <c r="AL575">
        <v>56</v>
      </c>
      <c r="AM575">
        <v>0</v>
      </c>
      <c r="AN575">
        <v>0</v>
      </c>
      <c r="AO575">
        <v>56</v>
      </c>
      <c r="AP575">
        <v>5</v>
      </c>
      <c r="AQ575">
        <v>0</v>
      </c>
      <c r="AR575">
        <v>0</v>
      </c>
      <c r="AS575" t="s">
        <v>59</v>
      </c>
      <c r="AT575">
        <v>1</v>
      </c>
      <c r="AU575" t="s">
        <v>64</v>
      </c>
      <c r="AV575" t="s">
        <v>65</v>
      </c>
      <c r="AW575">
        <v>1</v>
      </c>
      <c r="AX575">
        <v>2</v>
      </c>
      <c r="AY575">
        <v>0</v>
      </c>
      <c r="AZ575">
        <v>4700</v>
      </c>
      <c r="BA575">
        <v>100</v>
      </c>
      <c r="BB575">
        <v>100</v>
      </c>
      <c r="BC575">
        <v>100</v>
      </c>
      <c r="BD575">
        <v>100</v>
      </c>
      <c r="BE575">
        <v>1</v>
      </c>
      <c r="BF575">
        <v>15000</v>
      </c>
      <c r="BG575">
        <v>1000</v>
      </c>
      <c r="BH575" s="7">
        <f>ROUND(Wapato_Inventory[[#This Row],[detatched_value]]*Lookups!$B$22*Lookups!$H$48,-2)</f>
        <v>4200</v>
      </c>
      <c r="BI575" s="7">
        <f>ROUND(((Wapato_Inventory[[#This Row],[land_extract]]*Lookups!$B$3) +(Lookups!$B$2*0.5))*Lookups!$H$48,-2)</f>
        <v>53500</v>
      </c>
      <c r="BJ575" s="7">
        <f>IF(Wapato_Inventory[[#This Row],[bldg_style]]="",0,Lookups!$B$2*0.5)</f>
        <v>53765.27</v>
      </c>
      <c r="BK575" s="7">
        <f>_xlfn.IFNA(VLOOKUP(Wapato_Inventory[[#This Row],[quality]],Lookups!$H$2:$J$14,3,FALSE),0)</f>
        <v>48043</v>
      </c>
      <c r="BL575" s="7">
        <f>_xlfn.IFNA(VLOOKUP(Wapato_Inventory[[#This Row],[condition]],Lookups!$H$17:$J$24,3,FALSE),0)</f>
        <v>74543</v>
      </c>
      <c r="BM575" s="7">
        <f>Wapato_Inventory[[#This Row],[Age]]*Lookups!$B$16</f>
        <v>-36326.2186</v>
      </c>
      <c r="BN575" s="7">
        <f>Wapato_Inventory[[#This Row],[Main Floor]]*Lookups!$B$17</f>
        <v>41633.536044</v>
      </c>
      <c r="BO575" s="7">
        <f>Wapato_Inventory[[#This Row],[Upper Floor]]*Lookups!$B$18</f>
        <v>0</v>
      </c>
      <c r="BP575" s="7">
        <f>Wapato_Inventory[[#This Row],[Fin BSMT]]*Lookups!$B$19</f>
        <v>0</v>
      </c>
      <c r="BQ575" s="7">
        <f>(Wapato_Inventory[[#This Row],[att_gar]]+Wapato_Inventory[[#This Row],[blt_gar]])*Lookups!$B$20</f>
        <v>0</v>
      </c>
      <c r="BR575" s="7">
        <f>Wapato_Inventory[[#This Row],[Patio]]*Lookups!$B$21</f>
        <v>0</v>
      </c>
      <c r="BS575" s="7">
        <f>SUM(Wapato_Inventory[[#This Row],[intercept]:[patio_value]])*Wapato_Inventory[[#This Row],[res_pct]]</f>
        <v>181658.587444</v>
      </c>
      <c r="BT575" s="7">
        <f>Wapato_Inventory[[#This Row],[land_value]]</f>
        <v>53500</v>
      </c>
      <c r="BU575" s="2">
        <f>_xlfn.IFNA(VLOOKUP(Wapato_Inventory[[#This Row],[quality]],Lookups!$A$28:$C$37,3,FALSE),1)</f>
        <v>0.98196844879778955</v>
      </c>
      <c r="BV575" s="2">
        <f>_xlfn.IFNA(VLOOKUP(Wapato_Inventory[[#This Row],[condition]],Lookups!$A$41:$C$48,3,FALSE),1)</f>
        <v>0.98442438223270734</v>
      </c>
      <c r="BW575" s="2">
        <f>IF(Wapato_Inventory[[#This Row],[decade]]="",1,_xlfn.IFNA(VLOOKUP(Wapato_Inventory[[#This Row],[decade]],Lookups!$F$28:$H$45,3,FALSE),1))</f>
        <v>1.0114203040664467</v>
      </c>
      <c r="BX575" s="2">
        <f>_xlfn.IFNA(VLOOKUP(Wapato_Inventory[[#This Row],[living_area_range]],Lookups!$K$28:$M$37,3,FALSE),1)</f>
        <v>0.99022994770196116</v>
      </c>
      <c r="BY575" s="2">
        <f>AVERAGE(Wapato_Inventory[[#This Row],[qual_adj]:[range_adj]])</f>
        <v>0.99201077069972621</v>
      </c>
      <c r="BZ575" s="7">
        <f>(Wapato_Inventory[[#This Row],[sum_land]]-IF(Wapato_Inventory[[#This Row],[no_utilities]]=1,12000,0))/IF(Wapato_Inventory[[#This Row],[unbuildable]]=1,2,1)</f>
        <v>53500</v>
      </c>
      <c r="CA575" s="7">
        <f>Wapato_Inventory[[#This Row],[pre_res]]*Wapato_Inventory[[#This Row],[overall_adj]]</f>
        <v>180207.27533454605</v>
      </c>
      <c r="CB575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575" s="3">
        <f>IF(ROUND(Wapato_Inventory[[#This Row],[adj_res]]*Lookups!$H$48,-2)&lt;Wapato_Inventory[[#This Row],[min_res]],Wapato_Inventory[[#This Row],[min_res]],ROUND(Wapato_Inventory[[#This Row],[adj_res]]*Lookups!$H$48,-2))</f>
        <v>171200</v>
      </c>
      <c r="CD575" s="3">
        <f>ROUND(Wapato_Inventory[[#This Row],[det_value]]*Lookups!$H$48,-2)</f>
        <v>4000</v>
      </c>
      <c r="CE575" s="3">
        <f>Wapato_Inventory[[#This Row],[final_res]]+Wapato_Inventory[[#This Row],[final_det]]</f>
        <v>175200</v>
      </c>
      <c r="CF575" s="3">
        <f>Wapato_Inventory[[#This Row],[crop_value]]+Wapato_Inventory[[#This Row],[final_land]]+Wapato_Inventory[[#This Row],[final_imp]]</f>
        <v>226000</v>
      </c>
      <c r="CH575" t="str">
        <f t="shared" si="8"/>
        <v>update valuation set market_land =50800, market_bldg=175200, market_total =226000, market_mdno =405, market_date ='9/10/2023' where link_id = (select link_id from parcel where parcel_year = '2024' and parcel_id = '19111512448');</v>
      </c>
    </row>
    <row r="576" spans="1:86" x14ac:dyDescent="0.25">
      <c r="A576">
        <v>19111512449</v>
      </c>
      <c r="B576">
        <v>0.11</v>
      </c>
      <c r="C576">
        <v>4900</v>
      </c>
      <c r="D576" t="s">
        <v>144</v>
      </c>
      <c r="E576" t="s">
        <v>54</v>
      </c>
      <c r="F576" t="s">
        <v>54</v>
      </c>
      <c r="G576">
        <v>3</v>
      </c>
      <c r="H576" t="s">
        <v>55</v>
      </c>
      <c r="I576">
        <v>98100</v>
      </c>
      <c r="J576">
        <v>30200</v>
      </c>
      <c r="K576">
        <v>0.11</v>
      </c>
      <c r="L576">
        <f>IF(Wapato_Inventory[[#This Row],[parcel_acres]]-Wapato_Inventory[[#This Row],[non_valued_acres]] =0,0,LN(Wapato_Inventory[[#This Row],[parcel_acres]]-Wapato_Inventory[[#This Row],[non_valued_acres]]))</f>
        <v>-2.2072749131897207</v>
      </c>
      <c r="M576">
        <v>0</v>
      </c>
      <c r="N576">
        <v>0</v>
      </c>
      <c r="O576">
        <v>0</v>
      </c>
      <c r="P576">
        <v>27904.037</v>
      </c>
      <c r="Q576">
        <v>74398</v>
      </c>
      <c r="R576" s="3">
        <f>(Wapato_Inventory[[#This Row],[ln_acres]]*Wapato_Inventory[[#This Row],[coeff]])+Wapato_Inventory[[#This Row],[const]]</f>
        <v>12806.119153182248</v>
      </c>
      <c r="S576" t="s">
        <v>66</v>
      </c>
      <c r="T576">
        <v>1</v>
      </c>
      <c r="U576" t="s">
        <v>71</v>
      </c>
      <c r="V576" t="s">
        <v>73</v>
      </c>
      <c r="W576">
        <v>0</v>
      </c>
      <c r="X576">
        <v>0</v>
      </c>
      <c r="Y576">
        <v>53</v>
      </c>
      <c r="Z576">
        <v>93</v>
      </c>
      <c r="AA576">
        <v>100</v>
      </c>
      <c r="AB576">
        <v>1500</v>
      </c>
      <c r="AC576">
        <v>1224</v>
      </c>
      <c r="AD576">
        <v>1224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8</v>
      </c>
      <c r="AQ576">
        <v>0</v>
      </c>
      <c r="AR576">
        <v>1</v>
      </c>
      <c r="AS576" t="s">
        <v>59</v>
      </c>
      <c r="AT576">
        <v>1</v>
      </c>
      <c r="AU576" t="s">
        <v>72</v>
      </c>
      <c r="AV576" t="s">
        <v>61</v>
      </c>
      <c r="AW576">
        <v>0</v>
      </c>
      <c r="AX576">
        <v>4</v>
      </c>
      <c r="AY576">
        <v>0</v>
      </c>
      <c r="AZ576">
        <v>0</v>
      </c>
      <c r="BA576">
        <v>100</v>
      </c>
      <c r="BB576">
        <v>100</v>
      </c>
      <c r="BC576">
        <v>100</v>
      </c>
      <c r="BD576">
        <v>100</v>
      </c>
      <c r="BE576">
        <v>1</v>
      </c>
      <c r="BF576">
        <v>15000</v>
      </c>
      <c r="BG576">
        <v>1000</v>
      </c>
      <c r="BH576" s="7">
        <f>ROUND(Wapato_Inventory[[#This Row],[detatched_value]]*Lookups!$B$22*Lookups!$H$48,-2)</f>
        <v>0</v>
      </c>
      <c r="BI576" s="7">
        <f>ROUND(((Wapato_Inventory[[#This Row],[land_extract]]*Lookups!$B$3) +(Lookups!$B$2*0.5))*Lookups!$H$48,-2)</f>
        <v>52300</v>
      </c>
      <c r="BJ576" s="7">
        <f>IF(Wapato_Inventory[[#This Row],[bldg_style]]="",0,Lookups!$B$2*0.5)</f>
        <v>53765.27</v>
      </c>
      <c r="BK576" s="7">
        <f>_xlfn.IFNA(VLOOKUP(Wapato_Inventory[[#This Row],[quality]],Lookups!$H$2:$J$14,3,FALSE),0)</f>
        <v>28034</v>
      </c>
      <c r="BL576" s="7">
        <f>_xlfn.IFNA(VLOOKUP(Wapato_Inventory[[#This Row],[condition]],Lookups!$H$17:$J$24,3,FALSE),0)</f>
        <v>16276</v>
      </c>
      <c r="BM576" s="7">
        <f>Wapato_Inventory[[#This Row],[Age]]*Lookups!$B$16</f>
        <v>-34472.840100000001</v>
      </c>
      <c r="BN576" s="7">
        <f>Wapato_Inventory[[#This Row],[Main Floor]]*Lookups!$B$17</f>
        <v>51164.104535999999</v>
      </c>
      <c r="BO576" s="7">
        <f>Wapato_Inventory[[#This Row],[Upper Floor]]*Lookups!$B$18</f>
        <v>0</v>
      </c>
      <c r="BP576" s="7">
        <f>Wapato_Inventory[[#This Row],[Fin BSMT]]*Lookups!$B$19</f>
        <v>0</v>
      </c>
      <c r="BQ576" s="7">
        <f>(Wapato_Inventory[[#This Row],[att_gar]]+Wapato_Inventory[[#This Row],[blt_gar]])*Lookups!$B$20</f>
        <v>0</v>
      </c>
      <c r="BR576" s="7">
        <f>Wapato_Inventory[[#This Row],[Patio]]*Lookups!$B$21</f>
        <v>0</v>
      </c>
      <c r="BS576" s="7">
        <f>SUM(Wapato_Inventory[[#This Row],[intercept]:[patio_value]])*Wapato_Inventory[[#This Row],[res_pct]]</f>
        <v>114766.53443599999</v>
      </c>
      <c r="BT576" s="7">
        <f>Wapato_Inventory[[#This Row],[land_value]]</f>
        <v>52300</v>
      </c>
      <c r="BU576" s="2">
        <f>_xlfn.IFNA(VLOOKUP(Wapato_Inventory[[#This Row],[quality]],Lookups!$A$28:$C$37,3,FALSE),1)</f>
        <v>0.96265813922927435</v>
      </c>
      <c r="BV576" s="2">
        <f>_xlfn.IFNA(VLOOKUP(Wapato_Inventory[[#This Row],[condition]],Lookups!$A$41:$C$48,3,FALSE),1)</f>
        <v>0.93399385491337139</v>
      </c>
      <c r="BW576" s="2">
        <f>IF(Wapato_Inventory[[#This Row],[decade]]="",1,_xlfn.IFNA(VLOOKUP(Wapato_Inventory[[#This Row],[decade]],Lookups!$F$28:$H$45,3,FALSE),1))</f>
        <v>1.0114203040664467</v>
      </c>
      <c r="BX576" s="2">
        <f>_xlfn.IFNA(VLOOKUP(Wapato_Inventory[[#This Row],[living_area_range]],Lookups!$K$28:$M$37,3,FALSE),1)</f>
        <v>1.0061411172456287</v>
      </c>
      <c r="BY576" s="2">
        <f>AVERAGE(Wapato_Inventory[[#This Row],[qual_adj]:[range_adj]])</f>
        <v>0.97855335386368036</v>
      </c>
      <c r="BZ576" s="7">
        <f>(Wapato_Inventory[[#This Row],[sum_land]]-IF(Wapato_Inventory[[#This Row],[no_utilities]]=1,12000,0))/IF(Wapato_Inventory[[#This Row],[unbuildable]]=1,2,1)</f>
        <v>52300</v>
      </c>
      <c r="CA576" s="7">
        <f>Wapato_Inventory[[#This Row],[pre_res]]*Wapato_Inventory[[#This Row],[overall_adj]]</f>
        <v>112305.17718365935</v>
      </c>
      <c r="CB576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76" s="3">
        <f>IF(ROUND(Wapato_Inventory[[#This Row],[adj_res]]*Lookups!$H$48,-2)&lt;Wapato_Inventory[[#This Row],[min_res]],Wapato_Inventory[[#This Row],[min_res]],ROUND(Wapato_Inventory[[#This Row],[adj_res]]*Lookups!$H$48,-2))</f>
        <v>106700</v>
      </c>
      <c r="CD576" s="3">
        <f>ROUND(Wapato_Inventory[[#This Row],[det_value]]*Lookups!$H$48,-2)</f>
        <v>0</v>
      </c>
      <c r="CE576" s="3">
        <f>Wapato_Inventory[[#This Row],[final_res]]+Wapato_Inventory[[#This Row],[final_det]]</f>
        <v>106700</v>
      </c>
      <c r="CF576" s="3">
        <f>Wapato_Inventory[[#This Row],[crop_value]]+Wapato_Inventory[[#This Row],[final_land]]+Wapato_Inventory[[#This Row],[final_imp]]</f>
        <v>156400</v>
      </c>
      <c r="CH576" t="str">
        <f t="shared" si="8"/>
        <v>update valuation set market_land =49700, market_bldg=106700, market_total =156400, market_mdno =405, market_date ='9/10/2023' where link_id = (select link_id from parcel where parcel_year = '2024' and parcel_id = '19111512449');</v>
      </c>
    </row>
    <row r="577" spans="1:86" x14ac:dyDescent="0.25">
      <c r="A577">
        <v>19111512450</v>
      </c>
      <c r="B577">
        <v>0.11</v>
      </c>
      <c r="C577">
        <v>4873</v>
      </c>
      <c r="D577" t="s">
        <v>144</v>
      </c>
      <c r="E577" t="s">
        <v>54</v>
      </c>
      <c r="F577" t="s">
        <v>54</v>
      </c>
      <c r="G577">
        <v>3</v>
      </c>
      <c r="H577" t="s">
        <v>55</v>
      </c>
      <c r="I577">
        <v>91900</v>
      </c>
      <c r="J577">
        <v>30200</v>
      </c>
      <c r="K577">
        <v>0.11</v>
      </c>
      <c r="L577">
        <f>IF(Wapato_Inventory[[#This Row],[parcel_acres]]-Wapato_Inventory[[#This Row],[non_valued_acres]] =0,0,LN(Wapato_Inventory[[#This Row],[parcel_acres]]-Wapato_Inventory[[#This Row],[non_valued_acres]]))</f>
        <v>-2.2072749131897207</v>
      </c>
      <c r="M577">
        <v>0</v>
      </c>
      <c r="N577">
        <v>0</v>
      </c>
      <c r="O577">
        <v>0</v>
      </c>
      <c r="P577">
        <v>27904.037</v>
      </c>
      <c r="Q577">
        <v>74398</v>
      </c>
      <c r="R577" s="3">
        <f>(Wapato_Inventory[[#This Row],[ln_acres]]*Wapato_Inventory[[#This Row],[coeff]])+Wapato_Inventory[[#This Row],[const]]</f>
        <v>12806.119153182248</v>
      </c>
      <c r="S577" t="s">
        <v>66</v>
      </c>
      <c r="T577">
        <v>1</v>
      </c>
      <c r="U577" t="s">
        <v>71</v>
      </c>
      <c r="V577" t="s">
        <v>68</v>
      </c>
      <c r="W577">
        <v>0</v>
      </c>
      <c r="X577">
        <v>0</v>
      </c>
      <c r="Y577">
        <v>53</v>
      </c>
      <c r="Z577">
        <v>93</v>
      </c>
      <c r="AA577">
        <v>100</v>
      </c>
      <c r="AB577">
        <v>1000</v>
      </c>
      <c r="AC577">
        <v>900</v>
      </c>
      <c r="AD577">
        <v>900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5</v>
      </c>
      <c r="AQ577">
        <v>0</v>
      </c>
      <c r="AR577">
        <v>0</v>
      </c>
      <c r="AS577" t="s">
        <v>59</v>
      </c>
      <c r="AT577">
        <v>1</v>
      </c>
      <c r="AU577" t="s">
        <v>72</v>
      </c>
      <c r="AV577" t="s">
        <v>77</v>
      </c>
      <c r="AW577">
        <v>0</v>
      </c>
      <c r="AX577">
        <v>2</v>
      </c>
      <c r="AY577">
        <v>0</v>
      </c>
      <c r="AZ577">
        <v>0</v>
      </c>
      <c r="BA577">
        <v>100</v>
      </c>
      <c r="BB577">
        <v>100</v>
      </c>
      <c r="BC577">
        <v>100</v>
      </c>
      <c r="BD577">
        <v>100</v>
      </c>
      <c r="BE577">
        <v>1</v>
      </c>
      <c r="BF577">
        <v>15000</v>
      </c>
      <c r="BG577">
        <v>1000</v>
      </c>
      <c r="BH577" s="7">
        <f>ROUND(Wapato_Inventory[[#This Row],[detatched_value]]*Lookups!$B$22*Lookups!$H$48,-2)</f>
        <v>0</v>
      </c>
      <c r="BI577" s="7">
        <f>ROUND(((Wapato_Inventory[[#This Row],[land_extract]]*Lookups!$B$3) +(Lookups!$B$2*0.5))*Lookups!$H$48,-2)</f>
        <v>52300</v>
      </c>
      <c r="BJ577" s="7">
        <f>IF(Wapato_Inventory[[#This Row],[bldg_style]]="",0,Lookups!$B$2*0.5)</f>
        <v>53765.27</v>
      </c>
      <c r="BK577" s="7">
        <f>_xlfn.IFNA(VLOOKUP(Wapato_Inventory[[#This Row],[quality]],Lookups!$H$2:$J$14,3,FALSE),0)</f>
        <v>28034</v>
      </c>
      <c r="BL577" s="7">
        <f>_xlfn.IFNA(VLOOKUP(Wapato_Inventory[[#This Row],[condition]],Lookups!$H$17:$J$24,3,FALSE),0)</f>
        <v>52231</v>
      </c>
      <c r="BM577" s="7">
        <f>Wapato_Inventory[[#This Row],[Age]]*Lookups!$B$16</f>
        <v>-34472.840100000001</v>
      </c>
      <c r="BN577" s="7">
        <f>Wapato_Inventory[[#This Row],[Main Floor]]*Lookups!$B$17</f>
        <v>37620.665099999998</v>
      </c>
      <c r="BO577" s="7">
        <f>Wapato_Inventory[[#This Row],[Upper Floor]]*Lookups!$B$18</f>
        <v>0</v>
      </c>
      <c r="BP577" s="7">
        <f>Wapato_Inventory[[#This Row],[Fin BSMT]]*Lookups!$B$19</f>
        <v>0</v>
      </c>
      <c r="BQ577" s="7">
        <f>(Wapato_Inventory[[#This Row],[att_gar]]+Wapato_Inventory[[#This Row],[blt_gar]])*Lookups!$B$20</f>
        <v>0</v>
      </c>
      <c r="BR577" s="7">
        <f>Wapato_Inventory[[#This Row],[Patio]]*Lookups!$B$21</f>
        <v>0</v>
      </c>
      <c r="BS577" s="7">
        <f>SUM(Wapato_Inventory[[#This Row],[intercept]:[patio_value]])*Wapato_Inventory[[#This Row],[res_pct]]</f>
        <v>137178.09499999997</v>
      </c>
      <c r="BT577" s="7">
        <f>Wapato_Inventory[[#This Row],[land_value]]</f>
        <v>52300</v>
      </c>
      <c r="BU577" s="2">
        <f>_xlfn.IFNA(VLOOKUP(Wapato_Inventory[[#This Row],[quality]],Lookups!$A$28:$C$37,3,FALSE),1)</f>
        <v>0.96265813922927435</v>
      </c>
      <c r="BV577" s="2">
        <f>_xlfn.IFNA(VLOOKUP(Wapato_Inventory[[#This Row],[condition]],Lookups!$A$41:$C$48,3,FALSE),1)</f>
        <v>0.9832333997567807</v>
      </c>
      <c r="BW577" s="2">
        <f>IF(Wapato_Inventory[[#This Row],[decade]]="",1,_xlfn.IFNA(VLOOKUP(Wapato_Inventory[[#This Row],[decade]],Lookups!$F$28:$H$45,3,FALSE),1))</f>
        <v>1.0114203040664467</v>
      </c>
      <c r="BX577" s="2">
        <f>_xlfn.IFNA(VLOOKUP(Wapato_Inventory[[#This Row],[living_area_range]],Lookups!$K$28:$M$37,3,FALSE),1)</f>
        <v>0.99022994770196116</v>
      </c>
      <c r="BY577" s="2">
        <f>AVERAGE(Wapato_Inventory[[#This Row],[qual_adj]:[range_adj]])</f>
        <v>0.98688544768861564</v>
      </c>
      <c r="BZ577" s="7">
        <f>(Wapato_Inventory[[#This Row],[sum_land]]-IF(Wapato_Inventory[[#This Row],[no_utilities]]=1,12000,0))/IF(Wapato_Inventory[[#This Row],[unbuildable]]=1,2,1)</f>
        <v>52300</v>
      </c>
      <c r="CA577" s="7">
        <f>Wapato_Inventory[[#This Row],[pre_res]]*Wapato_Inventory[[#This Row],[overall_adj]]</f>
        <v>135379.06569714641</v>
      </c>
      <c r="CB577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77" s="3">
        <f>IF(ROUND(Wapato_Inventory[[#This Row],[adj_res]]*Lookups!$H$48,-2)&lt;Wapato_Inventory[[#This Row],[min_res]],Wapato_Inventory[[#This Row],[min_res]],ROUND(Wapato_Inventory[[#This Row],[adj_res]]*Lookups!$H$48,-2))</f>
        <v>128600</v>
      </c>
      <c r="CD577" s="3">
        <f>ROUND(Wapato_Inventory[[#This Row],[det_value]]*Lookups!$H$48,-2)</f>
        <v>0</v>
      </c>
      <c r="CE577" s="3">
        <f>Wapato_Inventory[[#This Row],[final_res]]+Wapato_Inventory[[#This Row],[final_det]]</f>
        <v>128600</v>
      </c>
      <c r="CF577" s="3">
        <f>Wapato_Inventory[[#This Row],[crop_value]]+Wapato_Inventory[[#This Row],[final_land]]+Wapato_Inventory[[#This Row],[final_imp]]</f>
        <v>178300</v>
      </c>
      <c r="CH577" t="str">
        <f t="shared" si="8"/>
        <v>update valuation set market_land =49700, market_bldg=128600, market_total =178300, market_mdno =405, market_date ='9/10/2023' where link_id = (select link_id from parcel where parcel_year = '2024' and parcel_id = '19111512450');</v>
      </c>
    </row>
    <row r="578" spans="1:86" x14ac:dyDescent="0.25">
      <c r="A578">
        <v>19111512451</v>
      </c>
      <c r="B578">
        <v>0.08</v>
      </c>
      <c r="C578">
        <v>3379</v>
      </c>
      <c r="D578" t="s">
        <v>144</v>
      </c>
      <c r="E578" t="s">
        <v>54</v>
      </c>
      <c r="F578" t="s">
        <v>54</v>
      </c>
      <c r="G578">
        <v>3</v>
      </c>
      <c r="H578" t="s">
        <v>55</v>
      </c>
      <c r="I578">
        <v>229700</v>
      </c>
      <c r="J578">
        <v>27900</v>
      </c>
      <c r="K578">
        <v>0.08</v>
      </c>
      <c r="L578">
        <f>IF(Wapato_Inventory[[#This Row],[parcel_acres]]-Wapato_Inventory[[#This Row],[non_valued_acres]] =0,0,LN(Wapato_Inventory[[#This Row],[parcel_acres]]-Wapato_Inventory[[#This Row],[non_valued_acres]]))</f>
        <v>-2.5257286443082556</v>
      </c>
      <c r="M578">
        <v>0</v>
      </c>
      <c r="N578">
        <v>0</v>
      </c>
      <c r="O578">
        <v>0</v>
      </c>
      <c r="P578">
        <v>27904.037</v>
      </c>
      <c r="Q578">
        <v>74398</v>
      </c>
      <c r="R578" s="3">
        <f>(Wapato_Inventory[[#This Row],[ln_acres]]*Wapato_Inventory[[#This Row],[coeff]])+Wapato_Inventory[[#This Row],[const]]</f>
        <v>3919.9744572625932</v>
      </c>
      <c r="S578" t="s">
        <v>56</v>
      </c>
      <c r="T578">
        <v>2</v>
      </c>
      <c r="U578" t="s">
        <v>75</v>
      </c>
      <c r="V578" t="s">
        <v>68</v>
      </c>
      <c r="W578">
        <v>0</v>
      </c>
      <c r="X578">
        <v>0</v>
      </c>
      <c r="Y578">
        <v>65</v>
      </c>
      <c r="Z578">
        <v>113</v>
      </c>
      <c r="AA578">
        <v>120</v>
      </c>
      <c r="AB578">
        <v>2500</v>
      </c>
      <c r="AC578">
        <v>2448</v>
      </c>
      <c r="AD578">
        <v>1584</v>
      </c>
      <c r="AE578">
        <v>864</v>
      </c>
      <c r="AF578">
        <v>0</v>
      </c>
      <c r="AG578">
        <v>0</v>
      </c>
      <c r="AH578">
        <v>0</v>
      </c>
      <c r="AI578">
        <v>640</v>
      </c>
      <c r="AJ578">
        <v>0</v>
      </c>
      <c r="AK578">
        <v>0</v>
      </c>
      <c r="AL578">
        <v>0</v>
      </c>
      <c r="AM578">
        <v>0</v>
      </c>
      <c r="AN578">
        <v>176</v>
      </c>
      <c r="AO578">
        <v>0</v>
      </c>
      <c r="AP578">
        <v>8</v>
      </c>
      <c r="AQ578">
        <v>0</v>
      </c>
      <c r="AR578">
        <v>0</v>
      </c>
      <c r="AS578" t="s">
        <v>59</v>
      </c>
      <c r="AT578">
        <v>1</v>
      </c>
      <c r="AU578" t="s">
        <v>64</v>
      </c>
      <c r="AV578" t="s">
        <v>77</v>
      </c>
      <c r="AW578">
        <v>0</v>
      </c>
      <c r="AX578">
        <v>4</v>
      </c>
      <c r="AY578">
        <v>0</v>
      </c>
      <c r="AZ578">
        <v>0</v>
      </c>
      <c r="BA578">
        <v>100</v>
      </c>
      <c r="BB578">
        <v>100</v>
      </c>
      <c r="BC578">
        <v>100</v>
      </c>
      <c r="BD578">
        <v>100</v>
      </c>
      <c r="BE578">
        <v>1</v>
      </c>
      <c r="BF578">
        <v>15000</v>
      </c>
      <c r="BG578">
        <v>1000</v>
      </c>
      <c r="BH578" s="7">
        <f>ROUND(Wapato_Inventory[[#This Row],[detatched_value]]*Lookups!$B$22*Lookups!$H$48,-2)</f>
        <v>0</v>
      </c>
      <c r="BI578" s="7">
        <f>ROUND(((Wapato_Inventory[[#This Row],[land_extract]]*Lookups!$B$3) +(Lookups!$B$2*0.5))*Lookups!$H$48,-2)</f>
        <v>51500</v>
      </c>
      <c r="BJ578" s="7">
        <f>IF(Wapato_Inventory[[#This Row],[bldg_style]]="",0,Lookups!$B$2*0.5)</f>
        <v>53765.27</v>
      </c>
      <c r="BK578" s="7">
        <f>_xlfn.IFNA(VLOOKUP(Wapato_Inventory[[#This Row],[quality]],Lookups!$H$2:$J$14,3,FALSE),0)</f>
        <v>48043</v>
      </c>
      <c r="BL578" s="7">
        <f>_xlfn.IFNA(VLOOKUP(Wapato_Inventory[[#This Row],[condition]],Lookups!$H$17:$J$24,3,FALSE),0)</f>
        <v>52231</v>
      </c>
      <c r="BM578" s="7">
        <f>Wapato_Inventory[[#This Row],[Age]]*Lookups!$B$16</f>
        <v>-41886.354100000004</v>
      </c>
      <c r="BN578" s="7">
        <f>Wapato_Inventory[[#This Row],[Main Floor]]*Lookups!$B$17</f>
        <v>66212.370576000001</v>
      </c>
      <c r="BO578" s="7">
        <f>Wapato_Inventory[[#This Row],[Upper Floor]]*Lookups!$B$18</f>
        <v>42855.384096000002</v>
      </c>
      <c r="BP578" s="7">
        <f>Wapato_Inventory[[#This Row],[Fin BSMT]]*Lookups!$B$19</f>
        <v>0</v>
      </c>
      <c r="BQ578" s="7">
        <f>(Wapato_Inventory[[#This Row],[att_gar]]+Wapato_Inventory[[#This Row],[blt_gar]])*Lookups!$B$20</f>
        <v>23685.601280000003</v>
      </c>
      <c r="BR578" s="7">
        <f>Wapato_Inventory[[#This Row],[Patio]]*Lookups!$B$21</f>
        <v>0</v>
      </c>
      <c r="BS578" s="7">
        <f>SUM(Wapato_Inventory[[#This Row],[intercept]:[patio_value]])*Wapato_Inventory[[#This Row],[res_pct]]</f>
        <v>244906.27185199998</v>
      </c>
      <c r="BT578" s="7">
        <f>Wapato_Inventory[[#This Row],[land_value]]</f>
        <v>51500</v>
      </c>
      <c r="BU578" s="2">
        <f>_xlfn.IFNA(VLOOKUP(Wapato_Inventory[[#This Row],[quality]],Lookups!$A$28:$C$37,3,FALSE),1)</f>
        <v>0.98196844879778955</v>
      </c>
      <c r="BV578" s="2">
        <f>_xlfn.IFNA(VLOOKUP(Wapato_Inventory[[#This Row],[condition]],Lookups!$A$41:$C$48,3,FALSE),1)</f>
        <v>0.9832333997567807</v>
      </c>
      <c r="BW578" s="2">
        <f>IF(Wapato_Inventory[[#This Row],[decade]]="",1,_xlfn.IFNA(VLOOKUP(Wapato_Inventory[[#This Row],[decade]],Lookups!$F$28:$H$45,3,FALSE),1))</f>
        <v>0.93664589651353292</v>
      </c>
      <c r="BX578" s="2">
        <f>_xlfn.IFNA(VLOOKUP(Wapato_Inventory[[#This Row],[living_area_range]],Lookups!$K$28:$M$37,3,FALSE),1)</f>
        <v>0.90813907160181651</v>
      </c>
      <c r="BY578" s="2">
        <f>AVERAGE(Wapato_Inventory[[#This Row],[qual_adj]:[range_adj]])</f>
        <v>0.95249670416747989</v>
      </c>
      <c r="BZ578" s="7">
        <f>(Wapato_Inventory[[#This Row],[sum_land]]-IF(Wapato_Inventory[[#This Row],[no_utilities]]=1,12000,0))/IF(Wapato_Inventory[[#This Row],[unbuildable]]=1,2,1)</f>
        <v>51500</v>
      </c>
      <c r="CA578" s="7">
        <f>Wapato_Inventory[[#This Row],[pre_res]]*Wapato_Inventory[[#This Row],[overall_adj]]</f>
        <v>233272.41676897483</v>
      </c>
      <c r="CB578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578" s="3">
        <f>IF(ROUND(Wapato_Inventory[[#This Row],[adj_res]]*Lookups!$H$48,-2)&lt;Wapato_Inventory[[#This Row],[min_res]],Wapato_Inventory[[#This Row],[min_res]],ROUND(Wapato_Inventory[[#This Row],[adj_res]]*Lookups!$H$48,-2))</f>
        <v>221600</v>
      </c>
      <c r="CD578" s="3">
        <f>ROUND(Wapato_Inventory[[#This Row],[det_value]]*Lookups!$H$48,-2)</f>
        <v>0</v>
      </c>
      <c r="CE578" s="3">
        <f>Wapato_Inventory[[#This Row],[final_res]]+Wapato_Inventory[[#This Row],[final_det]]</f>
        <v>221600</v>
      </c>
      <c r="CF578" s="3">
        <f>Wapato_Inventory[[#This Row],[crop_value]]+Wapato_Inventory[[#This Row],[final_land]]+Wapato_Inventory[[#This Row],[final_imp]]</f>
        <v>270500</v>
      </c>
      <c r="CH578" t="str">
        <f t="shared" ref="CH578:CH641" si="9">"update valuation set market_land ="&amp;CB578&amp;", market_bldg="&amp;CE578&amp;", market_total ="&amp;CF578&amp;", market_mdno ="&amp;$CH$1&amp;", market_date ='"&amp;TEXT($CI$1,"m/d/yyyy")&amp;"' where link_id = (select link_id from parcel where parcel_year = '2024' and parcel_id = '"&amp;A578&amp;"');"</f>
        <v>update valuation set market_land =48900, market_bldg=221600, market_total =270500, market_mdno =405, market_date ='9/10/2023' where link_id = (select link_id from parcel where parcel_year = '2024' and parcel_id = '19111512451');</v>
      </c>
    </row>
    <row r="579" spans="1:86" x14ac:dyDescent="0.25">
      <c r="A579">
        <v>19111512452</v>
      </c>
      <c r="B579">
        <v>0.09</v>
      </c>
      <c r="C579">
        <v>3892</v>
      </c>
      <c r="D579" t="s">
        <v>144</v>
      </c>
      <c r="E579" t="s">
        <v>54</v>
      </c>
      <c r="F579" t="s">
        <v>54</v>
      </c>
      <c r="G579">
        <v>3</v>
      </c>
      <c r="H579" t="s">
        <v>55</v>
      </c>
      <c r="I579">
        <v>78700</v>
      </c>
      <c r="J579">
        <v>28700</v>
      </c>
      <c r="K579">
        <v>0.09</v>
      </c>
      <c r="L579">
        <f>IF(Wapato_Inventory[[#This Row],[parcel_acres]]-Wapato_Inventory[[#This Row],[non_valued_acres]] =0,0,LN(Wapato_Inventory[[#This Row],[parcel_acres]]-Wapato_Inventory[[#This Row],[non_valued_acres]]))</f>
        <v>-2.4079456086518722</v>
      </c>
      <c r="M579">
        <v>0</v>
      </c>
      <c r="N579">
        <v>0</v>
      </c>
      <c r="O579">
        <v>0</v>
      </c>
      <c r="P579">
        <v>27904.037</v>
      </c>
      <c r="Q579">
        <v>74398</v>
      </c>
      <c r="R579" s="3">
        <f>(Wapato_Inventory[[#This Row],[ln_acres]]*Wapato_Inventory[[#This Row],[coeff]])+Wapato_Inventory[[#This Row],[const]]</f>
        <v>7206.5966421906342</v>
      </c>
      <c r="S579" t="s">
        <v>83</v>
      </c>
      <c r="T579">
        <v>1</v>
      </c>
      <c r="U579" t="s">
        <v>78</v>
      </c>
      <c r="V579" t="s">
        <v>68</v>
      </c>
      <c r="W579">
        <v>0</v>
      </c>
      <c r="X579">
        <v>0</v>
      </c>
      <c r="Y579">
        <v>55</v>
      </c>
      <c r="Z579">
        <v>98</v>
      </c>
      <c r="AA579">
        <v>100</v>
      </c>
      <c r="AB579">
        <v>500</v>
      </c>
      <c r="AC579">
        <v>406</v>
      </c>
      <c r="AD579">
        <v>406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5</v>
      </c>
      <c r="AQ579">
        <v>0</v>
      </c>
      <c r="AR579">
        <v>0</v>
      </c>
      <c r="AS579" t="s">
        <v>59</v>
      </c>
      <c r="AT579">
        <v>0</v>
      </c>
      <c r="AU579" t="s">
        <v>80</v>
      </c>
      <c r="AV579" t="s">
        <v>65</v>
      </c>
      <c r="AW579">
        <v>0</v>
      </c>
      <c r="AX579">
        <v>1</v>
      </c>
      <c r="AY579">
        <v>0</v>
      </c>
      <c r="AZ579">
        <v>0</v>
      </c>
      <c r="BA579">
        <v>100</v>
      </c>
      <c r="BB579">
        <v>100</v>
      </c>
      <c r="BC579">
        <v>100</v>
      </c>
      <c r="BD579">
        <v>100</v>
      </c>
      <c r="BE579">
        <v>1</v>
      </c>
      <c r="BF579">
        <v>15000</v>
      </c>
      <c r="BG579">
        <v>1000</v>
      </c>
      <c r="BH579" s="7">
        <f>ROUND(Wapato_Inventory[[#This Row],[detatched_value]]*Lookups!$B$22*Lookups!$H$48,-2)</f>
        <v>0</v>
      </c>
      <c r="BI579" s="7">
        <f>ROUND(((Wapato_Inventory[[#This Row],[land_extract]]*Lookups!$B$3) +(Lookups!$B$2*0.5))*Lookups!$H$48,-2)</f>
        <v>51800</v>
      </c>
      <c r="BJ579" s="7">
        <f>IF(Wapato_Inventory[[#This Row],[bldg_style]]="",0,Lookups!$B$2*0.5)</f>
        <v>53765.27</v>
      </c>
      <c r="BK579" s="7">
        <f>_xlfn.IFNA(VLOOKUP(Wapato_Inventory[[#This Row],[quality]],Lookups!$H$2:$J$14,3,FALSE),0)</f>
        <v>23424</v>
      </c>
      <c r="BL579" s="7">
        <f>_xlfn.IFNA(VLOOKUP(Wapato_Inventory[[#This Row],[condition]],Lookups!$H$17:$J$24,3,FALSE),0)</f>
        <v>52231</v>
      </c>
      <c r="BM579" s="7">
        <f>Wapato_Inventory[[#This Row],[Age]]*Lookups!$B$16</f>
        <v>-36326.2186</v>
      </c>
      <c r="BN579" s="7">
        <f>Wapato_Inventory[[#This Row],[Main Floor]]*Lookups!$B$17</f>
        <v>16971.100033999999</v>
      </c>
      <c r="BO579" s="7">
        <f>Wapato_Inventory[[#This Row],[Upper Floor]]*Lookups!$B$18</f>
        <v>0</v>
      </c>
      <c r="BP579" s="7">
        <f>Wapato_Inventory[[#This Row],[Fin BSMT]]*Lookups!$B$19</f>
        <v>0</v>
      </c>
      <c r="BQ579" s="7">
        <f>(Wapato_Inventory[[#This Row],[att_gar]]+Wapato_Inventory[[#This Row],[blt_gar]])*Lookups!$B$20</f>
        <v>0</v>
      </c>
      <c r="BR579" s="7">
        <f>Wapato_Inventory[[#This Row],[Patio]]*Lookups!$B$21</f>
        <v>0</v>
      </c>
      <c r="BS579" s="7">
        <f>SUM(Wapato_Inventory[[#This Row],[intercept]:[patio_value]])*Wapato_Inventory[[#This Row],[res_pct]]</f>
        <v>110065.151434</v>
      </c>
      <c r="BT579" s="7">
        <f>Wapato_Inventory[[#This Row],[land_value]]</f>
        <v>51800</v>
      </c>
      <c r="BU579" s="2">
        <f>_xlfn.IFNA(VLOOKUP(Wapato_Inventory[[#This Row],[quality]],Lookups!$A$28:$C$37,3,FALSE),1)</f>
        <v>1.0091195562373767</v>
      </c>
      <c r="BV579" s="2">
        <f>_xlfn.IFNA(VLOOKUP(Wapato_Inventory[[#This Row],[condition]],Lookups!$A$41:$C$48,3,FALSE),1)</f>
        <v>0.9832333997567807</v>
      </c>
      <c r="BW579" s="2">
        <f>IF(Wapato_Inventory[[#This Row],[decade]]="",1,_xlfn.IFNA(VLOOKUP(Wapato_Inventory[[#This Row],[decade]],Lookups!$F$28:$H$45,3,FALSE),1))</f>
        <v>1.0114203040664467</v>
      </c>
      <c r="BX579" s="2">
        <f>_xlfn.IFNA(VLOOKUP(Wapato_Inventory[[#This Row],[living_area_range]],Lookups!$K$28:$M$37,3,FALSE),1)</f>
        <v>0.62984720518148585</v>
      </c>
      <c r="BY579" s="2">
        <f>AVERAGE(Wapato_Inventory[[#This Row],[qual_adj]:[range_adj]])</f>
        <v>0.90840511631052245</v>
      </c>
      <c r="BZ579" s="7">
        <f>(Wapato_Inventory[[#This Row],[sum_land]]-IF(Wapato_Inventory[[#This Row],[no_utilities]]=1,12000,0))/IF(Wapato_Inventory[[#This Row],[unbuildable]]=1,2,1)</f>
        <v>51800</v>
      </c>
      <c r="CA579" s="7">
        <f>Wapato_Inventory[[#This Row],[pre_res]]*Wapato_Inventory[[#This Row],[overall_adj]]</f>
        <v>99983.746690138039</v>
      </c>
      <c r="CB579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579" s="3">
        <f>IF(ROUND(Wapato_Inventory[[#This Row],[adj_res]]*Lookups!$H$48,-2)&lt;Wapato_Inventory[[#This Row],[min_res]],Wapato_Inventory[[#This Row],[min_res]],ROUND(Wapato_Inventory[[#This Row],[adj_res]]*Lookups!$H$48,-2))</f>
        <v>95000</v>
      </c>
      <c r="CD579" s="3">
        <f>ROUND(Wapato_Inventory[[#This Row],[det_value]]*Lookups!$H$48,-2)</f>
        <v>0</v>
      </c>
      <c r="CE579" s="3">
        <f>Wapato_Inventory[[#This Row],[final_res]]+Wapato_Inventory[[#This Row],[final_det]]</f>
        <v>95000</v>
      </c>
      <c r="CF579" s="3">
        <f>Wapato_Inventory[[#This Row],[crop_value]]+Wapato_Inventory[[#This Row],[final_land]]+Wapato_Inventory[[#This Row],[final_imp]]</f>
        <v>144200</v>
      </c>
      <c r="CH579" t="str">
        <f t="shared" si="9"/>
        <v>update valuation set market_land =49200, market_bldg=95000, market_total =144200, market_mdno =405, market_date ='9/10/2023' where link_id = (select link_id from parcel where parcel_year = '2024' and parcel_id = '19111512452');</v>
      </c>
    </row>
    <row r="580" spans="1:86" x14ac:dyDescent="0.25">
      <c r="A580">
        <v>19111512453</v>
      </c>
      <c r="B580">
        <v>0.16</v>
      </c>
      <c r="C580">
        <v>6963</v>
      </c>
      <c r="D580" t="s">
        <v>144</v>
      </c>
      <c r="E580" t="s">
        <v>54</v>
      </c>
      <c r="F580" t="s">
        <v>54</v>
      </c>
      <c r="G580">
        <v>3</v>
      </c>
      <c r="H580" t="s">
        <v>55</v>
      </c>
      <c r="I580">
        <v>176200</v>
      </c>
      <c r="J580">
        <v>32800</v>
      </c>
      <c r="K580">
        <v>0.16</v>
      </c>
      <c r="L580">
        <f>IF(Wapato_Inventory[[#This Row],[parcel_acres]]-Wapato_Inventory[[#This Row],[non_valued_acres]] =0,0,LN(Wapato_Inventory[[#This Row],[parcel_acres]]-Wapato_Inventory[[#This Row],[non_valued_acres]]))</f>
        <v>-1.8325814637483102</v>
      </c>
      <c r="M580">
        <v>0</v>
      </c>
      <c r="N580">
        <v>0</v>
      </c>
      <c r="O580">
        <v>0</v>
      </c>
      <c r="P580">
        <v>27904.037</v>
      </c>
      <c r="Q580">
        <v>74398</v>
      </c>
      <c r="R580" s="3">
        <f>(Wapato_Inventory[[#This Row],[ln_acres]]*Wapato_Inventory[[#This Row],[coeff]])+Wapato_Inventory[[#This Row],[const]]</f>
        <v>23261.579030052992</v>
      </c>
      <c r="S580" t="s">
        <v>66</v>
      </c>
      <c r="T580">
        <v>1</v>
      </c>
      <c r="U580" t="s">
        <v>75</v>
      </c>
      <c r="V580" t="s">
        <v>68</v>
      </c>
      <c r="W580">
        <v>0</v>
      </c>
      <c r="X580">
        <v>0</v>
      </c>
      <c r="Y580">
        <v>53</v>
      </c>
      <c r="Z580">
        <v>93</v>
      </c>
      <c r="AA580">
        <v>100</v>
      </c>
      <c r="AB580">
        <v>1500</v>
      </c>
      <c r="AC580">
        <v>1404</v>
      </c>
      <c r="AD580">
        <v>1404</v>
      </c>
      <c r="AE580">
        <v>0</v>
      </c>
      <c r="AF580">
        <v>0</v>
      </c>
      <c r="AG580">
        <v>0</v>
      </c>
      <c r="AH580">
        <v>988</v>
      </c>
      <c r="AI580">
        <v>0</v>
      </c>
      <c r="AJ580">
        <v>0</v>
      </c>
      <c r="AK580">
        <v>0</v>
      </c>
      <c r="AL580">
        <v>64</v>
      </c>
      <c r="AM580">
        <v>288</v>
      </c>
      <c r="AN580">
        <v>72</v>
      </c>
      <c r="AO580">
        <v>352</v>
      </c>
      <c r="AP580">
        <v>5</v>
      </c>
      <c r="AQ580">
        <v>0</v>
      </c>
      <c r="AR580">
        <v>1</v>
      </c>
      <c r="AS580" t="s">
        <v>59</v>
      </c>
      <c r="AT580">
        <v>1</v>
      </c>
      <c r="AU580" t="s">
        <v>72</v>
      </c>
      <c r="AV580" t="s">
        <v>61</v>
      </c>
      <c r="AW580">
        <v>0</v>
      </c>
      <c r="AX580">
        <v>2</v>
      </c>
      <c r="AY580">
        <v>0</v>
      </c>
      <c r="AZ580">
        <v>4100</v>
      </c>
      <c r="BA580">
        <v>100</v>
      </c>
      <c r="BB580">
        <v>100</v>
      </c>
      <c r="BC580">
        <v>100</v>
      </c>
      <c r="BD580">
        <v>100</v>
      </c>
      <c r="BE580">
        <v>1</v>
      </c>
      <c r="BF580">
        <v>15000</v>
      </c>
      <c r="BG580">
        <v>1000</v>
      </c>
      <c r="BH580" s="7">
        <f>ROUND(Wapato_Inventory[[#This Row],[detatched_value]]*Lookups!$B$22*Lookups!$H$48,-2)</f>
        <v>3700</v>
      </c>
      <c r="BI580" s="7">
        <f>ROUND(((Wapato_Inventory[[#This Row],[land_extract]]*Lookups!$B$3) +(Lookups!$B$2*0.5))*Lookups!$H$48,-2)</f>
        <v>53300</v>
      </c>
      <c r="BJ580" s="7">
        <f>IF(Wapato_Inventory[[#This Row],[bldg_style]]="",0,Lookups!$B$2*0.5)</f>
        <v>53765.27</v>
      </c>
      <c r="BK580" s="7">
        <f>_xlfn.IFNA(VLOOKUP(Wapato_Inventory[[#This Row],[quality]],Lookups!$H$2:$J$14,3,FALSE),0)</f>
        <v>48043</v>
      </c>
      <c r="BL580" s="7">
        <f>_xlfn.IFNA(VLOOKUP(Wapato_Inventory[[#This Row],[condition]],Lookups!$H$17:$J$24,3,FALSE),0)</f>
        <v>52231</v>
      </c>
      <c r="BM580" s="7">
        <f>Wapato_Inventory[[#This Row],[Age]]*Lookups!$B$16</f>
        <v>-34472.840100000001</v>
      </c>
      <c r="BN580" s="7">
        <f>Wapato_Inventory[[#This Row],[Main Floor]]*Lookups!$B$17</f>
        <v>58688.237556</v>
      </c>
      <c r="BO580" s="7">
        <f>Wapato_Inventory[[#This Row],[Upper Floor]]*Lookups!$B$18</f>
        <v>0</v>
      </c>
      <c r="BP580" s="7">
        <f>Wapato_Inventory[[#This Row],[Fin BSMT]]*Lookups!$B$19</f>
        <v>0</v>
      </c>
      <c r="BQ580" s="7">
        <f>(Wapato_Inventory[[#This Row],[att_gar]]+Wapato_Inventory[[#This Row],[blt_gar]])*Lookups!$B$20</f>
        <v>0</v>
      </c>
      <c r="BR580" s="7">
        <f>Wapato_Inventory[[#This Row],[Patio]]*Lookups!$B$21</f>
        <v>12477.305952000001</v>
      </c>
      <c r="BS580" s="7">
        <f>SUM(Wapato_Inventory[[#This Row],[intercept]:[patio_value]])*Wapato_Inventory[[#This Row],[res_pct]]</f>
        <v>190731.97340799999</v>
      </c>
      <c r="BT580" s="7">
        <f>Wapato_Inventory[[#This Row],[land_value]]</f>
        <v>53300</v>
      </c>
      <c r="BU580" s="2">
        <f>_xlfn.IFNA(VLOOKUP(Wapato_Inventory[[#This Row],[quality]],Lookups!$A$28:$C$37,3,FALSE),1)</f>
        <v>0.98196844879778955</v>
      </c>
      <c r="BV580" s="2">
        <f>_xlfn.IFNA(VLOOKUP(Wapato_Inventory[[#This Row],[condition]],Lookups!$A$41:$C$48,3,FALSE),1)</f>
        <v>0.9832333997567807</v>
      </c>
      <c r="BW580" s="2">
        <f>IF(Wapato_Inventory[[#This Row],[decade]]="",1,_xlfn.IFNA(VLOOKUP(Wapato_Inventory[[#This Row],[decade]],Lookups!$F$28:$H$45,3,FALSE),1))</f>
        <v>1.0114203040664467</v>
      </c>
      <c r="BX580" s="2">
        <f>_xlfn.IFNA(VLOOKUP(Wapato_Inventory[[#This Row],[living_area_range]],Lookups!$K$28:$M$37,3,FALSE),1)</f>
        <v>1.0061411172456287</v>
      </c>
      <c r="BY580" s="2">
        <f>AVERAGE(Wapato_Inventory[[#This Row],[qual_adj]:[range_adj]])</f>
        <v>0.99569081746666144</v>
      </c>
      <c r="BZ580" s="7">
        <f>(Wapato_Inventory[[#This Row],[sum_land]]-IF(Wapato_Inventory[[#This Row],[no_utilities]]=1,12000,0))/IF(Wapato_Inventory[[#This Row],[unbuildable]]=1,2,1)</f>
        <v>53300</v>
      </c>
      <c r="CA580" s="7">
        <f>Wapato_Inventory[[#This Row],[pre_res]]*Wapato_Inventory[[#This Row],[overall_adj]]</f>
        <v>189910.07451964103</v>
      </c>
      <c r="CB580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580" s="3">
        <f>IF(ROUND(Wapato_Inventory[[#This Row],[adj_res]]*Lookups!$H$48,-2)&lt;Wapato_Inventory[[#This Row],[min_res]],Wapato_Inventory[[#This Row],[min_res]],ROUND(Wapato_Inventory[[#This Row],[adj_res]]*Lookups!$H$48,-2))</f>
        <v>180400</v>
      </c>
      <c r="CD580" s="3">
        <f>ROUND(Wapato_Inventory[[#This Row],[det_value]]*Lookups!$H$48,-2)</f>
        <v>3500</v>
      </c>
      <c r="CE580" s="3">
        <f>Wapato_Inventory[[#This Row],[final_res]]+Wapato_Inventory[[#This Row],[final_det]]</f>
        <v>183900</v>
      </c>
      <c r="CF580" s="3">
        <f>Wapato_Inventory[[#This Row],[crop_value]]+Wapato_Inventory[[#This Row],[final_land]]+Wapato_Inventory[[#This Row],[final_imp]]</f>
        <v>234500</v>
      </c>
      <c r="CH580" t="str">
        <f t="shared" si="9"/>
        <v>update valuation set market_land =50600, market_bldg=183900, market_total =234500, market_mdno =405, market_date ='9/10/2023' where link_id = (select link_id from parcel where parcel_year = '2024' and parcel_id = '19111512453');</v>
      </c>
    </row>
    <row r="581" spans="1:86" x14ac:dyDescent="0.25">
      <c r="A581">
        <v>19111512454</v>
      </c>
      <c r="B581">
        <v>0.05</v>
      </c>
      <c r="C581">
        <v>2053</v>
      </c>
      <c r="D581" t="s">
        <v>144</v>
      </c>
      <c r="E581" t="s">
        <v>54</v>
      </c>
      <c r="F581" t="s">
        <v>54</v>
      </c>
      <c r="G581">
        <v>3</v>
      </c>
      <c r="H581" t="s">
        <v>55</v>
      </c>
      <c r="I581">
        <v>100200</v>
      </c>
      <c r="J581">
        <v>24600</v>
      </c>
      <c r="K581">
        <v>0.05</v>
      </c>
      <c r="L581">
        <f>IF(Wapato_Inventory[[#This Row],[parcel_acres]]-Wapato_Inventory[[#This Row],[non_valued_acres]] =0,0,LN(Wapato_Inventory[[#This Row],[parcel_acres]]-Wapato_Inventory[[#This Row],[non_valued_acres]]))</f>
        <v>-2.9957322735539909</v>
      </c>
      <c r="M581">
        <v>0</v>
      </c>
      <c r="N581">
        <v>0</v>
      </c>
      <c r="O581">
        <v>0</v>
      </c>
      <c r="P581">
        <v>27904.037</v>
      </c>
      <c r="Q581">
        <v>74398</v>
      </c>
      <c r="R581" s="3">
        <f>(Wapato_Inventory[[#This Row],[ln_acres]]*Wapato_Inventory[[#This Row],[coeff]])+Wapato_Inventory[[#This Row],[const]]</f>
        <v>-9195.0242033446848</v>
      </c>
      <c r="S581" t="s">
        <v>66</v>
      </c>
      <c r="T581">
        <v>1</v>
      </c>
      <c r="U581" t="s">
        <v>71</v>
      </c>
      <c r="V581" t="s">
        <v>68</v>
      </c>
      <c r="W581">
        <v>0</v>
      </c>
      <c r="X581">
        <v>0</v>
      </c>
      <c r="Y581">
        <v>52</v>
      </c>
      <c r="Z581">
        <v>85</v>
      </c>
      <c r="AA581">
        <v>90</v>
      </c>
      <c r="AB581">
        <v>1000</v>
      </c>
      <c r="AC581">
        <v>780</v>
      </c>
      <c r="AD581">
        <v>780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240</v>
      </c>
      <c r="AL581">
        <v>0</v>
      </c>
      <c r="AM581">
        <v>0</v>
      </c>
      <c r="AN581">
        <v>0</v>
      </c>
      <c r="AO581">
        <v>0</v>
      </c>
      <c r="AP581">
        <v>5</v>
      </c>
      <c r="AQ581">
        <v>0</v>
      </c>
      <c r="AR581">
        <v>0</v>
      </c>
      <c r="AS581" t="s">
        <v>59</v>
      </c>
      <c r="AT581">
        <v>1</v>
      </c>
      <c r="AU581" t="s">
        <v>72</v>
      </c>
      <c r="AV581" t="s">
        <v>61</v>
      </c>
      <c r="AW581">
        <v>0</v>
      </c>
      <c r="AX581">
        <v>2</v>
      </c>
      <c r="AY581">
        <v>0</v>
      </c>
      <c r="AZ581">
        <v>0</v>
      </c>
      <c r="BA581">
        <v>100</v>
      </c>
      <c r="BB581">
        <v>100</v>
      </c>
      <c r="BC581">
        <v>100</v>
      </c>
      <c r="BD581">
        <v>100</v>
      </c>
      <c r="BE581">
        <v>1</v>
      </c>
      <c r="BF581">
        <v>15000</v>
      </c>
      <c r="BG581">
        <v>1000</v>
      </c>
      <c r="BH581" s="7">
        <f>ROUND(Wapato_Inventory[[#This Row],[detatched_value]]*Lookups!$B$22*Lookups!$H$48,-2)</f>
        <v>0</v>
      </c>
      <c r="BI581" s="7">
        <f>ROUND(((Wapato_Inventory[[#This Row],[land_extract]]*Lookups!$B$3) +(Lookups!$B$2*0.5))*Lookups!$H$48,-2)</f>
        <v>50200</v>
      </c>
      <c r="BJ581" s="7">
        <f>IF(Wapato_Inventory[[#This Row],[bldg_style]]="",0,Lookups!$B$2*0.5)</f>
        <v>53765.27</v>
      </c>
      <c r="BK581" s="7">
        <f>_xlfn.IFNA(VLOOKUP(Wapato_Inventory[[#This Row],[quality]],Lookups!$H$2:$J$14,3,FALSE),0)</f>
        <v>28034</v>
      </c>
      <c r="BL581" s="7">
        <f>_xlfn.IFNA(VLOOKUP(Wapato_Inventory[[#This Row],[condition]],Lookups!$H$17:$J$24,3,FALSE),0)</f>
        <v>52231</v>
      </c>
      <c r="BM581" s="7">
        <f>Wapato_Inventory[[#This Row],[Age]]*Lookups!$B$16</f>
        <v>-31507.434499999999</v>
      </c>
      <c r="BN581" s="7">
        <f>Wapato_Inventory[[#This Row],[Main Floor]]*Lookups!$B$17</f>
        <v>32604.576420000001</v>
      </c>
      <c r="BO581" s="7">
        <f>Wapato_Inventory[[#This Row],[Upper Floor]]*Lookups!$B$18</f>
        <v>0</v>
      </c>
      <c r="BP581" s="7">
        <f>Wapato_Inventory[[#This Row],[Fin BSMT]]*Lookups!$B$19</f>
        <v>0</v>
      </c>
      <c r="BQ581" s="7">
        <f>(Wapato_Inventory[[#This Row],[att_gar]]+Wapato_Inventory[[#This Row],[blt_gar]])*Lookups!$B$20</f>
        <v>0</v>
      </c>
      <c r="BR581" s="7">
        <f>Wapato_Inventory[[#This Row],[Patio]]*Lookups!$B$21</f>
        <v>0</v>
      </c>
      <c r="BS581" s="7">
        <f>SUM(Wapato_Inventory[[#This Row],[intercept]:[patio_value]])*Wapato_Inventory[[#This Row],[res_pct]]</f>
        <v>135127.41191999998</v>
      </c>
      <c r="BT581" s="7">
        <f>Wapato_Inventory[[#This Row],[land_value]]</f>
        <v>50200</v>
      </c>
      <c r="BU581" s="2">
        <f>_xlfn.IFNA(VLOOKUP(Wapato_Inventory[[#This Row],[quality]],Lookups!$A$28:$C$37,3,FALSE),1)</f>
        <v>0.96265813922927435</v>
      </c>
      <c r="BV581" s="2">
        <f>_xlfn.IFNA(VLOOKUP(Wapato_Inventory[[#This Row],[condition]],Lookups!$A$41:$C$48,3,FALSE),1)</f>
        <v>0.9832333997567807</v>
      </c>
      <c r="BW581" s="2">
        <f>IF(Wapato_Inventory[[#This Row],[decade]]="",1,_xlfn.IFNA(VLOOKUP(Wapato_Inventory[[#This Row],[decade]],Lookups!$F$28:$H$45,3,FALSE),1))</f>
        <v>0.94742695999815718</v>
      </c>
      <c r="BX581" s="2">
        <f>_xlfn.IFNA(VLOOKUP(Wapato_Inventory[[#This Row],[living_area_range]],Lookups!$K$28:$M$37,3,FALSE),1)</f>
        <v>0.99022994770196116</v>
      </c>
      <c r="BY581" s="2">
        <f>AVERAGE(Wapato_Inventory[[#This Row],[qual_adj]:[range_adj]])</f>
        <v>0.97088711167154329</v>
      </c>
      <c r="BZ581" s="7">
        <f>(Wapato_Inventory[[#This Row],[sum_land]]-IF(Wapato_Inventory[[#This Row],[no_utilities]]=1,12000,0))/IF(Wapato_Inventory[[#This Row],[unbuildable]]=1,2,1)</f>
        <v>50200</v>
      </c>
      <c r="CA581" s="7">
        <f>Wapato_Inventory[[#This Row],[pre_res]]*Wapato_Inventory[[#This Row],[overall_adj]]</f>
        <v>131193.46266665965</v>
      </c>
      <c r="CB581" s="3">
        <f>IF(ROUND(Wapato_Inventory[[#This Row],[adj_land]]*Lookups!$H$48,-2)&lt;Wapato_Inventory[[#This Row],[min_land]],Wapato_Inventory[[#This Row],[min_land]],ROUND(Wapato_Inventory[[#This Row],[adj_land]]*Lookups!$H$48,-2))</f>
        <v>47700</v>
      </c>
      <c r="CC581" s="3">
        <f>IF(ROUND(Wapato_Inventory[[#This Row],[adj_res]]*Lookups!$H$48,-2)&lt;Wapato_Inventory[[#This Row],[min_res]],Wapato_Inventory[[#This Row],[min_res]],ROUND(Wapato_Inventory[[#This Row],[adj_res]]*Lookups!$H$48,-2))</f>
        <v>124600</v>
      </c>
      <c r="CD581" s="3">
        <f>ROUND(Wapato_Inventory[[#This Row],[det_value]]*Lookups!$H$48,-2)</f>
        <v>0</v>
      </c>
      <c r="CE581" s="3">
        <f>Wapato_Inventory[[#This Row],[final_res]]+Wapato_Inventory[[#This Row],[final_det]]</f>
        <v>124600</v>
      </c>
      <c r="CF581" s="3">
        <f>Wapato_Inventory[[#This Row],[crop_value]]+Wapato_Inventory[[#This Row],[final_land]]+Wapato_Inventory[[#This Row],[final_imp]]</f>
        <v>172300</v>
      </c>
      <c r="CH581" t="str">
        <f t="shared" si="9"/>
        <v>update valuation set market_land =47700, market_bldg=124600, market_total =172300, market_mdno =405, market_date ='9/10/2023' where link_id = (select link_id from parcel where parcel_year = '2024' and parcel_id = '19111512454');</v>
      </c>
    </row>
    <row r="582" spans="1:86" x14ac:dyDescent="0.25">
      <c r="A582">
        <v>19111512455</v>
      </c>
      <c r="B582">
        <v>0.12</v>
      </c>
      <c r="C582">
        <v>5183</v>
      </c>
      <c r="D582" t="s">
        <v>144</v>
      </c>
      <c r="E582" t="s">
        <v>54</v>
      </c>
      <c r="F582" t="s">
        <v>54</v>
      </c>
      <c r="G582">
        <v>3</v>
      </c>
      <c r="H582" t="s">
        <v>55</v>
      </c>
      <c r="I582">
        <v>243100</v>
      </c>
      <c r="J582">
        <v>30800</v>
      </c>
      <c r="K582">
        <v>0.12</v>
      </c>
      <c r="L582">
        <f>IF(Wapato_Inventory[[#This Row],[parcel_acres]]-Wapato_Inventory[[#This Row],[non_valued_acres]] =0,0,LN(Wapato_Inventory[[#This Row],[parcel_acres]]-Wapato_Inventory[[#This Row],[non_valued_acres]]))</f>
        <v>-2.120263536200091</v>
      </c>
      <c r="M582">
        <v>0</v>
      </c>
      <c r="N582">
        <v>0</v>
      </c>
      <c r="O582">
        <v>0</v>
      </c>
      <c r="P582">
        <v>27904.037</v>
      </c>
      <c r="Q582">
        <v>74398</v>
      </c>
      <c r="R582" s="3">
        <f>(Wapato_Inventory[[#This Row],[ln_acres]]*Wapato_Inventory[[#This Row],[coeff]])+Wapato_Inventory[[#This Row],[const]]</f>
        <v>15234.08783612182</v>
      </c>
      <c r="S582" t="s">
        <v>66</v>
      </c>
      <c r="T582">
        <v>1</v>
      </c>
      <c r="U582" t="s">
        <v>75</v>
      </c>
      <c r="V582" t="s">
        <v>58</v>
      </c>
      <c r="W582">
        <v>0</v>
      </c>
      <c r="X582">
        <v>0</v>
      </c>
      <c r="Y582">
        <v>9</v>
      </c>
      <c r="Z582">
        <v>9</v>
      </c>
      <c r="AA582">
        <v>10</v>
      </c>
      <c r="AB582">
        <v>1500</v>
      </c>
      <c r="AC582">
        <v>1272</v>
      </c>
      <c r="AD582">
        <v>1272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216</v>
      </c>
      <c r="AL582">
        <v>0</v>
      </c>
      <c r="AM582">
        <v>0</v>
      </c>
      <c r="AN582">
        <v>464</v>
      </c>
      <c r="AO582">
        <v>0</v>
      </c>
      <c r="AP582">
        <v>8</v>
      </c>
      <c r="AQ582">
        <v>0</v>
      </c>
      <c r="AR582">
        <v>0</v>
      </c>
      <c r="AS582" t="s">
        <v>59</v>
      </c>
      <c r="AT582">
        <v>1</v>
      </c>
      <c r="AU582" t="s">
        <v>72</v>
      </c>
      <c r="AV582" t="s">
        <v>61</v>
      </c>
      <c r="AW582">
        <v>0</v>
      </c>
      <c r="AX582">
        <v>3</v>
      </c>
      <c r="AY582">
        <v>0</v>
      </c>
      <c r="AZ582">
        <v>0</v>
      </c>
      <c r="BA582">
        <v>100</v>
      </c>
      <c r="BB582">
        <v>100</v>
      </c>
      <c r="BC582">
        <v>100</v>
      </c>
      <c r="BD582">
        <v>100</v>
      </c>
      <c r="BE582">
        <v>1</v>
      </c>
      <c r="BF582">
        <v>15000</v>
      </c>
      <c r="BG582">
        <v>1000</v>
      </c>
      <c r="BH582" s="7">
        <f>ROUND(Wapato_Inventory[[#This Row],[detatched_value]]*Lookups!$B$22*Lookups!$H$48,-2)</f>
        <v>0</v>
      </c>
      <c r="BI582" s="7">
        <f>ROUND(((Wapato_Inventory[[#This Row],[land_extract]]*Lookups!$B$3) +(Lookups!$B$2*0.5))*Lookups!$H$48,-2)</f>
        <v>52500</v>
      </c>
      <c r="BJ582" s="7">
        <f>IF(Wapato_Inventory[[#This Row],[bldg_style]]="",0,Lookups!$B$2*0.5)</f>
        <v>53765.27</v>
      </c>
      <c r="BK582" s="7">
        <f>_xlfn.IFNA(VLOOKUP(Wapato_Inventory[[#This Row],[quality]],Lookups!$H$2:$J$14,3,FALSE),0)</f>
        <v>48043</v>
      </c>
      <c r="BL582" s="7">
        <f>_xlfn.IFNA(VLOOKUP(Wapato_Inventory[[#This Row],[condition]],Lookups!$H$17:$J$24,3,FALSE),0)</f>
        <v>122095</v>
      </c>
      <c r="BM582" s="7">
        <f>Wapato_Inventory[[#This Row],[Age]]*Lookups!$B$16</f>
        <v>-3336.0812999999998</v>
      </c>
      <c r="BN582" s="7">
        <f>Wapato_Inventory[[#This Row],[Main Floor]]*Lookups!$B$17</f>
        <v>53170.540008000004</v>
      </c>
      <c r="BO582" s="7">
        <f>Wapato_Inventory[[#This Row],[Upper Floor]]*Lookups!$B$18</f>
        <v>0</v>
      </c>
      <c r="BP582" s="7">
        <f>Wapato_Inventory[[#This Row],[Fin BSMT]]*Lookups!$B$19</f>
        <v>0</v>
      </c>
      <c r="BQ582" s="7">
        <f>(Wapato_Inventory[[#This Row],[att_gar]]+Wapato_Inventory[[#This Row],[blt_gar]])*Lookups!$B$20</f>
        <v>0</v>
      </c>
      <c r="BR582" s="7">
        <f>Wapato_Inventory[[#This Row],[Patio]]*Lookups!$B$21</f>
        <v>0</v>
      </c>
      <c r="BS582" s="7">
        <f>SUM(Wapato_Inventory[[#This Row],[intercept]:[patio_value]])*Wapato_Inventory[[#This Row],[res_pct]]</f>
        <v>273737.72870799998</v>
      </c>
      <c r="BT582" s="7">
        <f>Wapato_Inventory[[#This Row],[land_value]]</f>
        <v>52500</v>
      </c>
      <c r="BU582" s="2">
        <f>_xlfn.IFNA(VLOOKUP(Wapato_Inventory[[#This Row],[quality]],Lookups!$A$28:$C$37,3,FALSE),1)</f>
        <v>0.98196844879778955</v>
      </c>
      <c r="BV582" s="2">
        <f>_xlfn.IFNA(VLOOKUP(Wapato_Inventory[[#This Row],[condition]],Lookups!$A$41:$C$48,3,FALSE),1)</f>
        <v>1.00041560026225</v>
      </c>
      <c r="BW582" s="2">
        <f>IF(Wapato_Inventory[[#This Row],[decade]]="",1,_xlfn.IFNA(VLOOKUP(Wapato_Inventory[[#This Row],[decade]],Lookups!$F$28:$H$45,3,FALSE),1))</f>
        <v>1.0321018519633791</v>
      </c>
      <c r="BX582" s="2">
        <f>_xlfn.IFNA(VLOOKUP(Wapato_Inventory[[#This Row],[living_area_range]],Lookups!$K$28:$M$37,3,FALSE),1)</f>
        <v>1.0061411172456287</v>
      </c>
      <c r="BY582" s="2">
        <f>AVERAGE(Wapato_Inventory[[#This Row],[qual_adj]:[range_adj]])</f>
        <v>1.0051567545672619</v>
      </c>
      <c r="BZ582" s="7">
        <f>(Wapato_Inventory[[#This Row],[sum_land]]-IF(Wapato_Inventory[[#This Row],[no_utilities]]=1,12000,0))/IF(Wapato_Inventory[[#This Row],[unbuildable]]=1,2,1)</f>
        <v>52500</v>
      </c>
      <c r="CA582" s="7">
        <f>Wapato_Inventory[[#This Row],[pre_res]]*Wapato_Inventory[[#This Row],[overall_adj]]</f>
        <v>275149.32699074689</v>
      </c>
      <c r="CB582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582" s="3">
        <f>IF(ROUND(Wapato_Inventory[[#This Row],[adj_res]]*Lookups!$H$48,-2)&lt;Wapato_Inventory[[#This Row],[min_res]],Wapato_Inventory[[#This Row],[min_res]],ROUND(Wapato_Inventory[[#This Row],[adj_res]]*Lookups!$H$48,-2))</f>
        <v>261400</v>
      </c>
      <c r="CD582" s="3">
        <f>ROUND(Wapato_Inventory[[#This Row],[det_value]]*Lookups!$H$48,-2)</f>
        <v>0</v>
      </c>
      <c r="CE582" s="3">
        <f>Wapato_Inventory[[#This Row],[final_res]]+Wapato_Inventory[[#This Row],[final_det]]</f>
        <v>261400</v>
      </c>
      <c r="CF582" s="3">
        <f>Wapato_Inventory[[#This Row],[crop_value]]+Wapato_Inventory[[#This Row],[final_land]]+Wapato_Inventory[[#This Row],[final_imp]]</f>
        <v>311300</v>
      </c>
      <c r="CH582" t="str">
        <f t="shared" si="9"/>
        <v>update valuation set market_land =49900, market_bldg=261400, market_total =311300, market_mdno =405, market_date ='9/10/2023' where link_id = (select link_id from parcel where parcel_year = '2024' and parcel_id = '19111512455');</v>
      </c>
    </row>
    <row r="583" spans="1:86" x14ac:dyDescent="0.25">
      <c r="A583">
        <v>19111512458</v>
      </c>
      <c r="B583">
        <v>0.22</v>
      </c>
      <c r="C583">
        <v>9689</v>
      </c>
      <c r="D583" t="s">
        <v>144</v>
      </c>
      <c r="E583" t="s">
        <v>54</v>
      </c>
      <c r="F583" t="s">
        <v>54</v>
      </c>
      <c r="G583">
        <v>3</v>
      </c>
      <c r="H583" t="s">
        <v>55</v>
      </c>
      <c r="I583">
        <v>253300</v>
      </c>
      <c r="J583">
        <v>35100</v>
      </c>
      <c r="K583">
        <v>0.22</v>
      </c>
      <c r="L583">
        <f>IF(Wapato_Inventory[[#This Row],[parcel_acres]]-Wapato_Inventory[[#This Row],[non_valued_acres]] =0,0,LN(Wapato_Inventory[[#This Row],[parcel_acres]]-Wapato_Inventory[[#This Row],[non_valued_acres]]))</f>
        <v>-1.5141277326297755</v>
      </c>
      <c r="M583">
        <v>0</v>
      </c>
      <c r="N583">
        <v>0</v>
      </c>
      <c r="O583">
        <v>0</v>
      </c>
      <c r="P583">
        <v>27904.037</v>
      </c>
      <c r="Q583">
        <v>74398</v>
      </c>
      <c r="R583" s="3">
        <f>(Wapato_Inventory[[#This Row],[ln_acres]]*Wapato_Inventory[[#This Row],[coeff]])+Wapato_Inventory[[#This Row],[const]]</f>
        <v>32147.723725972639</v>
      </c>
      <c r="S583" t="s">
        <v>66</v>
      </c>
      <c r="T583">
        <v>1</v>
      </c>
      <c r="U583" t="s">
        <v>63</v>
      </c>
      <c r="V583" t="s">
        <v>69</v>
      </c>
      <c r="W583">
        <v>0</v>
      </c>
      <c r="X583">
        <v>0</v>
      </c>
      <c r="Y583">
        <v>55</v>
      </c>
      <c r="Z583">
        <v>99</v>
      </c>
      <c r="AA583">
        <v>100</v>
      </c>
      <c r="AB583">
        <v>2000</v>
      </c>
      <c r="AC583">
        <v>1722</v>
      </c>
      <c r="AD583">
        <v>1722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130</v>
      </c>
      <c r="AL583">
        <v>0</v>
      </c>
      <c r="AM583">
        <v>0</v>
      </c>
      <c r="AN583">
        <v>0</v>
      </c>
      <c r="AO583">
        <v>0</v>
      </c>
      <c r="AP583">
        <v>9</v>
      </c>
      <c r="AQ583">
        <v>0</v>
      </c>
      <c r="AR583">
        <v>1</v>
      </c>
      <c r="AS583" t="s">
        <v>59</v>
      </c>
      <c r="AT583">
        <v>1</v>
      </c>
      <c r="AU583" t="s">
        <v>60</v>
      </c>
      <c r="AV583" t="s">
        <v>61</v>
      </c>
      <c r="AW583">
        <v>1</v>
      </c>
      <c r="AX583">
        <v>4</v>
      </c>
      <c r="AY583">
        <v>0</v>
      </c>
      <c r="AZ583">
        <v>10700</v>
      </c>
      <c r="BA583">
        <v>100</v>
      </c>
      <c r="BB583">
        <v>100</v>
      </c>
      <c r="BC583">
        <v>100</v>
      </c>
      <c r="BD583">
        <v>100</v>
      </c>
      <c r="BE583">
        <v>1</v>
      </c>
      <c r="BF583">
        <v>15000</v>
      </c>
      <c r="BG583">
        <v>1000</v>
      </c>
      <c r="BH583" s="7">
        <f>ROUND(Wapato_Inventory[[#This Row],[detatched_value]]*Lookups!$B$22*Lookups!$H$48,-2)</f>
        <v>9600</v>
      </c>
      <c r="BI583" s="7">
        <f>ROUND(((Wapato_Inventory[[#This Row],[land_extract]]*Lookups!$B$3) +(Lookups!$B$2*0.5))*Lookups!$H$48,-2)</f>
        <v>54200</v>
      </c>
      <c r="BJ583" s="7">
        <f>IF(Wapato_Inventory[[#This Row],[bldg_style]]="",0,Lookups!$B$2*0.5)</f>
        <v>53765.27</v>
      </c>
      <c r="BK583" s="7">
        <f>_xlfn.IFNA(VLOOKUP(Wapato_Inventory[[#This Row],[quality]],Lookups!$H$2:$J$14,3,FALSE),0)</f>
        <v>50594</v>
      </c>
      <c r="BL583" s="7">
        <f>_xlfn.IFNA(VLOOKUP(Wapato_Inventory[[#This Row],[condition]],Lookups!$H$17:$J$24,3,FALSE),0)</f>
        <v>74543</v>
      </c>
      <c r="BM583" s="7">
        <f>Wapato_Inventory[[#This Row],[Age]]*Lookups!$B$16</f>
        <v>-36696.8943</v>
      </c>
      <c r="BN583" s="7">
        <f>Wapato_Inventory[[#This Row],[Main Floor]]*Lookups!$B$17</f>
        <v>71980.872558000003</v>
      </c>
      <c r="BO583" s="7">
        <f>Wapato_Inventory[[#This Row],[Upper Floor]]*Lookups!$B$18</f>
        <v>0</v>
      </c>
      <c r="BP583" s="7">
        <f>Wapato_Inventory[[#This Row],[Fin BSMT]]*Lookups!$B$19</f>
        <v>0</v>
      </c>
      <c r="BQ583" s="7">
        <f>(Wapato_Inventory[[#This Row],[att_gar]]+Wapato_Inventory[[#This Row],[blt_gar]])*Lookups!$B$20</f>
        <v>0</v>
      </c>
      <c r="BR583" s="7">
        <f>Wapato_Inventory[[#This Row],[Patio]]*Lookups!$B$21</f>
        <v>0</v>
      </c>
      <c r="BS583" s="7">
        <f>SUM(Wapato_Inventory[[#This Row],[intercept]:[patio_value]])*Wapato_Inventory[[#This Row],[res_pct]]</f>
        <v>214186.24825799998</v>
      </c>
      <c r="BT583" s="7">
        <f>Wapato_Inventory[[#This Row],[land_value]]</f>
        <v>54200</v>
      </c>
      <c r="BU583" s="2">
        <f>_xlfn.IFNA(VLOOKUP(Wapato_Inventory[[#This Row],[quality]],Lookups!$A$28:$C$37,3,FALSE),1)</f>
        <v>0.99197423394367223</v>
      </c>
      <c r="BV583" s="2">
        <f>_xlfn.IFNA(VLOOKUP(Wapato_Inventory[[#This Row],[condition]],Lookups!$A$41:$C$48,3,FALSE),1)</f>
        <v>0.98442438223270734</v>
      </c>
      <c r="BW583" s="2">
        <f>IF(Wapato_Inventory[[#This Row],[decade]]="",1,_xlfn.IFNA(VLOOKUP(Wapato_Inventory[[#This Row],[decade]],Lookups!$F$28:$H$45,3,FALSE),1))</f>
        <v>1.0114203040664467</v>
      </c>
      <c r="BX583" s="2">
        <f>_xlfn.IFNA(VLOOKUP(Wapato_Inventory[[#This Row],[living_area_range]],Lookups!$K$28:$M$37,3,FALSE),1)</f>
        <v>0.99330894324714125</v>
      </c>
      <c r="BY583" s="2">
        <f>AVERAGE(Wapato_Inventory[[#This Row],[qual_adj]:[range_adj]])</f>
        <v>0.99528196587249185</v>
      </c>
      <c r="BZ583" s="7">
        <f>(Wapato_Inventory[[#This Row],[sum_land]]-IF(Wapato_Inventory[[#This Row],[no_utilities]]=1,12000,0))/IF(Wapato_Inventory[[#This Row],[unbuildable]]=1,2,1)</f>
        <v>54200</v>
      </c>
      <c r="CA583" s="7">
        <f>Wapato_Inventory[[#This Row],[pre_res]]*Wapato_Inventory[[#This Row],[overall_adj]]</f>
        <v>213175.7102290758</v>
      </c>
      <c r="CB583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583" s="3">
        <f>IF(ROUND(Wapato_Inventory[[#This Row],[adj_res]]*Lookups!$H$48,-2)&lt;Wapato_Inventory[[#This Row],[min_res]],Wapato_Inventory[[#This Row],[min_res]],ROUND(Wapato_Inventory[[#This Row],[adj_res]]*Lookups!$H$48,-2))</f>
        <v>202500</v>
      </c>
      <c r="CD583" s="3">
        <f>ROUND(Wapato_Inventory[[#This Row],[det_value]]*Lookups!$H$48,-2)</f>
        <v>9100</v>
      </c>
      <c r="CE583" s="3">
        <f>Wapato_Inventory[[#This Row],[final_res]]+Wapato_Inventory[[#This Row],[final_det]]</f>
        <v>211600</v>
      </c>
      <c r="CF583" s="3">
        <f>Wapato_Inventory[[#This Row],[crop_value]]+Wapato_Inventory[[#This Row],[final_land]]+Wapato_Inventory[[#This Row],[final_imp]]</f>
        <v>263100</v>
      </c>
      <c r="CH583" t="str">
        <f t="shared" si="9"/>
        <v>update valuation set market_land =51500, market_bldg=211600, market_total =263100, market_mdno =405, market_date ='9/10/2023' where link_id = (select link_id from parcel where parcel_year = '2024' and parcel_id = '19111512458');</v>
      </c>
    </row>
    <row r="584" spans="1:86" x14ac:dyDescent="0.25">
      <c r="A584">
        <v>19111512459</v>
      </c>
      <c r="B584">
        <v>0.16</v>
      </c>
      <c r="C584">
        <v>7010</v>
      </c>
      <c r="D584" t="s">
        <v>144</v>
      </c>
      <c r="E584" t="s">
        <v>54</v>
      </c>
      <c r="F584" t="s">
        <v>54</v>
      </c>
      <c r="G584">
        <v>3</v>
      </c>
      <c r="H584" t="s">
        <v>55</v>
      </c>
      <c r="I584">
        <v>124900</v>
      </c>
      <c r="J584">
        <v>32800</v>
      </c>
      <c r="K584">
        <v>0.16</v>
      </c>
      <c r="L584">
        <f>IF(Wapato_Inventory[[#This Row],[parcel_acres]]-Wapato_Inventory[[#This Row],[non_valued_acres]] =0,0,LN(Wapato_Inventory[[#This Row],[parcel_acres]]-Wapato_Inventory[[#This Row],[non_valued_acres]]))</f>
        <v>-1.8325814637483102</v>
      </c>
      <c r="M584">
        <v>0</v>
      </c>
      <c r="N584">
        <v>0</v>
      </c>
      <c r="O584">
        <v>0</v>
      </c>
      <c r="P584">
        <v>27904.037</v>
      </c>
      <c r="Q584">
        <v>74398</v>
      </c>
      <c r="R584" s="3">
        <f>(Wapato_Inventory[[#This Row],[ln_acres]]*Wapato_Inventory[[#This Row],[coeff]])+Wapato_Inventory[[#This Row],[const]]</f>
        <v>23261.579030052992</v>
      </c>
      <c r="S584" t="s">
        <v>66</v>
      </c>
      <c r="T584">
        <v>1</v>
      </c>
      <c r="U584" t="s">
        <v>71</v>
      </c>
      <c r="V584" t="s">
        <v>68</v>
      </c>
      <c r="W584">
        <v>0</v>
      </c>
      <c r="X584">
        <v>0</v>
      </c>
      <c r="Y584">
        <v>57</v>
      </c>
      <c r="Z584">
        <v>103</v>
      </c>
      <c r="AA584">
        <v>110</v>
      </c>
      <c r="AB584">
        <v>1500</v>
      </c>
      <c r="AC584">
        <v>1320</v>
      </c>
      <c r="AD584">
        <v>1320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115</v>
      </c>
      <c r="AO584">
        <v>0</v>
      </c>
      <c r="AP584">
        <v>5</v>
      </c>
      <c r="AQ584">
        <v>0</v>
      </c>
      <c r="AR584">
        <v>0</v>
      </c>
      <c r="AS584" t="s">
        <v>59</v>
      </c>
      <c r="AT584">
        <v>0</v>
      </c>
      <c r="AU584" t="s">
        <v>80</v>
      </c>
      <c r="AV584" t="s">
        <v>65</v>
      </c>
      <c r="AW584">
        <v>0</v>
      </c>
      <c r="AX584">
        <v>2</v>
      </c>
      <c r="AY584">
        <v>0</v>
      </c>
      <c r="AZ584">
        <v>2900</v>
      </c>
      <c r="BA584">
        <v>100</v>
      </c>
      <c r="BB584">
        <v>100</v>
      </c>
      <c r="BC584">
        <v>100</v>
      </c>
      <c r="BD584">
        <v>100</v>
      </c>
      <c r="BE584">
        <v>1</v>
      </c>
      <c r="BF584">
        <v>15000</v>
      </c>
      <c r="BG584">
        <v>1000</v>
      </c>
      <c r="BH584" s="7">
        <f>ROUND(Wapato_Inventory[[#This Row],[detatched_value]]*Lookups!$B$22*Lookups!$H$48,-2)</f>
        <v>2600</v>
      </c>
      <c r="BI584" s="7">
        <f>ROUND(((Wapato_Inventory[[#This Row],[land_extract]]*Lookups!$B$3) +(Lookups!$B$2*0.5))*Lookups!$H$48,-2)</f>
        <v>53300</v>
      </c>
      <c r="BJ584" s="7">
        <f>IF(Wapato_Inventory[[#This Row],[bldg_style]]="",0,Lookups!$B$2*0.5)</f>
        <v>53765.27</v>
      </c>
      <c r="BK584" s="7">
        <f>_xlfn.IFNA(VLOOKUP(Wapato_Inventory[[#This Row],[quality]],Lookups!$H$2:$J$14,3,FALSE),0)</f>
        <v>28034</v>
      </c>
      <c r="BL584" s="7">
        <f>_xlfn.IFNA(VLOOKUP(Wapato_Inventory[[#This Row],[condition]],Lookups!$H$17:$J$24,3,FALSE),0)</f>
        <v>52231</v>
      </c>
      <c r="BM584" s="7">
        <f>Wapato_Inventory[[#This Row],[Age]]*Lookups!$B$16</f>
        <v>-38179.597099999999</v>
      </c>
      <c r="BN584" s="7">
        <f>Wapato_Inventory[[#This Row],[Main Floor]]*Lookups!$B$17</f>
        <v>55176.975480000001</v>
      </c>
      <c r="BO584" s="7">
        <f>Wapato_Inventory[[#This Row],[Upper Floor]]*Lookups!$B$18</f>
        <v>0</v>
      </c>
      <c r="BP584" s="7">
        <f>Wapato_Inventory[[#This Row],[Fin BSMT]]*Lookups!$B$19</f>
        <v>0</v>
      </c>
      <c r="BQ584" s="7">
        <f>(Wapato_Inventory[[#This Row],[att_gar]]+Wapato_Inventory[[#This Row],[blt_gar]])*Lookups!$B$20</f>
        <v>0</v>
      </c>
      <c r="BR584" s="7">
        <f>Wapato_Inventory[[#This Row],[Patio]]*Lookups!$B$21</f>
        <v>0</v>
      </c>
      <c r="BS584" s="7">
        <f>SUM(Wapato_Inventory[[#This Row],[intercept]:[patio_value]])*Wapato_Inventory[[#This Row],[res_pct]]</f>
        <v>151027.64838</v>
      </c>
      <c r="BT584" s="7">
        <f>Wapato_Inventory[[#This Row],[land_value]]</f>
        <v>53300</v>
      </c>
      <c r="BU584" s="2">
        <f>_xlfn.IFNA(VLOOKUP(Wapato_Inventory[[#This Row],[quality]],Lookups!$A$28:$C$37,3,FALSE),1)</f>
        <v>0.96265813922927435</v>
      </c>
      <c r="BV584" s="2">
        <f>_xlfn.IFNA(VLOOKUP(Wapato_Inventory[[#This Row],[condition]],Lookups!$A$41:$C$48,3,FALSE),1)</f>
        <v>0.9832333997567807</v>
      </c>
      <c r="BW584" s="2">
        <f>IF(Wapato_Inventory[[#This Row],[decade]]="",1,_xlfn.IFNA(VLOOKUP(Wapato_Inventory[[#This Row],[decade]],Lookups!$F$28:$H$45,3,FALSE),1))</f>
        <v>0.93664589651353292</v>
      </c>
      <c r="BX584" s="2">
        <f>_xlfn.IFNA(VLOOKUP(Wapato_Inventory[[#This Row],[living_area_range]],Lookups!$K$28:$M$37,3,FALSE),1)</f>
        <v>1.0061411172456287</v>
      </c>
      <c r="BY584" s="2">
        <f>AVERAGE(Wapato_Inventory[[#This Row],[qual_adj]:[range_adj]])</f>
        <v>0.97216963818630409</v>
      </c>
      <c r="BZ584" s="7">
        <f>(Wapato_Inventory[[#This Row],[sum_land]]-IF(Wapato_Inventory[[#This Row],[no_utilities]]=1,12000,0))/IF(Wapato_Inventory[[#This Row],[unbuildable]]=1,2,1)</f>
        <v>53300</v>
      </c>
      <c r="CA584" s="7">
        <f>Wapato_Inventory[[#This Row],[pre_res]]*Wapato_Inventory[[#This Row],[overall_adj]]</f>
        <v>146824.49428171295</v>
      </c>
      <c r="CB584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584" s="3">
        <f>IF(ROUND(Wapato_Inventory[[#This Row],[adj_res]]*Lookups!$H$48,-2)&lt;Wapato_Inventory[[#This Row],[min_res]],Wapato_Inventory[[#This Row],[min_res]],ROUND(Wapato_Inventory[[#This Row],[adj_res]]*Lookups!$H$48,-2))</f>
        <v>139500</v>
      </c>
      <c r="CD584" s="3">
        <f>ROUND(Wapato_Inventory[[#This Row],[det_value]]*Lookups!$H$48,-2)</f>
        <v>2500</v>
      </c>
      <c r="CE584" s="3">
        <f>Wapato_Inventory[[#This Row],[final_res]]+Wapato_Inventory[[#This Row],[final_det]]</f>
        <v>142000</v>
      </c>
      <c r="CF584" s="3">
        <f>Wapato_Inventory[[#This Row],[crop_value]]+Wapato_Inventory[[#This Row],[final_land]]+Wapato_Inventory[[#This Row],[final_imp]]</f>
        <v>192600</v>
      </c>
      <c r="CH584" t="str">
        <f t="shared" si="9"/>
        <v>update valuation set market_land =50600, market_bldg=142000, market_total =192600, market_mdno =405, market_date ='9/10/2023' where link_id = (select link_id from parcel where parcel_year = '2024' and parcel_id = '19111512459');</v>
      </c>
    </row>
    <row r="585" spans="1:86" x14ac:dyDescent="0.25">
      <c r="A585">
        <v>19111512461</v>
      </c>
      <c r="B585">
        <v>0.17</v>
      </c>
      <c r="C585">
        <v>7432</v>
      </c>
      <c r="D585" t="s">
        <v>144</v>
      </c>
      <c r="E585" t="s">
        <v>54</v>
      </c>
      <c r="F585" t="s">
        <v>54</v>
      </c>
      <c r="G585">
        <v>3</v>
      </c>
      <c r="H585" t="s">
        <v>55</v>
      </c>
      <c r="I585">
        <v>114500</v>
      </c>
      <c r="J585">
        <v>33200</v>
      </c>
      <c r="K585">
        <v>0.17</v>
      </c>
      <c r="L585">
        <f>IF(Wapato_Inventory[[#This Row],[parcel_acres]]-Wapato_Inventory[[#This Row],[non_valued_acres]] =0,0,LN(Wapato_Inventory[[#This Row],[parcel_acres]]-Wapato_Inventory[[#This Row],[non_valued_acres]]))</f>
        <v>-1.7719568419318752</v>
      </c>
      <c r="M585">
        <v>0</v>
      </c>
      <c r="N585">
        <v>0</v>
      </c>
      <c r="O585">
        <v>0</v>
      </c>
      <c r="P585">
        <v>27904.037</v>
      </c>
      <c r="Q585">
        <v>74398</v>
      </c>
      <c r="R585" s="3">
        <f>(Wapato_Inventory[[#This Row],[ln_acres]]*Wapato_Inventory[[#This Row],[coeff]])+Wapato_Inventory[[#This Row],[const]]</f>
        <v>24953.250720329801</v>
      </c>
      <c r="S585" t="s">
        <v>66</v>
      </c>
      <c r="T585">
        <v>1</v>
      </c>
      <c r="U585" t="s">
        <v>71</v>
      </c>
      <c r="V585" t="s">
        <v>69</v>
      </c>
      <c r="W585">
        <v>0</v>
      </c>
      <c r="X585">
        <v>0</v>
      </c>
      <c r="Y585">
        <v>55</v>
      </c>
      <c r="Z585">
        <v>108</v>
      </c>
      <c r="AA585">
        <v>110</v>
      </c>
      <c r="AB585">
        <v>1000</v>
      </c>
      <c r="AC585">
        <v>792</v>
      </c>
      <c r="AD585">
        <v>792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5</v>
      </c>
      <c r="AQ585">
        <v>0</v>
      </c>
      <c r="AR585">
        <v>0</v>
      </c>
      <c r="AS585" t="s">
        <v>59</v>
      </c>
      <c r="AT585">
        <v>1</v>
      </c>
      <c r="AU585" t="s">
        <v>72</v>
      </c>
      <c r="AV585" t="s">
        <v>65</v>
      </c>
      <c r="AW585">
        <v>0</v>
      </c>
      <c r="AX585">
        <v>2</v>
      </c>
      <c r="AY585">
        <v>0</v>
      </c>
      <c r="AZ585">
        <v>0</v>
      </c>
      <c r="BA585">
        <v>100</v>
      </c>
      <c r="BB585">
        <v>100</v>
      </c>
      <c r="BC585">
        <v>100</v>
      </c>
      <c r="BD585">
        <v>100</v>
      </c>
      <c r="BE585">
        <v>1</v>
      </c>
      <c r="BF585">
        <v>15000</v>
      </c>
      <c r="BG585">
        <v>1000</v>
      </c>
      <c r="BH585" s="7">
        <f>ROUND(Wapato_Inventory[[#This Row],[detatched_value]]*Lookups!$B$22*Lookups!$H$48,-2)</f>
        <v>0</v>
      </c>
      <c r="BI585" s="7">
        <f>ROUND(((Wapato_Inventory[[#This Row],[land_extract]]*Lookups!$B$3) +(Lookups!$B$2*0.5))*Lookups!$H$48,-2)</f>
        <v>53500</v>
      </c>
      <c r="BJ585" s="7">
        <f>IF(Wapato_Inventory[[#This Row],[bldg_style]]="",0,Lookups!$B$2*0.5)</f>
        <v>53765.27</v>
      </c>
      <c r="BK585" s="7">
        <f>_xlfn.IFNA(VLOOKUP(Wapato_Inventory[[#This Row],[quality]],Lookups!$H$2:$J$14,3,FALSE),0)</f>
        <v>28034</v>
      </c>
      <c r="BL585" s="7">
        <f>_xlfn.IFNA(VLOOKUP(Wapato_Inventory[[#This Row],[condition]],Lookups!$H$17:$J$24,3,FALSE),0)</f>
        <v>74543</v>
      </c>
      <c r="BM585" s="7">
        <f>Wapato_Inventory[[#This Row],[Age]]*Lookups!$B$16</f>
        <v>-40032.975599999998</v>
      </c>
      <c r="BN585" s="7">
        <f>Wapato_Inventory[[#This Row],[Main Floor]]*Lookups!$B$17</f>
        <v>33106.185288000001</v>
      </c>
      <c r="BO585" s="7">
        <f>Wapato_Inventory[[#This Row],[Upper Floor]]*Lookups!$B$18</f>
        <v>0</v>
      </c>
      <c r="BP585" s="7">
        <f>Wapato_Inventory[[#This Row],[Fin BSMT]]*Lookups!$B$19</f>
        <v>0</v>
      </c>
      <c r="BQ585" s="7">
        <f>(Wapato_Inventory[[#This Row],[att_gar]]+Wapato_Inventory[[#This Row],[blt_gar]])*Lookups!$B$20</f>
        <v>0</v>
      </c>
      <c r="BR585" s="7">
        <f>Wapato_Inventory[[#This Row],[Patio]]*Lookups!$B$21</f>
        <v>0</v>
      </c>
      <c r="BS585" s="7">
        <f>SUM(Wapato_Inventory[[#This Row],[intercept]:[patio_value]])*Wapato_Inventory[[#This Row],[res_pct]]</f>
        <v>149415.47968799999</v>
      </c>
      <c r="BT585" s="7">
        <f>Wapato_Inventory[[#This Row],[land_value]]</f>
        <v>53500</v>
      </c>
      <c r="BU585" s="2">
        <f>_xlfn.IFNA(VLOOKUP(Wapato_Inventory[[#This Row],[quality]],Lookups!$A$28:$C$37,3,FALSE),1)</f>
        <v>0.96265813922927435</v>
      </c>
      <c r="BV585" s="2">
        <f>_xlfn.IFNA(VLOOKUP(Wapato_Inventory[[#This Row],[condition]],Lookups!$A$41:$C$48,3,FALSE),1)</f>
        <v>0.98442438223270734</v>
      </c>
      <c r="BW585" s="2">
        <f>IF(Wapato_Inventory[[#This Row],[decade]]="",1,_xlfn.IFNA(VLOOKUP(Wapato_Inventory[[#This Row],[decade]],Lookups!$F$28:$H$45,3,FALSE),1))</f>
        <v>0.93664589651353292</v>
      </c>
      <c r="BX585" s="2">
        <f>_xlfn.IFNA(VLOOKUP(Wapato_Inventory[[#This Row],[living_area_range]],Lookups!$K$28:$M$37,3,FALSE),1)</f>
        <v>0.99022994770196116</v>
      </c>
      <c r="BY585" s="2">
        <f>AVERAGE(Wapato_Inventory[[#This Row],[qual_adj]:[range_adj]])</f>
        <v>0.96848959141936886</v>
      </c>
      <c r="BZ585" s="7">
        <f>(Wapato_Inventory[[#This Row],[sum_land]]-IF(Wapato_Inventory[[#This Row],[no_utilities]]=1,12000,0))/IF(Wapato_Inventory[[#This Row],[unbuildable]]=1,2,1)</f>
        <v>53500</v>
      </c>
      <c r="CA585" s="7">
        <f>Wapato_Inventory[[#This Row],[pre_res]]*Wapato_Inventory[[#This Row],[overall_adj]]</f>
        <v>144707.33687476011</v>
      </c>
      <c r="CB585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585" s="3">
        <f>IF(ROUND(Wapato_Inventory[[#This Row],[adj_res]]*Lookups!$H$48,-2)&lt;Wapato_Inventory[[#This Row],[min_res]],Wapato_Inventory[[#This Row],[min_res]],ROUND(Wapato_Inventory[[#This Row],[adj_res]]*Lookups!$H$48,-2))</f>
        <v>137500</v>
      </c>
      <c r="CD585" s="3">
        <f>ROUND(Wapato_Inventory[[#This Row],[det_value]]*Lookups!$H$48,-2)</f>
        <v>0</v>
      </c>
      <c r="CE585" s="3">
        <f>Wapato_Inventory[[#This Row],[final_res]]+Wapato_Inventory[[#This Row],[final_det]]</f>
        <v>137500</v>
      </c>
      <c r="CF585" s="3">
        <f>Wapato_Inventory[[#This Row],[crop_value]]+Wapato_Inventory[[#This Row],[final_land]]+Wapato_Inventory[[#This Row],[final_imp]]</f>
        <v>188300</v>
      </c>
      <c r="CH585" t="str">
        <f t="shared" si="9"/>
        <v>update valuation set market_land =50800, market_bldg=137500, market_total =188300, market_mdno =405, market_date ='9/10/2023' where link_id = (select link_id from parcel where parcel_year = '2024' and parcel_id = '19111512461');</v>
      </c>
    </row>
    <row r="586" spans="1:86" x14ac:dyDescent="0.25">
      <c r="A586">
        <v>19111512462</v>
      </c>
      <c r="B586">
        <v>0.17</v>
      </c>
      <c r="C586">
        <v>7200</v>
      </c>
      <c r="D586" t="s">
        <v>144</v>
      </c>
      <c r="E586" t="s">
        <v>54</v>
      </c>
      <c r="F586" t="s">
        <v>54</v>
      </c>
      <c r="G586">
        <v>3</v>
      </c>
      <c r="H586" t="s">
        <v>55</v>
      </c>
      <c r="I586">
        <v>119600</v>
      </c>
      <c r="J586">
        <v>33200</v>
      </c>
      <c r="K586">
        <v>0.17</v>
      </c>
      <c r="L586">
        <f>IF(Wapato_Inventory[[#This Row],[parcel_acres]]-Wapato_Inventory[[#This Row],[non_valued_acres]] =0,0,LN(Wapato_Inventory[[#This Row],[parcel_acres]]-Wapato_Inventory[[#This Row],[non_valued_acres]]))</f>
        <v>-1.7719568419318752</v>
      </c>
      <c r="M586">
        <v>0</v>
      </c>
      <c r="N586">
        <v>0</v>
      </c>
      <c r="O586">
        <v>0</v>
      </c>
      <c r="P586">
        <v>27904.037</v>
      </c>
      <c r="Q586">
        <v>74398</v>
      </c>
      <c r="R586" s="3">
        <f>(Wapato_Inventory[[#This Row],[ln_acres]]*Wapato_Inventory[[#This Row],[coeff]])+Wapato_Inventory[[#This Row],[const]]</f>
        <v>24953.250720329801</v>
      </c>
      <c r="S586" t="s">
        <v>145</v>
      </c>
      <c r="T586">
        <v>1</v>
      </c>
      <c r="U586" t="s">
        <v>67</v>
      </c>
      <c r="V586" t="s">
        <v>68</v>
      </c>
      <c r="W586">
        <v>0</v>
      </c>
      <c r="X586">
        <v>0</v>
      </c>
      <c r="Y586">
        <v>60</v>
      </c>
      <c r="Z586">
        <v>108</v>
      </c>
      <c r="AA586">
        <v>110</v>
      </c>
      <c r="AB586">
        <v>1000</v>
      </c>
      <c r="AC586">
        <v>986</v>
      </c>
      <c r="AD586">
        <v>986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70</v>
      </c>
      <c r="AO586">
        <v>0</v>
      </c>
      <c r="AP586">
        <v>5</v>
      </c>
      <c r="AQ586">
        <v>0</v>
      </c>
      <c r="AR586">
        <v>0</v>
      </c>
      <c r="AS586" t="s">
        <v>59</v>
      </c>
      <c r="AT586">
        <v>0</v>
      </c>
      <c r="AU586" t="s">
        <v>80</v>
      </c>
      <c r="AV586" t="s">
        <v>65</v>
      </c>
      <c r="AW586">
        <v>0</v>
      </c>
      <c r="AX586">
        <v>2</v>
      </c>
      <c r="AY586">
        <v>0</v>
      </c>
      <c r="AZ586">
        <v>0</v>
      </c>
      <c r="BA586">
        <v>100</v>
      </c>
      <c r="BB586">
        <v>100</v>
      </c>
      <c r="BC586">
        <v>100</v>
      </c>
      <c r="BD586">
        <v>100</v>
      </c>
      <c r="BE586">
        <v>1</v>
      </c>
      <c r="BF586">
        <v>15000</v>
      </c>
      <c r="BG586">
        <v>1000</v>
      </c>
      <c r="BH586" s="7">
        <f>ROUND(Wapato_Inventory[[#This Row],[detatched_value]]*Lookups!$B$22*Lookups!$H$48,-2)</f>
        <v>0</v>
      </c>
      <c r="BI586" s="7">
        <f>ROUND(((Wapato_Inventory[[#This Row],[land_extract]]*Lookups!$B$3) +(Lookups!$B$2*0.5))*Lookups!$H$48,-2)</f>
        <v>53500</v>
      </c>
      <c r="BJ586" s="7">
        <f>IF(Wapato_Inventory[[#This Row],[bldg_style]]="",0,Lookups!$B$2*0.5)</f>
        <v>53765.27</v>
      </c>
      <c r="BK586" s="7">
        <f>_xlfn.IFNA(VLOOKUP(Wapato_Inventory[[#This Row],[quality]],Lookups!$H$2:$J$14,3,FALSE),0)</f>
        <v>50405</v>
      </c>
      <c r="BL586" s="7">
        <f>_xlfn.IFNA(VLOOKUP(Wapato_Inventory[[#This Row],[condition]],Lookups!$H$17:$J$24,3,FALSE),0)</f>
        <v>52231</v>
      </c>
      <c r="BM586" s="7">
        <f>Wapato_Inventory[[#This Row],[Age]]*Lookups!$B$16</f>
        <v>-40032.975599999998</v>
      </c>
      <c r="BN586" s="7">
        <f>Wapato_Inventory[[#This Row],[Main Floor]]*Lookups!$B$17</f>
        <v>41215.528654000002</v>
      </c>
      <c r="BO586" s="7">
        <f>Wapato_Inventory[[#This Row],[Upper Floor]]*Lookups!$B$18</f>
        <v>0</v>
      </c>
      <c r="BP586" s="7">
        <f>Wapato_Inventory[[#This Row],[Fin BSMT]]*Lookups!$B$19</f>
        <v>0</v>
      </c>
      <c r="BQ586" s="7">
        <f>(Wapato_Inventory[[#This Row],[att_gar]]+Wapato_Inventory[[#This Row],[blt_gar]])*Lookups!$B$20</f>
        <v>0</v>
      </c>
      <c r="BR586" s="7">
        <f>Wapato_Inventory[[#This Row],[Patio]]*Lookups!$B$21</f>
        <v>0</v>
      </c>
      <c r="BS586" s="7">
        <f>SUM(Wapato_Inventory[[#This Row],[intercept]:[patio_value]])*Wapato_Inventory[[#This Row],[res_pct]]</f>
        <v>157583.82305399998</v>
      </c>
      <c r="BT586" s="7">
        <f>Wapato_Inventory[[#This Row],[land_value]]</f>
        <v>53500</v>
      </c>
      <c r="BU586" s="2">
        <f>_xlfn.IFNA(VLOOKUP(Wapato_Inventory[[#This Row],[quality]],Lookups!$A$28:$C$37,3,FALSE),1)</f>
        <v>0.97993206410140754</v>
      </c>
      <c r="BV586" s="2">
        <f>_xlfn.IFNA(VLOOKUP(Wapato_Inventory[[#This Row],[condition]],Lookups!$A$41:$C$48,3,FALSE),1)</f>
        <v>0.9832333997567807</v>
      </c>
      <c r="BW586" s="2">
        <f>IF(Wapato_Inventory[[#This Row],[decade]]="",1,_xlfn.IFNA(VLOOKUP(Wapato_Inventory[[#This Row],[decade]],Lookups!$F$28:$H$45,3,FALSE),1))</f>
        <v>0.93664589651353292</v>
      </c>
      <c r="BX586" s="2">
        <f>_xlfn.IFNA(VLOOKUP(Wapato_Inventory[[#This Row],[living_area_range]],Lookups!$K$28:$M$37,3,FALSE),1)</f>
        <v>0.99022994770196116</v>
      </c>
      <c r="BY586" s="2">
        <f>AVERAGE(Wapato_Inventory[[#This Row],[qual_adj]:[range_adj]])</f>
        <v>0.97251032701842066</v>
      </c>
      <c r="BZ586" s="7">
        <f>(Wapato_Inventory[[#This Row],[sum_land]]-IF(Wapato_Inventory[[#This Row],[no_utilities]]=1,12000,0))/IF(Wapato_Inventory[[#This Row],[unbuildable]]=1,2,1)</f>
        <v>53500</v>
      </c>
      <c r="CA586" s="7">
        <f>Wapato_Inventory[[#This Row],[pre_res]]*Wapato_Inventory[[#This Row],[overall_adj]]</f>
        <v>153251.89529105846</v>
      </c>
      <c r="CB586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586" s="3">
        <f>IF(ROUND(Wapato_Inventory[[#This Row],[adj_res]]*Lookups!$H$48,-2)&lt;Wapato_Inventory[[#This Row],[min_res]],Wapato_Inventory[[#This Row],[min_res]],ROUND(Wapato_Inventory[[#This Row],[adj_res]]*Lookups!$H$48,-2))</f>
        <v>145600</v>
      </c>
      <c r="CD586" s="3">
        <f>ROUND(Wapato_Inventory[[#This Row],[det_value]]*Lookups!$H$48,-2)</f>
        <v>0</v>
      </c>
      <c r="CE586" s="3">
        <f>Wapato_Inventory[[#This Row],[final_res]]+Wapato_Inventory[[#This Row],[final_det]]</f>
        <v>145600</v>
      </c>
      <c r="CF586" s="3">
        <f>Wapato_Inventory[[#This Row],[crop_value]]+Wapato_Inventory[[#This Row],[final_land]]+Wapato_Inventory[[#This Row],[final_imp]]</f>
        <v>196400</v>
      </c>
      <c r="CH586" t="str">
        <f t="shared" si="9"/>
        <v>update valuation set market_land =50800, market_bldg=145600, market_total =196400, market_mdno =405, market_date ='9/10/2023' where link_id = (select link_id from parcel where parcel_year = '2024' and parcel_id = '19111512462');</v>
      </c>
    </row>
    <row r="587" spans="1:86" x14ac:dyDescent="0.25">
      <c r="A587">
        <v>19111512464</v>
      </c>
      <c r="B587">
        <v>0.11</v>
      </c>
      <c r="C587">
        <v>4920</v>
      </c>
      <c r="D587" t="s">
        <v>144</v>
      </c>
      <c r="E587" t="s">
        <v>54</v>
      </c>
      <c r="F587" t="s">
        <v>54</v>
      </c>
      <c r="G587">
        <v>3</v>
      </c>
      <c r="H587" t="s">
        <v>55</v>
      </c>
      <c r="I587">
        <v>151800</v>
      </c>
      <c r="J587">
        <v>30200</v>
      </c>
      <c r="K587">
        <v>0.11</v>
      </c>
      <c r="L587">
        <f>IF(Wapato_Inventory[[#This Row],[parcel_acres]]-Wapato_Inventory[[#This Row],[non_valued_acres]] =0,0,LN(Wapato_Inventory[[#This Row],[parcel_acres]]-Wapato_Inventory[[#This Row],[non_valued_acres]]))</f>
        <v>-2.2072749131897207</v>
      </c>
      <c r="M587">
        <v>0</v>
      </c>
      <c r="N587">
        <v>0</v>
      </c>
      <c r="O587">
        <v>0</v>
      </c>
      <c r="P587">
        <v>27904.037</v>
      </c>
      <c r="Q587">
        <v>74398</v>
      </c>
      <c r="R587" s="3">
        <f>(Wapato_Inventory[[#This Row],[ln_acres]]*Wapato_Inventory[[#This Row],[coeff]])+Wapato_Inventory[[#This Row],[const]]</f>
        <v>12806.119153182248</v>
      </c>
      <c r="S587" t="s">
        <v>66</v>
      </c>
      <c r="T587">
        <v>1</v>
      </c>
      <c r="U587" t="s">
        <v>75</v>
      </c>
      <c r="V587" t="s">
        <v>68</v>
      </c>
      <c r="W587">
        <v>0</v>
      </c>
      <c r="X587">
        <v>0</v>
      </c>
      <c r="Y587">
        <v>51</v>
      </c>
      <c r="Z587">
        <v>83</v>
      </c>
      <c r="AA587">
        <v>90</v>
      </c>
      <c r="AB587">
        <v>1500</v>
      </c>
      <c r="AC587">
        <v>1040</v>
      </c>
      <c r="AD587">
        <v>1040</v>
      </c>
      <c r="AE587">
        <v>0</v>
      </c>
      <c r="AF587">
        <v>0</v>
      </c>
      <c r="AG587">
        <v>0</v>
      </c>
      <c r="AH587">
        <v>984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16</v>
      </c>
      <c r="AO587">
        <v>0</v>
      </c>
      <c r="AP587">
        <v>5</v>
      </c>
      <c r="AQ587">
        <v>0</v>
      </c>
      <c r="AR587">
        <v>0</v>
      </c>
      <c r="AS587" t="s">
        <v>59</v>
      </c>
      <c r="AT587">
        <v>1</v>
      </c>
      <c r="AU587" t="s">
        <v>64</v>
      </c>
      <c r="AV587" t="s">
        <v>65</v>
      </c>
      <c r="AW587">
        <v>0</v>
      </c>
      <c r="AX587">
        <v>3</v>
      </c>
      <c r="AY587">
        <v>0</v>
      </c>
      <c r="AZ587">
        <v>10400</v>
      </c>
      <c r="BA587">
        <v>100</v>
      </c>
      <c r="BB587">
        <v>100</v>
      </c>
      <c r="BC587">
        <v>100</v>
      </c>
      <c r="BD587">
        <v>100</v>
      </c>
      <c r="BE587">
        <v>1</v>
      </c>
      <c r="BF587">
        <v>15000</v>
      </c>
      <c r="BG587">
        <v>1000</v>
      </c>
      <c r="BH587" s="7">
        <f>ROUND(Wapato_Inventory[[#This Row],[detatched_value]]*Lookups!$B$22*Lookups!$H$48,-2)</f>
        <v>9300</v>
      </c>
      <c r="BI587" s="7">
        <f>ROUND(((Wapato_Inventory[[#This Row],[land_extract]]*Lookups!$B$3) +(Lookups!$B$2*0.5))*Lookups!$H$48,-2)</f>
        <v>52300</v>
      </c>
      <c r="BJ587" s="7">
        <f>IF(Wapato_Inventory[[#This Row],[bldg_style]]="",0,Lookups!$B$2*0.5)</f>
        <v>53765.27</v>
      </c>
      <c r="BK587" s="7">
        <f>_xlfn.IFNA(VLOOKUP(Wapato_Inventory[[#This Row],[quality]],Lookups!$H$2:$J$14,3,FALSE),0)</f>
        <v>48043</v>
      </c>
      <c r="BL587" s="7">
        <f>_xlfn.IFNA(VLOOKUP(Wapato_Inventory[[#This Row],[condition]],Lookups!$H$17:$J$24,3,FALSE),0)</f>
        <v>52231</v>
      </c>
      <c r="BM587" s="7">
        <f>Wapato_Inventory[[#This Row],[Age]]*Lookups!$B$16</f>
        <v>-30766.0831</v>
      </c>
      <c r="BN587" s="7">
        <f>Wapato_Inventory[[#This Row],[Main Floor]]*Lookups!$B$17</f>
        <v>43472.768559999997</v>
      </c>
      <c r="BO587" s="7">
        <f>Wapato_Inventory[[#This Row],[Upper Floor]]*Lookups!$B$18</f>
        <v>0</v>
      </c>
      <c r="BP587" s="7">
        <f>Wapato_Inventory[[#This Row],[Fin BSMT]]*Lookups!$B$19</f>
        <v>0</v>
      </c>
      <c r="BQ587" s="7">
        <f>(Wapato_Inventory[[#This Row],[att_gar]]+Wapato_Inventory[[#This Row],[blt_gar]])*Lookups!$B$20</f>
        <v>0</v>
      </c>
      <c r="BR587" s="7">
        <f>Wapato_Inventory[[#This Row],[Patio]]*Lookups!$B$21</f>
        <v>0</v>
      </c>
      <c r="BS587" s="7">
        <f>SUM(Wapato_Inventory[[#This Row],[intercept]:[patio_value]])*Wapato_Inventory[[#This Row],[res_pct]]</f>
        <v>166745.95545999997</v>
      </c>
      <c r="BT587" s="7">
        <f>Wapato_Inventory[[#This Row],[land_value]]</f>
        <v>52300</v>
      </c>
      <c r="BU587" s="2">
        <f>_xlfn.IFNA(VLOOKUP(Wapato_Inventory[[#This Row],[quality]],Lookups!$A$28:$C$37,3,FALSE),1)</f>
        <v>0.98196844879778955</v>
      </c>
      <c r="BV587" s="2">
        <f>_xlfn.IFNA(VLOOKUP(Wapato_Inventory[[#This Row],[condition]],Lookups!$A$41:$C$48,3,FALSE),1)</f>
        <v>0.9832333997567807</v>
      </c>
      <c r="BW587" s="2">
        <f>IF(Wapato_Inventory[[#This Row],[decade]]="",1,_xlfn.IFNA(VLOOKUP(Wapato_Inventory[[#This Row],[decade]],Lookups!$F$28:$H$45,3,FALSE),1))</f>
        <v>0.94742695999815718</v>
      </c>
      <c r="BX587" s="2">
        <f>_xlfn.IFNA(VLOOKUP(Wapato_Inventory[[#This Row],[living_area_range]],Lookups!$K$28:$M$37,3,FALSE),1)</f>
        <v>1.0061411172456287</v>
      </c>
      <c r="BY587" s="2">
        <f>AVERAGE(Wapato_Inventory[[#This Row],[qual_adj]:[range_adj]])</f>
        <v>0.97969248144958898</v>
      </c>
      <c r="BZ587" s="7">
        <f>(Wapato_Inventory[[#This Row],[sum_land]]-IF(Wapato_Inventory[[#This Row],[no_utilities]]=1,12000,0))/IF(Wapato_Inventory[[#This Row],[unbuildable]]=1,2,1)</f>
        <v>52300</v>
      </c>
      <c r="CA587" s="7">
        <f>Wapato_Inventory[[#This Row],[pre_res]]*Wapato_Inventory[[#This Row],[overall_adj]]</f>
        <v>163359.75887629</v>
      </c>
      <c r="CB587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587" s="3">
        <f>IF(ROUND(Wapato_Inventory[[#This Row],[adj_res]]*Lookups!$H$48,-2)&lt;Wapato_Inventory[[#This Row],[min_res]],Wapato_Inventory[[#This Row],[min_res]],ROUND(Wapato_Inventory[[#This Row],[adj_res]]*Lookups!$H$48,-2))</f>
        <v>155200</v>
      </c>
      <c r="CD587" s="3">
        <f>ROUND(Wapato_Inventory[[#This Row],[det_value]]*Lookups!$H$48,-2)</f>
        <v>8800</v>
      </c>
      <c r="CE587" s="3">
        <f>Wapato_Inventory[[#This Row],[final_res]]+Wapato_Inventory[[#This Row],[final_det]]</f>
        <v>164000</v>
      </c>
      <c r="CF587" s="3">
        <f>Wapato_Inventory[[#This Row],[crop_value]]+Wapato_Inventory[[#This Row],[final_land]]+Wapato_Inventory[[#This Row],[final_imp]]</f>
        <v>213700</v>
      </c>
      <c r="CH587" t="str">
        <f t="shared" si="9"/>
        <v>update valuation set market_land =49700, market_bldg=164000, market_total =213700, market_mdno =405, market_date ='9/10/2023' where link_id = (select link_id from parcel where parcel_year = '2024' and parcel_id = '19111512464');</v>
      </c>
    </row>
    <row r="588" spans="1:86" x14ac:dyDescent="0.25">
      <c r="A588">
        <v>19111512465</v>
      </c>
      <c r="B588">
        <v>0.12</v>
      </c>
      <c r="C588">
        <v>5400</v>
      </c>
      <c r="D588" t="s">
        <v>144</v>
      </c>
      <c r="E588" t="s">
        <v>54</v>
      </c>
      <c r="F588" t="s">
        <v>54</v>
      </c>
      <c r="G588">
        <v>3</v>
      </c>
      <c r="H588" t="s">
        <v>55</v>
      </c>
      <c r="I588">
        <v>232600</v>
      </c>
      <c r="J588">
        <v>30800</v>
      </c>
      <c r="K588">
        <v>0.12</v>
      </c>
      <c r="L588">
        <f>IF(Wapato_Inventory[[#This Row],[parcel_acres]]-Wapato_Inventory[[#This Row],[non_valued_acres]] =0,0,LN(Wapato_Inventory[[#This Row],[parcel_acres]]-Wapato_Inventory[[#This Row],[non_valued_acres]]))</f>
        <v>-2.120263536200091</v>
      </c>
      <c r="M588">
        <v>0</v>
      </c>
      <c r="N588">
        <v>0</v>
      </c>
      <c r="O588">
        <v>0</v>
      </c>
      <c r="P588">
        <v>27904.037</v>
      </c>
      <c r="Q588">
        <v>74398</v>
      </c>
      <c r="R588" s="3">
        <f>(Wapato_Inventory[[#This Row],[ln_acres]]*Wapato_Inventory[[#This Row],[coeff]])+Wapato_Inventory[[#This Row],[const]]</f>
        <v>15234.08783612182</v>
      </c>
      <c r="S588" t="s">
        <v>56</v>
      </c>
      <c r="T588">
        <v>2</v>
      </c>
      <c r="U588" t="s">
        <v>75</v>
      </c>
      <c r="V588" t="s">
        <v>69</v>
      </c>
      <c r="W588">
        <v>0</v>
      </c>
      <c r="X588">
        <v>0</v>
      </c>
      <c r="Y588">
        <v>55</v>
      </c>
      <c r="Z588">
        <v>98</v>
      </c>
      <c r="AA588">
        <v>100</v>
      </c>
      <c r="AB588">
        <v>2500</v>
      </c>
      <c r="AC588">
        <v>2172</v>
      </c>
      <c r="AD588">
        <v>1596</v>
      </c>
      <c r="AE588">
        <v>576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845</v>
      </c>
      <c r="AL588">
        <v>0</v>
      </c>
      <c r="AM588">
        <v>0</v>
      </c>
      <c r="AN588">
        <v>60</v>
      </c>
      <c r="AO588">
        <v>0</v>
      </c>
      <c r="AP588">
        <v>10</v>
      </c>
      <c r="AQ588">
        <v>0</v>
      </c>
      <c r="AR588">
        <v>0</v>
      </c>
      <c r="AS588" t="s">
        <v>59</v>
      </c>
      <c r="AT588">
        <v>1</v>
      </c>
      <c r="AU588" t="s">
        <v>64</v>
      </c>
      <c r="AV588" t="s">
        <v>65</v>
      </c>
      <c r="AW588">
        <v>1</v>
      </c>
      <c r="AX588">
        <v>3</v>
      </c>
      <c r="AY588">
        <v>0</v>
      </c>
      <c r="AZ588">
        <v>0</v>
      </c>
      <c r="BA588">
        <v>100</v>
      </c>
      <c r="BB588">
        <v>100</v>
      </c>
      <c r="BC588">
        <v>100</v>
      </c>
      <c r="BD588">
        <v>100</v>
      </c>
      <c r="BE588">
        <v>1</v>
      </c>
      <c r="BF588">
        <v>15000</v>
      </c>
      <c r="BG588">
        <v>1000</v>
      </c>
      <c r="BH588" s="7">
        <f>ROUND(Wapato_Inventory[[#This Row],[detatched_value]]*Lookups!$B$22*Lookups!$H$48,-2)</f>
        <v>0</v>
      </c>
      <c r="BI588" s="7">
        <f>ROUND(((Wapato_Inventory[[#This Row],[land_extract]]*Lookups!$B$3) +(Lookups!$B$2*0.5))*Lookups!$H$48,-2)</f>
        <v>52500</v>
      </c>
      <c r="BJ588" s="7">
        <f>IF(Wapato_Inventory[[#This Row],[bldg_style]]="",0,Lookups!$B$2*0.5)</f>
        <v>53765.27</v>
      </c>
      <c r="BK588" s="7">
        <f>_xlfn.IFNA(VLOOKUP(Wapato_Inventory[[#This Row],[quality]],Lookups!$H$2:$J$14,3,FALSE),0)</f>
        <v>48043</v>
      </c>
      <c r="BL588" s="7">
        <f>_xlfn.IFNA(VLOOKUP(Wapato_Inventory[[#This Row],[condition]],Lookups!$H$17:$J$24,3,FALSE),0)</f>
        <v>74543</v>
      </c>
      <c r="BM588" s="7">
        <f>Wapato_Inventory[[#This Row],[Age]]*Lookups!$B$16</f>
        <v>-36326.2186</v>
      </c>
      <c r="BN588" s="7">
        <f>Wapato_Inventory[[#This Row],[Main Floor]]*Lookups!$B$17</f>
        <v>66713.979443999997</v>
      </c>
      <c r="BO588" s="7">
        <f>Wapato_Inventory[[#This Row],[Upper Floor]]*Lookups!$B$18</f>
        <v>28570.256064000001</v>
      </c>
      <c r="BP588" s="7">
        <f>Wapato_Inventory[[#This Row],[Fin BSMT]]*Lookups!$B$19</f>
        <v>0</v>
      </c>
      <c r="BQ588" s="7">
        <f>(Wapato_Inventory[[#This Row],[att_gar]]+Wapato_Inventory[[#This Row],[blt_gar]])*Lookups!$B$20</f>
        <v>0</v>
      </c>
      <c r="BR588" s="7">
        <f>Wapato_Inventory[[#This Row],[Patio]]*Lookups!$B$21</f>
        <v>0</v>
      </c>
      <c r="BS588" s="7">
        <f>SUM(Wapato_Inventory[[#This Row],[intercept]:[patio_value]])*Wapato_Inventory[[#This Row],[res_pct]]</f>
        <v>235309.28690800001</v>
      </c>
      <c r="BT588" s="7">
        <f>Wapato_Inventory[[#This Row],[land_value]]</f>
        <v>52500</v>
      </c>
      <c r="BU588" s="2">
        <f>_xlfn.IFNA(VLOOKUP(Wapato_Inventory[[#This Row],[quality]],Lookups!$A$28:$C$37,3,FALSE),1)</f>
        <v>0.98196844879778955</v>
      </c>
      <c r="BV588" s="2">
        <f>_xlfn.IFNA(VLOOKUP(Wapato_Inventory[[#This Row],[condition]],Lookups!$A$41:$C$48,3,FALSE),1)</f>
        <v>0.98442438223270734</v>
      </c>
      <c r="BW588" s="2">
        <f>IF(Wapato_Inventory[[#This Row],[decade]]="",1,_xlfn.IFNA(VLOOKUP(Wapato_Inventory[[#This Row],[decade]],Lookups!$F$28:$H$45,3,FALSE),1))</f>
        <v>1.0114203040664467</v>
      </c>
      <c r="BX588" s="2">
        <f>_xlfn.IFNA(VLOOKUP(Wapato_Inventory[[#This Row],[living_area_range]],Lookups!$K$28:$M$37,3,FALSE),1)</f>
        <v>0.90813907160181651</v>
      </c>
      <c r="BY588" s="2">
        <f>AVERAGE(Wapato_Inventory[[#This Row],[qual_adj]:[range_adj]])</f>
        <v>0.97148805167468999</v>
      </c>
      <c r="BZ588" s="7">
        <f>(Wapato_Inventory[[#This Row],[sum_land]]-IF(Wapato_Inventory[[#This Row],[no_utilities]]=1,12000,0))/IF(Wapato_Inventory[[#This Row],[unbuildable]]=1,2,1)</f>
        <v>52500</v>
      </c>
      <c r="CA588" s="7">
        <f>Wapato_Inventory[[#This Row],[pre_res]]*Wapato_Inventory[[#This Row],[overall_adj]]</f>
        <v>228600.16067921356</v>
      </c>
      <c r="CB588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588" s="3">
        <f>IF(ROUND(Wapato_Inventory[[#This Row],[adj_res]]*Lookups!$H$48,-2)&lt;Wapato_Inventory[[#This Row],[min_res]],Wapato_Inventory[[#This Row],[min_res]],ROUND(Wapato_Inventory[[#This Row],[adj_res]]*Lookups!$H$48,-2))</f>
        <v>217200</v>
      </c>
      <c r="CD588" s="3">
        <f>ROUND(Wapato_Inventory[[#This Row],[det_value]]*Lookups!$H$48,-2)</f>
        <v>0</v>
      </c>
      <c r="CE588" s="3">
        <f>Wapato_Inventory[[#This Row],[final_res]]+Wapato_Inventory[[#This Row],[final_det]]</f>
        <v>217200</v>
      </c>
      <c r="CF588" s="3">
        <f>Wapato_Inventory[[#This Row],[crop_value]]+Wapato_Inventory[[#This Row],[final_land]]+Wapato_Inventory[[#This Row],[final_imp]]</f>
        <v>267100</v>
      </c>
      <c r="CH588" t="str">
        <f t="shared" si="9"/>
        <v>update valuation set market_land =49900, market_bldg=217200, market_total =267100, market_mdno =405, market_date ='9/10/2023' where link_id = (select link_id from parcel where parcel_year = '2024' and parcel_id = '19111512465');</v>
      </c>
    </row>
    <row r="589" spans="1:86" x14ac:dyDescent="0.25">
      <c r="A589">
        <v>19111512466</v>
      </c>
      <c r="B589">
        <v>0.14000000000000001</v>
      </c>
      <c r="C589">
        <v>6273</v>
      </c>
      <c r="D589" t="s">
        <v>144</v>
      </c>
      <c r="E589" t="s">
        <v>54</v>
      </c>
      <c r="F589" t="s">
        <v>54</v>
      </c>
      <c r="G589">
        <v>3</v>
      </c>
      <c r="H589" t="s">
        <v>55</v>
      </c>
      <c r="I589">
        <v>143700</v>
      </c>
      <c r="J589">
        <v>31900</v>
      </c>
      <c r="K589">
        <v>0.14000000000000001</v>
      </c>
      <c r="L589">
        <f>IF(Wapato_Inventory[[#This Row],[parcel_acres]]-Wapato_Inventory[[#This Row],[non_valued_acres]] =0,0,LN(Wapato_Inventory[[#This Row],[parcel_acres]]-Wapato_Inventory[[#This Row],[non_valued_acres]]))</f>
        <v>-1.9661128563728327</v>
      </c>
      <c r="M589">
        <v>0</v>
      </c>
      <c r="N589">
        <v>0</v>
      </c>
      <c r="O589">
        <v>0</v>
      </c>
      <c r="P589">
        <v>27904.037</v>
      </c>
      <c r="Q589">
        <v>74398</v>
      </c>
      <c r="R589" s="3">
        <f>(Wapato_Inventory[[#This Row],[ln_acres]]*Wapato_Inventory[[#This Row],[coeff]])+Wapato_Inventory[[#This Row],[const]]</f>
        <v>19535.514109596792</v>
      </c>
      <c r="S589" t="s">
        <v>56</v>
      </c>
      <c r="T589">
        <v>2</v>
      </c>
      <c r="U589" t="s">
        <v>75</v>
      </c>
      <c r="V589" t="s">
        <v>68</v>
      </c>
      <c r="W589">
        <v>0</v>
      </c>
      <c r="X589">
        <v>0</v>
      </c>
      <c r="Y589">
        <v>53</v>
      </c>
      <c r="Z589">
        <v>93</v>
      </c>
      <c r="AA589">
        <v>100</v>
      </c>
      <c r="AB589">
        <v>1500</v>
      </c>
      <c r="AC589">
        <v>1291</v>
      </c>
      <c r="AD589">
        <v>841</v>
      </c>
      <c r="AE589">
        <v>450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5</v>
      </c>
      <c r="AQ589">
        <v>0</v>
      </c>
      <c r="AR589">
        <v>0</v>
      </c>
      <c r="AS589" t="s">
        <v>59</v>
      </c>
      <c r="AT589">
        <v>1</v>
      </c>
      <c r="AU589" t="s">
        <v>64</v>
      </c>
      <c r="AV589" t="s">
        <v>65</v>
      </c>
      <c r="AW589">
        <v>0</v>
      </c>
      <c r="AX589">
        <v>4</v>
      </c>
      <c r="AY589">
        <v>0</v>
      </c>
      <c r="AZ589">
        <v>0</v>
      </c>
      <c r="BA589">
        <v>100</v>
      </c>
      <c r="BB589">
        <v>100</v>
      </c>
      <c r="BC589">
        <v>100</v>
      </c>
      <c r="BD589">
        <v>100</v>
      </c>
      <c r="BE589">
        <v>1</v>
      </c>
      <c r="BF589">
        <v>15000</v>
      </c>
      <c r="BG589">
        <v>1000</v>
      </c>
      <c r="BH589" s="7">
        <f>ROUND(Wapato_Inventory[[#This Row],[detatched_value]]*Lookups!$B$22*Lookups!$H$48,-2)</f>
        <v>0</v>
      </c>
      <c r="BI589" s="7">
        <f>ROUND(((Wapato_Inventory[[#This Row],[land_extract]]*Lookups!$B$3) +(Lookups!$B$2*0.5))*Lookups!$H$48,-2)</f>
        <v>53000</v>
      </c>
      <c r="BJ589" s="7">
        <f>IF(Wapato_Inventory[[#This Row],[bldg_style]]="",0,Lookups!$B$2*0.5)</f>
        <v>53765.27</v>
      </c>
      <c r="BK589" s="7">
        <f>_xlfn.IFNA(VLOOKUP(Wapato_Inventory[[#This Row],[quality]],Lookups!$H$2:$J$14,3,FALSE),0)</f>
        <v>48043</v>
      </c>
      <c r="BL589" s="7">
        <f>_xlfn.IFNA(VLOOKUP(Wapato_Inventory[[#This Row],[condition]],Lookups!$H$17:$J$24,3,FALSE),0)</f>
        <v>52231</v>
      </c>
      <c r="BM589" s="7">
        <f>Wapato_Inventory[[#This Row],[Age]]*Lookups!$B$16</f>
        <v>-34472.840100000001</v>
      </c>
      <c r="BN589" s="7">
        <f>Wapato_Inventory[[#This Row],[Main Floor]]*Lookups!$B$17</f>
        <v>35154.421499000004</v>
      </c>
      <c r="BO589" s="7">
        <f>Wapato_Inventory[[#This Row],[Upper Floor]]*Lookups!$B$18</f>
        <v>22320.512550000003</v>
      </c>
      <c r="BP589" s="7">
        <f>Wapato_Inventory[[#This Row],[Fin BSMT]]*Lookups!$B$19</f>
        <v>0</v>
      </c>
      <c r="BQ589" s="7">
        <f>(Wapato_Inventory[[#This Row],[att_gar]]+Wapato_Inventory[[#This Row],[blt_gar]])*Lookups!$B$20</f>
        <v>0</v>
      </c>
      <c r="BR589" s="7">
        <f>Wapato_Inventory[[#This Row],[Patio]]*Lookups!$B$21</f>
        <v>0</v>
      </c>
      <c r="BS589" s="7">
        <f>SUM(Wapato_Inventory[[#This Row],[intercept]:[patio_value]])*Wapato_Inventory[[#This Row],[res_pct]]</f>
        <v>177041.36394899999</v>
      </c>
      <c r="BT589" s="7">
        <f>Wapato_Inventory[[#This Row],[land_value]]</f>
        <v>53000</v>
      </c>
      <c r="BU589" s="2">
        <f>_xlfn.IFNA(VLOOKUP(Wapato_Inventory[[#This Row],[quality]],Lookups!$A$28:$C$37,3,FALSE),1)</f>
        <v>0.98196844879778955</v>
      </c>
      <c r="BV589" s="2">
        <f>_xlfn.IFNA(VLOOKUP(Wapato_Inventory[[#This Row],[condition]],Lookups!$A$41:$C$48,3,FALSE),1)</f>
        <v>0.9832333997567807</v>
      </c>
      <c r="BW589" s="2">
        <f>IF(Wapato_Inventory[[#This Row],[decade]]="",1,_xlfn.IFNA(VLOOKUP(Wapato_Inventory[[#This Row],[decade]],Lookups!$F$28:$H$45,3,FALSE),1))</f>
        <v>1.0114203040664467</v>
      </c>
      <c r="BX589" s="2">
        <f>_xlfn.IFNA(VLOOKUP(Wapato_Inventory[[#This Row],[living_area_range]],Lookups!$K$28:$M$37,3,FALSE),1)</f>
        <v>1.0061411172456287</v>
      </c>
      <c r="BY589" s="2">
        <f>AVERAGE(Wapato_Inventory[[#This Row],[qual_adj]:[range_adj]])</f>
        <v>0.99569081746666144</v>
      </c>
      <c r="BZ589" s="7">
        <f>(Wapato_Inventory[[#This Row],[sum_land]]-IF(Wapato_Inventory[[#This Row],[no_utilities]]=1,12000,0))/IF(Wapato_Inventory[[#This Row],[unbuildable]]=1,2,1)</f>
        <v>53000</v>
      </c>
      <c r="CA589" s="7">
        <f>Wapato_Inventory[[#This Row],[pre_res]]*Wapato_Inventory[[#This Row],[overall_adj]]</f>
        <v>176278.46039579253</v>
      </c>
      <c r="CB58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89" s="3">
        <f>IF(ROUND(Wapato_Inventory[[#This Row],[adj_res]]*Lookups!$H$48,-2)&lt;Wapato_Inventory[[#This Row],[min_res]],Wapato_Inventory[[#This Row],[min_res]],ROUND(Wapato_Inventory[[#This Row],[adj_res]]*Lookups!$H$48,-2))</f>
        <v>167500</v>
      </c>
      <c r="CD589" s="3">
        <f>ROUND(Wapato_Inventory[[#This Row],[det_value]]*Lookups!$H$48,-2)</f>
        <v>0</v>
      </c>
      <c r="CE589" s="3">
        <f>Wapato_Inventory[[#This Row],[final_res]]+Wapato_Inventory[[#This Row],[final_det]]</f>
        <v>167500</v>
      </c>
      <c r="CF589" s="3">
        <f>Wapato_Inventory[[#This Row],[crop_value]]+Wapato_Inventory[[#This Row],[final_land]]+Wapato_Inventory[[#This Row],[final_imp]]</f>
        <v>217900</v>
      </c>
      <c r="CH589" t="str">
        <f t="shared" si="9"/>
        <v>update valuation set market_land =50400, market_bldg=167500, market_total =217900, market_mdno =405, market_date ='9/10/2023' where link_id = (select link_id from parcel where parcel_year = '2024' and parcel_id = '19111512466');</v>
      </c>
    </row>
    <row r="590" spans="1:86" x14ac:dyDescent="0.25">
      <c r="A590">
        <v>19111512468</v>
      </c>
      <c r="B590">
        <v>0.44</v>
      </c>
      <c r="C590">
        <v>19142</v>
      </c>
      <c r="D590" t="s">
        <v>144</v>
      </c>
      <c r="E590" t="s">
        <v>54</v>
      </c>
      <c r="F590" t="s">
        <v>54</v>
      </c>
      <c r="G590">
        <v>3</v>
      </c>
      <c r="H590" t="s">
        <v>55</v>
      </c>
      <c r="I590">
        <v>265200</v>
      </c>
      <c r="J590">
        <v>40000</v>
      </c>
      <c r="K590">
        <v>0.44</v>
      </c>
      <c r="L590">
        <f>IF(Wapato_Inventory[[#This Row],[parcel_acres]]-Wapato_Inventory[[#This Row],[non_valued_acres]] =0,0,LN(Wapato_Inventory[[#This Row],[parcel_acres]]-Wapato_Inventory[[#This Row],[non_valued_acres]]))</f>
        <v>-0.82098055206983023</v>
      </c>
      <c r="M590">
        <v>0</v>
      </c>
      <c r="N590">
        <v>0</v>
      </c>
      <c r="O590">
        <v>0</v>
      </c>
      <c r="P590">
        <v>27904.037</v>
      </c>
      <c r="Q590">
        <v>74398</v>
      </c>
      <c r="R590" s="3">
        <f>(Wapato_Inventory[[#This Row],[ln_acres]]*Wapato_Inventory[[#This Row],[coeff]])+Wapato_Inventory[[#This Row],[const]]</f>
        <v>51489.32829876303</v>
      </c>
      <c r="S590" t="s">
        <v>62</v>
      </c>
      <c r="T590">
        <v>1</v>
      </c>
      <c r="U590" t="s">
        <v>65</v>
      </c>
      <c r="V590" t="s">
        <v>68</v>
      </c>
      <c r="W590">
        <v>0</v>
      </c>
      <c r="X590">
        <v>0</v>
      </c>
      <c r="Y590">
        <v>49</v>
      </c>
      <c r="Z590">
        <v>68</v>
      </c>
      <c r="AA590">
        <v>70</v>
      </c>
      <c r="AB590">
        <v>3000</v>
      </c>
      <c r="AC590">
        <v>2832</v>
      </c>
      <c r="AD590">
        <v>1656</v>
      </c>
      <c r="AE590">
        <v>0</v>
      </c>
      <c r="AF590">
        <v>0</v>
      </c>
      <c r="AG590">
        <v>1176</v>
      </c>
      <c r="AH590">
        <v>0</v>
      </c>
      <c r="AI590">
        <v>0</v>
      </c>
      <c r="AJ590">
        <v>0</v>
      </c>
      <c r="AK590">
        <v>1012</v>
      </c>
      <c r="AL590">
        <v>0</v>
      </c>
      <c r="AM590">
        <v>120</v>
      </c>
      <c r="AN590">
        <v>0</v>
      </c>
      <c r="AO590">
        <v>0</v>
      </c>
      <c r="AP590">
        <v>8</v>
      </c>
      <c r="AQ590">
        <v>0</v>
      </c>
      <c r="AR590">
        <v>1</v>
      </c>
      <c r="AS590" t="s">
        <v>79</v>
      </c>
      <c r="AT590">
        <v>1</v>
      </c>
      <c r="AU590" t="s">
        <v>64</v>
      </c>
      <c r="AV590" t="s">
        <v>65</v>
      </c>
      <c r="AW590">
        <v>1</v>
      </c>
      <c r="AX590">
        <v>3</v>
      </c>
      <c r="AY590">
        <v>0</v>
      </c>
      <c r="AZ590">
        <v>6000</v>
      </c>
      <c r="BA590">
        <v>100</v>
      </c>
      <c r="BB590">
        <v>100</v>
      </c>
      <c r="BC590">
        <v>100</v>
      </c>
      <c r="BD590">
        <v>100</v>
      </c>
      <c r="BE590">
        <v>1</v>
      </c>
      <c r="BF590">
        <v>15000</v>
      </c>
      <c r="BG590">
        <v>1000</v>
      </c>
      <c r="BH590" s="7">
        <f>ROUND(Wapato_Inventory[[#This Row],[detatched_value]]*Lookups!$B$22*Lookups!$H$48,-2)</f>
        <v>5400</v>
      </c>
      <c r="BI590" s="7">
        <f>ROUND(((Wapato_Inventory[[#This Row],[land_extract]]*Lookups!$B$3) +(Lookups!$B$2*0.5))*Lookups!$H$48,-2)</f>
        <v>56000</v>
      </c>
      <c r="BJ590" s="7">
        <f>IF(Wapato_Inventory[[#This Row],[bldg_style]]="",0,Lookups!$B$2*0.5)</f>
        <v>53765.27</v>
      </c>
      <c r="BK590" s="7">
        <f>_xlfn.IFNA(VLOOKUP(Wapato_Inventory[[#This Row],[quality]],Lookups!$H$2:$J$14,3,FALSE),0)</f>
        <v>92307</v>
      </c>
      <c r="BL590" s="7">
        <f>_xlfn.IFNA(VLOOKUP(Wapato_Inventory[[#This Row],[condition]],Lookups!$H$17:$J$24,3,FALSE),0)</f>
        <v>52231</v>
      </c>
      <c r="BM590" s="7">
        <f>Wapato_Inventory[[#This Row],[Age]]*Lookups!$B$16</f>
        <v>-25205.9476</v>
      </c>
      <c r="BN590" s="7">
        <f>Wapato_Inventory[[#This Row],[Main Floor]]*Lookups!$B$17</f>
        <v>69222.023784000005</v>
      </c>
      <c r="BO590" s="7">
        <f>Wapato_Inventory[[#This Row],[Upper Floor]]*Lookups!$B$18</f>
        <v>0</v>
      </c>
      <c r="BP590" s="7">
        <f>Wapato_Inventory[[#This Row],[Fin BSMT]]*Lookups!$B$19</f>
        <v>28655.286240000001</v>
      </c>
      <c r="BQ590" s="7">
        <f>(Wapato_Inventory[[#This Row],[att_gar]]+Wapato_Inventory[[#This Row],[blt_gar]])*Lookups!$B$20</f>
        <v>0</v>
      </c>
      <c r="BR590" s="7">
        <f>Wapato_Inventory[[#This Row],[Patio]]*Lookups!$B$21</f>
        <v>5198.8774800000001</v>
      </c>
      <c r="BS590" s="7">
        <f>SUM(Wapato_Inventory[[#This Row],[intercept]:[patio_value]])*Wapato_Inventory[[#This Row],[res_pct]]</f>
        <v>276173.50990400004</v>
      </c>
      <c r="BT590" s="7">
        <f>Wapato_Inventory[[#This Row],[land_value]]</f>
        <v>56000</v>
      </c>
      <c r="BU590" s="2">
        <f>_xlfn.IFNA(VLOOKUP(Wapato_Inventory[[#This Row],[quality]],Lookups!$A$28:$C$37,3,FALSE),1)</f>
        <v>1.0013727718490204</v>
      </c>
      <c r="BV590" s="2">
        <f>_xlfn.IFNA(VLOOKUP(Wapato_Inventory[[#This Row],[condition]],Lookups!$A$41:$C$48,3,FALSE),1)</f>
        <v>0.9832333997567807</v>
      </c>
      <c r="BW590" s="2">
        <f>IF(Wapato_Inventory[[#This Row],[decade]]="",1,_xlfn.IFNA(VLOOKUP(Wapato_Inventory[[#This Row],[decade]],Lookups!$F$28:$H$45,3,FALSE),1))</f>
        <v>1.0012715221492001</v>
      </c>
      <c r="BX590" s="2">
        <f>_xlfn.IFNA(VLOOKUP(Wapato_Inventory[[#This Row],[living_area_range]],Lookups!$K$28:$M$37,3,FALSE),1)</f>
        <v>1.0155869662067822</v>
      </c>
      <c r="BY590" s="2">
        <f>AVERAGE(Wapato_Inventory[[#This Row],[qual_adj]:[range_adj]])</f>
        <v>1.0003661649904458</v>
      </c>
      <c r="BZ590" s="7">
        <f>(Wapato_Inventory[[#This Row],[sum_land]]-IF(Wapato_Inventory[[#This Row],[no_utilities]]=1,12000,0))/IF(Wapato_Inventory[[#This Row],[unbuildable]]=1,2,1)</f>
        <v>56000</v>
      </c>
      <c r="CA590" s="7">
        <f>Wapato_Inventory[[#This Row],[pre_res]]*Wapato_Inventory[[#This Row],[overall_adj]]</f>
        <v>276274.63497461542</v>
      </c>
      <c r="CB590" s="3">
        <f>IF(ROUND(Wapato_Inventory[[#This Row],[adj_land]]*Lookups!$H$48,-2)&lt;Wapato_Inventory[[#This Row],[min_land]],Wapato_Inventory[[#This Row],[min_land]],ROUND(Wapato_Inventory[[#This Row],[adj_land]]*Lookups!$H$48,-2))</f>
        <v>53200</v>
      </c>
      <c r="CC590" s="3">
        <f>IF(ROUND(Wapato_Inventory[[#This Row],[adj_res]]*Lookups!$H$48,-2)&lt;Wapato_Inventory[[#This Row],[min_res]],Wapato_Inventory[[#This Row],[min_res]],ROUND(Wapato_Inventory[[#This Row],[adj_res]]*Lookups!$H$48,-2))</f>
        <v>262500</v>
      </c>
      <c r="CD590" s="3">
        <f>ROUND(Wapato_Inventory[[#This Row],[det_value]]*Lookups!$H$48,-2)</f>
        <v>5100</v>
      </c>
      <c r="CE590" s="3">
        <f>Wapato_Inventory[[#This Row],[final_res]]+Wapato_Inventory[[#This Row],[final_det]]</f>
        <v>267600</v>
      </c>
      <c r="CF590" s="3">
        <f>Wapato_Inventory[[#This Row],[crop_value]]+Wapato_Inventory[[#This Row],[final_land]]+Wapato_Inventory[[#This Row],[final_imp]]</f>
        <v>320800</v>
      </c>
      <c r="CH590" t="str">
        <f t="shared" si="9"/>
        <v>update valuation set market_land =53200, market_bldg=267600, market_total =320800, market_mdno =405, market_date ='9/10/2023' where link_id = (select link_id from parcel where parcel_year = '2024' and parcel_id = '19111512468');</v>
      </c>
    </row>
    <row r="591" spans="1:86" x14ac:dyDescent="0.25">
      <c r="A591">
        <v>19111512470</v>
      </c>
      <c r="B591">
        <v>0.13</v>
      </c>
      <c r="C591">
        <v>5819</v>
      </c>
      <c r="D591" t="s">
        <v>144</v>
      </c>
      <c r="E591" t="s">
        <v>54</v>
      </c>
      <c r="F591" t="s">
        <v>54</v>
      </c>
      <c r="G591">
        <v>3</v>
      </c>
      <c r="H591" t="s">
        <v>55</v>
      </c>
      <c r="I591">
        <v>108000</v>
      </c>
      <c r="J591">
        <v>31400</v>
      </c>
      <c r="K591">
        <v>0.13</v>
      </c>
      <c r="L591">
        <f>IF(Wapato_Inventory[[#This Row],[parcel_acres]]-Wapato_Inventory[[#This Row],[non_valued_acres]] =0,0,LN(Wapato_Inventory[[#This Row],[parcel_acres]]-Wapato_Inventory[[#This Row],[non_valued_acres]]))</f>
        <v>-2.0402208285265546</v>
      </c>
      <c r="M591">
        <v>0</v>
      </c>
      <c r="N591">
        <v>0</v>
      </c>
      <c r="O591">
        <v>0</v>
      </c>
      <c r="P591">
        <v>27904.037</v>
      </c>
      <c r="Q591">
        <v>74398</v>
      </c>
      <c r="R591" s="3">
        <f>(Wapato_Inventory[[#This Row],[ln_acres]]*Wapato_Inventory[[#This Row],[coeff]])+Wapato_Inventory[[#This Row],[const]]</f>
        <v>17467.602512624362</v>
      </c>
      <c r="S591" t="s">
        <v>66</v>
      </c>
      <c r="T591">
        <v>1</v>
      </c>
      <c r="U591" t="s">
        <v>71</v>
      </c>
      <c r="V591" t="s">
        <v>68</v>
      </c>
      <c r="W591">
        <v>0</v>
      </c>
      <c r="X591">
        <v>0</v>
      </c>
      <c r="Y591">
        <v>52</v>
      </c>
      <c r="Z591">
        <v>88</v>
      </c>
      <c r="AA591">
        <v>90</v>
      </c>
      <c r="AB591">
        <v>1000</v>
      </c>
      <c r="AC591">
        <v>972</v>
      </c>
      <c r="AD591">
        <v>708</v>
      </c>
      <c r="AE591">
        <v>0</v>
      </c>
      <c r="AF591">
        <v>0</v>
      </c>
      <c r="AG591">
        <v>264</v>
      </c>
      <c r="AH591">
        <v>264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36</v>
      </c>
      <c r="AO591">
        <v>0</v>
      </c>
      <c r="AP591">
        <v>5</v>
      </c>
      <c r="AQ591">
        <v>0</v>
      </c>
      <c r="AR591">
        <v>0</v>
      </c>
      <c r="AS591" t="s">
        <v>59</v>
      </c>
      <c r="AT591">
        <v>0</v>
      </c>
      <c r="AU591" t="s">
        <v>80</v>
      </c>
      <c r="AV591" t="s">
        <v>61</v>
      </c>
      <c r="AW591">
        <v>0</v>
      </c>
      <c r="AX591">
        <v>2</v>
      </c>
      <c r="AY591">
        <v>0</v>
      </c>
      <c r="AZ591">
        <v>0</v>
      </c>
      <c r="BA591">
        <v>100</v>
      </c>
      <c r="BB591">
        <v>100</v>
      </c>
      <c r="BC591">
        <v>100</v>
      </c>
      <c r="BD591">
        <v>100</v>
      </c>
      <c r="BE591">
        <v>1</v>
      </c>
      <c r="BF591">
        <v>15000</v>
      </c>
      <c r="BG591">
        <v>1000</v>
      </c>
      <c r="BH591" s="7">
        <f>ROUND(Wapato_Inventory[[#This Row],[detatched_value]]*Lookups!$B$22*Lookups!$H$48,-2)</f>
        <v>0</v>
      </c>
      <c r="BI591" s="7">
        <f>ROUND(((Wapato_Inventory[[#This Row],[land_extract]]*Lookups!$B$3) +(Lookups!$B$2*0.5))*Lookups!$H$48,-2)</f>
        <v>52800</v>
      </c>
      <c r="BJ591" s="7">
        <f>IF(Wapato_Inventory[[#This Row],[bldg_style]]="",0,Lookups!$B$2*0.5)</f>
        <v>53765.27</v>
      </c>
      <c r="BK591" s="7">
        <f>_xlfn.IFNA(VLOOKUP(Wapato_Inventory[[#This Row],[quality]],Lookups!$H$2:$J$14,3,FALSE),0)</f>
        <v>28034</v>
      </c>
      <c r="BL591" s="7">
        <f>_xlfn.IFNA(VLOOKUP(Wapato_Inventory[[#This Row],[condition]],Lookups!$H$17:$J$24,3,FALSE),0)</f>
        <v>52231</v>
      </c>
      <c r="BM591" s="7">
        <f>Wapato_Inventory[[#This Row],[Age]]*Lookups!$B$16</f>
        <v>-32619.461600000002</v>
      </c>
      <c r="BN591" s="7">
        <f>Wapato_Inventory[[#This Row],[Main Floor]]*Lookups!$B$17</f>
        <v>29594.923212000002</v>
      </c>
      <c r="BO591" s="7">
        <f>Wapato_Inventory[[#This Row],[Upper Floor]]*Lookups!$B$18</f>
        <v>0</v>
      </c>
      <c r="BP591" s="7">
        <f>Wapato_Inventory[[#This Row],[Fin BSMT]]*Lookups!$B$19</f>
        <v>6432.8193600000004</v>
      </c>
      <c r="BQ591" s="7">
        <f>(Wapato_Inventory[[#This Row],[att_gar]]+Wapato_Inventory[[#This Row],[blt_gar]])*Lookups!$B$20</f>
        <v>0</v>
      </c>
      <c r="BR591" s="7">
        <f>Wapato_Inventory[[#This Row],[Patio]]*Lookups!$B$21</f>
        <v>0</v>
      </c>
      <c r="BS591" s="7">
        <f>SUM(Wapato_Inventory[[#This Row],[intercept]:[patio_value]])*Wapato_Inventory[[#This Row],[res_pct]]</f>
        <v>137438.55097199997</v>
      </c>
      <c r="BT591" s="7">
        <f>Wapato_Inventory[[#This Row],[land_value]]</f>
        <v>52800</v>
      </c>
      <c r="BU591" s="2">
        <f>_xlfn.IFNA(VLOOKUP(Wapato_Inventory[[#This Row],[quality]],Lookups!$A$28:$C$37,3,FALSE),1)</f>
        <v>0.96265813922927435</v>
      </c>
      <c r="BV591" s="2">
        <f>_xlfn.IFNA(VLOOKUP(Wapato_Inventory[[#This Row],[condition]],Lookups!$A$41:$C$48,3,FALSE),1)</f>
        <v>0.9832333997567807</v>
      </c>
      <c r="BW591" s="2">
        <f>IF(Wapato_Inventory[[#This Row],[decade]]="",1,_xlfn.IFNA(VLOOKUP(Wapato_Inventory[[#This Row],[decade]],Lookups!$F$28:$H$45,3,FALSE),1))</f>
        <v>0.94742695999815718</v>
      </c>
      <c r="BX591" s="2">
        <f>_xlfn.IFNA(VLOOKUP(Wapato_Inventory[[#This Row],[living_area_range]],Lookups!$K$28:$M$37,3,FALSE),1)</f>
        <v>0.99022994770196116</v>
      </c>
      <c r="BY591" s="2">
        <f>AVERAGE(Wapato_Inventory[[#This Row],[qual_adj]:[range_adj]])</f>
        <v>0.97088711167154329</v>
      </c>
      <c r="BZ591" s="7">
        <f>(Wapato_Inventory[[#This Row],[sum_land]]-IF(Wapato_Inventory[[#This Row],[no_utilities]]=1,12000,0))/IF(Wapato_Inventory[[#This Row],[unbuildable]]=1,2,1)</f>
        <v>52800</v>
      </c>
      <c r="CA591" s="7">
        <f>Wapato_Inventory[[#This Row],[pre_res]]*Wapato_Inventory[[#This Row],[overall_adj]]</f>
        <v>133437.31778552724</v>
      </c>
      <c r="CB591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591" s="3">
        <f>IF(ROUND(Wapato_Inventory[[#This Row],[adj_res]]*Lookups!$H$48,-2)&lt;Wapato_Inventory[[#This Row],[min_res]],Wapato_Inventory[[#This Row],[min_res]],ROUND(Wapato_Inventory[[#This Row],[adj_res]]*Lookups!$H$48,-2))</f>
        <v>126800</v>
      </c>
      <c r="CD591" s="3">
        <f>ROUND(Wapato_Inventory[[#This Row],[det_value]]*Lookups!$H$48,-2)</f>
        <v>0</v>
      </c>
      <c r="CE591" s="3">
        <f>Wapato_Inventory[[#This Row],[final_res]]+Wapato_Inventory[[#This Row],[final_det]]</f>
        <v>126800</v>
      </c>
      <c r="CF591" s="3">
        <f>Wapato_Inventory[[#This Row],[crop_value]]+Wapato_Inventory[[#This Row],[final_land]]+Wapato_Inventory[[#This Row],[final_imp]]</f>
        <v>177000</v>
      </c>
      <c r="CH591" t="str">
        <f t="shared" si="9"/>
        <v>update valuation set market_land =50200, market_bldg=126800, market_total =177000, market_mdno =405, market_date ='9/10/2023' where link_id = (select link_id from parcel where parcel_year = '2024' and parcel_id = '19111512470');</v>
      </c>
    </row>
    <row r="592" spans="1:86" x14ac:dyDescent="0.25">
      <c r="A592">
        <v>19111512471</v>
      </c>
      <c r="B592">
        <v>0.1</v>
      </c>
      <c r="C592">
        <v>4443</v>
      </c>
      <c r="D592" t="s">
        <v>144</v>
      </c>
      <c r="E592" t="s">
        <v>54</v>
      </c>
      <c r="F592" t="s">
        <v>54</v>
      </c>
      <c r="G592">
        <v>3</v>
      </c>
      <c r="H592" t="s">
        <v>55</v>
      </c>
      <c r="I592">
        <v>216000</v>
      </c>
      <c r="J592">
        <v>29500</v>
      </c>
      <c r="K592">
        <v>0.1</v>
      </c>
      <c r="L592">
        <f>IF(Wapato_Inventory[[#This Row],[parcel_acres]]-Wapato_Inventory[[#This Row],[non_valued_acres]] =0,0,LN(Wapato_Inventory[[#This Row],[parcel_acres]]-Wapato_Inventory[[#This Row],[non_valued_acres]]))</f>
        <v>-2.3025850929940455</v>
      </c>
      <c r="M592">
        <v>0</v>
      </c>
      <c r="N592">
        <v>0</v>
      </c>
      <c r="O592">
        <v>0</v>
      </c>
      <c r="P592">
        <v>27904.037</v>
      </c>
      <c r="Q592">
        <v>74398</v>
      </c>
      <c r="R592" s="3">
        <f>(Wapato_Inventory[[#This Row],[ln_acres]]*Wapato_Inventory[[#This Row],[coeff]])+Wapato_Inventory[[#This Row],[const]]</f>
        <v>10146.580369445714</v>
      </c>
      <c r="S592" t="s">
        <v>66</v>
      </c>
      <c r="T592">
        <v>1</v>
      </c>
      <c r="U592" t="s">
        <v>75</v>
      </c>
      <c r="V592" t="s">
        <v>70</v>
      </c>
      <c r="W592">
        <v>0</v>
      </c>
      <c r="X592">
        <v>0</v>
      </c>
      <c r="Y592">
        <v>38</v>
      </c>
      <c r="Z592">
        <v>103</v>
      </c>
      <c r="AA592">
        <v>110</v>
      </c>
      <c r="AB592">
        <v>1500</v>
      </c>
      <c r="AC592">
        <v>1442</v>
      </c>
      <c r="AD592">
        <v>1442</v>
      </c>
      <c r="AE592">
        <v>0</v>
      </c>
      <c r="AF592">
        <v>0</v>
      </c>
      <c r="AG592">
        <v>0</v>
      </c>
      <c r="AH592">
        <v>480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15</v>
      </c>
      <c r="AO592">
        <v>0</v>
      </c>
      <c r="AP592">
        <v>7</v>
      </c>
      <c r="AQ592">
        <v>0</v>
      </c>
      <c r="AR592">
        <v>0</v>
      </c>
      <c r="AS592" t="s">
        <v>59</v>
      </c>
      <c r="AT592">
        <v>1</v>
      </c>
      <c r="AU592" t="s">
        <v>72</v>
      </c>
      <c r="AV592" t="s">
        <v>65</v>
      </c>
      <c r="AW592">
        <v>0</v>
      </c>
      <c r="AX592">
        <v>3</v>
      </c>
      <c r="AY592">
        <v>0</v>
      </c>
      <c r="AZ592">
        <v>4900</v>
      </c>
      <c r="BA592">
        <v>100</v>
      </c>
      <c r="BB592">
        <v>100</v>
      </c>
      <c r="BC592">
        <v>100</v>
      </c>
      <c r="BD592">
        <v>100</v>
      </c>
      <c r="BE592">
        <v>1</v>
      </c>
      <c r="BF592">
        <v>15000</v>
      </c>
      <c r="BG592">
        <v>1000</v>
      </c>
      <c r="BH592" s="7">
        <f>ROUND(Wapato_Inventory[[#This Row],[detatched_value]]*Lookups!$B$22*Lookups!$H$48,-2)</f>
        <v>4400</v>
      </c>
      <c r="BI592" s="7">
        <f>ROUND(((Wapato_Inventory[[#This Row],[land_extract]]*Lookups!$B$3) +(Lookups!$B$2*0.5))*Lookups!$H$48,-2)</f>
        <v>52100</v>
      </c>
      <c r="BJ592" s="7">
        <f>IF(Wapato_Inventory[[#This Row],[bldg_style]]="",0,Lookups!$B$2*0.5)</f>
        <v>53765.27</v>
      </c>
      <c r="BK592" s="7">
        <f>_xlfn.IFNA(VLOOKUP(Wapato_Inventory[[#This Row],[quality]],Lookups!$H$2:$J$14,3,FALSE),0)</f>
        <v>48043</v>
      </c>
      <c r="BL592" s="7">
        <f>_xlfn.IFNA(VLOOKUP(Wapato_Inventory[[#This Row],[condition]],Lookups!$H$17:$J$24,3,FALSE),0)</f>
        <v>84338</v>
      </c>
      <c r="BM592" s="7">
        <f>Wapato_Inventory[[#This Row],[Age]]*Lookups!$B$16</f>
        <v>-38179.597099999999</v>
      </c>
      <c r="BN592" s="7">
        <f>Wapato_Inventory[[#This Row],[Main Floor]]*Lookups!$B$17</f>
        <v>60276.665637999999</v>
      </c>
      <c r="BO592" s="7">
        <f>Wapato_Inventory[[#This Row],[Upper Floor]]*Lookups!$B$18</f>
        <v>0</v>
      </c>
      <c r="BP592" s="7">
        <f>Wapato_Inventory[[#This Row],[Fin BSMT]]*Lookups!$B$19</f>
        <v>0</v>
      </c>
      <c r="BQ592" s="7">
        <f>(Wapato_Inventory[[#This Row],[att_gar]]+Wapato_Inventory[[#This Row],[blt_gar]])*Lookups!$B$20</f>
        <v>0</v>
      </c>
      <c r="BR592" s="7">
        <f>Wapato_Inventory[[#This Row],[Patio]]*Lookups!$B$21</f>
        <v>0</v>
      </c>
      <c r="BS592" s="7">
        <f>SUM(Wapato_Inventory[[#This Row],[intercept]:[patio_value]])*Wapato_Inventory[[#This Row],[res_pct]]</f>
        <v>208243.33853800001</v>
      </c>
      <c r="BT592" s="7">
        <f>Wapato_Inventory[[#This Row],[land_value]]</f>
        <v>52100</v>
      </c>
      <c r="BU592" s="2">
        <f>_xlfn.IFNA(VLOOKUP(Wapato_Inventory[[#This Row],[quality]],Lookups!$A$28:$C$37,3,FALSE),1)</f>
        <v>0.98196844879778955</v>
      </c>
      <c r="BV592" s="2">
        <f>_xlfn.IFNA(VLOOKUP(Wapato_Inventory[[#This Row],[condition]],Lookups!$A$41:$C$48,3,FALSE),1)</f>
        <v>0.99478075210508476</v>
      </c>
      <c r="BW592" s="2">
        <f>IF(Wapato_Inventory[[#This Row],[decade]]="",1,_xlfn.IFNA(VLOOKUP(Wapato_Inventory[[#This Row],[decade]],Lookups!$F$28:$H$45,3,FALSE),1))</f>
        <v>0.93664589651353292</v>
      </c>
      <c r="BX592" s="2">
        <f>_xlfn.IFNA(VLOOKUP(Wapato_Inventory[[#This Row],[living_area_range]],Lookups!$K$28:$M$37,3,FALSE),1)</f>
        <v>1.0061411172456287</v>
      </c>
      <c r="BY592" s="2">
        <f>AVERAGE(Wapato_Inventory[[#This Row],[qual_adj]:[range_adj]])</f>
        <v>0.9798840536655089</v>
      </c>
      <c r="BZ592" s="7">
        <f>(Wapato_Inventory[[#This Row],[sum_land]]-IF(Wapato_Inventory[[#This Row],[no_utilities]]=1,12000,0))/IF(Wapato_Inventory[[#This Row],[unbuildable]]=1,2,1)</f>
        <v>52100</v>
      </c>
      <c r="CA592" s="7">
        <f>Wapato_Inventory[[#This Row],[pre_res]]*Wapato_Inventory[[#This Row],[overall_adj]]</f>
        <v>204054.32671545434</v>
      </c>
      <c r="CB592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592" s="3">
        <f>IF(ROUND(Wapato_Inventory[[#This Row],[adj_res]]*Lookups!$H$48,-2)&lt;Wapato_Inventory[[#This Row],[min_res]],Wapato_Inventory[[#This Row],[min_res]],ROUND(Wapato_Inventory[[#This Row],[adj_res]]*Lookups!$H$48,-2))</f>
        <v>193900</v>
      </c>
      <c r="CD592" s="3">
        <f>ROUND(Wapato_Inventory[[#This Row],[det_value]]*Lookups!$H$48,-2)</f>
        <v>4200</v>
      </c>
      <c r="CE592" s="3">
        <f>Wapato_Inventory[[#This Row],[final_res]]+Wapato_Inventory[[#This Row],[final_det]]</f>
        <v>198100</v>
      </c>
      <c r="CF592" s="3">
        <f>Wapato_Inventory[[#This Row],[crop_value]]+Wapato_Inventory[[#This Row],[final_land]]+Wapato_Inventory[[#This Row],[final_imp]]</f>
        <v>247600</v>
      </c>
      <c r="CH592" t="str">
        <f t="shared" si="9"/>
        <v>update valuation set market_land =49500, market_bldg=198100, market_total =247600, market_mdno =405, market_date ='9/10/2023' where link_id = (select link_id from parcel where parcel_year = '2024' and parcel_id = '19111512471');</v>
      </c>
    </row>
    <row r="593" spans="1:86" x14ac:dyDescent="0.25">
      <c r="A593">
        <v>19111512472</v>
      </c>
      <c r="B593">
        <v>0.14000000000000001</v>
      </c>
      <c r="C593">
        <v>6125</v>
      </c>
      <c r="D593" t="s">
        <v>144</v>
      </c>
      <c r="E593" t="s">
        <v>54</v>
      </c>
      <c r="F593" t="s">
        <v>54</v>
      </c>
      <c r="G593">
        <v>3</v>
      </c>
      <c r="H593" t="s">
        <v>55</v>
      </c>
      <c r="I593">
        <v>132600</v>
      </c>
      <c r="J593">
        <v>31900</v>
      </c>
      <c r="K593">
        <v>0.14000000000000001</v>
      </c>
      <c r="L593">
        <f>IF(Wapato_Inventory[[#This Row],[parcel_acres]]-Wapato_Inventory[[#This Row],[non_valued_acres]] =0,0,LN(Wapato_Inventory[[#This Row],[parcel_acres]]-Wapato_Inventory[[#This Row],[non_valued_acres]]))</f>
        <v>-1.9661128563728327</v>
      </c>
      <c r="M593">
        <v>0</v>
      </c>
      <c r="N593">
        <v>0</v>
      </c>
      <c r="O593">
        <v>0</v>
      </c>
      <c r="P593">
        <v>27904.037</v>
      </c>
      <c r="Q593">
        <v>74398</v>
      </c>
      <c r="R593" s="3">
        <f>(Wapato_Inventory[[#This Row],[ln_acres]]*Wapato_Inventory[[#This Row],[coeff]])+Wapato_Inventory[[#This Row],[const]]</f>
        <v>19535.514109596792</v>
      </c>
      <c r="S593" t="s">
        <v>66</v>
      </c>
      <c r="T593">
        <v>1</v>
      </c>
      <c r="U593" t="s">
        <v>71</v>
      </c>
      <c r="V593" t="s">
        <v>68</v>
      </c>
      <c r="W593">
        <v>0</v>
      </c>
      <c r="X593">
        <v>0</v>
      </c>
      <c r="Y593">
        <v>52</v>
      </c>
      <c r="Z593">
        <v>88</v>
      </c>
      <c r="AA593">
        <v>90</v>
      </c>
      <c r="AB593">
        <v>1500</v>
      </c>
      <c r="AC593">
        <v>1162</v>
      </c>
      <c r="AD593">
        <v>1162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36</v>
      </c>
      <c r="AO593">
        <v>128</v>
      </c>
      <c r="AP593">
        <v>5</v>
      </c>
      <c r="AQ593">
        <v>0</v>
      </c>
      <c r="AR593">
        <v>1</v>
      </c>
      <c r="AS593" t="s">
        <v>59</v>
      </c>
      <c r="AT593">
        <v>1</v>
      </c>
      <c r="AU593" t="s">
        <v>64</v>
      </c>
      <c r="AV593" t="s">
        <v>65</v>
      </c>
      <c r="AW593">
        <v>0</v>
      </c>
      <c r="AX593">
        <v>2</v>
      </c>
      <c r="AY593">
        <v>0</v>
      </c>
      <c r="AZ593">
        <v>7000</v>
      </c>
      <c r="BA593">
        <v>100</v>
      </c>
      <c r="BB593">
        <v>100</v>
      </c>
      <c r="BC593">
        <v>100</v>
      </c>
      <c r="BD593">
        <v>100</v>
      </c>
      <c r="BE593">
        <v>1</v>
      </c>
      <c r="BF593">
        <v>15000</v>
      </c>
      <c r="BG593">
        <v>1000</v>
      </c>
      <c r="BH593" s="7">
        <f>ROUND(Wapato_Inventory[[#This Row],[detatched_value]]*Lookups!$B$22*Lookups!$H$48,-2)</f>
        <v>6300</v>
      </c>
      <c r="BI593" s="7">
        <f>ROUND(((Wapato_Inventory[[#This Row],[land_extract]]*Lookups!$B$3) +(Lookups!$B$2*0.5))*Lookups!$H$48,-2)</f>
        <v>53000</v>
      </c>
      <c r="BJ593" s="7">
        <f>IF(Wapato_Inventory[[#This Row],[bldg_style]]="",0,Lookups!$B$2*0.5)</f>
        <v>53765.27</v>
      </c>
      <c r="BK593" s="7">
        <f>_xlfn.IFNA(VLOOKUP(Wapato_Inventory[[#This Row],[quality]],Lookups!$H$2:$J$14,3,FALSE),0)</f>
        <v>28034</v>
      </c>
      <c r="BL593" s="7">
        <f>_xlfn.IFNA(VLOOKUP(Wapato_Inventory[[#This Row],[condition]],Lookups!$H$17:$J$24,3,FALSE),0)</f>
        <v>52231</v>
      </c>
      <c r="BM593" s="7">
        <f>Wapato_Inventory[[#This Row],[Age]]*Lookups!$B$16</f>
        <v>-32619.461600000002</v>
      </c>
      <c r="BN593" s="7">
        <f>Wapato_Inventory[[#This Row],[Main Floor]]*Lookups!$B$17</f>
        <v>48572.458718000002</v>
      </c>
      <c r="BO593" s="7">
        <f>Wapato_Inventory[[#This Row],[Upper Floor]]*Lookups!$B$18</f>
        <v>0</v>
      </c>
      <c r="BP593" s="7">
        <f>Wapato_Inventory[[#This Row],[Fin BSMT]]*Lookups!$B$19</f>
        <v>0</v>
      </c>
      <c r="BQ593" s="7">
        <f>(Wapato_Inventory[[#This Row],[att_gar]]+Wapato_Inventory[[#This Row],[blt_gar]])*Lookups!$B$20</f>
        <v>0</v>
      </c>
      <c r="BR593" s="7">
        <f>Wapato_Inventory[[#This Row],[Patio]]*Lookups!$B$21</f>
        <v>0</v>
      </c>
      <c r="BS593" s="7">
        <f>SUM(Wapato_Inventory[[#This Row],[intercept]:[patio_value]])*Wapato_Inventory[[#This Row],[res_pct]]</f>
        <v>149983.26711799999</v>
      </c>
      <c r="BT593" s="7">
        <f>Wapato_Inventory[[#This Row],[land_value]]</f>
        <v>53000</v>
      </c>
      <c r="BU593" s="2">
        <f>_xlfn.IFNA(VLOOKUP(Wapato_Inventory[[#This Row],[quality]],Lookups!$A$28:$C$37,3,FALSE),1)</f>
        <v>0.96265813922927435</v>
      </c>
      <c r="BV593" s="2">
        <f>_xlfn.IFNA(VLOOKUP(Wapato_Inventory[[#This Row],[condition]],Lookups!$A$41:$C$48,3,FALSE),1)</f>
        <v>0.9832333997567807</v>
      </c>
      <c r="BW593" s="2">
        <f>IF(Wapato_Inventory[[#This Row],[decade]]="",1,_xlfn.IFNA(VLOOKUP(Wapato_Inventory[[#This Row],[decade]],Lookups!$F$28:$H$45,3,FALSE),1))</f>
        <v>0.94742695999815718</v>
      </c>
      <c r="BX593" s="2">
        <f>_xlfn.IFNA(VLOOKUP(Wapato_Inventory[[#This Row],[living_area_range]],Lookups!$K$28:$M$37,3,FALSE),1)</f>
        <v>1.0061411172456287</v>
      </c>
      <c r="BY593" s="2">
        <f>AVERAGE(Wapato_Inventory[[#This Row],[qual_adj]:[range_adj]])</f>
        <v>0.97486490405746018</v>
      </c>
      <c r="BZ593" s="7">
        <f>(Wapato_Inventory[[#This Row],[sum_land]]-IF(Wapato_Inventory[[#This Row],[no_utilities]]=1,12000,0))/IF(Wapato_Inventory[[#This Row],[unbuildable]]=1,2,1)</f>
        <v>53000</v>
      </c>
      <c r="CA593" s="7">
        <f>Wapato_Inventory[[#This Row],[pre_res]]*Wapato_Inventory[[#This Row],[overall_adj]]</f>
        <v>146213.42330921348</v>
      </c>
      <c r="CB59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93" s="3">
        <f>IF(ROUND(Wapato_Inventory[[#This Row],[adj_res]]*Lookups!$H$48,-2)&lt;Wapato_Inventory[[#This Row],[min_res]],Wapato_Inventory[[#This Row],[min_res]],ROUND(Wapato_Inventory[[#This Row],[adj_res]]*Lookups!$H$48,-2))</f>
        <v>138900</v>
      </c>
      <c r="CD593" s="3">
        <f>ROUND(Wapato_Inventory[[#This Row],[det_value]]*Lookups!$H$48,-2)</f>
        <v>6000</v>
      </c>
      <c r="CE593" s="3">
        <f>Wapato_Inventory[[#This Row],[final_res]]+Wapato_Inventory[[#This Row],[final_det]]</f>
        <v>144900</v>
      </c>
      <c r="CF593" s="3">
        <f>Wapato_Inventory[[#This Row],[crop_value]]+Wapato_Inventory[[#This Row],[final_land]]+Wapato_Inventory[[#This Row],[final_imp]]</f>
        <v>195300</v>
      </c>
      <c r="CH593" t="str">
        <f t="shared" si="9"/>
        <v>update valuation set market_land =50400, market_bldg=144900, market_total =195300, market_mdno =405, market_date ='9/10/2023' where link_id = (select link_id from parcel where parcel_year = '2024' and parcel_id = '19111512472');</v>
      </c>
    </row>
    <row r="594" spans="1:86" x14ac:dyDescent="0.25">
      <c r="A594">
        <v>19111512473</v>
      </c>
      <c r="B594">
        <v>0.1</v>
      </c>
      <c r="C594">
        <v>4168</v>
      </c>
      <c r="D594" t="s">
        <v>144</v>
      </c>
      <c r="E594" t="s">
        <v>54</v>
      </c>
      <c r="F594" t="s">
        <v>54</v>
      </c>
      <c r="G594">
        <v>3</v>
      </c>
      <c r="H594" t="s">
        <v>55</v>
      </c>
      <c r="I594">
        <v>134800</v>
      </c>
      <c r="J594">
        <v>29500</v>
      </c>
      <c r="K594">
        <v>0.1</v>
      </c>
      <c r="L594">
        <f>IF(Wapato_Inventory[[#This Row],[parcel_acres]]-Wapato_Inventory[[#This Row],[non_valued_acres]] =0,0,LN(Wapato_Inventory[[#This Row],[parcel_acres]]-Wapato_Inventory[[#This Row],[non_valued_acres]]))</f>
        <v>-2.3025850929940455</v>
      </c>
      <c r="M594">
        <v>0</v>
      </c>
      <c r="N594">
        <v>0</v>
      </c>
      <c r="O594">
        <v>0</v>
      </c>
      <c r="P594">
        <v>27904.037</v>
      </c>
      <c r="Q594">
        <v>74398</v>
      </c>
      <c r="R594" s="3">
        <f>(Wapato_Inventory[[#This Row],[ln_acres]]*Wapato_Inventory[[#This Row],[coeff]])+Wapato_Inventory[[#This Row],[const]]</f>
        <v>10146.580369445714</v>
      </c>
      <c r="S594" t="s">
        <v>66</v>
      </c>
      <c r="T594">
        <v>1</v>
      </c>
      <c r="U594" t="s">
        <v>71</v>
      </c>
      <c r="V594" t="s">
        <v>69</v>
      </c>
      <c r="W594">
        <v>0</v>
      </c>
      <c r="X594">
        <v>0</v>
      </c>
      <c r="Y594">
        <v>53</v>
      </c>
      <c r="Z594">
        <v>93</v>
      </c>
      <c r="AA594">
        <v>100</v>
      </c>
      <c r="AB594">
        <v>1000</v>
      </c>
      <c r="AC594">
        <v>816</v>
      </c>
      <c r="AD594">
        <v>816</v>
      </c>
      <c r="AE594">
        <v>0</v>
      </c>
      <c r="AF594">
        <v>0</v>
      </c>
      <c r="AG594">
        <v>0</v>
      </c>
      <c r="AH594">
        <v>816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20</v>
      </c>
      <c r="AO594">
        <v>0</v>
      </c>
      <c r="AP594">
        <v>5</v>
      </c>
      <c r="AQ594">
        <v>0</v>
      </c>
      <c r="AR594">
        <v>0</v>
      </c>
      <c r="AS594" t="s">
        <v>59</v>
      </c>
      <c r="AT594">
        <v>1</v>
      </c>
      <c r="AU594" t="s">
        <v>64</v>
      </c>
      <c r="AV594" t="s">
        <v>65</v>
      </c>
      <c r="AW594">
        <v>0</v>
      </c>
      <c r="AX594">
        <v>2</v>
      </c>
      <c r="AY594">
        <v>0</v>
      </c>
      <c r="AZ594">
        <v>0</v>
      </c>
      <c r="BA594">
        <v>100</v>
      </c>
      <c r="BB594">
        <v>100</v>
      </c>
      <c r="BC594">
        <v>100</v>
      </c>
      <c r="BD594">
        <v>100</v>
      </c>
      <c r="BE594">
        <v>1</v>
      </c>
      <c r="BF594">
        <v>15000</v>
      </c>
      <c r="BG594">
        <v>1000</v>
      </c>
      <c r="BH594" s="7">
        <f>ROUND(Wapato_Inventory[[#This Row],[detatched_value]]*Lookups!$B$22*Lookups!$H$48,-2)</f>
        <v>0</v>
      </c>
      <c r="BI594" s="7">
        <f>ROUND(((Wapato_Inventory[[#This Row],[land_extract]]*Lookups!$B$3) +(Lookups!$B$2*0.5))*Lookups!$H$48,-2)</f>
        <v>52100</v>
      </c>
      <c r="BJ594" s="7">
        <f>IF(Wapato_Inventory[[#This Row],[bldg_style]]="",0,Lookups!$B$2*0.5)</f>
        <v>53765.27</v>
      </c>
      <c r="BK594" s="7">
        <f>_xlfn.IFNA(VLOOKUP(Wapato_Inventory[[#This Row],[quality]],Lookups!$H$2:$J$14,3,FALSE),0)</f>
        <v>28034</v>
      </c>
      <c r="BL594" s="7">
        <f>_xlfn.IFNA(VLOOKUP(Wapato_Inventory[[#This Row],[condition]],Lookups!$H$17:$J$24,3,FALSE),0)</f>
        <v>74543</v>
      </c>
      <c r="BM594" s="7">
        <f>Wapato_Inventory[[#This Row],[Age]]*Lookups!$B$16</f>
        <v>-34472.840100000001</v>
      </c>
      <c r="BN594" s="7">
        <f>Wapato_Inventory[[#This Row],[Main Floor]]*Lookups!$B$17</f>
        <v>34109.403023999999</v>
      </c>
      <c r="BO594" s="7">
        <f>Wapato_Inventory[[#This Row],[Upper Floor]]*Lookups!$B$18</f>
        <v>0</v>
      </c>
      <c r="BP594" s="7">
        <f>Wapato_Inventory[[#This Row],[Fin BSMT]]*Lookups!$B$19</f>
        <v>0</v>
      </c>
      <c r="BQ594" s="7">
        <f>(Wapato_Inventory[[#This Row],[att_gar]]+Wapato_Inventory[[#This Row],[blt_gar]])*Lookups!$B$20</f>
        <v>0</v>
      </c>
      <c r="BR594" s="7">
        <f>Wapato_Inventory[[#This Row],[Patio]]*Lookups!$B$21</f>
        <v>0</v>
      </c>
      <c r="BS594" s="7">
        <f>SUM(Wapato_Inventory[[#This Row],[intercept]:[patio_value]])*Wapato_Inventory[[#This Row],[res_pct]]</f>
        <v>155978.83292399999</v>
      </c>
      <c r="BT594" s="7">
        <f>Wapato_Inventory[[#This Row],[land_value]]</f>
        <v>52100</v>
      </c>
      <c r="BU594" s="2">
        <f>_xlfn.IFNA(VLOOKUP(Wapato_Inventory[[#This Row],[quality]],Lookups!$A$28:$C$37,3,FALSE),1)</f>
        <v>0.96265813922927435</v>
      </c>
      <c r="BV594" s="2">
        <f>_xlfn.IFNA(VLOOKUP(Wapato_Inventory[[#This Row],[condition]],Lookups!$A$41:$C$48,3,FALSE),1)</f>
        <v>0.98442438223270734</v>
      </c>
      <c r="BW594" s="2">
        <f>IF(Wapato_Inventory[[#This Row],[decade]]="",1,_xlfn.IFNA(VLOOKUP(Wapato_Inventory[[#This Row],[decade]],Lookups!$F$28:$H$45,3,FALSE),1))</f>
        <v>1.0114203040664467</v>
      </c>
      <c r="BX594" s="2">
        <f>_xlfn.IFNA(VLOOKUP(Wapato_Inventory[[#This Row],[living_area_range]],Lookups!$K$28:$M$37,3,FALSE),1)</f>
        <v>0.99022994770196116</v>
      </c>
      <c r="BY594" s="2">
        <f>AVERAGE(Wapato_Inventory[[#This Row],[qual_adj]:[range_adj]])</f>
        <v>0.9871831933075973</v>
      </c>
      <c r="BZ594" s="7">
        <f>(Wapato_Inventory[[#This Row],[sum_land]]-IF(Wapato_Inventory[[#This Row],[no_utilities]]=1,12000,0))/IF(Wapato_Inventory[[#This Row],[unbuildable]]=1,2,1)</f>
        <v>52100</v>
      </c>
      <c r="CA594" s="7">
        <f>Wapato_Inventory[[#This Row],[pre_res]]*Wapato_Inventory[[#This Row],[overall_adj]]</f>
        <v>153979.68237430649</v>
      </c>
      <c r="CB594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594" s="3">
        <f>IF(ROUND(Wapato_Inventory[[#This Row],[adj_res]]*Lookups!$H$48,-2)&lt;Wapato_Inventory[[#This Row],[min_res]],Wapato_Inventory[[#This Row],[min_res]],ROUND(Wapato_Inventory[[#This Row],[adj_res]]*Lookups!$H$48,-2))</f>
        <v>146300</v>
      </c>
      <c r="CD594" s="3">
        <f>ROUND(Wapato_Inventory[[#This Row],[det_value]]*Lookups!$H$48,-2)</f>
        <v>0</v>
      </c>
      <c r="CE594" s="3">
        <f>Wapato_Inventory[[#This Row],[final_res]]+Wapato_Inventory[[#This Row],[final_det]]</f>
        <v>146300</v>
      </c>
      <c r="CF594" s="3">
        <f>Wapato_Inventory[[#This Row],[crop_value]]+Wapato_Inventory[[#This Row],[final_land]]+Wapato_Inventory[[#This Row],[final_imp]]</f>
        <v>195800</v>
      </c>
      <c r="CH594" t="str">
        <f t="shared" si="9"/>
        <v>update valuation set market_land =49500, market_bldg=146300, market_total =195800, market_mdno =405, market_date ='9/10/2023' where link_id = (select link_id from parcel where parcel_year = '2024' and parcel_id = '19111512473');</v>
      </c>
    </row>
    <row r="595" spans="1:86" x14ac:dyDescent="0.25">
      <c r="A595">
        <v>19111512474</v>
      </c>
      <c r="B595">
        <v>0.14000000000000001</v>
      </c>
      <c r="C595">
        <v>6045</v>
      </c>
      <c r="D595" t="s">
        <v>144</v>
      </c>
      <c r="E595" t="s">
        <v>54</v>
      </c>
      <c r="F595" t="s">
        <v>54</v>
      </c>
      <c r="G595">
        <v>3</v>
      </c>
      <c r="H595" t="s">
        <v>55</v>
      </c>
      <c r="I595">
        <v>138300</v>
      </c>
      <c r="J595">
        <v>31900</v>
      </c>
      <c r="K595">
        <v>0.14000000000000001</v>
      </c>
      <c r="L595">
        <f>IF(Wapato_Inventory[[#This Row],[parcel_acres]]-Wapato_Inventory[[#This Row],[non_valued_acres]] =0,0,LN(Wapato_Inventory[[#This Row],[parcel_acres]]-Wapato_Inventory[[#This Row],[non_valued_acres]]))</f>
        <v>-1.9661128563728327</v>
      </c>
      <c r="M595">
        <v>0</v>
      </c>
      <c r="N595">
        <v>0</v>
      </c>
      <c r="O595">
        <v>0</v>
      </c>
      <c r="P595">
        <v>27904.037</v>
      </c>
      <c r="Q595">
        <v>74398</v>
      </c>
      <c r="R595" s="3">
        <f>(Wapato_Inventory[[#This Row],[ln_acres]]*Wapato_Inventory[[#This Row],[coeff]])+Wapato_Inventory[[#This Row],[const]]</f>
        <v>19535.514109596792</v>
      </c>
      <c r="S595" t="s">
        <v>66</v>
      </c>
      <c r="T595">
        <v>1</v>
      </c>
      <c r="U595" t="s">
        <v>71</v>
      </c>
      <c r="V595" t="s">
        <v>69</v>
      </c>
      <c r="W595">
        <v>0</v>
      </c>
      <c r="X595">
        <v>0</v>
      </c>
      <c r="Y595">
        <v>57</v>
      </c>
      <c r="Z595">
        <v>103</v>
      </c>
      <c r="AA595">
        <v>110</v>
      </c>
      <c r="AB595">
        <v>1000</v>
      </c>
      <c r="AC595">
        <v>986</v>
      </c>
      <c r="AD595">
        <v>986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5</v>
      </c>
      <c r="AQ595">
        <v>0</v>
      </c>
      <c r="AR595">
        <v>0</v>
      </c>
      <c r="AS595" t="s">
        <v>59</v>
      </c>
      <c r="AT595">
        <v>0</v>
      </c>
      <c r="AU595" t="s">
        <v>80</v>
      </c>
      <c r="AV595" t="s">
        <v>65</v>
      </c>
      <c r="AW595">
        <v>0</v>
      </c>
      <c r="AX595">
        <v>2</v>
      </c>
      <c r="AY595">
        <v>0</v>
      </c>
      <c r="AZ595">
        <v>0</v>
      </c>
      <c r="BA595">
        <v>100</v>
      </c>
      <c r="BB595">
        <v>100</v>
      </c>
      <c r="BC595">
        <v>100</v>
      </c>
      <c r="BD595">
        <v>100</v>
      </c>
      <c r="BE595">
        <v>1</v>
      </c>
      <c r="BF595">
        <v>15000</v>
      </c>
      <c r="BG595">
        <v>1000</v>
      </c>
      <c r="BH595" s="7">
        <f>ROUND(Wapato_Inventory[[#This Row],[detatched_value]]*Lookups!$B$22*Lookups!$H$48,-2)</f>
        <v>0</v>
      </c>
      <c r="BI595" s="7">
        <f>ROUND(((Wapato_Inventory[[#This Row],[land_extract]]*Lookups!$B$3) +(Lookups!$B$2*0.5))*Lookups!$H$48,-2)</f>
        <v>53000</v>
      </c>
      <c r="BJ595" s="7">
        <f>IF(Wapato_Inventory[[#This Row],[bldg_style]]="",0,Lookups!$B$2*0.5)</f>
        <v>53765.27</v>
      </c>
      <c r="BK595" s="7">
        <f>_xlfn.IFNA(VLOOKUP(Wapato_Inventory[[#This Row],[quality]],Lookups!$H$2:$J$14,3,FALSE),0)</f>
        <v>28034</v>
      </c>
      <c r="BL595" s="7">
        <f>_xlfn.IFNA(VLOOKUP(Wapato_Inventory[[#This Row],[condition]],Lookups!$H$17:$J$24,3,FALSE),0)</f>
        <v>74543</v>
      </c>
      <c r="BM595" s="7">
        <f>Wapato_Inventory[[#This Row],[Age]]*Lookups!$B$16</f>
        <v>-38179.597099999999</v>
      </c>
      <c r="BN595" s="7">
        <f>Wapato_Inventory[[#This Row],[Main Floor]]*Lookups!$B$17</f>
        <v>41215.528654000002</v>
      </c>
      <c r="BO595" s="7">
        <f>Wapato_Inventory[[#This Row],[Upper Floor]]*Lookups!$B$18</f>
        <v>0</v>
      </c>
      <c r="BP595" s="7">
        <f>Wapato_Inventory[[#This Row],[Fin BSMT]]*Lookups!$B$19</f>
        <v>0</v>
      </c>
      <c r="BQ595" s="7">
        <f>(Wapato_Inventory[[#This Row],[att_gar]]+Wapato_Inventory[[#This Row],[blt_gar]])*Lookups!$B$20</f>
        <v>0</v>
      </c>
      <c r="BR595" s="7">
        <f>Wapato_Inventory[[#This Row],[Patio]]*Lookups!$B$21</f>
        <v>0</v>
      </c>
      <c r="BS595" s="7">
        <f>SUM(Wapato_Inventory[[#This Row],[intercept]:[patio_value]])*Wapato_Inventory[[#This Row],[res_pct]]</f>
        <v>159378.201554</v>
      </c>
      <c r="BT595" s="7">
        <f>Wapato_Inventory[[#This Row],[land_value]]</f>
        <v>53000</v>
      </c>
      <c r="BU595" s="2">
        <f>_xlfn.IFNA(VLOOKUP(Wapato_Inventory[[#This Row],[quality]],Lookups!$A$28:$C$37,3,FALSE),1)</f>
        <v>0.96265813922927435</v>
      </c>
      <c r="BV595" s="2">
        <f>_xlfn.IFNA(VLOOKUP(Wapato_Inventory[[#This Row],[condition]],Lookups!$A$41:$C$48,3,FALSE),1)</f>
        <v>0.98442438223270734</v>
      </c>
      <c r="BW595" s="2">
        <f>IF(Wapato_Inventory[[#This Row],[decade]]="",1,_xlfn.IFNA(VLOOKUP(Wapato_Inventory[[#This Row],[decade]],Lookups!$F$28:$H$45,3,FALSE),1))</f>
        <v>0.93664589651353292</v>
      </c>
      <c r="BX595" s="2">
        <f>_xlfn.IFNA(VLOOKUP(Wapato_Inventory[[#This Row],[living_area_range]],Lookups!$K$28:$M$37,3,FALSE),1)</f>
        <v>0.99022994770196116</v>
      </c>
      <c r="BY595" s="2">
        <f>AVERAGE(Wapato_Inventory[[#This Row],[qual_adj]:[range_adj]])</f>
        <v>0.96848959141936886</v>
      </c>
      <c r="BZ595" s="7">
        <f>(Wapato_Inventory[[#This Row],[sum_land]]-IF(Wapato_Inventory[[#This Row],[no_utilities]]=1,12000,0))/IF(Wapato_Inventory[[#This Row],[unbuildable]]=1,2,1)</f>
        <v>53000</v>
      </c>
      <c r="CA595" s="7">
        <f>Wapato_Inventory[[#This Row],[pre_res]]*Wapato_Inventory[[#This Row],[overall_adj]]</f>
        <v>154356.12930418729</v>
      </c>
      <c r="CB59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595" s="3">
        <f>IF(ROUND(Wapato_Inventory[[#This Row],[adj_res]]*Lookups!$H$48,-2)&lt;Wapato_Inventory[[#This Row],[min_res]],Wapato_Inventory[[#This Row],[min_res]],ROUND(Wapato_Inventory[[#This Row],[adj_res]]*Lookups!$H$48,-2))</f>
        <v>146600</v>
      </c>
      <c r="CD595" s="3">
        <f>ROUND(Wapato_Inventory[[#This Row],[det_value]]*Lookups!$H$48,-2)</f>
        <v>0</v>
      </c>
      <c r="CE595" s="3">
        <f>Wapato_Inventory[[#This Row],[final_res]]+Wapato_Inventory[[#This Row],[final_det]]</f>
        <v>146600</v>
      </c>
      <c r="CF595" s="3">
        <f>Wapato_Inventory[[#This Row],[crop_value]]+Wapato_Inventory[[#This Row],[final_land]]+Wapato_Inventory[[#This Row],[final_imp]]</f>
        <v>197000</v>
      </c>
      <c r="CH595" t="str">
        <f t="shared" si="9"/>
        <v>update valuation set market_land =50400, market_bldg=146600, market_total =197000, market_mdno =405, market_date ='9/10/2023' where link_id = (select link_id from parcel where parcel_year = '2024' and parcel_id = '19111512474');</v>
      </c>
    </row>
    <row r="596" spans="1:86" x14ac:dyDescent="0.25">
      <c r="A596">
        <v>19111512475</v>
      </c>
      <c r="B596">
        <v>7.0000000000000007E-2</v>
      </c>
      <c r="C596">
        <v>2936</v>
      </c>
      <c r="D596" t="s">
        <v>144</v>
      </c>
      <c r="E596" t="s">
        <v>54</v>
      </c>
      <c r="F596" t="s">
        <v>54</v>
      </c>
      <c r="G596">
        <v>3</v>
      </c>
      <c r="H596" t="s">
        <v>55</v>
      </c>
      <c r="I596">
        <v>92600</v>
      </c>
      <c r="J596">
        <v>26900</v>
      </c>
      <c r="K596">
        <v>7.0000000000000007E-2</v>
      </c>
      <c r="L596">
        <f>IF(Wapato_Inventory[[#This Row],[parcel_acres]]-Wapato_Inventory[[#This Row],[non_valued_acres]] =0,0,LN(Wapato_Inventory[[#This Row],[parcel_acres]]-Wapato_Inventory[[#This Row],[non_valued_acres]]))</f>
        <v>-2.6592600369327779</v>
      </c>
      <c r="M596">
        <v>0</v>
      </c>
      <c r="N596">
        <v>0</v>
      </c>
      <c r="O596">
        <v>0</v>
      </c>
      <c r="P596">
        <v>27904.037</v>
      </c>
      <c r="Q596">
        <v>74398</v>
      </c>
      <c r="R596" s="3">
        <f>(Wapato_Inventory[[#This Row],[ln_acres]]*Wapato_Inventory[[#This Row],[coeff]])+Wapato_Inventory[[#This Row],[const]]</f>
        <v>193.90953680640087</v>
      </c>
      <c r="S596" t="s">
        <v>66</v>
      </c>
      <c r="T596">
        <v>1</v>
      </c>
      <c r="U596" t="s">
        <v>71</v>
      </c>
      <c r="V596" t="s">
        <v>68</v>
      </c>
      <c r="W596">
        <v>0</v>
      </c>
      <c r="X596">
        <v>0</v>
      </c>
      <c r="Y596">
        <v>55</v>
      </c>
      <c r="Z596">
        <v>98</v>
      </c>
      <c r="AA596">
        <v>100</v>
      </c>
      <c r="AB596">
        <v>1000</v>
      </c>
      <c r="AC596">
        <v>760</v>
      </c>
      <c r="AD596">
        <v>760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5</v>
      </c>
      <c r="AQ596">
        <v>0</v>
      </c>
      <c r="AR596">
        <v>0</v>
      </c>
      <c r="AS596" t="s">
        <v>59</v>
      </c>
      <c r="AT596">
        <v>0</v>
      </c>
      <c r="AU596" t="s">
        <v>80</v>
      </c>
      <c r="AV596" t="s">
        <v>65</v>
      </c>
      <c r="AW596">
        <v>0</v>
      </c>
      <c r="AX596">
        <v>3</v>
      </c>
      <c r="AY596">
        <v>0</v>
      </c>
      <c r="AZ596">
        <v>800</v>
      </c>
      <c r="BA596">
        <v>100</v>
      </c>
      <c r="BB596">
        <v>100</v>
      </c>
      <c r="BC596">
        <v>100</v>
      </c>
      <c r="BD596">
        <v>100</v>
      </c>
      <c r="BE596">
        <v>1</v>
      </c>
      <c r="BF596">
        <v>15000</v>
      </c>
      <c r="BG596">
        <v>1000</v>
      </c>
      <c r="BH596" s="7">
        <f>ROUND(Wapato_Inventory[[#This Row],[detatched_value]]*Lookups!$B$22*Lookups!$H$48,-2)</f>
        <v>700</v>
      </c>
      <c r="BI596" s="7">
        <f>ROUND(((Wapato_Inventory[[#This Row],[land_extract]]*Lookups!$B$3) +(Lookups!$B$2*0.5))*Lookups!$H$48,-2)</f>
        <v>51100</v>
      </c>
      <c r="BJ596" s="7">
        <f>IF(Wapato_Inventory[[#This Row],[bldg_style]]="",0,Lookups!$B$2*0.5)</f>
        <v>53765.27</v>
      </c>
      <c r="BK596" s="7">
        <f>_xlfn.IFNA(VLOOKUP(Wapato_Inventory[[#This Row],[quality]],Lookups!$H$2:$J$14,3,FALSE),0)</f>
        <v>28034</v>
      </c>
      <c r="BL596" s="7">
        <f>_xlfn.IFNA(VLOOKUP(Wapato_Inventory[[#This Row],[condition]],Lookups!$H$17:$J$24,3,FALSE),0)</f>
        <v>52231</v>
      </c>
      <c r="BM596" s="7">
        <f>Wapato_Inventory[[#This Row],[Age]]*Lookups!$B$16</f>
        <v>-36326.2186</v>
      </c>
      <c r="BN596" s="7">
        <f>Wapato_Inventory[[#This Row],[Main Floor]]*Lookups!$B$17</f>
        <v>31768.56164</v>
      </c>
      <c r="BO596" s="7">
        <f>Wapato_Inventory[[#This Row],[Upper Floor]]*Lookups!$B$18</f>
        <v>0</v>
      </c>
      <c r="BP596" s="7">
        <f>Wapato_Inventory[[#This Row],[Fin BSMT]]*Lookups!$B$19</f>
        <v>0</v>
      </c>
      <c r="BQ596" s="7">
        <f>(Wapato_Inventory[[#This Row],[att_gar]]+Wapato_Inventory[[#This Row],[blt_gar]])*Lookups!$B$20</f>
        <v>0</v>
      </c>
      <c r="BR596" s="7">
        <f>Wapato_Inventory[[#This Row],[Patio]]*Lookups!$B$21</f>
        <v>0</v>
      </c>
      <c r="BS596" s="7">
        <f>SUM(Wapato_Inventory[[#This Row],[intercept]:[patio_value]])*Wapato_Inventory[[#This Row],[res_pct]]</f>
        <v>129472.61304</v>
      </c>
      <c r="BT596" s="7">
        <f>Wapato_Inventory[[#This Row],[land_value]]</f>
        <v>51100</v>
      </c>
      <c r="BU596" s="2">
        <f>_xlfn.IFNA(VLOOKUP(Wapato_Inventory[[#This Row],[quality]],Lookups!$A$28:$C$37,3,FALSE),1)</f>
        <v>0.96265813922927435</v>
      </c>
      <c r="BV596" s="2">
        <f>_xlfn.IFNA(VLOOKUP(Wapato_Inventory[[#This Row],[condition]],Lookups!$A$41:$C$48,3,FALSE),1)</f>
        <v>0.9832333997567807</v>
      </c>
      <c r="BW596" s="2">
        <f>IF(Wapato_Inventory[[#This Row],[decade]]="",1,_xlfn.IFNA(VLOOKUP(Wapato_Inventory[[#This Row],[decade]],Lookups!$F$28:$H$45,3,FALSE),1))</f>
        <v>1.0114203040664467</v>
      </c>
      <c r="BX596" s="2">
        <f>_xlfn.IFNA(VLOOKUP(Wapato_Inventory[[#This Row],[living_area_range]],Lookups!$K$28:$M$37,3,FALSE),1)</f>
        <v>0.99022994770196116</v>
      </c>
      <c r="BY596" s="2">
        <f>AVERAGE(Wapato_Inventory[[#This Row],[qual_adj]:[range_adj]])</f>
        <v>0.98688544768861564</v>
      </c>
      <c r="BZ596" s="7">
        <f>(Wapato_Inventory[[#This Row],[sum_land]]-IF(Wapato_Inventory[[#This Row],[no_utilities]]=1,12000,0))/IF(Wapato_Inventory[[#This Row],[unbuildable]]=1,2,1)</f>
        <v>51100</v>
      </c>
      <c r="CA596" s="7">
        <f>Wapato_Inventory[[#This Row],[pre_res]]*Wapato_Inventory[[#This Row],[overall_adj]]</f>
        <v>127774.6376833953</v>
      </c>
      <c r="CB596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596" s="3">
        <f>IF(ROUND(Wapato_Inventory[[#This Row],[adj_res]]*Lookups!$H$48,-2)&lt;Wapato_Inventory[[#This Row],[min_res]],Wapato_Inventory[[#This Row],[min_res]],ROUND(Wapato_Inventory[[#This Row],[adj_res]]*Lookups!$H$48,-2))</f>
        <v>121400</v>
      </c>
      <c r="CD596" s="3">
        <f>ROUND(Wapato_Inventory[[#This Row],[det_value]]*Lookups!$H$48,-2)</f>
        <v>700</v>
      </c>
      <c r="CE596" s="3">
        <f>Wapato_Inventory[[#This Row],[final_res]]+Wapato_Inventory[[#This Row],[final_det]]</f>
        <v>122100</v>
      </c>
      <c r="CF596" s="3">
        <f>Wapato_Inventory[[#This Row],[crop_value]]+Wapato_Inventory[[#This Row],[final_land]]+Wapato_Inventory[[#This Row],[final_imp]]</f>
        <v>170600</v>
      </c>
      <c r="CH596" t="str">
        <f t="shared" si="9"/>
        <v>update valuation set market_land =48500, market_bldg=122100, market_total =170600, market_mdno =405, market_date ='9/10/2023' where link_id = (select link_id from parcel where parcel_year = '2024' and parcel_id = '19111512475');</v>
      </c>
    </row>
    <row r="597" spans="1:86" x14ac:dyDescent="0.25">
      <c r="A597">
        <v>19111512476</v>
      </c>
      <c r="B597">
        <v>0.16</v>
      </c>
      <c r="C597">
        <v>7155</v>
      </c>
      <c r="D597" t="s">
        <v>144</v>
      </c>
      <c r="E597" t="s">
        <v>54</v>
      </c>
      <c r="F597" t="s">
        <v>54</v>
      </c>
      <c r="G597">
        <v>3</v>
      </c>
      <c r="H597" t="s">
        <v>55</v>
      </c>
      <c r="I597">
        <v>154000</v>
      </c>
      <c r="J597">
        <v>32800</v>
      </c>
      <c r="K597">
        <v>0.16</v>
      </c>
      <c r="L597">
        <f>IF(Wapato_Inventory[[#This Row],[parcel_acres]]-Wapato_Inventory[[#This Row],[non_valued_acres]] =0,0,LN(Wapato_Inventory[[#This Row],[parcel_acres]]-Wapato_Inventory[[#This Row],[non_valued_acres]]))</f>
        <v>-1.8325814637483102</v>
      </c>
      <c r="M597">
        <v>0</v>
      </c>
      <c r="N597">
        <v>0</v>
      </c>
      <c r="O597">
        <v>0</v>
      </c>
      <c r="P597">
        <v>27904.037</v>
      </c>
      <c r="Q597">
        <v>74398</v>
      </c>
      <c r="R597" s="3">
        <f>(Wapato_Inventory[[#This Row],[ln_acres]]*Wapato_Inventory[[#This Row],[coeff]])+Wapato_Inventory[[#This Row],[const]]</f>
        <v>23261.579030052992</v>
      </c>
      <c r="S597" t="s">
        <v>66</v>
      </c>
      <c r="T597">
        <v>1</v>
      </c>
      <c r="U597" t="s">
        <v>75</v>
      </c>
      <c r="V597" t="s">
        <v>68</v>
      </c>
      <c r="W597">
        <v>0</v>
      </c>
      <c r="X597">
        <v>0</v>
      </c>
      <c r="Y597">
        <v>51</v>
      </c>
      <c r="Z597">
        <v>83</v>
      </c>
      <c r="AA597">
        <v>90</v>
      </c>
      <c r="AB597">
        <v>1500</v>
      </c>
      <c r="AC597">
        <v>1156</v>
      </c>
      <c r="AD597">
        <v>1156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380</v>
      </c>
      <c r="AL597">
        <v>0</v>
      </c>
      <c r="AM597">
        <v>0</v>
      </c>
      <c r="AN597">
        <v>0</v>
      </c>
      <c r="AO597">
        <v>0</v>
      </c>
      <c r="AP597">
        <v>5</v>
      </c>
      <c r="AQ597">
        <v>0</v>
      </c>
      <c r="AR597">
        <v>1</v>
      </c>
      <c r="AS597" t="s">
        <v>59</v>
      </c>
      <c r="AT597">
        <v>1</v>
      </c>
      <c r="AU597" t="s">
        <v>64</v>
      </c>
      <c r="AV597" t="s">
        <v>77</v>
      </c>
      <c r="AW597">
        <v>1</v>
      </c>
      <c r="AX597">
        <v>3</v>
      </c>
      <c r="AY597">
        <v>0</v>
      </c>
      <c r="AZ597">
        <v>0</v>
      </c>
      <c r="BA597">
        <v>100</v>
      </c>
      <c r="BB597">
        <v>100</v>
      </c>
      <c r="BC597">
        <v>100</v>
      </c>
      <c r="BD597">
        <v>100</v>
      </c>
      <c r="BE597">
        <v>1</v>
      </c>
      <c r="BF597">
        <v>15000</v>
      </c>
      <c r="BG597">
        <v>1000</v>
      </c>
      <c r="BH597" s="7">
        <f>ROUND(Wapato_Inventory[[#This Row],[detatched_value]]*Lookups!$B$22*Lookups!$H$48,-2)</f>
        <v>0</v>
      </c>
      <c r="BI597" s="7">
        <f>ROUND(((Wapato_Inventory[[#This Row],[land_extract]]*Lookups!$B$3) +(Lookups!$B$2*0.5))*Lookups!$H$48,-2)</f>
        <v>53300</v>
      </c>
      <c r="BJ597" s="7">
        <f>IF(Wapato_Inventory[[#This Row],[bldg_style]]="",0,Lookups!$B$2*0.5)</f>
        <v>53765.27</v>
      </c>
      <c r="BK597" s="7">
        <f>_xlfn.IFNA(VLOOKUP(Wapato_Inventory[[#This Row],[quality]],Lookups!$H$2:$J$14,3,FALSE),0)</f>
        <v>48043</v>
      </c>
      <c r="BL597" s="7">
        <f>_xlfn.IFNA(VLOOKUP(Wapato_Inventory[[#This Row],[condition]],Lookups!$H$17:$J$24,3,FALSE),0)</f>
        <v>52231</v>
      </c>
      <c r="BM597" s="7">
        <f>Wapato_Inventory[[#This Row],[Age]]*Lookups!$B$16</f>
        <v>-30766.0831</v>
      </c>
      <c r="BN597" s="7">
        <f>Wapato_Inventory[[#This Row],[Main Floor]]*Lookups!$B$17</f>
        <v>48321.654283999997</v>
      </c>
      <c r="BO597" s="7">
        <f>Wapato_Inventory[[#This Row],[Upper Floor]]*Lookups!$B$18</f>
        <v>0</v>
      </c>
      <c r="BP597" s="7">
        <f>Wapato_Inventory[[#This Row],[Fin BSMT]]*Lookups!$B$19</f>
        <v>0</v>
      </c>
      <c r="BQ597" s="7">
        <f>(Wapato_Inventory[[#This Row],[att_gar]]+Wapato_Inventory[[#This Row],[blt_gar]])*Lookups!$B$20</f>
        <v>0</v>
      </c>
      <c r="BR597" s="7">
        <f>Wapato_Inventory[[#This Row],[Patio]]*Lookups!$B$21</f>
        <v>0</v>
      </c>
      <c r="BS597" s="7">
        <f>SUM(Wapato_Inventory[[#This Row],[intercept]:[patio_value]])*Wapato_Inventory[[#This Row],[res_pct]]</f>
        <v>171594.84118399999</v>
      </c>
      <c r="BT597" s="7">
        <f>Wapato_Inventory[[#This Row],[land_value]]</f>
        <v>53300</v>
      </c>
      <c r="BU597" s="2">
        <f>_xlfn.IFNA(VLOOKUP(Wapato_Inventory[[#This Row],[quality]],Lookups!$A$28:$C$37,3,FALSE),1)</f>
        <v>0.98196844879778955</v>
      </c>
      <c r="BV597" s="2">
        <f>_xlfn.IFNA(VLOOKUP(Wapato_Inventory[[#This Row],[condition]],Lookups!$A$41:$C$48,3,FALSE),1)</f>
        <v>0.9832333997567807</v>
      </c>
      <c r="BW597" s="2">
        <f>IF(Wapato_Inventory[[#This Row],[decade]]="",1,_xlfn.IFNA(VLOOKUP(Wapato_Inventory[[#This Row],[decade]],Lookups!$F$28:$H$45,3,FALSE),1))</f>
        <v>0.94742695999815718</v>
      </c>
      <c r="BX597" s="2">
        <f>_xlfn.IFNA(VLOOKUP(Wapato_Inventory[[#This Row],[living_area_range]],Lookups!$K$28:$M$37,3,FALSE),1)</f>
        <v>1.0061411172456287</v>
      </c>
      <c r="BY597" s="2">
        <f>AVERAGE(Wapato_Inventory[[#This Row],[qual_adj]:[range_adj]])</f>
        <v>0.97969248144958898</v>
      </c>
      <c r="BZ597" s="7">
        <f>(Wapato_Inventory[[#This Row],[sum_land]]-IF(Wapato_Inventory[[#This Row],[no_utilities]]=1,12000,0))/IF(Wapato_Inventory[[#This Row],[unbuildable]]=1,2,1)</f>
        <v>53300</v>
      </c>
      <c r="CA597" s="7">
        <f>Wapato_Inventory[[#This Row],[pre_res]]*Wapato_Inventory[[#This Row],[overall_adj]]</f>
        <v>168110.17576350109</v>
      </c>
      <c r="CB597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597" s="3">
        <f>IF(ROUND(Wapato_Inventory[[#This Row],[adj_res]]*Lookups!$H$48,-2)&lt;Wapato_Inventory[[#This Row],[min_res]],Wapato_Inventory[[#This Row],[min_res]],ROUND(Wapato_Inventory[[#This Row],[adj_res]]*Lookups!$H$48,-2))</f>
        <v>159700</v>
      </c>
      <c r="CD597" s="3">
        <f>ROUND(Wapato_Inventory[[#This Row],[det_value]]*Lookups!$H$48,-2)</f>
        <v>0</v>
      </c>
      <c r="CE597" s="3">
        <f>Wapato_Inventory[[#This Row],[final_res]]+Wapato_Inventory[[#This Row],[final_det]]</f>
        <v>159700</v>
      </c>
      <c r="CF597" s="3">
        <f>Wapato_Inventory[[#This Row],[crop_value]]+Wapato_Inventory[[#This Row],[final_land]]+Wapato_Inventory[[#This Row],[final_imp]]</f>
        <v>210300</v>
      </c>
      <c r="CH597" t="str">
        <f t="shared" si="9"/>
        <v>update valuation set market_land =50600, market_bldg=159700, market_total =210300, market_mdno =405, market_date ='9/10/2023' where link_id = (select link_id from parcel where parcel_year = '2024' and parcel_id = '19111512476');</v>
      </c>
    </row>
    <row r="598" spans="1:86" x14ac:dyDescent="0.25">
      <c r="A598">
        <v>19111512478</v>
      </c>
      <c r="B598">
        <v>0.16</v>
      </c>
      <c r="C598">
        <v>7146</v>
      </c>
      <c r="D598" t="s">
        <v>144</v>
      </c>
      <c r="E598" t="s">
        <v>54</v>
      </c>
      <c r="F598" t="s">
        <v>54</v>
      </c>
      <c r="G598">
        <v>3</v>
      </c>
      <c r="H598" t="s">
        <v>55</v>
      </c>
      <c r="I598">
        <v>181100</v>
      </c>
      <c r="J598">
        <v>32800</v>
      </c>
      <c r="K598">
        <v>0.16</v>
      </c>
      <c r="L598">
        <f>IF(Wapato_Inventory[[#This Row],[parcel_acres]]-Wapato_Inventory[[#This Row],[non_valued_acres]] =0,0,LN(Wapato_Inventory[[#This Row],[parcel_acres]]-Wapato_Inventory[[#This Row],[non_valued_acres]]))</f>
        <v>-1.8325814637483102</v>
      </c>
      <c r="M598">
        <v>0</v>
      </c>
      <c r="N598">
        <v>0</v>
      </c>
      <c r="O598">
        <v>0</v>
      </c>
      <c r="P598">
        <v>27904.037</v>
      </c>
      <c r="Q598">
        <v>74398</v>
      </c>
      <c r="R598" s="3">
        <f>(Wapato_Inventory[[#This Row],[ln_acres]]*Wapato_Inventory[[#This Row],[coeff]])+Wapato_Inventory[[#This Row],[const]]</f>
        <v>23261.579030052992</v>
      </c>
      <c r="S598" t="s">
        <v>56</v>
      </c>
      <c r="T598">
        <v>2</v>
      </c>
      <c r="U598" t="s">
        <v>75</v>
      </c>
      <c r="V598" t="s">
        <v>68</v>
      </c>
      <c r="W598">
        <v>0</v>
      </c>
      <c r="X598">
        <v>0</v>
      </c>
      <c r="Y598">
        <v>52</v>
      </c>
      <c r="Z598">
        <v>88</v>
      </c>
      <c r="AA598">
        <v>90</v>
      </c>
      <c r="AB598">
        <v>2000</v>
      </c>
      <c r="AC598">
        <v>1899</v>
      </c>
      <c r="AD598">
        <v>1036</v>
      </c>
      <c r="AE598">
        <v>512</v>
      </c>
      <c r="AF598">
        <v>0</v>
      </c>
      <c r="AG598">
        <v>351</v>
      </c>
      <c r="AH598">
        <v>609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25</v>
      </c>
      <c r="AO598">
        <v>0</v>
      </c>
      <c r="AP598">
        <v>7</v>
      </c>
      <c r="AQ598">
        <v>0</v>
      </c>
      <c r="AR598">
        <v>1</v>
      </c>
      <c r="AS598" t="s">
        <v>59</v>
      </c>
      <c r="AT598">
        <v>1</v>
      </c>
      <c r="AU598" t="s">
        <v>64</v>
      </c>
      <c r="AV598" t="s">
        <v>65</v>
      </c>
      <c r="AW598">
        <v>0</v>
      </c>
      <c r="AX598">
        <v>4</v>
      </c>
      <c r="AY598">
        <v>0</v>
      </c>
      <c r="AZ598">
        <v>8100</v>
      </c>
      <c r="BA598">
        <v>100</v>
      </c>
      <c r="BB598">
        <v>100</v>
      </c>
      <c r="BC598">
        <v>100</v>
      </c>
      <c r="BD598">
        <v>100</v>
      </c>
      <c r="BE598">
        <v>1</v>
      </c>
      <c r="BF598">
        <v>15000</v>
      </c>
      <c r="BG598">
        <v>1000</v>
      </c>
      <c r="BH598" s="7">
        <f>ROUND(Wapato_Inventory[[#This Row],[detatched_value]]*Lookups!$B$22*Lookups!$H$48,-2)</f>
        <v>7200</v>
      </c>
      <c r="BI598" s="7">
        <f>ROUND(((Wapato_Inventory[[#This Row],[land_extract]]*Lookups!$B$3) +(Lookups!$B$2*0.5))*Lookups!$H$48,-2)</f>
        <v>53300</v>
      </c>
      <c r="BJ598" s="7">
        <f>IF(Wapato_Inventory[[#This Row],[bldg_style]]="",0,Lookups!$B$2*0.5)</f>
        <v>53765.27</v>
      </c>
      <c r="BK598" s="7">
        <f>_xlfn.IFNA(VLOOKUP(Wapato_Inventory[[#This Row],[quality]],Lookups!$H$2:$J$14,3,FALSE),0)</f>
        <v>48043</v>
      </c>
      <c r="BL598" s="7">
        <f>_xlfn.IFNA(VLOOKUP(Wapato_Inventory[[#This Row],[condition]],Lookups!$H$17:$J$24,3,FALSE),0)</f>
        <v>52231</v>
      </c>
      <c r="BM598" s="7">
        <f>Wapato_Inventory[[#This Row],[Age]]*Lookups!$B$16</f>
        <v>-32619.461600000002</v>
      </c>
      <c r="BN598" s="7">
        <f>Wapato_Inventory[[#This Row],[Main Floor]]*Lookups!$B$17</f>
        <v>43305.565604000003</v>
      </c>
      <c r="BO598" s="7">
        <f>Wapato_Inventory[[#This Row],[Upper Floor]]*Lookups!$B$18</f>
        <v>25395.783168000002</v>
      </c>
      <c r="BP598" s="7">
        <f>Wapato_Inventory[[#This Row],[Fin BSMT]]*Lookups!$B$19</f>
        <v>8552.7257399999999</v>
      </c>
      <c r="BQ598" s="7">
        <f>(Wapato_Inventory[[#This Row],[att_gar]]+Wapato_Inventory[[#This Row],[blt_gar]])*Lookups!$B$20</f>
        <v>0</v>
      </c>
      <c r="BR598" s="7">
        <f>Wapato_Inventory[[#This Row],[Patio]]*Lookups!$B$21</f>
        <v>0</v>
      </c>
      <c r="BS598" s="7">
        <f>SUM(Wapato_Inventory[[#This Row],[intercept]:[patio_value]])*Wapato_Inventory[[#This Row],[res_pct]]</f>
        <v>198673.88291199997</v>
      </c>
      <c r="BT598" s="7">
        <f>Wapato_Inventory[[#This Row],[land_value]]</f>
        <v>53300</v>
      </c>
      <c r="BU598" s="2">
        <f>_xlfn.IFNA(VLOOKUP(Wapato_Inventory[[#This Row],[quality]],Lookups!$A$28:$C$37,3,FALSE),1)</f>
        <v>0.98196844879778955</v>
      </c>
      <c r="BV598" s="2">
        <f>_xlfn.IFNA(VLOOKUP(Wapato_Inventory[[#This Row],[condition]],Lookups!$A$41:$C$48,3,FALSE),1)</f>
        <v>0.9832333997567807</v>
      </c>
      <c r="BW598" s="2">
        <f>IF(Wapato_Inventory[[#This Row],[decade]]="",1,_xlfn.IFNA(VLOOKUP(Wapato_Inventory[[#This Row],[decade]],Lookups!$F$28:$H$45,3,FALSE),1))</f>
        <v>0.94742695999815718</v>
      </c>
      <c r="BX598" s="2">
        <f>_xlfn.IFNA(VLOOKUP(Wapato_Inventory[[#This Row],[living_area_range]],Lookups!$K$28:$M$37,3,FALSE),1)</f>
        <v>0.99330894324714125</v>
      </c>
      <c r="BY598" s="2">
        <f>AVERAGE(Wapato_Inventory[[#This Row],[qual_adj]:[range_adj]])</f>
        <v>0.97648443794996709</v>
      </c>
      <c r="BZ598" s="7">
        <f>(Wapato_Inventory[[#This Row],[sum_land]]-IF(Wapato_Inventory[[#This Row],[no_utilities]]=1,12000,0))/IF(Wapato_Inventory[[#This Row],[unbuildable]]=1,2,1)</f>
        <v>53300</v>
      </c>
      <c r="CA598" s="7">
        <f>Wapato_Inventory[[#This Row],[pre_res]]*Wapato_Inventory[[#This Row],[overall_adj]]</f>
        <v>194001.95489066187</v>
      </c>
      <c r="CB598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598" s="3">
        <f>IF(ROUND(Wapato_Inventory[[#This Row],[adj_res]]*Lookups!$H$48,-2)&lt;Wapato_Inventory[[#This Row],[min_res]],Wapato_Inventory[[#This Row],[min_res]],ROUND(Wapato_Inventory[[#This Row],[adj_res]]*Lookups!$H$48,-2))</f>
        <v>184300</v>
      </c>
      <c r="CD598" s="3">
        <f>ROUND(Wapato_Inventory[[#This Row],[det_value]]*Lookups!$H$48,-2)</f>
        <v>6800</v>
      </c>
      <c r="CE598" s="3">
        <f>Wapato_Inventory[[#This Row],[final_res]]+Wapato_Inventory[[#This Row],[final_det]]</f>
        <v>191100</v>
      </c>
      <c r="CF598" s="3">
        <f>Wapato_Inventory[[#This Row],[crop_value]]+Wapato_Inventory[[#This Row],[final_land]]+Wapato_Inventory[[#This Row],[final_imp]]</f>
        <v>241700</v>
      </c>
      <c r="CH598" t="str">
        <f t="shared" si="9"/>
        <v>update valuation set market_land =50600, market_bldg=191100, market_total =241700, market_mdno =405, market_date ='9/10/2023' where link_id = (select link_id from parcel where parcel_year = '2024' and parcel_id = '19111512478');</v>
      </c>
    </row>
    <row r="599" spans="1:86" x14ac:dyDescent="0.25">
      <c r="A599">
        <v>19111512479</v>
      </c>
      <c r="B599">
        <v>0.2</v>
      </c>
      <c r="C599">
        <v>8513</v>
      </c>
      <c r="D599" t="s">
        <v>144</v>
      </c>
      <c r="E599" t="s">
        <v>54</v>
      </c>
      <c r="F599" t="s">
        <v>54</v>
      </c>
      <c r="G599">
        <v>3</v>
      </c>
      <c r="H599" t="s">
        <v>55</v>
      </c>
      <c r="I599">
        <v>290100</v>
      </c>
      <c r="J599">
        <v>34400</v>
      </c>
      <c r="K599">
        <v>0.2</v>
      </c>
      <c r="L599">
        <f>IF(Wapato_Inventory[[#This Row],[parcel_acres]]-Wapato_Inventory[[#This Row],[non_valued_acres]] =0,0,LN(Wapato_Inventory[[#This Row],[parcel_acres]]-Wapato_Inventory[[#This Row],[non_valued_acres]]))</f>
        <v>-1.6094379124341003</v>
      </c>
      <c r="M599">
        <v>0</v>
      </c>
      <c r="N599">
        <v>0</v>
      </c>
      <c r="O599">
        <v>0</v>
      </c>
      <c r="P599">
        <v>27904.037</v>
      </c>
      <c r="Q599">
        <v>74398</v>
      </c>
      <c r="R599" s="3">
        <f>(Wapato_Inventory[[#This Row],[ln_acres]]*Wapato_Inventory[[#This Row],[coeff]])+Wapato_Inventory[[#This Row],[const]]</f>
        <v>29488.184942236105</v>
      </c>
      <c r="S599" t="s">
        <v>56</v>
      </c>
      <c r="T599">
        <v>2</v>
      </c>
      <c r="U599" t="s">
        <v>67</v>
      </c>
      <c r="V599" t="s">
        <v>69</v>
      </c>
      <c r="W599">
        <v>0</v>
      </c>
      <c r="X599">
        <v>0</v>
      </c>
      <c r="Y599">
        <v>53</v>
      </c>
      <c r="Z599">
        <v>93</v>
      </c>
      <c r="AA599">
        <v>100</v>
      </c>
      <c r="AB599">
        <v>2000</v>
      </c>
      <c r="AC599">
        <v>1944</v>
      </c>
      <c r="AD599">
        <v>1564</v>
      </c>
      <c r="AE599">
        <v>380</v>
      </c>
      <c r="AF599">
        <v>0</v>
      </c>
      <c r="AG599">
        <v>0</v>
      </c>
      <c r="AH599">
        <v>0</v>
      </c>
      <c r="AI599">
        <v>624</v>
      </c>
      <c r="AJ599">
        <v>0</v>
      </c>
      <c r="AK599">
        <v>0</v>
      </c>
      <c r="AL599">
        <v>0</v>
      </c>
      <c r="AM599">
        <v>576</v>
      </c>
      <c r="AN599">
        <v>66</v>
      </c>
      <c r="AO599">
        <v>0</v>
      </c>
      <c r="AP599">
        <v>8</v>
      </c>
      <c r="AQ599">
        <v>0</v>
      </c>
      <c r="AR599">
        <v>1</v>
      </c>
      <c r="AS599" t="s">
        <v>59</v>
      </c>
      <c r="AT599">
        <v>1</v>
      </c>
      <c r="AU599" t="s">
        <v>60</v>
      </c>
      <c r="AV599" t="s">
        <v>61</v>
      </c>
      <c r="AW599">
        <v>1</v>
      </c>
      <c r="AX599">
        <v>4</v>
      </c>
      <c r="AY599">
        <v>0</v>
      </c>
      <c r="AZ599">
        <v>0</v>
      </c>
      <c r="BA599">
        <v>100</v>
      </c>
      <c r="BB599">
        <v>100</v>
      </c>
      <c r="BC599">
        <v>100</v>
      </c>
      <c r="BD599">
        <v>100</v>
      </c>
      <c r="BE599">
        <v>1</v>
      </c>
      <c r="BF599">
        <v>15000</v>
      </c>
      <c r="BG599">
        <v>1000</v>
      </c>
      <c r="BH599" s="7">
        <f>ROUND(Wapato_Inventory[[#This Row],[detatched_value]]*Lookups!$B$22*Lookups!$H$48,-2)</f>
        <v>0</v>
      </c>
      <c r="BI599" s="7">
        <f>ROUND(((Wapato_Inventory[[#This Row],[land_extract]]*Lookups!$B$3) +(Lookups!$B$2*0.5))*Lookups!$H$48,-2)</f>
        <v>53900</v>
      </c>
      <c r="BJ599" s="7">
        <f>IF(Wapato_Inventory[[#This Row],[bldg_style]]="",0,Lookups!$B$2*0.5)</f>
        <v>53765.27</v>
      </c>
      <c r="BK599" s="7">
        <f>_xlfn.IFNA(VLOOKUP(Wapato_Inventory[[#This Row],[quality]],Lookups!$H$2:$J$14,3,FALSE),0)</f>
        <v>50405</v>
      </c>
      <c r="BL599" s="7">
        <f>_xlfn.IFNA(VLOOKUP(Wapato_Inventory[[#This Row],[condition]],Lookups!$H$17:$J$24,3,FALSE),0)</f>
        <v>74543</v>
      </c>
      <c r="BM599" s="7">
        <f>Wapato_Inventory[[#This Row],[Age]]*Lookups!$B$16</f>
        <v>-34472.840100000001</v>
      </c>
      <c r="BN599" s="7">
        <f>Wapato_Inventory[[#This Row],[Main Floor]]*Lookups!$B$17</f>
        <v>65376.355796000003</v>
      </c>
      <c r="BO599" s="7">
        <f>Wapato_Inventory[[#This Row],[Upper Floor]]*Lookups!$B$18</f>
        <v>18848.432820000002</v>
      </c>
      <c r="BP599" s="7">
        <f>Wapato_Inventory[[#This Row],[Fin BSMT]]*Lookups!$B$19</f>
        <v>0</v>
      </c>
      <c r="BQ599" s="7">
        <f>(Wapato_Inventory[[#This Row],[att_gar]]+Wapato_Inventory[[#This Row],[blt_gar]])*Lookups!$B$20</f>
        <v>23093.461248</v>
      </c>
      <c r="BR599" s="7">
        <f>Wapato_Inventory[[#This Row],[Patio]]*Lookups!$B$21</f>
        <v>24954.611904000001</v>
      </c>
      <c r="BS599" s="7">
        <f>SUM(Wapato_Inventory[[#This Row],[intercept]:[patio_value]])*Wapato_Inventory[[#This Row],[res_pct]]</f>
        <v>276513.29166799999</v>
      </c>
      <c r="BT599" s="7">
        <f>Wapato_Inventory[[#This Row],[land_value]]</f>
        <v>53900</v>
      </c>
      <c r="BU599" s="2">
        <f>_xlfn.IFNA(VLOOKUP(Wapato_Inventory[[#This Row],[quality]],Lookups!$A$28:$C$37,3,FALSE),1)</f>
        <v>0.97993206410140754</v>
      </c>
      <c r="BV599" s="2">
        <f>_xlfn.IFNA(VLOOKUP(Wapato_Inventory[[#This Row],[condition]],Lookups!$A$41:$C$48,3,FALSE),1)</f>
        <v>0.98442438223270734</v>
      </c>
      <c r="BW599" s="2">
        <f>IF(Wapato_Inventory[[#This Row],[decade]]="",1,_xlfn.IFNA(VLOOKUP(Wapato_Inventory[[#This Row],[decade]],Lookups!$F$28:$H$45,3,FALSE),1))</f>
        <v>1.0114203040664467</v>
      </c>
      <c r="BX599" s="2">
        <f>_xlfn.IFNA(VLOOKUP(Wapato_Inventory[[#This Row],[living_area_range]],Lookups!$K$28:$M$37,3,FALSE),1)</f>
        <v>0.99330894324714125</v>
      </c>
      <c r="BY599" s="2">
        <f>AVERAGE(Wapato_Inventory[[#This Row],[qual_adj]:[range_adj]])</f>
        <v>0.99227142341192576</v>
      </c>
      <c r="BZ599" s="7">
        <f>(Wapato_Inventory[[#This Row],[sum_land]]-IF(Wapato_Inventory[[#This Row],[no_utilities]]=1,12000,0))/IF(Wapato_Inventory[[#This Row],[unbuildable]]=1,2,1)</f>
        <v>53900</v>
      </c>
      <c r="CA599" s="7">
        <f>Wapato_Inventory[[#This Row],[pre_res]]*Wapato_Inventory[[#This Row],[overall_adj]]</f>
        <v>274376.23751572333</v>
      </c>
      <c r="CB599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599" s="3">
        <f>IF(ROUND(Wapato_Inventory[[#This Row],[adj_res]]*Lookups!$H$48,-2)&lt;Wapato_Inventory[[#This Row],[min_res]],Wapato_Inventory[[#This Row],[min_res]],ROUND(Wapato_Inventory[[#This Row],[adj_res]]*Lookups!$H$48,-2))</f>
        <v>260700</v>
      </c>
      <c r="CD599" s="3">
        <f>ROUND(Wapato_Inventory[[#This Row],[det_value]]*Lookups!$H$48,-2)</f>
        <v>0</v>
      </c>
      <c r="CE599" s="3">
        <f>Wapato_Inventory[[#This Row],[final_res]]+Wapato_Inventory[[#This Row],[final_det]]</f>
        <v>260700</v>
      </c>
      <c r="CF599" s="3">
        <f>Wapato_Inventory[[#This Row],[crop_value]]+Wapato_Inventory[[#This Row],[final_land]]+Wapato_Inventory[[#This Row],[final_imp]]</f>
        <v>311900</v>
      </c>
      <c r="CH599" t="str">
        <f t="shared" si="9"/>
        <v>update valuation set market_land =51200, market_bldg=260700, market_total =311900, market_mdno =405, market_date ='9/10/2023' where link_id = (select link_id from parcel where parcel_year = '2024' and parcel_id = '19111512479');</v>
      </c>
    </row>
    <row r="600" spans="1:86" x14ac:dyDescent="0.25">
      <c r="A600">
        <v>19111512483</v>
      </c>
      <c r="B600">
        <v>0.11</v>
      </c>
      <c r="C600">
        <v>4728</v>
      </c>
      <c r="D600" t="s">
        <v>144</v>
      </c>
      <c r="E600" t="s">
        <v>54</v>
      </c>
      <c r="F600" t="s">
        <v>54</v>
      </c>
      <c r="G600">
        <v>3</v>
      </c>
      <c r="H600" t="s">
        <v>55</v>
      </c>
      <c r="I600">
        <v>98300</v>
      </c>
      <c r="J600">
        <v>30200</v>
      </c>
      <c r="K600">
        <v>0.11</v>
      </c>
      <c r="L600">
        <f>IF(Wapato_Inventory[[#This Row],[parcel_acres]]-Wapato_Inventory[[#This Row],[non_valued_acres]] =0,0,LN(Wapato_Inventory[[#This Row],[parcel_acres]]-Wapato_Inventory[[#This Row],[non_valued_acres]]))</f>
        <v>-2.2072749131897207</v>
      </c>
      <c r="M600">
        <v>0</v>
      </c>
      <c r="N600">
        <v>0</v>
      </c>
      <c r="O600">
        <v>0</v>
      </c>
      <c r="P600">
        <v>27904.037</v>
      </c>
      <c r="Q600">
        <v>74398</v>
      </c>
      <c r="R600" s="3">
        <f>(Wapato_Inventory[[#This Row],[ln_acres]]*Wapato_Inventory[[#This Row],[coeff]])+Wapato_Inventory[[#This Row],[const]]</f>
        <v>12806.119153182248</v>
      </c>
      <c r="S600" t="s">
        <v>66</v>
      </c>
      <c r="T600">
        <v>1</v>
      </c>
      <c r="U600" t="s">
        <v>71</v>
      </c>
      <c r="V600" t="s">
        <v>68</v>
      </c>
      <c r="W600">
        <v>0</v>
      </c>
      <c r="X600">
        <v>0</v>
      </c>
      <c r="Y600">
        <v>53</v>
      </c>
      <c r="Z600">
        <v>103</v>
      </c>
      <c r="AA600">
        <v>110</v>
      </c>
      <c r="AB600">
        <v>1000</v>
      </c>
      <c r="AC600">
        <v>952</v>
      </c>
      <c r="AD600">
        <v>952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5</v>
      </c>
      <c r="AQ600">
        <v>0</v>
      </c>
      <c r="AR600">
        <v>0</v>
      </c>
      <c r="AS600" t="s">
        <v>59</v>
      </c>
      <c r="AT600">
        <v>1</v>
      </c>
      <c r="AU600" t="s">
        <v>76</v>
      </c>
      <c r="AV600" t="s">
        <v>61</v>
      </c>
      <c r="AW600">
        <v>0</v>
      </c>
      <c r="AX600">
        <v>2</v>
      </c>
      <c r="AY600">
        <v>0</v>
      </c>
      <c r="AZ600">
        <v>0</v>
      </c>
      <c r="BA600">
        <v>100</v>
      </c>
      <c r="BB600">
        <v>100</v>
      </c>
      <c r="BC600">
        <v>100</v>
      </c>
      <c r="BD600">
        <v>100</v>
      </c>
      <c r="BE600">
        <v>1</v>
      </c>
      <c r="BF600">
        <v>15000</v>
      </c>
      <c r="BG600">
        <v>1000</v>
      </c>
      <c r="BH600" s="7">
        <f>ROUND(Wapato_Inventory[[#This Row],[detatched_value]]*Lookups!$B$22*Lookups!$H$48,-2)</f>
        <v>0</v>
      </c>
      <c r="BI600" s="7">
        <f>ROUND(((Wapato_Inventory[[#This Row],[land_extract]]*Lookups!$B$3) +(Lookups!$B$2*0.5))*Lookups!$H$48,-2)</f>
        <v>52300</v>
      </c>
      <c r="BJ600" s="7">
        <f>IF(Wapato_Inventory[[#This Row],[bldg_style]]="",0,Lookups!$B$2*0.5)</f>
        <v>53765.27</v>
      </c>
      <c r="BK600" s="7">
        <f>_xlfn.IFNA(VLOOKUP(Wapato_Inventory[[#This Row],[quality]],Lookups!$H$2:$J$14,3,FALSE),0)</f>
        <v>28034</v>
      </c>
      <c r="BL600" s="7">
        <f>_xlfn.IFNA(VLOOKUP(Wapato_Inventory[[#This Row],[condition]],Lookups!$H$17:$J$24,3,FALSE),0)</f>
        <v>52231</v>
      </c>
      <c r="BM600" s="7">
        <f>Wapato_Inventory[[#This Row],[Age]]*Lookups!$B$16</f>
        <v>-38179.597099999999</v>
      </c>
      <c r="BN600" s="7">
        <f>Wapato_Inventory[[#This Row],[Main Floor]]*Lookups!$B$17</f>
        <v>39794.303527999997</v>
      </c>
      <c r="BO600" s="7">
        <f>Wapato_Inventory[[#This Row],[Upper Floor]]*Lookups!$B$18</f>
        <v>0</v>
      </c>
      <c r="BP600" s="7">
        <f>Wapato_Inventory[[#This Row],[Fin BSMT]]*Lookups!$B$19</f>
        <v>0</v>
      </c>
      <c r="BQ600" s="7">
        <f>(Wapato_Inventory[[#This Row],[att_gar]]+Wapato_Inventory[[#This Row],[blt_gar]])*Lookups!$B$20</f>
        <v>0</v>
      </c>
      <c r="BR600" s="7">
        <f>Wapato_Inventory[[#This Row],[Patio]]*Lookups!$B$21</f>
        <v>0</v>
      </c>
      <c r="BS600" s="7">
        <f>SUM(Wapato_Inventory[[#This Row],[intercept]:[patio_value]])*Wapato_Inventory[[#This Row],[res_pct]]</f>
        <v>135644.97642799999</v>
      </c>
      <c r="BT600" s="7">
        <f>Wapato_Inventory[[#This Row],[land_value]]</f>
        <v>52300</v>
      </c>
      <c r="BU600" s="2">
        <f>_xlfn.IFNA(VLOOKUP(Wapato_Inventory[[#This Row],[quality]],Lookups!$A$28:$C$37,3,FALSE),1)</f>
        <v>0.96265813922927435</v>
      </c>
      <c r="BV600" s="2">
        <f>_xlfn.IFNA(VLOOKUP(Wapato_Inventory[[#This Row],[condition]],Lookups!$A$41:$C$48,3,FALSE),1)</f>
        <v>0.9832333997567807</v>
      </c>
      <c r="BW600" s="2">
        <f>IF(Wapato_Inventory[[#This Row],[decade]]="",1,_xlfn.IFNA(VLOOKUP(Wapato_Inventory[[#This Row],[decade]],Lookups!$F$28:$H$45,3,FALSE),1))</f>
        <v>0.93664589651353292</v>
      </c>
      <c r="BX600" s="2">
        <f>_xlfn.IFNA(VLOOKUP(Wapato_Inventory[[#This Row],[living_area_range]],Lookups!$K$28:$M$37,3,FALSE),1)</f>
        <v>0.99022994770196116</v>
      </c>
      <c r="BY600" s="2">
        <f>AVERAGE(Wapato_Inventory[[#This Row],[qual_adj]:[range_adj]])</f>
        <v>0.9681918458003872</v>
      </c>
      <c r="BZ600" s="7">
        <f>(Wapato_Inventory[[#This Row],[sum_land]]-IF(Wapato_Inventory[[#This Row],[no_utilities]]=1,12000,0))/IF(Wapato_Inventory[[#This Row],[unbuildable]]=1,2,1)</f>
        <v>52300</v>
      </c>
      <c r="CA600" s="7">
        <f>Wapato_Inventory[[#This Row],[pre_res]]*Wapato_Inventory[[#This Row],[overall_adj]]</f>
        <v>131330.36010137532</v>
      </c>
      <c r="CB600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600" s="3">
        <f>IF(ROUND(Wapato_Inventory[[#This Row],[adj_res]]*Lookups!$H$48,-2)&lt;Wapato_Inventory[[#This Row],[min_res]],Wapato_Inventory[[#This Row],[min_res]],ROUND(Wapato_Inventory[[#This Row],[adj_res]]*Lookups!$H$48,-2))</f>
        <v>124800</v>
      </c>
      <c r="CD600" s="3">
        <f>ROUND(Wapato_Inventory[[#This Row],[det_value]]*Lookups!$H$48,-2)</f>
        <v>0</v>
      </c>
      <c r="CE600" s="3">
        <f>Wapato_Inventory[[#This Row],[final_res]]+Wapato_Inventory[[#This Row],[final_det]]</f>
        <v>124800</v>
      </c>
      <c r="CF600" s="3">
        <f>Wapato_Inventory[[#This Row],[crop_value]]+Wapato_Inventory[[#This Row],[final_land]]+Wapato_Inventory[[#This Row],[final_imp]]</f>
        <v>174500</v>
      </c>
      <c r="CH600" t="str">
        <f t="shared" si="9"/>
        <v>update valuation set market_land =49700, market_bldg=124800, market_total =174500, market_mdno =405, market_date ='9/10/2023' where link_id = (select link_id from parcel where parcel_year = '2024' and parcel_id = '19111512483');</v>
      </c>
    </row>
    <row r="601" spans="1:86" x14ac:dyDescent="0.25">
      <c r="A601">
        <v>19111512484</v>
      </c>
      <c r="B601">
        <v>0.11</v>
      </c>
      <c r="C601">
        <v>4784</v>
      </c>
      <c r="D601" t="s">
        <v>144</v>
      </c>
      <c r="E601" t="s">
        <v>54</v>
      </c>
      <c r="F601" t="s">
        <v>54</v>
      </c>
      <c r="G601">
        <v>3</v>
      </c>
      <c r="H601" t="s">
        <v>55</v>
      </c>
      <c r="I601">
        <v>91900</v>
      </c>
      <c r="J601">
        <v>30200</v>
      </c>
      <c r="K601">
        <v>0.11</v>
      </c>
      <c r="L601">
        <f>IF(Wapato_Inventory[[#This Row],[parcel_acres]]-Wapato_Inventory[[#This Row],[non_valued_acres]] =0,0,LN(Wapato_Inventory[[#This Row],[parcel_acres]]-Wapato_Inventory[[#This Row],[non_valued_acres]]))</f>
        <v>-2.2072749131897207</v>
      </c>
      <c r="M601">
        <v>0</v>
      </c>
      <c r="N601">
        <v>0</v>
      </c>
      <c r="O601">
        <v>0</v>
      </c>
      <c r="P601">
        <v>27904.037</v>
      </c>
      <c r="Q601">
        <v>74398</v>
      </c>
      <c r="R601" s="3">
        <f>(Wapato_Inventory[[#This Row],[ln_acres]]*Wapato_Inventory[[#This Row],[coeff]])+Wapato_Inventory[[#This Row],[const]]</f>
        <v>12806.119153182248</v>
      </c>
      <c r="S601" t="s">
        <v>66</v>
      </c>
      <c r="T601">
        <v>1</v>
      </c>
      <c r="U601" t="s">
        <v>71</v>
      </c>
      <c r="V601" t="s">
        <v>68</v>
      </c>
      <c r="W601">
        <v>0</v>
      </c>
      <c r="X601">
        <v>0</v>
      </c>
      <c r="Y601">
        <v>55</v>
      </c>
      <c r="Z601">
        <v>98</v>
      </c>
      <c r="AA601">
        <v>100</v>
      </c>
      <c r="AB601">
        <v>1000</v>
      </c>
      <c r="AC601">
        <v>728</v>
      </c>
      <c r="AD601">
        <v>728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208</v>
      </c>
      <c r="AP601">
        <v>5</v>
      </c>
      <c r="AQ601">
        <v>0</v>
      </c>
      <c r="AR601">
        <v>0</v>
      </c>
      <c r="AS601" t="s">
        <v>82</v>
      </c>
      <c r="AT601">
        <v>1</v>
      </c>
      <c r="AU601" t="s">
        <v>64</v>
      </c>
      <c r="AV601" t="s">
        <v>77</v>
      </c>
      <c r="AW601">
        <v>0</v>
      </c>
      <c r="AX601">
        <v>2</v>
      </c>
      <c r="AY601">
        <v>0</v>
      </c>
      <c r="AZ601">
        <v>0</v>
      </c>
      <c r="BA601">
        <v>100</v>
      </c>
      <c r="BB601">
        <v>100</v>
      </c>
      <c r="BC601">
        <v>100</v>
      </c>
      <c r="BD601">
        <v>100</v>
      </c>
      <c r="BE601">
        <v>1</v>
      </c>
      <c r="BF601">
        <v>15000</v>
      </c>
      <c r="BG601">
        <v>1000</v>
      </c>
      <c r="BH601" s="7">
        <f>ROUND(Wapato_Inventory[[#This Row],[detatched_value]]*Lookups!$B$22*Lookups!$H$48,-2)</f>
        <v>0</v>
      </c>
      <c r="BI601" s="7">
        <f>ROUND(((Wapato_Inventory[[#This Row],[land_extract]]*Lookups!$B$3) +(Lookups!$B$2*0.5))*Lookups!$H$48,-2)</f>
        <v>52300</v>
      </c>
      <c r="BJ601" s="7">
        <f>IF(Wapato_Inventory[[#This Row],[bldg_style]]="",0,Lookups!$B$2*0.5)</f>
        <v>53765.27</v>
      </c>
      <c r="BK601" s="7">
        <f>_xlfn.IFNA(VLOOKUP(Wapato_Inventory[[#This Row],[quality]],Lookups!$H$2:$J$14,3,FALSE),0)</f>
        <v>28034</v>
      </c>
      <c r="BL601" s="7">
        <f>_xlfn.IFNA(VLOOKUP(Wapato_Inventory[[#This Row],[condition]],Lookups!$H$17:$J$24,3,FALSE),0)</f>
        <v>52231</v>
      </c>
      <c r="BM601" s="7">
        <f>Wapato_Inventory[[#This Row],[Age]]*Lookups!$B$16</f>
        <v>-36326.2186</v>
      </c>
      <c r="BN601" s="7">
        <f>Wapato_Inventory[[#This Row],[Main Floor]]*Lookups!$B$17</f>
        <v>30430.937991999999</v>
      </c>
      <c r="BO601" s="7">
        <f>Wapato_Inventory[[#This Row],[Upper Floor]]*Lookups!$B$18</f>
        <v>0</v>
      </c>
      <c r="BP601" s="7">
        <f>Wapato_Inventory[[#This Row],[Fin BSMT]]*Lookups!$B$19</f>
        <v>0</v>
      </c>
      <c r="BQ601" s="7">
        <f>(Wapato_Inventory[[#This Row],[att_gar]]+Wapato_Inventory[[#This Row],[blt_gar]])*Lookups!$B$20</f>
        <v>0</v>
      </c>
      <c r="BR601" s="7">
        <f>Wapato_Inventory[[#This Row],[Patio]]*Lookups!$B$21</f>
        <v>0</v>
      </c>
      <c r="BS601" s="7">
        <f>SUM(Wapato_Inventory[[#This Row],[intercept]:[patio_value]])*Wapato_Inventory[[#This Row],[res_pct]]</f>
        <v>128134.98939199999</v>
      </c>
      <c r="BT601" s="7">
        <f>Wapato_Inventory[[#This Row],[land_value]]</f>
        <v>52300</v>
      </c>
      <c r="BU601" s="2">
        <f>_xlfn.IFNA(VLOOKUP(Wapato_Inventory[[#This Row],[quality]],Lookups!$A$28:$C$37,3,FALSE),1)</f>
        <v>0.96265813922927435</v>
      </c>
      <c r="BV601" s="2">
        <f>_xlfn.IFNA(VLOOKUP(Wapato_Inventory[[#This Row],[condition]],Lookups!$A$41:$C$48,3,FALSE),1)</f>
        <v>0.9832333997567807</v>
      </c>
      <c r="BW601" s="2">
        <f>IF(Wapato_Inventory[[#This Row],[decade]]="",1,_xlfn.IFNA(VLOOKUP(Wapato_Inventory[[#This Row],[decade]],Lookups!$F$28:$H$45,3,FALSE),1))</f>
        <v>1.0114203040664467</v>
      </c>
      <c r="BX601" s="2">
        <f>_xlfn.IFNA(VLOOKUP(Wapato_Inventory[[#This Row],[living_area_range]],Lookups!$K$28:$M$37,3,FALSE),1)</f>
        <v>0.99022994770196116</v>
      </c>
      <c r="BY601" s="2">
        <f>AVERAGE(Wapato_Inventory[[#This Row],[qual_adj]:[range_adj]])</f>
        <v>0.98688544768861564</v>
      </c>
      <c r="BZ601" s="7">
        <f>(Wapato_Inventory[[#This Row],[sum_land]]-IF(Wapato_Inventory[[#This Row],[no_utilities]]=1,12000,0))/IF(Wapato_Inventory[[#This Row],[unbuildable]]=1,2,1)</f>
        <v>52300</v>
      </c>
      <c r="CA601" s="7">
        <f>Wapato_Inventory[[#This Row],[pre_res]]*Wapato_Inventory[[#This Row],[overall_adj]]</f>
        <v>126454.55637069992</v>
      </c>
      <c r="CB601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601" s="3">
        <f>IF(ROUND(Wapato_Inventory[[#This Row],[adj_res]]*Lookups!$H$48,-2)&lt;Wapato_Inventory[[#This Row],[min_res]],Wapato_Inventory[[#This Row],[min_res]],ROUND(Wapato_Inventory[[#This Row],[adj_res]]*Lookups!$H$48,-2))</f>
        <v>120100</v>
      </c>
      <c r="CD601" s="3">
        <f>ROUND(Wapato_Inventory[[#This Row],[det_value]]*Lookups!$H$48,-2)</f>
        <v>0</v>
      </c>
      <c r="CE601" s="3">
        <f>Wapato_Inventory[[#This Row],[final_res]]+Wapato_Inventory[[#This Row],[final_det]]</f>
        <v>120100</v>
      </c>
      <c r="CF601" s="3">
        <f>Wapato_Inventory[[#This Row],[crop_value]]+Wapato_Inventory[[#This Row],[final_land]]+Wapato_Inventory[[#This Row],[final_imp]]</f>
        <v>169800</v>
      </c>
      <c r="CH601" t="str">
        <f t="shared" si="9"/>
        <v>update valuation set market_land =49700, market_bldg=120100, market_total =169800, market_mdno =405, market_date ='9/10/2023' where link_id = (select link_id from parcel where parcel_year = '2024' and parcel_id = '19111512484');</v>
      </c>
    </row>
    <row r="602" spans="1:86" x14ac:dyDescent="0.25">
      <c r="A602">
        <v>19111512485</v>
      </c>
      <c r="B602">
        <v>0.11</v>
      </c>
      <c r="C602">
        <v>4795</v>
      </c>
      <c r="D602" t="s">
        <v>144</v>
      </c>
      <c r="E602" t="s">
        <v>54</v>
      </c>
      <c r="F602" t="s">
        <v>54</v>
      </c>
      <c r="G602">
        <v>3</v>
      </c>
      <c r="H602" t="s">
        <v>55</v>
      </c>
      <c r="I602">
        <v>118900</v>
      </c>
      <c r="J602">
        <v>30200</v>
      </c>
      <c r="K602">
        <v>0.11</v>
      </c>
      <c r="L602">
        <f>IF(Wapato_Inventory[[#This Row],[parcel_acres]]-Wapato_Inventory[[#This Row],[non_valued_acres]] =0,0,LN(Wapato_Inventory[[#This Row],[parcel_acres]]-Wapato_Inventory[[#This Row],[non_valued_acres]]))</f>
        <v>-2.2072749131897207</v>
      </c>
      <c r="M602">
        <v>0</v>
      </c>
      <c r="N602">
        <v>0</v>
      </c>
      <c r="O602">
        <v>0</v>
      </c>
      <c r="P602">
        <v>27904.037</v>
      </c>
      <c r="Q602">
        <v>74398</v>
      </c>
      <c r="R602" s="3">
        <f>(Wapato_Inventory[[#This Row],[ln_acres]]*Wapato_Inventory[[#This Row],[coeff]])+Wapato_Inventory[[#This Row],[const]]</f>
        <v>12806.119153182248</v>
      </c>
      <c r="S602" t="s">
        <v>66</v>
      </c>
      <c r="T602">
        <v>1</v>
      </c>
      <c r="U602" t="s">
        <v>71</v>
      </c>
      <c r="V602" t="s">
        <v>68</v>
      </c>
      <c r="W602">
        <v>0</v>
      </c>
      <c r="X602">
        <v>0</v>
      </c>
      <c r="Y602">
        <v>57</v>
      </c>
      <c r="Z602">
        <v>103</v>
      </c>
      <c r="AA602">
        <v>110</v>
      </c>
      <c r="AB602">
        <v>1500</v>
      </c>
      <c r="AC602">
        <v>1368</v>
      </c>
      <c r="AD602">
        <v>1368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312</v>
      </c>
      <c r="AL602">
        <v>0</v>
      </c>
      <c r="AM602">
        <v>108</v>
      </c>
      <c r="AN602">
        <v>0</v>
      </c>
      <c r="AO602">
        <v>108</v>
      </c>
      <c r="AP602">
        <v>5</v>
      </c>
      <c r="AQ602">
        <v>0</v>
      </c>
      <c r="AR602">
        <v>0</v>
      </c>
      <c r="AS602" t="s">
        <v>59</v>
      </c>
      <c r="AT602">
        <v>1</v>
      </c>
      <c r="AU602" t="s">
        <v>72</v>
      </c>
      <c r="AV602" t="s">
        <v>65</v>
      </c>
      <c r="AW602">
        <v>0</v>
      </c>
      <c r="AX602">
        <v>2</v>
      </c>
      <c r="AY602">
        <v>0</v>
      </c>
      <c r="AZ602">
        <v>4000</v>
      </c>
      <c r="BA602">
        <v>100</v>
      </c>
      <c r="BB602">
        <v>100</v>
      </c>
      <c r="BC602">
        <v>100</v>
      </c>
      <c r="BD602">
        <v>100</v>
      </c>
      <c r="BE602">
        <v>1</v>
      </c>
      <c r="BF602">
        <v>15000</v>
      </c>
      <c r="BG602">
        <v>1000</v>
      </c>
      <c r="BH602" s="7">
        <f>ROUND(Wapato_Inventory[[#This Row],[detatched_value]]*Lookups!$B$22*Lookups!$H$48,-2)</f>
        <v>3600</v>
      </c>
      <c r="BI602" s="7">
        <f>ROUND(((Wapato_Inventory[[#This Row],[land_extract]]*Lookups!$B$3) +(Lookups!$B$2*0.5))*Lookups!$H$48,-2)</f>
        <v>52300</v>
      </c>
      <c r="BJ602" s="7">
        <f>IF(Wapato_Inventory[[#This Row],[bldg_style]]="",0,Lookups!$B$2*0.5)</f>
        <v>53765.27</v>
      </c>
      <c r="BK602" s="7">
        <f>_xlfn.IFNA(VLOOKUP(Wapato_Inventory[[#This Row],[quality]],Lookups!$H$2:$J$14,3,FALSE),0)</f>
        <v>28034</v>
      </c>
      <c r="BL602" s="7">
        <f>_xlfn.IFNA(VLOOKUP(Wapato_Inventory[[#This Row],[condition]],Lookups!$H$17:$J$24,3,FALSE),0)</f>
        <v>52231</v>
      </c>
      <c r="BM602" s="7">
        <f>Wapato_Inventory[[#This Row],[Age]]*Lookups!$B$16</f>
        <v>-38179.597099999999</v>
      </c>
      <c r="BN602" s="7">
        <f>Wapato_Inventory[[#This Row],[Main Floor]]*Lookups!$B$17</f>
        <v>57183.410951999998</v>
      </c>
      <c r="BO602" s="7">
        <f>Wapato_Inventory[[#This Row],[Upper Floor]]*Lookups!$B$18</f>
        <v>0</v>
      </c>
      <c r="BP602" s="7">
        <f>Wapato_Inventory[[#This Row],[Fin BSMT]]*Lookups!$B$19</f>
        <v>0</v>
      </c>
      <c r="BQ602" s="7">
        <f>(Wapato_Inventory[[#This Row],[att_gar]]+Wapato_Inventory[[#This Row],[blt_gar]])*Lookups!$B$20</f>
        <v>0</v>
      </c>
      <c r="BR602" s="7">
        <f>Wapato_Inventory[[#This Row],[Patio]]*Lookups!$B$21</f>
        <v>4678.989732</v>
      </c>
      <c r="BS602" s="7">
        <f>SUM(Wapato_Inventory[[#This Row],[intercept]:[patio_value]])*Wapato_Inventory[[#This Row],[res_pct]]</f>
        <v>157713.07358399997</v>
      </c>
      <c r="BT602" s="7">
        <f>Wapato_Inventory[[#This Row],[land_value]]</f>
        <v>52300</v>
      </c>
      <c r="BU602" s="2">
        <f>_xlfn.IFNA(VLOOKUP(Wapato_Inventory[[#This Row],[quality]],Lookups!$A$28:$C$37,3,FALSE),1)</f>
        <v>0.96265813922927435</v>
      </c>
      <c r="BV602" s="2">
        <f>_xlfn.IFNA(VLOOKUP(Wapato_Inventory[[#This Row],[condition]],Lookups!$A$41:$C$48,3,FALSE),1)</f>
        <v>0.9832333997567807</v>
      </c>
      <c r="BW602" s="2">
        <f>IF(Wapato_Inventory[[#This Row],[decade]]="",1,_xlfn.IFNA(VLOOKUP(Wapato_Inventory[[#This Row],[decade]],Lookups!$F$28:$H$45,3,FALSE),1))</f>
        <v>0.93664589651353292</v>
      </c>
      <c r="BX602" s="2">
        <f>_xlfn.IFNA(VLOOKUP(Wapato_Inventory[[#This Row],[living_area_range]],Lookups!$K$28:$M$37,3,FALSE),1)</f>
        <v>1.0061411172456287</v>
      </c>
      <c r="BY602" s="2">
        <f>AVERAGE(Wapato_Inventory[[#This Row],[qual_adj]:[range_adj]])</f>
        <v>0.97216963818630409</v>
      </c>
      <c r="BZ602" s="7">
        <f>(Wapato_Inventory[[#This Row],[sum_land]]-IF(Wapato_Inventory[[#This Row],[no_utilities]]=1,12000,0))/IF(Wapato_Inventory[[#This Row],[unbuildable]]=1,2,1)</f>
        <v>52300</v>
      </c>
      <c r="CA602" s="7">
        <f>Wapato_Inventory[[#This Row],[pre_res]]*Wapato_Inventory[[#This Row],[overall_adj]]</f>
        <v>153323.86168340722</v>
      </c>
      <c r="CB602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602" s="3">
        <f>IF(ROUND(Wapato_Inventory[[#This Row],[adj_res]]*Lookups!$H$48,-2)&lt;Wapato_Inventory[[#This Row],[min_res]],Wapato_Inventory[[#This Row],[min_res]],ROUND(Wapato_Inventory[[#This Row],[adj_res]]*Lookups!$H$48,-2))</f>
        <v>145700</v>
      </c>
      <c r="CD602" s="3">
        <f>ROUND(Wapato_Inventory[[#This Row],[det_value]]*Lookups!$H$48,-2)</f>
        <v>3400</v>
      </c>
      <c r="CE602" s="3">
        <f>Wapato_Inventory[[#This Row],[final_res]]+Wapato_Inventory[[#This Row],[final_det]]</f>
        <v>149100</v>
      </c>
      <c r="CF602" s="3">
        <f>Wapato_Inventory[[#This Row],[crop_value]]+Wapato_Inventory[[#This Row],[final_land]]+Wapato_Inventory[[#This Row],[final_imp]]</f>
        <v>198800</v>
      </c>
      <c r="CH602" t="str">
        <f t="shared" si="9"/>
        <v>update valuation set market_land =49700, market_bldg=149100, market_total =198800, market_mdno =405, market_date ='9/10/2023' where link_id = (select link_id from parcel where parcel_year = '2024' and parcel_id = '19111512485');</v>
      </c>
    </row>
    <row r="603" spans="1:86" x14ac:dyDescent="0.25">
      <c r="A603">
        <v>19111512488</v>
      </c>
      <c r="B603">
        <v>0.3</v>
      </c>
      <c r="C603">
        <v>12959</v>
      </c>
      <c r="D603" t="s">
        <v>144</v>
      </c>
      <c r="E603" t="s">
        <v>54</v>
      </c>
      <c r="F603" t="s">
        <v>54</v>
      </c>
      <c r="G603">
        <v>3</v>
      </c>
      <c r="H603" t="s">
        <v>55</v>
      </c>
      <c r="I603">
        <v>124700</v>
      </c>
      <c r="J603">
        <v>37300</v>
      </c>
      <c r="K603">
        <v>0.3</v>
      </c>
      <c r="L603">
        <f>IF(Wapato_Inventory[[#This Row],[parcel_acres]]-Wapato_Inventory[[#This Row],[non_valued_acres]] =0,0,LN(Wapato_Inventory[[#This Row],[parcel_acres]]-Wapato_Inventory[[#This Row],[non_valued_acres]]))</f>
        <v>-1.2039728043259361</v>
      </c>
      <c r="M603">
        <v>0</v>
      </c>
      <c r="N603">
        <v>0</v>
      </c>
      <c r="O603">
        <v>0</v>
      </c>
      <c r="P603">
        <v>27904.037</v>
      </c>
      <c r="Q603">
        <v>74398</v>
      </c>
      <c r="R603" s="3">
        <f>(Wapato_Inventory[[#This Row],[ln_acres]]*Wapato_Inventory[[#This Row],[coeff]])+Wapato_Inventory[[#This Row],[const]]</f>
        <v>40802.298321095317</v>
      </c>
      <c r="S603" t="s">
        <v>66</v>
      </c>
      <c r="T603">
        <v>1</v>
      </c>
      <c r="U603" t="s">
        <v>71</v>
      </c>
      <c r="V603" t="s">
        <v>68</v>
      </c>
      <c r="W603">
        <v>0</v>
      </c>
      <c r="X603">
        <v>0</v>
      </c>
      <c r="Y603">
        <v>65</v>
      </c>
      <c r="Z603">
        <v>113</v>
      </c>
      <c r="AA603">
        <v>120</v>
      </c>
      <c r="AB603">
        <v>1500</v>
      </c>
      <c r="AC603">
        <v>1378</v>
      </c>
      <c r="AD603">
        <v>1378</v>
      </c>
      <c r="AE603">
        <v>0</v>
      </c>
      <c r="AF603">
        <v>0</v>
      </c>
      <c r="AG603">
        <v>0</v>
      </c>
      <c r="AH603">
        <v>300</v>
      </c>
      <c r="AI603">
        <v>0</v>
      </c>
      <c r="AJ603">
        <v>0</v>
      </c>
      <c r="AK603">
        <v>660</v>
      </c>
      <c r="AL603">
        <v>0</v>
      </c>
      <c r="AM603">
        <v>168</v>
      </c>
      <c r="AN603">
        <v>0</v>
      </c>
      <c r="AO603">
        <v>0</v>
      </c>
      <c r="AP603">
        <v>5</v>
      </c>
      <c r="AQ603">
        <v>0</v>
      </c>
      <c r="AR603">
        <v>0</v>
      </c>
      <c r="AS603" t="s">
        <v>59</v>
      </c>
      <c r="AT603">
        <v>1</v>
      </c>
      <c r="AU603" t="s">
        <v>72</v>
      </c>
      <c r="AV603" t="s">
        <v>61</v>
      </c>
      <c r="AW603">
        <v>0</v>
      </c>
      <c r="AX603">
        <v>3</v>
      </c>
      <c r="AY603">
        <v>0</v>
      </c>
      <c r="AZ603">
        <v>0</v>
      </c>
      <c r="BA603">
        <v>100</v>
      </c>
      <c r="BB603">
        <v>100</v>
      </c>
      <c r="BC603">
        <v>100</v>
      </c>
      <c r="BD603">
        <v>100</v>
      </c>
      <c r="BE603">
        <v>1</v>
      </c>
      <c r="BF603">
        <v>15000</v>
      </c>
      <c r="BG603">
        <v>1000</v>
      </c>
      <c r="BH603" s="7">
        <f>ROUND(Wapato_Inventory[[#This Row],[detatched_value]]*Lookups!$B$22*Lookups!$H$48,-2)</f>
        <v>0</v>
      </c>
      <c r="BI603" s="7">
        <f>ROUND(((Wapato_Inventory[[#This Row],[land_extract]]*Lookups!$B$3) +(Lookups!$B$2*0.5))*Lookups!$H$48,-2)</f>
        <v>55000</v>
      </c>
      <c r="BJ603" s="7">
        <f>IF(Wapato_Inventory[[#This Row],[bldg_style]]="",0,Lookups!$B$2*0.5)</f>
        <v>53765.27</v>
      </c>
      <c r="BK603" s="7">
        <f>_xlfn.IFNA(VLOOKUP(Wapato_Inventory[[#This Row],[quality]],Lookups!$H$2:$J$14,3,FALSE),0)</f>
        <v>28034</v>
      </c>
      <c r="BL603" s="7">
        <f>_xlfn.IFNA(VLOOKUP(Wapato_Inventory[[#This Row],[condition]],Lookups!$H$17:$J$24,3,FALSE),0)</f>
        <v>52231</v>
      </c>
      <c r="BM603" s="7">
        <f>Wapato_Inventory[[#This Row],[Age]]*Lookups!$B$16</f>
        <v>-41886.354100000004</v>
      </c>
      <c r="BN603" s="7">
        <f>Wapato_Inventory[[#This Row],[Main Floor]]*Lookups!$B$17</f>
        <v>57601.418341999997</v>
      </c>
      <c r="BO603" s="7">
        <f>Wapato_Inventory[[#This Row],[Upper Floor]]*Lookups!$B$18</f>
        <v>0</v>
      </c>
      <c r="BP603" s="7">
        <f>Wapato_Inventory[[#This Row],[Fin BSMT]]*Lookups!$B$19</f>
        <v>0</v>
      </c>
      <c r="BQ603" s="7">
        <f>(Wapato_Inventory[[#This Row],[att_gar]]+Wapato_Inventory[[#This Row],[blt_gar]])*Lookups!$B$20</f>
        <v>0</v>
      </c>
      <c r="BR603" s="7">
        <f>Wapato_Inventory[[#This Row],[Patio]]*Lookups!$B$21</f>
        <v>7278.4284720000005</v>
      </c>
      <c r="BS603" s="7">
        <f>SUM(Wapato_Inventory[[#This Row],[intercept]:[patio_value]])*Wapato_Inventory[[#This Row],[res_pct]]</f>
        <v>157023.76271399998</v>
      </c>
      <c r="BT603" s="7">
        <f>Wapato_Inventory[[#This Row],[land_value]]</f>
        <v>55000</v>
      </c>
      <c r="BU603" s="2">
        <f>_xlfn.IFNA(VLOOKUP(Wapato_Inventory[[#This Row],[quality]],Lookups!$A$28:$C$37,3,FALSE),1)</f>
        <v>0.96265813922927435</v>
      </c>
      <c r="BV603" s="2">
        <f>_xlfn.IFNA(VLOOKUP(Wapato_Inventory[[#This Row],[condition]],Lookups!$A$41:$C$48,3,FALSE),1)</f>
        <v>0.9832333997567807</v>
      </c>
      <c r="BW603" s="2">
        <f>IF(Wapato_Inventory[[#This Row],[decade]]="",1,_xlfn.IFNA(VLOOKUP(Wapato_Inventory[[#This Row],[decade]],Lookups!$F$28:$H$45,3,FALSE),1))</f>
        <v>0.93664589651353292</v>
      </c>
      <c r="BX603" s="2">
        <f>_xlfn.IFNA(VLOOKUP(Wapato_Inventory[[#This Row],[living_area_range]],Lookups!$K$28:$M$37,3,FALSE),1)</f>
        <v>1.0061411172456287</v>
      </c>
      <c r="BY603" s="2">
        <f>AVERAGE(Wapato_Inventory[[#This Row],[qual_adj]:[range_adj]])</f>
        <v>0.97216963818630409</v>
      </c>
      <c r="BZ603" s="7">
        <f>(Wapato_Inventory[[#This Row],[sum_land]]-IF(Wapato_Inventory[[#This Row],[no_utilities]]=1,12000,0))/IF(Wapato_Inventory[[#This Row],[unbuildable]]=1,2,1)</f>
        <v>55000</v>
      </c>
      <c r="CA603" s="7">
        <f>Wapato_Inventory[[#This Row],[pre_res]]*Wapato_Inventory[[#This Row],[overall_adj]]</f>
        <v>152653.73458432144</v>
      </c>
      <c r="CB603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603" s="3">
        <f>IF(ROUND(Wapato_Inventory[[#This Row],[adj_res]]*Lookups!$H$48,-2)&lt;Wapato_Inventory[[#This Row],[min_res]],Wapato_Inventory[[#This Row],[min_res]],ROUND(Wapato_Inventory[[#This Row],[adj_res]]*Lookups!$H$48,-2))</f>
        <v>145000</v>
      </c>
      <c r="CD603" s="3">
        <f>ROUND(Wapato_Inventory[[#This Row],[det_value]]*Lookups!$H$48,-2)</f>
        <v>0</v>
      </c>
      <c r="CE603" s="3">
        <f>Wapato_Inventory[[#This Row],[final_res]]+Wapato_Inventory[[#This Row],[final_det]]</f>
        <v>145000</v>
      </c>
      <c r="CF603" s="3">
        <f>Wapato_Inventory[[#This Row],[crop_value]]+Wapato_Inventory[[#This Row],[final_land]]+Wapato_Inventory[[#This Row],[final_imp]]</f>
        <v>197300</v>
      </c>
      <c r="CH603" t="str">
        <f t="shared" si="9"/>
        <v>update valuation set market_land =52300, market_bldg=145000, market_total =197300, market_mdno =405, market_date ='9/10/2023' where link_id = (select link_id from parcel where parcel_year = '2024' and parcel_id = '19111512488');</v>
      </c>
    </row>
    <row r="604" spans="1:86" x14ac:dyDescent="0.25">
      <c r="A604">
        <v>19111512495</v>
      </c>
      <c r="B604">
        <v>0.13</v>
      </c>
      <c r="C604">
        <v>5533</v>
      </c>
      <c r="D604" t="s">
        <v>144</v>
      </c>
      <c r="E604" t="s">
        <v>54</v>
      </c>
      <c r="F604" t="s">
        <v>54</v>
      </c>
      <c r="G604">
        <v>3</v>
      </c>
      <c r="H604" t="s">
        <v>55</v>
      </c>
      <c r="I604">
        <v>94800</v>
      </c>
      <c r="J604">
        <v>31400</v>
      </c>
      <c r="K604">
        <v>0.13</v>
      </c>
      <c r="L604">
        <f>IF(Wapato_Inventory[[#This Row],[parcel_acres]]-Wapato_Inventory[[#This Row],[non_valued_acres]] =0,0,LN(Wapato_Inventory[[#This Row],[parcel_acres]]-Wapato_Inventory[[#This Row],[non_valued_acres]]))</f>
        <v>-2.0402208285265546</v>
      </c>
      <c r="M604">
        <v>0</v>
      </c>
      <c r="N604">
        <v>0</v>
      </c>
      <c r="O604">
        <v>0</v>
      </c>
      <c r="P604">
        <v>27904.037</v>
      </c>
      <c r="Q604">
        <v>74398</v>
      </c>
      <c r="R604" s="3">
        <f>(Wapato_Inventory[[#This Row],[ln_acres]]*Wapato_Inventory[[#This Row],[coeff]])+Wapato_Inventory[[#This Row],[const]]</f>
        <v>17467.602512624362</v>
      </c>
      <c r="S604" t="s">
        <v>66</v>
      </c>
      <c r="T604">
        <v>1</v>
      </c>
      <c r="U604" t="s">
        <v>71</v>
      </c>
      <c r="V604" t="s">
        <v>68</v>
      </c>
      <c r="W604">
        <v>0</v>
      </c>
      <c r="X604">
        <v>0</v>
      </c>
      <c r="Y604">
        <v>55</v>
      </c>
      <c r="Z604">
        <v>98</v>
      </c>
      <c r="AA604">
        <v>100</v>
      </c>
      <c r="AB604">
        <v>1000</v>
      </c>
      <c r="AC604">
        <v>816</v>
      </c>
      <c r="AD604">
        <v>816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5</v>
      </c>
      <c r="AQ604">
        <v>0</v>
      </c>
      <c r="AR604">
        <v>0</v>
      </c>
      <c r="AS604" t="s">
        <v>59</v>
      </c>
      <c r="AT604">
        <v>0</v>
      </c>
      <c r="AU604" t="s">
        <v>80</v>
      </c>
      <c r="AV604" t="s">
        <v>77</v>
      </c>
      <c r="AW604">
        <v>0</v>
      </c>
      <c r="AX604">
        <v>2</v>
      </c>
      <c r="AY604">
        <v>0</v>
      </c>
      <c r="AZ604">
        <v>0</v>
      </c>
      <c r="BA604">
        <v>100</v>
      </c>
      <c r="BB604">
        <v>100</v>
      </c>
      <c r="BC604">
        <v>100</v>
      </c>
      <c r="BD604">
        <v>100</v>
      </c>
      <c r="BE604">
        <v>1</v>
      </c>
      <c r="BF604">
        <v>15000</v>
      </c>
      <c r="BG604">
        <v>1000</v>
      </c>
      <c r="BH604" s="7">
        <f>ROUND(Wapato_Inventory[[#This Row],[detatched_value]]*Lookups!$B$22*Lookups!$H$48,-2)</f>
        <v>0</v>
      </c>
      <c r="BI604" s="7">
        <f>ROUND(((Wapato_Inventory[[#This Row],[land_extract]]*Lookups!$B$3) +(Lookups!$B$2*0.5))*Lookups!$H$48,-2)</f>
        <v>52800</v>
      </c>
      <c r="BJ604" s="7">
        <f>IF(Wapato_Inventory[[#This Row],[bldg_style]]="",0,Lookups!$B$2*0.5)</f>
        <v>53765.27</v>
      </c>
      <c r="BK604" s="7">
        <f>_xlfn.IFNA(VLOOKUP(Wapato_Inventory[[#This Row],[quality]],Lookups!$H$2:$J$14,3,FALSE),0)</f>
        <v>28034</v>
      </c>
      <c r="BL604" s="7">
        <f>_xlfn.IFNA(VLOOKUP(Wapato_Inventory[[#This Row],[condition]],Lookups!$H$17:$J$24,3,FALSE),0)</f>
        <v>52231</v>
      </c>
      <c r="BM604" s="7">
        <f>Wapato_Inventory[[#This Row],[Age]]*Lookups!$B$16</f>
        <v>-36326.2186</v>
      </c>
      <c r="BN604" s="7">
        <f>Wapato_Inventory[[#This Row],[Main Floor]]*Lookups!$B$17</f>
        <v>34109.403023999999</v>
      </c>
      <c r="BO604" s="7">
        <f>Wapato_Inventory[[#This Row],[Upper Floor]]*Lookups!$B$18</f>
        <v>0</v>
      </c>
      <c r="BP604" s="7">
        <f>Wapato_Inventory[[#This Row],[Fin BSMT]]*Lookups!$B$19</f>
        <v>0</v>
      </c>
      <c r="BQ604" s="7">
        <f>(Wapato_Inventory[[#This Row],[att_gar]]+Wapato_Inventory[[#This Row],[blt_gar]])*Lookups!$B$20</f>
        <v>0</v>
      </c>
      <c r="BR604" s="7">
        <f>Wapato_Inventory[[#This Row],[Patio]]*Lookups!$B$21</f>
        <v>0</v>
      </c>
      <c r="BS604" s="7">
        <f>SUM(Wapato_Inventory[[#This Row],[intercept]:[patio_value]])*Wapato_Inventory[[#This Row],[res_pct]]</f>
        <v>131813.454424</v>
      </c>
      <c r="BT604" s="7">
        <f>Wapato_Inventory[[#This Row],[land_value]]</f>
        <v>52800</v>
      </c>
      <c r="BU604" s="2">
        <f>_xlfn.IFNA(VLOOKUP(Wapato_Inventory[[#This Row],[quality]],Lookups!$A$28:$C$37,3,FALSE),1)</f>
        <v>0.96265813922927435</v>
      </c>
      <c r="BV604" s="2">
        <f>_xlfn.IFNA(VLOOKUP(Wapato_Inventory[[#This Row],[condition]],Lookups!$A$41:$C$48,3,FALSE),1)</f>
        <v>0.9832333997567807</v>
      </c>
      <c r="BW604" s="2">
        <f>IF(Wapato_Inventory[[#This Row],[decade]]="",1,_xlfn.IFNA(VLOOKUP(Wapato_Inventory[[#This Row],[decade]],Lookups!$F$28:$H$45,3,FALSE),1))</f>
        <v>1.0114203040664467</v>
      </c>
      <c r="BX604" s="2">
        <f>_xlfn.IFNA(VLOOKUP(Wapato_Inventory[[#This Row],[living_area_range]],Lookups!$K$28:$M$37,3,FALSE),1)</f>
        <v>0.99022994770196116</v>
      </c>
      <c r="BY604" s="2">
        <f>AVERAGE(Wapato_Inventory[[#This Row],[qual_adj]:[range_adj]])</f>
        <v>0.98688544768861564</v>
      </c>
      <c r="BZ604" s="7">
        <f>(Wapato_Inventory[[#This Row],[sum_land]]-IF(Wapato_Inventory[[#This Row],[no_utilities]]=1,12000,0))/IF(Wapato_Inventory[[#This Row],[unbuildable]]=1,2,1)</f>
        <v>52800</v>
      </c>
      <c r="CA604" s="7">
        <f>Wapato_Inventory[[#This Row],[pre_res]]*Wapato_Inventory[[#This Row],[overall_adj]]</f>
        <v>130084.77998061216</v>
      </c>
      <c r="CB604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04" s="3">
        <f>IF(ROUND(Wapato_Inventory[[#This Row],[adj_res]]*Lookups!$H$48,-2)&lt;Wapato_Inventory[[#This Row],[min_res]],Wapato_Inventory[[#This Row],[min_res]],ROUND(Wapato_Inventory[[#This Row],[adj_res]]*Lookups!$H$48,-2))</f>
        <v>123600</v>
      </c>
      <c r="CD604" s="3">
        <f>ROUND(Wapato_Inventory[[#This Row],[det_value]]*Lookups!$H$48,-2)</f>
        <v>0</v>
      </c>
      <c r="CE604" s="3">
        <f>Wapato_Inventory[[#This Row],[final_res]]+Wapato_Inventory[[#This Row],[final_det]]</f>
        <v>123600</v>
      </c>
      <c r="CF604" s="3">
        <f>Wapato_Inventory[[#This Row],[crop_value]]+Wapato_Inventory[[#This Row],[final_land]]+Wapato_Inventory[[#This Row],[final_imp]]</f>
        <v>173800</v>
      </c>
      <c r="CH604" t="str">
        <f t="shared" si="9"/>
        <v>update valuation set market_land =50200, market_bldg=123600, market_total =173800, market_mdno =405, market_date ='9/10/2023' where link_id = (select link_id from parcel where parcel_year = '2024' and parcel_id = '19111512495');</v>
      </c>
    </row>
    <row r="605" spans="1:86" x14ac:dyDescent="0.25">
      <c r="A605">
        <v>19111512499</v>
      </c>
      <c r="B605">
        <v>0.08</v>
      </c>
      <c r="C605">
        <v>3469</v>
      </c>
      <c r="D605" t="s">
        <v>144</v>
      </c>
      <c r="E605" t="s">
        <v>54</v>
      </c>
      <c r="F605" t="s">
        <v>54</v>
      </c>
      <c r="G605">
        <v>3</v>
      </c>
      <c r="H605" t="s">
        <v>55</v>
      </c>
      <c r="I605">
        <v>164800</v>
      </c>
      <c r="J605">
        <v>27900</v>
      </c>
      <c r="K605">
        <v>0.08</v>
      </c>
      <c r="L605">
        <f>IF(Wapato_Inventory[[#This Row],[parcel_acres]]-Wapato_Inventory[[#This Row],[non_valued_acres]] =0,0,LN(Wapato_Inventory[[#This Row],[parcel_acres]]-Wapato_Inventory[[#This Row],[non_valued_acres]]))</f>
        <v>-2.5257286443082556</v>
      </c>
      <c r="M605">
        <v>0</v>
      </c>
      <c r="N605">
        <v>0</v>
      </c>
      <c r="O605">
        <v>0</v>
      </c>
      <c r="P605">
        <v>27904.037</v>
      </c>
      <c r="Q605">
        <v>74398</v>
      </c>
      <c r="R605" s="3">
        <f>(Wapato_Inventory[[#This Row],[ln_acres]]*Wapato_Inventory[[#This Row],[coeff]])+Wapato_Inventory[[#This Row],[const]]</f>
        <v>3919.9744572625932</v>
      </c>
      <c r="S605" t="s">
        <v>66</v>
      </c>
      <c r="T605">
        <v>1</v>
      </c>
      <c r="U605" t="s">
        <v>75</v>
      </c>
      <c r="V605" t="s">
        <v>69</v>
      </c>
      <c r="W605">
        <v>0</v>
      </c>
      <c r="X605">
        <v>0</v>
      </c>
      <c r="Y605">
        <v>73</v>
      </c>
      <c r="Z605">
        <v>121</v>
      </c>
      <c r="AA605">
        <v>130</v>
      </c>
      <c r="AB605">
        <v>1000</v>
      </c>
      <c r="AC605">
        <v>946</v>
      </c>
      <c r="AD605">
        <v>946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190</v>
      </c>
      <c r="AN605">
        <v>0</v>
      </c>
      <c r="AO605">
        <v>190</v>
      </c>
      <c r="AP605">
        <v>5</v>
      </c>
      <c r="AQ605">
        <v>1</v>
      </c>
      <c r="AR605">
        <v>0</v>
      </c>
      <c r="AS605" t="s">
        <v>59</v>
      </c>
      <c r="AT605">
        <v>1</v>
      </c>
      <c r="AU605" t="s">
        <v>76</v>
      </c>
      <c r="AV605" t="s">
        <v>61</v>
      </c>
      <c r="AW605">
        <v>0</v>
      </c>
      <c r="AX605">
        <v>2</v>
      </c>
      <c r="AY605">
        <v>0</v>
      </c>
      <c r="AZ605">
        <v>8000</v>
      </c>
      <c r="BA605">
        <v>100</v>
      </c>
      <c r="BB605">
        <v>100</v>
      </c>
      <c r="BC605">
        <v>100</v>
      </c>
      <c r="BD605">
        <v>100</v>
      </c>
      <c r="BE605">
        <v>1</v>
      </c>
      <c r="BF605">
        <v>15000</v>
      </c>
      <c r="BG605">
        <v>1000</v>
      </c>
      <c r="BH605" s="7">
        <f>ROUND(Wapato_Inventory[[#This Row],[detatched_value]]*Lookups!$B$22*Lookups!$H$48,-2)</f>
        <v>7100</v>
      </c>
      <c r="BI605" s="7">
        <f>ROUND(((Wapato_Inventory[[#This Row],[land_extract]]*Lookups!$B$3) +(Lookups!$B$2*0.5))*Lookups!$H$48,-2)</f>
        <v>51500</v>
      </c>
      <c r="BJ605" s="7">
        <f>IF(Wapato_Inventory[[#This Row],[bldg_style]]="",0,Lookups!$B$2*0.5)</f>
        <v>53765.27</v>
      </c>
      <c r="BK605" s="7">
        <f>_xlfn.IFNA(VLOOKUP(Wapato_Inventory[[#This Row],[quality]],Lookups!$H$2:$J$14,3,FALSE),0)</f>
        <v>48043</v>
      </c>
      <c r="BL605" s="7">
        <f>_xlfn.IFNA(VLOOKUP(Wapato_Inventory[[#This Row],[condition]],Lookups!$H$17:$J$24,3,FALSE),0)</f>
        <v>74543</v>
      </c>
      <c r="BM605" s="7">
        <f>Wapato_Inventory[[#This Row],[Age]]*Lookups!$B$16</f>
        <v>-44851.759700000002</v>
      </c>
      <c r="BN605" s="7">
        <f>Wapato_Inventory[[#This Row],[Main Floor]]*Lookups!$B$17</f>
        <v>39543.499093999999</v>
      </c>
      <c r="BO605" s="7">
        <f>Wapato_Inventory[[#This Row],[Upper Floor]]*Lookups!$B$18</f>
        <v>0</v>
      </c>
      <c r="BP605" s="7">
        <f>Wapato_Inventory[[#This Row],[Fin BSMT]]*Lookups!$B$19</f>
        <v>0</v>
      </c>
      <c r="BQ605" s="7">
        <f>(Wapato_Inventory[[#This Row],[att_gar]]+Wapato_Inventory[[#This Row],[blt_gar]])*Lookups!$B$20</f>
        <v>0</v>
      </c>
      <c r="BR605" s="7">
        <f>Wapato_Inventory[[#This Row],[Patio]]*Lookups!$B$21</f>
        <v>8231.5560100000002</v>
      </c>
      <c r="BS605" s="7">
        <f>SUM(Wapato_Inventory[[#This Row],[intercept]:[patio_value]])*Wapato_Inventory[[#This Row],[res_pct]]</f>
        <v>179274.56540399999</v>
      </c>
      <c r="BT605" s="7">
        <f>Wapato_Inventory[[#This Row],[land_value]]</f>
        <v>51500</v>
      </c>
      <c r="BU605" s="2">
        <f>_xlfn.IFNA(VLOOKUP(Wapato_Inventory[[#This Row],[quality]],Lookups!$A$28:$C$37,3,FALSE),1)</f>
        <v>0.98196844879778955</v>
      </c>
      <c r="BV605" s="2">
        <f>_xlfn.IFNA(VLOOKUP(Wapato_Inventory[[#This Row],[condition]],Lookups!$A$41:$C$48,3,FALSE),1)</f>
        <v>0.98442438223270734</v>
      </c>
      <c r="BW605" s="2">
        <f>IF(Wapato_Inventory[[#This Row],[decade]]="",1,_xlfn.IFNA(VLOOKUP(Wapato_Inventory[[#This Row],[decade]],Lookups!$F$28:$H$45,3,FALSE),1))</f>
        <v>0.93664589651353292</v>
      </c>
      <c r="BX605" s="2">
        <f>_xlfn.IFNA(VLOOKUP(Wapato_Inventory[[#This Row],[living_area_range]],Lookups!$K$28:$M$37,3,FALSE),1)</f>
        <v>0.99022994770196116</v>
      </c>
      <c r="BY605" s="2">
        <f>AVERAGE(Wapato_Inventory[[#This Row],[qual_adj]:[range_adj]])</f>
        <v>0.97331716881149777</v>
      </c>
      <c r="BZ605" s="7">
        <f>(Wapato_Inventory[[#This Row],[sum_land]]-IF(Wapato_Inventory[[#This Row],[no_utilities]]=1,12000,0))/IF(Wapato_Inventory[[#This Row],[unbuildable]]=1,2,1)</f>
        <v>51500</v>
      </c>
      <c r="CA605" s="7">
        <f>Wapato_Inventory[[#This Row],[pre_res]]*Wapato_Inventory[[#This Row],[overall_adj]]</f>
        <v>174491.01243893296</v>
      </c>
      <c r="CB605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605" s="3">
        <f>IF(ROUND(Wapato_Inventory[[#This Row],[adj_res]]*Lookups!$H$48,-2)&lt;Wapato_Inventory[[#This Row],[min_res]],Wapato_Inventory[[#This Row],[min_res]],ROUND(Wapato_Inventory[[#This Row],[adj_res]]*Lookups!$H$48,-2))</f>
        <v>165800</v>
      </c>
      <c r="CD605" s="3">
        <f>ROUND(Wapato_Inventory[[#This Row],[det_value]]*Lookups!$H$48,-2)</f>
        <v>6700</v>
      </c>
      <c r="CE605" s="3">
        <f>Wapato_Inventory[[#This Row],[final_res]]+Wapato_Inventory[[#This Row],[final_det]]</f>
        <v>172500</v>
      </c>
      <c r="CF605" s="3">
        <f>Wapato_Inventory[[#This Row],[crop_value]]+Wapato_Inventory[[#This Row],[final_land]]+Wapato_Inventory[[#This Row],[final_imp]]</f>
        <v>221400</v>
      </c>
      <c r="CH605" t="str">
        <f t="shared" si="9"/>
        <v>update valuation set market_land =48900, market_bldg=172500, market_total =221400, market_mdno =405, market_date ='9/10/2023' where link_id = (select link_id from parcel where parcel_year = '2024' and parcel_id = '19111512499');</v>
      </c>
    </row>
    <row r="606" spans="1:86" x14ac:dyDescent="0.25">
      <c r="A606">
        <v>19111513400</v>
      </c>
      <c r="B606">
        <v>0.14000000000000001</v>
      </c>
      <c r="C606">
        <v>6307</v>
      </c>
      <c r="D606" t="s">
        <v>144</v>
      </c>
      <c r="E606" t="s">
        <v>54</v>
      </c>
      <c r="F606" t="s">
        <v>54</v>
      </c>
      <c r="G606">
        <v>3</v>
      </c>
      <c r="H606" t="s">
        <v>55</v>
      </c>
      <c r="I606">
        <v>143900</v>
      </c>
      <c r="J606">
        <v>31900</v>
      </c>
      <c r="K606">
        <v>0.14000000000000001</v>
      </c>
      <c r="L606">
        <f>IF(Wapato_Inventory[[#This Row],[parcel_acres]]-Wapato_Inventory[[#This Row],[non_valued_acres]] =0,0,LN(Wapato_Inventory[[#This Row],[parcel_acres]]-Wapato_Inventory[[#This Row],[non_valued_acres]]))</f>
        <v>-1.9661128563728327</v>
      </c>
      <c r="M606">
        <v>0</v>
      </c>
      <c r="N606">
        <v>0</v>
      </c>
      <c r="O606">
        <v>0</v>
      </c>
      <c r="P606">
        <v>27904.037</v>
      </c>
      <c r="Q606">
        <v>74398</v>
      </c>
      <c r="R606" s="3">
        <f>(Wapato_Inventory[[#This Row],[ln_acres]]*Wapato_Inventory[[#This Row],[coeff]])+Wapato_Inventory[[#This Row],[const]]</f>
        <v>19535.514109596792</v>
      </c>
      <c r="S606" t="s">
        <v>66</v>
      </c>
      <c r="T606">
        <v>1</v>
      </c>
      <c r="U606" t="s">
        <v>75</v>
      </c>
      <c r="V606" t="s">
        <v>68</v>
      </c>
      <c r="W606">
        <v>0</v>
      </c>
      <c r="X606">
        <v>0</v>
      </c>
      <c r="Y606">
        <v>43</v>
      </c>
      <c r="Z606">
        <v>68</v>
      </c>
      <c r="AA606">
        <v>70</v>
      </c>
      <c r="AB606">
        <v>1000</v>
      </c>
      <c r="AC606">
        <v>976</v>
      </c>
      <c r="AD606">
        <v>976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104</v>
      </c>
      <c r="AM606">
        <v>224</v>
      </c>
      <c r="AN606">
        <v>0</v>
      </c>
      <c r="AO606">
        <v>224</v>
      </c>
      <c r="AP606">
        <v>6</v>
      </c>
      <c r="AQ606">
        <v>0</v>
      </c>
      <c r="AR606">
        <v>0</v>
      </c>
      <c r="AS606" t="s">
        <v>59</v>
      </c>
      <c r="AT606">
        <v>1</v>
      </c>
      <c r="AU606" t="s">
        <v>64</v>
      </c>
      <c r="AV606" t="s">
        <v>77</v>
      </c>
      <c r="AW606">
        <v>0</v>
      </c>
      <c r="AX606">
        <v>3</v>
      </c>
      <c r="AY606">
        <v>0</v>
      </c>
      <c r="AZ606">
        <v>0</v>
      </c>
      <c r="BA606">
        <v>100</v>
      </c>
      <c r="BB606">
        <v>100</v>
      </c>
      <c r="BC606">
        <v>100</v>
      </c>
      <c r="BD606">
        <v>100</v>
      </c>
      <c r="BE606">
        <v>1</v>
      </c>
      <c r="BF606">
        <v>15000</v>
      </c>
      <c r="BG606">
        <v>1000</v>
      </c>
      <c r="BH606" s="7">
        <f>ROUND(Wapato_Inventory[[#This Row],[detatched_value]]*Lookups!$B$22*Lookups!$H$48,-2)</f>
        <v>0</v>
      </c>
      <c r="BI606" s="7">
        <f>ROUND(((Wapato_Inventory[[#This Row],[land_extract]]*Lookups!$B$3) +(Lookups!$B$2*0.5))*Lookups!$H$48,-2)</f>
        <v>53000</v>
      </c>
      <c r="BJ606" s="7">
        <f>IF(Wapato_Inventory[[#This Row],[bldg_style]]="",0,Lookups!$B$2*0.5)</f>
        <v>53765.27</v>
      </c>
      <c r="BK606" s="7">
        <f>_xlfn.IFNA(VLOOKUP(Wapato_Inventory[[#This Row],[quality]],Lookups!$H$2:$J$14,3,FALSE),0)</f>
        <v>48043</v>
      </c>
      <c r="BL606" s="7">
        <f>_xlfn.IFNA(VLOOKUP(Wapato_Inventory[[#This Row],[condition]],Lookups!$H$17:$J$24,3,FALSE),0)</f>
        <v>52231</v>
      </c>
      <c r="BM606" s="7">
        <f>Wapato_Inventory[[#This Row],[Age]]*Lookups!$B$16</f>
        <v>-25205.9476</v>
      </c>
      <c r="BN606" s="7">
        <f>Wapato_Inventory[[#This Row],[Main Floor]]*Lookups!$B$17</f>
        <v>40797.521264000003</v>
      </c>
      <c r="BO606" s="7">
        <f>Wapato_Inventory[[#This Row],[Upper Floor]]*Lookups!$B$18</f>
        <v>0</v>
      </c>
      <c r="BP606" s="7">
        <f>Wapato_Inventory[[#This Row],[Fin BSMT]]*Lookups!$B$19</f>
        <v>0</v>
      </c>
      <c r="BQ606" s="7">
        <f>(Wapato_Inventory[[#This Row],[att_gar]]+Wapato_Inventory[[#This Row],[blt_gar]])*Lookups!$B$20</f>
        <v>0</v>
      </c>
      <c r="BR606" s="7">
        <f>Wapato_Inventory[[#This Row],[Patio]]*Lookups!$B$21</f>
        <v>9704.5712960000001</v>
      </c>
      <c r="BS606" s="7">
        <f>SUM(Wapato_Inventory[[#This Row],[intercept]:[patio_value]])*Wapato_Inventory[[#This Row],[res_pct]]</f>
        <v>179335.41495999999</v>
      </c>
      <c r="BT606" s="7">
        <f>Wapato_Inventory[[#This Row],[land_value]]</f>
        <v>53000</v>
      </c>
      <c r="BU606" s="2">
        <f>_xlfn.IFNA(VLOOKUP(Wapato_Inventory[[#This Row],[quality]],Lookups!$A$28:$C$37,3,FALSE),1)</f>
        <v>0.98196844879778955</v>
      </c>
      <c r="BV606" s="2">
        <f>_xlfn.IFNA(VLOOKUP(Wapato_Inventory[[#This Row],[condition]],Lookups!$A$41:$C$48,3,FALSE),1)</f>
        <v>0.9832333997567807</v>
      </c>
      <c r="BW606" s="2">
        <f>IF(Wapato_Inventory[[#This Row],[decade]]="",1,_xlfn.IFNA(VLOOKUP(Wapato_Inventory[[#This Row],[decade]],Lookups!$F$28:$H$45,3,FALSE),1))</f>
        <v>1.0012715221492001</v>
      </c>
      <c r="BX606" s="2">
        <f>_xlfn.IFNA(VLOOKUP(Wapato_Inventory[[#This Row],[living_area_range]],Lookups!$K$28:$M$37,3,FALSE),1)</f>
        <v>0.99022994770196116</v>
      </c>
      <c r="BY606" s="2">
        <f>AVERAGE(Wapato_Inventory[[#This Row],[qual_adj]:[range_adj]])</f>
        <v>0.98917582960143291</v>
      </c>
      <c r="BZ606" s="7">
        <f>(Wapato_Inventory[[#This Row],[sum_land]]-IF(Wapato_Inventory[[#This Row],[no_utilities]]=1,12000,0))/IF(Wapato_Inventory[[#This Row],[unbuildable]]=1,2,1)</f>
        <v>53000</v>
      </c>
      <c r="CA606" s="7">
        <f>Wapato_Inventory[[#This Row],[pre_res]]*Wapato_Inventory[[#This Row],[overall_adj]]</f>
        <v>177394.2578699752</v>
      </c>
      <c r="CB60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06" s="3">
        <f>IF(ROUND(Wapato_Inventory[[#This Row],[adj_res]]*Lookups!$H$48,-2)&lt;Wapato_Inventory[[#This Row],[min_res]],Wapato_Inventory[[#This Row],[min_res]],ROUND(Wapato_Inventory[[#This Row],[adj_res]]*Lookups!$H$48,-2))</f>
        <v>168500</v>
      </c>
      <c r="CD606" s="3">
        <f>ROUND(Wapato_Inventory[[#This Row],[det_value]]*Lookups!$H$48,-2)</f>
        <v>0</v>
      </c>
      <c r="CE606" s="3">
        <f>Wapato_Inventory[[#This Row],[final_res]]+Wapato_Inventory[[#This Row],[final_det]]</f>
        <v>168500</v>
      </c>
      <c r="CF606" s="3">
        <f>Wapato_Inventory[[#This Row],[crop_value]]+Wapato_Inventory[[#This Row],[final_land]]+Wapato_Inventory[[#This Row],[final_imp]]</f>
        <v>218900</v>
      </c>
      <c r="CH606" t="str">
        <f t="shared" si="9"/>
        <v>update valuation set market_land =50400, market_bldg=168500, market_total =218900, market_mdno =405, market_date ='9/10/2023' where link_id = (select link_id from parcel where parcel_year = '2024' and parcel_id = '19111513400');</v>
      </c>
    </row>
    <row r="607" spans="1:86" x14ac:dyDescent="0.25">
      <c r="A607">
        <v>19111513401</v>
      </c>
      <c r="B607">
        <v>0.14000000000000001</v>
      </c>
      <c r="C607">
        <v>6201</v>
      </c>
      <c r="D607" t="s">
        <v>144</v>
      </c>
      <c r="E607" t="s">
        <v>54</v>
      </c>
      <c r="F607" t="s">
        <v>54</v>
      </c>
      <c r="G607">
        <v>3</v>
      </c>
      <c r="H607" t="s">
        <v>55</v>
      </c>
      <c r="I607">
        <v>216900</v>
      </c>
      <c r="J607">
        <v>31900</v>
      </c>
      <c r="K607">
        <v>0.14000000000000001</v>
      </c>
      <c r="L607">
        <f>IF(Wapato_Inventory[[#This Row],[parcel_acres]]-Wapato_Inventory[[#This Row],[non_valued_acres]] =0,0,LN(Wapato_Inventory[[#This Row],[parcel_acres]]-Wapato_Inventory[[#This Row],[non_valued_acres]]))</f>
        <v>-1.9661128563728327</v>
      </c>
      <c r="M607">
        <v>0</v>
      </c>
      <c r="N607">
        <v>0</v>
      </c>
      <c r="O607">
        <v>0</v>
      </c>
      <c r="P607">
        <v>27904.037</v>
      </c>
      <c r="Q607">
        <v>74398</v>
      </c>
      <c r="R607" s="3">
        <f>(Wapato_Inventory[[#This Row],[ln_acres]]*Wapato_Inventory[[#This Row],[coeff]])+Wapato_Inventory[[#This Row],[const]]</f>
        <v>19535.514109596792</v>
      </c>
      <c r="S607" t="s">
        <v>145</v>
      </c>
      <c r="T607">
        <v>1</v>
      </c>
      <c r="U607" t="s">
        <v>67</v>
      </c>
      <c r="V607" t="s">
        <v>68</v>
      </c>
      <c r="W607">
        <v>0</v>
      </c>
      <c r="X607">
        <v>0</v>
      </c>
      <c r="Y607">
        <v>28</v>
      </c>
      <c r="Z607">
        <v>31</v>
      </c>
      <c r="AA607">
        <v>40</v>
      </c>
      <c r="AB607">
        <v>2000</v>
      </c>
      <c r="AC607">
        <v>1644</v>
      </c>
      <c r="AD607">
        <v>1644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320</v>
      </c>
      <c r="AL607">
        <v>0</v>
      </c>
      <c r="AM607">
        <v>538</v>
      </c>
      <c r="AN607">
        <v>40</v>
      </c>
      <c r="AO607">
        <v>408</v>
      </c>
      <c r="AP607">
        <v>8</v>
      </c>
      <c r="AQ607">
        <v>1</v>
      </c>
      <c r="AR607">
        <v>0</v>
      </c>
      <c r="AS607" t="s">
        <v>59</v>
      </c>
      <c r="AT607">
        <v>1</v>
      </c>
      <c r="AU607" t="s">
        <v>60</v>
      </c>
      <c r="AV607" t="s">
        <v>65</v>
      </c>
      <c r="AW607">
        <v>1</v>
      </c>
      <c r="AX607">
        <v>4</v>
      </c>
      <c r="AY607">
        <v>0</v>
      </c>
      <c r="AZ607">
        <v>0</v>
      </c>
      <c r="BA607">
        <v>100</v>
      </c>
      <c r="BB607">
        <v>100</v>
      </c>
      <c r="BC607">
        <v>100</v>
      </c>
      <c r="BD607">
        <v>100</v>
      </c>
      <c r="BE607">
        <v>1</v>
      </c>
      <c r="BF607">
        <v>15000</v>
      </c>
      <c r="BG607">
        <v>1000</v>
      </c>
      <c r="BH607" s="7">
        <f>ROUND(Wapato_Inventory[[#This Row],[detatched_value]]*Lookups!$B$22*Lookups!$H$48,-2)</f>
        <v>0</v>
      </c>
      <c r="BI607" s="7">
        <f>ROUND(((Wapato_Inventory[[#This Row],[land_extract]]*Lookups!$B$3) +(Lookups!$B$2*0.5))*Lookups!$H$48,-2)</f>
        <v>53000</v>
      </c>
      <c r="BJ607" s="7">
        <f>IF(Wapato_Inventory[[#This Row],[bldg_style]]="",0,Lookups!$B$2*0.5)</f>
        <v>53765.27</v>
      </c>
      <c r="BK607" s="7">
        <f>_xlfn.IFNA(VLOOKUP(Wapato_Inventory[[#This Row],[quality]],Lookups!$H$2:$J$14,3,FALSE),0)</f>
        <v>50405</v>
      </c>
      <c r="BL607" s="7">
        <f>_xlfn.IFNA(VLOOKUP(Wapato_Inventory[[#This Row],[condition]],Lookups!$H$17:$J$24,3,FALSE),0)</f>
        <v>52231</v>
      </c>
      <c r="BM607" s="7">
        <f>Wapato_Inventory[[#This Row],[Age]]*Lookups!$B$16</f>
        <v>-11490.9467</v>
      </c>
      <c r="BN607" s="7">
        <f>Wapato_Inventory[[#This Row],[Main Floor]]*Lookups!$B$17</f>
        <v>68720.414915999994</v>
      </c>
      <c r="BO607" s="7">
        <f>Wapato_Inventory[[#This Row],[Upper Floor]]*Lookups!$B$18</f>
        <v>0</v>
      </c>
      <c r="BP607" s="7">
        <f>Wapato_Inventory[[#This Row],[Fin BSMT]]*Lookups!$B$19</f>
        <v>0</v>
      </c>
      <c r="BQ607" s="7">
        <f>(Wapato_Inventory[[#This Row],[att_gar]]+Wapato_Inventory[[#This Row],[blt_gar]])*Lookups!$B$20</f>
        <v>0</v>
      </c>
      <c r="BR607" s="7">
        <f>Wapato_Inventory[[#This Row],[Patio]]*Lookups!$B$21</f>
        <v>23308.300702</v>
      </c>
      <c r="BS607" s="7">
        <f>SUM(Wapato_Inventory[[#This Row],[intercept]:[patio_value]])*Wapato_Inventory[[#This Row],[res_pct]]</f>
        <v>236939.03891799998</v>
      </c>
      <c r="BT607" s="7">
        <f>Wapato_Inventory[[#This Row],[land_value]]</f>
        <v>53000</v>
      </c>
      <c r="BU607" s="2">
        <f>_xlfn.IFNA(VLOOKUP(Wapato_Inventory[[#This Row],[quality]],Lookups!$A$28:$C$37,3,FALSE),1)</f>
        <v>0.97993206410140754</v>
      </c>
      <c r="BV607" s="2">
        <f>_xlfn.IFNA(VLOOKUP(Wapato_Inventory[[#This Row],[condition]],Lookups!$A$41:$C$48,3,FALSE),1)</f>
        <v>0.9832333997567807</v>
      </c>
      <c r="BW607" s="2">
        <f>IF(Wapato_Inventory[[#This Row],[decade]]="",1,_xlfn.IFNA(VLOOKUP(Wapato_Inventory[[#This Row],[decade]],Lookups!$F$28:$H$45,3,FALSE),1))</f>
        <v>1.0327621624630683</v>
      </c>
      <c r="BX607" s="2">
        <f>_xlfn.IFNA(VLOOKUP(Wapato_Inventory[[#This Row],[living_area_range]],Lookups!$K$28:$M$37,3,FALSE),1)</f>
        <v>0.99330894324714125</v>
      </c>
      <c r="BY607" s="2">
        <f>AVERAGE(Wapato_Inventory[[#This Row],[qual_adj]:[range_adj]])</f>
        <v>0.99730914239209945</v>
      </c>
      <c r="BZ607" s="7">
        <f>(Wapato_Inventory[[#This Row],[sum_land]]-IF(Wapato_Inventory[[#This Row],[no_utilities]]=1,12000,0))/IF(Wapato_Inventory[[#This Row],[unbuildable]]=1,2,1)</f>
        <v>53000</v>
      </c>
      <c r="CA607" s="7">
        <f>Wapato_Inventory[[#This Row],[pre_res]]*Wapato_Inventory[[#This Row],[overall_adj]]</f>
        <v>236301.46970251884</v>
      </c>
      <c r="CB60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07" s="3">
        <f>IF(ROUND(Wapato_Inventory[[#This Row],[adj_res]]*Lookups!$H$48,-2)&lt;Wapato_Inventory[[#This Row],[min_res]],Wapato_Inventory[[#This Row],[min_res]],ROUND(Wapato_Inventory[[#This Row],[adj_res]]*Lookups!$H$48,-2))</f>
        <v>224500</v>
      </c>
      <c r="CD607" s="3">
        <f>ROUND(Wapato_Inventory[[#This Row],[det_value]]*Lookups!$H$48,-2)</f>
        <v>0</v>
      </c>
      <c r="CE607" s="3">
        <f>Wapato_Inventory[[#This Row],[final_res]]+Wapato_Inventory[[#This Row],[final_det]]</f>
        <v>224500</v>
      </c>
      <c r="CF607" s="3">
        <f>Wapato_Inventory[[#This Row],[crop_value]]+Wapato_Inventory[[#This Row],[final_land]]+Wapato_Inventory[[#This Row],[final_imp]]</f>
        <v>274900</v>
      </c>
      <c r="CH607" t="str">
        <f t="shared" si="9"/>
        <v>update valuation set market_land =50400, market_bldg=224500, market_total =274900, market_mdno =405, market_date ='9/10/2023' where link_id = (select link_id from parcel where parcel_year = '2024' and parcel_id = '19111513401');</v>
      </c>
    </row>
    <row r="608" spans="1:86" x14ac:dyDescent="0.25">
      <c r="A608">
        <v>19111513402</v>
      </c>
      <c r="B608">
        <v>0.13</v>
      </c>
      <c r="C608">
        <v>5782</v>
      </c>
      <c r="D608" t="s">
        <v>144</v>
      </c>
      <c r="E608" t="s">
        <v>54</v>
      </c>
      <c r="F608" t="s">
        <v>54</v>
      </c>
      <c r="G608">
        <v>3</v>
      </c>
      <c r="H608" t="s">
        <v>55</v>
      </c>
      <c r="I608">
        <v>147500</v>
      </c>
      <c r="J608">
        <v>31400</v>
      </c>
      <c r="K608">
        <v>0.13</v>
      </c>
      <c r="L608">
        <f>IF(Wapato_Inventory[[#This Row],[parcel_acres]]-Wapato_Inventory[[#This Row],[non_valued_acres]] =0,0,LN(Wapato_Inventory[[#This Row],[parcel_acres]]-Wapato_Inventory[[#This Row],[non_valued_acres]]))</f>
        <v>-2.0402208285265546</v>
      </c>
      <c r="M608">
        <v>0</v>
      </c>
      <c r="N608">
        <v>0</v>
      </c>
      <c r="O608">
        <v>0</v>
      </c>
      <c r="P608">
        <v>27904.037</v>
      </c>
      <c r="Q608">
        <v>74398</v>
      </c>
      <c r="R608" s="3">
        <f>(Wapato_Inventory[[#This Row],[ln_acres]]*Wapato_Inventory[[#This Row],[coeff]])+Wapato_Inventory[[#This Row],[const]]</f>
        <v>17467.602512624362</v>
      </c>
      <c r="S608" t="s">
        <v>66</v>
      </c>
      <c r="T608">
        <v>1</v>
      </c>
      <c r="U608" t="s">
        <v>71</v>
      </c>
      <c r="V608" t="s">
        <v>69</v>
      </c>
      <c r="W608">
        <v>0</v>
      </c>
      <c r="X608">
        <v>0</v>
      </c>
      <c r="Y608">
        <v>53</v>
      </c>
      <c r="Z608">
        <v>93</v>
      </c>
      <c r="AA608">
        <v>100</v>
      </c>
      <c r="AB608">
        <v>1000</v>
      </c>
      <c r="AC608">
        <v>996</v>
      </c>
      <c r="AD608">
        <v>996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5</v>
      </c>
      <c r="AQ608">
        <v>1</v>
      </c>
      <c r="AR608">
        <v>0</v>
      </c>
      <c r="AS608" t="s">
        <v>59</v>
      </c>
      <c r="AT608">
        <v>1</v>
      </c>
      <c r="AU608" t="s">
        <v>76</v>
      </c>
      <c r="AV608" t="s">
        <v>61</v>
      </c>
      <c r="AW608">
        <v>0</v>
      </c>
      <c r="AX608">
        <v>3</v>
      </c>
      <c r="AY608">
        <v>0</v>
      </c>
      <c r="AZ608">
        <v>2100</v>
      </c>
      <c r="BA608">
        <v>100</v>
      </c>
      <c r="BB608">
        <v>100</v>
      </c>
      <c r="BC608">
        <v>100</v>
      </c>
      <c r="BD608">
        <v>100</v>
      </c>
      <c r="BE608">
        <v>1</v>
      </c>
      <c r="BF608">
        <v>15000</v>
      </c>
      <c r="BG608">
        <v>1000</v>
      </c>
      <c r="BH608" s="7">
        <f>ROUND(Wapato_Inventory[[#This Row],[detatched_value]]*Lookups!$B$22*Lookups!$H$48,-2)</f>
        <v>1900</v>
      </c>
      <c r="BI608" s="7">
        <f>ROUND(((Wapato_Inventory[[#This Row],[land_extract]]*Lookups!$B$3) +(Lookups!$B$2*0.5))*Lookups!$H$48,-2)</f>
        <v>52800</v>
      </c>
      <c r="BJ608" s="7">
        <f>IF(Wapato_Inventory[[#This Row],[bldg_style]]="",0,Lookups!$B$2*0.5)</f>
        <v>53765.27</v>
      </c>
      <c r="BK608" s="7">
        <f>_xlfn.IFNA(VLOOKUP(Wapato_Inventory[[#This Row],[quality]],Lookups!$H$2:$J$14,3,FALSE),0)</f>
        <v>28034</v>
      </c>
      <c r="BL608" s="7">
        <f>_xlfn.IFNA(VLOOKUP(Wapato_Inventory[[#This Row],[condition]],Lookups!$H$17:$J$24,3,FALSE),0)</f>
        <v>74543</v>
      </c>
      <c r="BM608" s="7">
        <f>Wapato_Inventory[[#This Row],[Age]]*Lookups!$B$16</f>
        <v>-34472.840100000001</v>
      </c>
      <c r="BN608" s="7">
        <f>Wapato_Inventory[[#This Row],[Main Floor]]*Lookups!$B$17</f>
        <v>41633.536044</v>
      </c>
      <c r="BO608" s="7">
        <f>Wapato_Inventory[[#This Row],[Upper Floor]]*Lookups!$B$18</f>
        <v>0</v>
      </c>
      <c r="BP608" s="7">
        <f>Wapato_Inventory[[#This Row],[Fin BSMT]]*Lookups!$B$19</f>
        <v>0</v>
      </c>
      <c r="BQ608" s="7">
        <f>(Wapato_Inventory[[#This Row],[att_gar]]+Wapato_Inventory[[#This Row],[blt_gar]])*Lookups!$B$20</f>
        <v>0</v>
      </c>
      <c r="BR608" s="7">
        <f>Wapato_Inventory[[#This Row],[Patio]]*Lookups!$B$21</f>
        <v>0</v>
      </c>
      <c r="BS608" s="7">
        <f>SUM(Wapato_Inventory[[#This Row],[intercept]:[patio_value]])*Wapato_Inventory[[#This Row],[res_pct]]</f>
        <v>163502.965944</v>
      </c>
      <c r="BT608" s="7">
        <f>Wapato_Inventory[[#This Row],[land_value]]</f>
        <v>52800</v>
      </c>
      <c r="BU608" s="2">
        <f>_xlfn.IFNA(VLOOKUP(Wapato_Inventory[[#This Row],[quality]],Lookups!$A$28:$C$37,3,FALSE),1)</f>
        <v>0.96265813922927435</v>
      </c>
      <c r="BV608" s="2">
        <f>_xlfn.IFNA(VLOOKUP(Wapato_Inventory[[#This Row],[condition]],Lookups!$A$41:$C$48,3,FALSE),1)</f>
        <v>0.98442438223270734</v>
      </c>
      <c r="BW608" s="2">
        <f>IF(Wapato_Inventory[[#This Row],[decade]]="",1,_xlfn.IFNA(VLOOKUP(Wapato_Inventory[[#This Row],[decade]],Lookups!$F$28:$H$45,3,FALSE),1))</f>
        <v>1.0114203040664467</v>
      </c>
      <c r="BX608" s="2">
        <f>_xlfn.IFNA(VLOOKUP(Wapato_Inventory[[#This Row],[living_area_range]],Lookups!$K$28:$M$37,3,FALSE),1)</f>
        <v>0.99022994770196116</v>
      </c>
      <c r="BY608" s="2">
        <f>AVERAGE(Wapato_Inventory[[#This Row],[qual_adj]:[range_adj]])</f>
        <v>0.9871831933075973</v>
      </c>
      <c r="BZ608" s="7">
        <f>(Wapato_Inventory[[#This Row],[sum_land]]-IF(Wapato_Inventory[[#This Row],[no_utilities]]=1,12000,0))/IF(Wapato_Inventory[[#This Row],[unbuildable]]=1,2,1)</f>
        <v>52800</v>
      </c>
      <c r="CA608" s="7">
        <f>Wapato_Inventory[[#This Row],[pre_res]]*Wapato_Inventory[[#This Row],[overall_adj]]</f>
        <v>161407.38003586125</v>
      </c>
      <c r="CB608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08" s="3">
        <f>IF(ROUND(Wapato_Inventory[[#This Row],[adj_res]]*Lookups!$H$48,-2)&lt;Wapato_Inventory[[#This Row],[min_res]],Wapato_Inventory[[#This Row],[min_res]],ROUND(Wapato_Inventory[[#This Row],[adj_res]]*Lookups!$H$48,-2))</f>
        <v>153300</v>
      </c>
      <c r="CD608" s="3">
        <f>ROUND(Wapato_Inventory[[#This Row],[det_value]]*Lookups!$H$48,-2)</f>
        <v>1800</v>
      </c>
      <c r="CE608" s="3">
        <f>Wapato_Inventory[[#This Row],[final_res]]+Wapato_Inventory[[#This Row],[final_det]]</f>
        <v>155100</v>
      </c>
      <c r="CF608" s="3">
        <f>Wapato_Inventory[[#This Row],[crop_value]]+Wapato_Inventory[[#This Row],[final_land]]+Wapato_Inventory[[#This Row],[final_imp]]</f>
        <v>205300</v>
      </c>
      <c r="CH608" t="str">
        <f t="shared" si="9"/>
        <v>update valuation set market_land =50200, market_bldg=155100, market_total =205300, market_mdno =405, market_date ='9/10/2023' where link_id = (select link_id from parcel where parcel_year = '2024' and parcel_id = '19111513402');</v>
      </c>
    </row>
    <row r="609" spans="1:86" x14ac:dyDescent="0.25">
      <c r="A609">
        <v>19111513403</v>
      </c>
      <c r="B609">
        <v>0.14000000000000001</v>
      </c>
      <c r="C609">
        <v>6172</v>
      </c>
      <c r="D609" t="s">
        <v>144</v>
      </c>
      <c r="E609" t="s">
        <v>54</v>
      </c>
      <c r="F609" t="s">
        <v>54</v>
      </c>
      <c r="G609">
        <v>3</v>
      </c>
      <c r="H609" t="s">
        <v>55</v>
      </c>
      <c r="I609">
        <v>96400</v>
      </c>
      <c r="J609">
        <v>31900</v>
      </c>
      <c r="K609">
        <v>0.14000000000000001</v>
      </c>
      <c r="L609">
        <f>IF(Wapato_Inventory[[#This Row],[parcel_acres]]-Wapato_Inventory[[#This Row],[non_valued_acres]] =0,0,LN(Wapato_Inventory[[#This Row],[parcel_acres]]-Wapato_Inventory[[#This Row],[non_valued_acres]]))</f>
        <v>-1.9661128563728327</v>
      </c>
      <c r="M609">
        <v>0</v>
      </c>
      <c r="N609">
        <v>0</v>
      </c>
      <c r="O609">
        <v>0</v>
      </c>
      <c r="P609">
        <v>27904.037</v>
      </c>
      <c r="Q609">
        <v>74398</v>
      </c>
      <c r="R609" s="3">
        <f>(Wapato_Inventory[[#This Row],[ln_acres]]*Wapato_Inventory[[#This Row],[coeff]])+Wapato_Inventory[[#This Row],[const]]</f>
        <v>19535.514109596792</v>
      </c>
      <c r="S609" t="s">
        <v>66</v>
      </c>
      <c r="T609">
        <v>1</v>
      </c>
      <c r="U609" t="s">
        <v>71</v>
      </c>
      <c r="V609" t="s">
        <v>68</v>
      </c>
      <c r="W609">
        <v>0</v>
      </c>
      <c r="X609">
        <v>0</v>
      </c>
      <c r="Y609">
        <v>57</v>
      </c>
      <c r="Z609">
        <v>102</v>
      </c>
      <c r="AA609">
        <v>110</v>
      </c>
      <c r="AB609">
        <v>1000</v>
      </c>
      <c r="AC609">
        <v>864</v>
      </c>
      <c r="AD609">
        <v>864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72</v>
      </c>
      <c r="AO609">
        <v>0</v>
      </c>
      <c r="AP609">
        <v>5</v>
      </c>
      <c r="AQ609">
        <v>0</v>
      </c>
      <c r="AR609">
        <v>0</v>
      </c>
      <c r="AS609" t="s">
        <v>59</v>
      </c>
      <c r="AT609">
        <v>0</v>
      </c>
      <c r="AU609" t="s">
        <v>80</v>
      </c>
      <c r="AV609" t="s">
        <v>65</v>
      </c>
      <c r="AW609">
        <v>0</v>
      </c>
      <c r="AX609">
        <v>2</v>
      </c>
      <c r="AY609">
        <v>0</v>
      </c>
      <c r="AZ609">
        <v>0</v>
      </c>
      <c r="BA609">
        <v>100</v>
      </c>
      <c r="BB609">
        <v>100</v>
      </c>
      <c r="BC609">
        <v>100</v>
      </c>
      <c r="BD609">
        <v>100</v>
      </c>
      <c r="BE609">
        <v>1</v>
      </c>
      <c r="BF609">
        <v>15000</v>
      </c>
      <c r="BG609">
        <v>1000</v>
      </c>
      <c r="BH609" s="7">
        <f>ROUND(Wapato_Inventory[[#This Row],[detatched_value]]*Lookups!$B$22*Lookups!$H$48,-2)</f>
        <v>0</v>
      </c>
      <c r="BI609" s="7">
        <f>ROUND(((Wapato_Inventory[[#This Row],[land_extract]]*Lookups!$B$3) +(Lookups!$B$2*0.5))*Lookups!$H$48,-2)</f>
        <v>53000</v>
      </c>
      <c r="BJ609" s="7">
        <f>IF(Wapato_Inventory[[#This Row],[bldg_style]]="",0,Lookups!$B$2*0.5)</f>
        <v>53765.27</v>
      </c>
      <c r="BK609" s="7">
        <f>_xlfn.IFNA(VLOOKUP(Wapato_Inventory[[#This Row],[quality]],Lookups!$H$2:$J$14,3,FALSE),0)</f>
        <v>28034</v>
      </c>
      <c r="BL609" s="7">
        <f>_xlfn.IFNA(VLOOKUP(Wapato_Inventory[[#This Row],[condition]],Lookups!$H$17:$J$24,3,FALSE),0)</f>
        <v>52231</v>
      </c>
      <c r="BM609" s="7">
        <f>Wapato_Inventory[[#This Row],[Age]]*Lookups!$B$16</f>
        <v>-37808.921399999999</v>
      </c>
      <c r="BN609" s="7">
        <f>Wapato_Inventory[[#This Row],[Main Floor]]*Lookups!$B$17</f>
        <v>36115.838495999997</v>
      </c>
      <c r="BO609" s="7">
        <f>Wapato_Inventory[[#This Row],[Upper Floor]]*Lookups!$B$18</f>
        <v>0</v>
      </c>
      <c r="BP609" s="7">
        <f>Wapato_Inventory[[#This Row],[Fin BSMT]]*Lookups!$B$19</f>
        <v>0</v>
      </c>
      <c r="BQ609" s="7">
        <f>(Wapato_Inventory[[#This Row],[att_gar]]+Wapato_Inventory[[#This Row],[blt_gar]])*Lookups!$B$20</f>
        <v>0</v>
      </c>
      <c r="BR609" s="7">
        <f>Wapato_Inventory[[#This Row],[Patio]]*Lookups!$B$21</f>
        <v>0</v>
      </c>
      <c r="BS609" s="7">
        <f>SUM(Wapato_Inventory[[#This Row],[intercept]:[patio_value]])*Wapato_Inventory[[#This Row],[res_pct]]</f>
        <v>132337.18709600001</v>
      </c>
      <c r="BT609" s="7">
        <f>Wapato_Inventory[[#This Row],[land_value]]</f>
        <v>53000</v>
      </c>
      <c r="BU609" s="2">
        <f>_xlfn.IFNA(VLOOKUP(Wapato_Inventory[[#This Row],[quality]],Lookups!$A$28:$C$37,3,FALSE),1)</f>
        <v>0.96265813922927435</v>
      </c>
      <c r="BV609" s="2">
        <f>_xlfn.IFNA(VLOOKUP(Wapato_Inventory[[#This Row],[condition]],Lookups!$A$41:$C$48,3,FALSE),1)</f>
        <v>0.9832333997567807</v>
      </c>
      <c r="BW609" s="2">
        <f>IF(Wapato_Inventory[[#This Row],[decade]]="",1,_xlfn.IFNA(VLOOKUP(Wapato_Inventory[[#This Row],[decade]],Lookups!$F$28:$H$45,3,FALSE),1))</f>
        <v>0.93664589651353292</v>
      </c>
      <c r="BX609" s="2">
        <f>_xlfn.IFNA(VLOOKUP(Wapato_Inventory[[#This Row],[living_area_range]],Lookups!$K$28:$M$37,3,FALSE),1)</f>
        <v>0.99022994770196116</v>
      </c>
      <c r="BY609" s="2">
        <f>AVERAGE(Wapato_Inventory[[#This Row],[qual_adj]:[range_adj]])</f>
        <v>0.9681918458003872</v>
      </c>
      <c r="BZ609" s="7">
        <f>(Wapato_Inventory[[#This Row],[sum_land]]-IF(Wapato_Inventory[[#This Row],[no_utilities]]=1,12000,0))/IF(Wapato_Inventory[[#This Row],[unbuildable]]=1,2,1)</f>
        <v>53000</v>
      </c>
      <c r="CA609" s="7">
        <f>Wapato_Inventory[[#This Row],[pre_res]]*Wapato_Inventory[[#This Row],[overall_adj]]</f>
        <v>128127.78544250743</v>
      </c>
      <c r="CB60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09" s="3">
        <f>IF(ROUND(Wapato_Inventory[[#This Row],[adj_res]]*Lookups!$H$48,-2)&lt;Wapato_Inventory[[#This Row],[min_res]],Wapato_Inventory[[#This Row],[min_res]],ROUND(Wapato_Inventory[[#This Row],[adj_res]]*Lookups!$H$48,-2))</f>
        <v>121700</v>
      </c>
      <c r="CD609" s="3">
        <f>ROUND(Wapato_Inventory[[#This Row],[det_value]]*Lookups!$H$48,-2)</f>
        <v>0</v>
      </c>
      <c r="CE609" s="3">
        <f>Wapato_Inventory[[#This Row],[final_res]]+Wapato_Inventory[[#This Row],[final_det]]</f>
        <v>121700</v>
      </c>
      <c r="CF609" s="3">
        <f>Wapato_Inventory[[#This Row],[crop_value]]+Wapato_Inventory[[#This Row],[final_land]]+Wapato_Inventory[[#This Row],[final_imp]]</f>
        <v>172100</v>
      </c>
      <c r="CH609" t="str">
        <f t="shared" si="9"/>
        <v>update valuation set market_land =50400, market_bldg=121700, market_total =172100, market_mdno =405, market_date ='9/10/2023' where link_id = (select link_id from parcel where parcel_year = '2024' and parcel_id = '19111513403');</v>
      </c>
    </row>
    <row r="610" spans="1:86" x14ac:dyDescent="0.25">
      <c r="A610">
        <v>19111513404</v>
      </c>
      <c r="B610">
        <v>0.13</v>
      </c>
      <c r="C610">
        <v>5806</v>
      </c>
      <c r="D610" t="s">
        <v>144</v>
      </c>
      <c r="E610" t="s">
        <v>54</v>
      </c>
      <c r="F610" t="s">
        <v>54</v>
      </c>
      <c r="G610">
        <v>3</v>
      </c>
      <c r="H610" t="s">
        <v>55</v>
      </c>
      <c r="I610">
        <v>117200</v>
      </c>
      <c r="J610">
        <v>31400</v>
      </c>
      <c r="K610">
        <v>0.13</v>
      </c>
      <c r="L610">
        <f>IF(Wapato_Inventory[[#This Row],[parcel_acres]]-Wapato_Inventory[[#This Row],[non_valued_acres]] =0,0,LN(Wapato_Inventory[[#This Row],[parcel_acres]]-Wapato_Inventory[[#This Row],[non_valued_acres]]))</f>
        <v>-2.0402208285265546</v>
      </c>
      <c r="M610">
        <v>0</v>
      </c>
      <c r="N610">
        <v>0</v>
      </c>
      <c r="O610">
        <v>0</v>
      </c>
      <c r="P610">
        <v>27904.037</v>
      </c>
      <c r="Q610">
        <v>74398</v>
      </c>
      <c r="R610" s="3">
        <f>(Wapato_Inventory[[#This Row],[ln_acres]]*Wapato_Inventory[[#This Row],[coeff]])+Wapato_Inventory[[#This Row],[const]]</f>
        <v>17467.602512624362</v>
      </c>
      <c r="S610" t="s">
        <v>56</v>
      </c>
      <c r="T610">
        <v>2</v>
      </c>
      <c r="U610" t="s">
        <v>71</v>
      </c>
      <c r="V610" t="s">
        <v>68</v>
      </c>
      <c r="W610">
        <v>0</v>
      </c>
      <c r="X610">
        <v>0</v>
      </c>
      <c r="Y610">
        <v>57</v>
      </c>
      <c r="Z610">
        <v>103</v>
      </c>
      <c r="AA610">
        <v>110</v>
      </c>
      <c r="AB610">
        <v>1500</v>
      </c>
      <c r="AC610">
        <v>1136</v>
      </c>
      <c r="AD610">
        <v>896</v>
      </c>
      <c r="AE610">
        <v>240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264</v>
      </c>
      <c r="AL610">
        <v>0</v>
      </c>
      <c r="AM610">
        <v>0</v>
      </c>
      <c r="AN610">
        <v>192</v>
      </c>
      <c r="AO610">
        <v>0</v>
      </c>
      <c r="AP610">
        <v>8</v>
      </c>
      <c r="AQ610">
        <v>1</v>
      </c>
      <c r="AR610">
        <v>0</v>
      </c>
      <c r="AS610" t="s">
        <v>59</v>
      </c>
      <c r="AT610">
        <v>0</v>
      </c>
      <c r="AU610" t="s">
        <v>80</v>
      </c>
      <c r="AV610" t="s">
        <v>65</v>
      </c>
      <c r="AW610">
        <v>0</v>
      </c>
      <c r="AX610">
        <v>3</v>
      </c>
      <c r="AY610">
        <v>0</v>
      </c>
      <c r="AZ610">
        <v>10500</v>
      </c>
      <c r="BA610">
        <v>100</v>
      </c>
      <c r="BB610">
        <v>100</v>
      </c>
      <c r="BC610">
        <v>100</v>
      </c>
      <c r="BD610">
        <v>100</v>
      </c>
      <c r="BE610">
        <v>1</v>
      </c>
      <c r="BF610">
        <v>15000</v>
      </c>
      <c r="BG610">
        <v>1000</v>
      </c>
      <c r="BH610" s="7">
        <f>ROUND(Wapato_Inventory[[#This Row],[detatched_value]]*Lookups!$B$22*Lookups!$H$48,-2)</f>
        <v>9400</v>
      </c>
      <c r="BI610" s="7">
        <f>ROUND(((Wapato_Inventory[[#This Row],[land_extract]]*Lookups!$B$3) +(Lookups!$B$2*0.5))*Lookups!$H$48,-2)</f>
        <v>52800</v>
      </c>
      <c r="BJ610" s="7">
        <f>IF(Wapato_Inventory[[#This Row],[bldg_style]]="",0,Lookups!$B$2*0.5)</f>
        <v>53765.27</v>
      </c>
      <c r="BK610" s="7">
        <f>_xlfn.IFNA(VLOOKUP(Wapato_Inventory[[#This Row],[quality]],Lookups!$H$2:$J$14,3,FALSE),0)</f>
        <v>28034</v>
      </c>
      <c r="BL610" s="7">
        <f>_xlfn.IFNA(VLOOKUP(Wapato_Inventory[[#This Row],[condition]],Lookups!$H$17:$J$24,3,FALSE),0)</f>
        <v>52231</v>
      </c>
      <c r="BM610" s="7">
        <f>Wapato_Inventory[[#This Row],[Age]]*Lookups!$B$16</f>
        <v>-38179.597099999999</v>
      </c>
      <c r="BN610" s="7">
        <f>Wapato_Inventory[[#This Row],[Main Floor]]*Lookups!$B$17</f>
        <v>37453.462143999997</v>
      </c>
      <c r="BO610" s="7">
        <f>Wapato_Inventory[[#This Row],[Upper Floor]]*Lookups!$B$18</f>
        <v>11904.273360000001</v>
      </c>
      <c r="BP610" s="7">
        <f>Wapato_Inventory[[#This Row],[Fin BSMT]]*Lookups!$B$19</f>
        <v>0</v>
      </c>
      <c r="BQ610" s="7">
        <f>(Wapato_Inventory[[#This Row],[att_gar]]+Wapato_Inventory[[#This Row],[blt_gar]])*Lookups!$B$20</f>
        <v>0</v>
      </c>
      <c r="BR610" s="7">
        <f>Wapato_Inventory[[#This Row],[Patio]]*Lookups!$B$21</f>
        <v>0</v>
      </c>
      <c r="BS610" s="7">
        <f>SUM(Wapato_Inventory[[#This Row],[intercept]:[patio_value]])*Wapato_Inventory[[#This Row],[res_pct]]</f>
        <v>145208.40840399999</v>
      </c>
      <c r="BT610" s="7">
        <f>Wapato_Inventory[[#This Row],[land_value]]</f>
        <v>52800</v>
      </c>
      <c r="BU610" s="2">
        <f>_xlfn.IFNA(VLOOKUP(Wapato_Inventory[[#This Row],[quality]],Lookups!$A$28:$C$37,3,FALSE),1)</f>
        <v>0.96265813922927435</v>
      </c>
      <c r="BV610" s="2">
        <f>_xlfn.IFNA(VLOOKUP(Wapato_Inventory[[#This Row],[condition]],Lookups!$A$41:$C$48,3,FALSE),1)</f>
        <v>0.9832333997567807</v>
      </c>
      <c r="BW610" s="2">
        <f>IF(Wapato_Inventory[[#This Row],[decade]]="",1,_xlfn.IFNA(VLOOKUP(Wapato_Inventory[[#This Row],[decade]],Lookups!$F$28:$H$45,3,FALSE),1))</f>
        <v>0.93664589651353292</v>
      </c>
      <c r="BX610" s="2">
        <f>_xlfn.IFNA(VLOOKUP(Wapato_Inventory[[#This Row],[living_area_range]],Lookups!$K$28:$M$37,3,FALSE),1)</f>
        <v>1.0061411172456287</v>
      </c>
      <c r="BY610" s="2">
        <f>AVERAGE(Wapato_Inventory[[#This Row],[qual_adj]:[range_adj]])</f>
        <v>0.97216963818630409</v>
      </c>
      <c r="BZ610" s="7">
        <f>(Wapato_Inventory[[#This Row],[sum_land]]-IF(Wapato_Inventory[[#This Row],[no_utilities]]=1,12000,0))/IF(Wapato_Inventory[[#This Row],[unbuildable]]=1,2,1)</f>
        <v>52800</v>
      </c>
      <c r="CA610" s="7">
        <f>Wapato_Inventory[[#This Row],[pre_res]]*Wapato_Inventory[[#This Row],[overall_adj]]</f>
        <v>141167.20585972574</v>
      </c>
      <c r="CB610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10" s="3">
        <f>IF(ROUND(Wapato_Inventory[[#This Row],[adj_res]]*Lookups!$H$48,-2)&lt;Wapato_Inventory[[#This Row],[min_res]],Wapato_Inventory[[#This Row],[min_res]],ROUND(Wapato_Inventory[[#This Row],[adj_res]]*Lookups!$H$48,-2))</f>
        <v>134100</v>
      </c>
      <c r="CD610" s="3">
        <f>ROUND(Wapato_Inventory[[#This Row],[det_value]]*Lookups!$H$48,-2)</f>
        <v>8900</v>
      </c>
      <c r="CE610" s="3">
        <f>Wapato_Inventory[[#This Row],[final_res]]+Wapato_Inventory[[#This Row],[final_det]]</f>
        <v>143000</v>
      </c>
      <c r="CF610" s="3">
        <f>Wapato_Inventory[[#This Row],[crop_value]]+Wapato_Inventory[[#This Row],[final_land]]+Wapato_Inventory[[#This Row],[final_imp]]</f>
        <v>193200</v>
      </c>
      <c r="CH610" t="str">
        <f t="shared" si="9"/>
        <v>update valuation set market_land =50200, market_bldg=143000, market_total =193200, market_mdno =405, market_date ='9/10/2023' where link_id = (select link_id from parcel where parcel_year = '2024' and parcel_id = '19111513404');</v>
      </c>
    </row>
    <row r="611" spans="1:86" x14ac:dyDescent="0.25">
      <c r="A611">
        <v>19111513406</v>
      </c>
      <c r="B611">
        <v>0.14000000000000001</v>
      </c>
      <c r="C611">
        <v>6111</v>
      </c>
      <c r="D611" t="s">
        <v>144</v>
      </c>
      <c r="E611" t="s">
        <v>54</v>
      </c>
      <c r="F611" t="s">
        <v>54</v>
      </c>
      <c r="G611">
        <v>3</v>
      </c>
      <c r="H611" t="s">
        <v>55</v>
      </c>
      <c r="I611">
        <v>170300</v>
      </c>
      <c r="J611">
        <v>31900</v>
      </c>
      <c r="K611">
        <v>0.14000000000000001</v>
      </c>
      <c r="L611">
        <f>IF(Wapato_Inventory[[#This Row],[parcel_acres]]-Wapato_Inventory[[#This Row],[non_valued_acres]] =0,0,LN(Wapato_Inventory[[#This Row],[parcel_acres]]-Wapato_Inventory[[#This Row],[non_valued_acres]]))</f>
        <v>-1.9661128563728327</v>
      </c>
      <c r="M611">
        <v>0</v>
      </c>
      <c r="N611">
        <v>0</v>
      </c>
      <c r="O611">
        <v>0</v>
      </c>
      <c r="P611">
        <v>27904.037</v>
      </c>
      <c r="Q611">
        <v>74398</v>
      </c>
      <c r="R611" s="3">
        <f>(Wapato_Inventory[[#This Row],[ln_acres]]*Wapato_Inventory[[#This Row],[coeff]])+Wapato_Inventory[[#This Row],[const]]</f>
        <v>19535.514109596792</v>
      </c>
      <c r="S611" t="s">
        <v>66</v>
      </c>
      <c r="T611">
        <v>1</v>
      </c>
      <c r="U611" t="s">
        <v>71</v>
      </c>
      <c r="V611" t="s">
        <v>68</v>
      </c>
      <c r="W611">
        <v>0</v>
      </c>
      <c r="X611">
        <v>0</v>
      </c>
      <c r="Y611">
        <v>53</v>
      </c>
      <c r="Z611">
        <v>93</v>
      </c>
      <c r="AA611">
        <v>100</v>
      </c>
      <c r="AB611">
        <v>1000</v>
      </c>
      <c r="AC611">
        <v>740</v>
      </c>
      <c r="AD611">
        <v>740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264</v>
      </c>
      <c r="AL611">
        <v>0</v>
      </c>
      <c r="AM611">
        <v>64</v>
      </c>
      <c r="AN611">
        <v>24</v>
      </c>
      <c r="AO611">
        <v>64</v>
      </c>
      <c r="AP611">
        <v>5</v>
      </c>
      <c r="AQ611">
        <v>0</v>
      </c>
      <c r="AR611">
        <v>0</v>
      </c>
      <c r="AS611" t="s">
        <v>59</v>
      </c>
      <c r="AT611">
        <v>0</v>
      </c>
      <c r="AU611" t="s">
        <v>80</v>
      </c>
      <c r="AV611" t="s">
        <v>65</v>
      </c>
      <c r="AW611">
        <v>0</v>
      </c>
      <c r="AX611">
        <v>2</v>
      </c>
      <c r="AY611">
        <v>0</v>
      </c>
      <c r="AZ611">
        <v>25800</v>
      </c>
      <c r="BA611">
        <v>100</v>
      </c>
      <c r="BB611">
        <v>100</v>
      </c>
      <c r="BC611">
        <v>100</v>
      </c>
      <c r="BD611">
        <v>100</v>
      </c>
      <c r="BE611">
        <v>1</v>
      </c>
      <c r="BF611">
        <v>15000</v>
      </c>
      <c r="BG611">
        <v>1000</v>
      </c>
      <c r="BH611" s="7">
        <f>ROUND(Wapato_Inventory[[#This Row],[detatched_value]]*Lookups!$B$22*Lookups!$H$48,-2)</f>
        <v>23000</v>
      </c>
      <c r="BI611" s="7">
        <f>ROUND(((Wapato_Inventory[[#This Row],[land_extract]]*Lookups!$B$3) +(Lookups!$B$2*0.5))*Lookups!$H$48,-2)</f>
        <v>53000</v>
      </c>
      <c r="BJ611" s="7">
        <f>IF(Wapato_Inventory[[#This Row],[bldg_style]]="",0,Lookups!$B$2*0.5)</f>
        <v>53765.27</v>
      </c>
      <c r="BK611" s="7">
        <f>_xlfn.IFNA(VLOOKUP(Wapato_Inventory[[#This Row],[quality]],Lookups!$H$2:$J$14,3,FALSE),0)</f>
        <v>28034</v>
      </c>
      <c r="BL611" s="7">
        <f>_xlfn.IFNA(VLOOKUP(Wapato_Inventory[[#This Row],[condition]],Lookups!$H$17:$J$24,3,FALSE),0)</f>
        <v>52231</v>
      </c>
      <c r="BM611" s="7">
        <f>Wapato_Inventory[[#This Row],[Age]]*Lookups!$B$16</f>
        <v>-34472.840100000001</v>
      </c>
      <c r="BN611" s="7">
        <f>Wapato_Inventory[[#This Row],[Main Floor]]*Lookups!$B$17</f>
        <v>30932.546859999999</v>
      </c>
      <c r="BO611" s="7">
        <f>Wapato_Inventory[[#This Row],[Upper Floor]]*Lookups!$B$18</f>
        <v>0</v>
      </c>
      <c r="BP611" s="7">
        <f>Wapato_Inventory[[#This Row],[Fin BSMT]]*Lookups!$B$19</f>
        <v>0</v>
      </c>
      <c r="BQ611" s="7">
        <f>(Wapato_Inventory[[#This Row],[att_gar]]+Wapato_Inventory[[#This Row],[blt_gar]])*Lookups!$B$20</f>
        <v>0</v>
      </c>
      <c r="BR611" s="7">
        <f>Wapato_Inventory[[#This Row],[Patio]]*Lookups!$B$21</f>
        <v>2772.7346560000001</v>
      </c>
      <c r="BS611" s="7">
        <f>SUM(Wapato_Inventory[[#This Row],[intercept]:[patio_value]])*Wapato_Inventory[[#This Row],[res_pct]]</f>
        <v>133262.71141599998</v>
      </c>
      <c r="BT611" s="7">
        <f>Wapato_Inventory[[#This Row],[land_value]]</f>
        <v>53000</v>
      </c>
      <c r="BU611" s="2">
        <f>_xlfn.IFNA(VLOOKUP(Wapato_Inventory[[#This Row],[quality]],Lookups!$A$28:$C$37,3,FALSE),1)</f>
        <v>0.96265813922927435</v>
      </c>
      <c r="BV611" s="2">
        <f>_xlfn.IFNA(VLOOKUP(Wapato_Inventory[[#This Row],[condition]],Lookups!$A$41:$C$48,3,FALSE),1)</f>
        <v>0.9832333997567807</v>
      </c>
      <c r="BW611" s="2">
        <f>IF(Wapato_Inventory[[#This Row],[decade]]="",1,_xlfn.IFNA(VLOOKUP(Wapato_Inventory[[#This Row],[decade]],Lookups!$F$28:$H$45,3,FALSE),1))</f>
        <v>1.0114203040664467</v>
      </c>
      <c r="BX611" s="2">
        <f>_xlfn.IFNA(VLOOKUP(Wapato_Inventory[[#This Row],[living_area_range]],Lookups!$K$28:$M$37,3,FALSE),1)</f>
        <v>0.99022994770196116</v>
      </c>
      <c r="BY611" s="2">
        <f>AVERAGE(Wapato_Inventory[[#This Row],[qual_adj]:[range_adj]])</f>
        <v>0.98688544768861564</v>
      </c>
      <c r="BZ611" s="7">
        <f>(Wapato_Inventory[[#This Row],[sum_land]]-IF(Wapato_Inventory[[#This Row],[no_utilities]]=1,12000,0))/IF(Wapato_Inventory[[#This Row],[unbuildable]]=1,2,1)</f>
        <v>53000</v>
      </c>
      <c r="CA611" s="7">
        <f>Wapato_Inventory[[#This Row],[pre_res]]*Wapato_Inventory[[#This Row],[overall_adj]]</f>
        <v>131515.03061597791</v>
      </c>
      <c r="CB61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11" s="3">
        <f>IF(ROUND(Wapato_Inventory[[#This Row],[adj_res]]*Lookups!$H$48,-2)&lt;Wapato_Inventory[[#This Row],[min_res]],Wapato_Inventory[[#This Row],[min_res]],ROUND(Wapato_Inventory[[#This Row],[adj_res]]*Lookups!$H$48,-2))</f>
        <v>124900</v>
      </c>
      <c r="CD611" s="3">
        <f>ROUND(Wapato_Inventory[[#This Row],[det_value]]*Lookups!$H$48,-2)</f>
        <v>21900</v>
      </c>
      <c r="CE611" s="3">
        <f>Wapato_Inventory[[#This Row],[final_res]]+Wapato_Inventory[[#This Row],[final_det]]</f>
        <v>146800</v>
      </c>
      <c r="CF611" s="3">
        <f>Wapato_Inventory[[#This Row],[crop_value]]+Wapato_Inventory[[#This Row],[final_land]]+Wapato_Inventory[[#This Row],[final_imp]]</f>
        <v>197200</v>
      </c>
      <c r="CH611" t="str">
        <f t="shared" si="9"/>
        <v>update valuation set market_land =50400, market_bldg=146800, market_total =197200, market_mdno =405, market_date ='9/10/2023' where link_id = (select link_id from parcel where parcel_year = '2024' and parcel_id = '19111513406');</v>
      </c>
    </row>
    <row r="612" spans="1:86" x14ac:dyDescent="0.25">
      <c r="A612">
        <v>19111513407</v>
      </c>
      <c r="B612">
        <v>0.2</v>
      </c>
      <c r="C612">
        <v>8733</v>
      </c>
      <c r="D612" t="s">
        <v>144</v>
      </c>
      <c r="E612" t="s">
        <v>54</v>
      </c>
      <c r="F612" t="s">
        <v>54</v>
      </c>
      <c r="G612">
        <v>3</v>
      </c>
      <c r="H612" t="s">
        <v>55</v>
      </c>
      <c r="I612">
        <v>158200</v>
      </c>
      <c r="J612">
        <v>34400</v>
      </c>
      <c r="K612">
        <v>0.2</v>
      </c>
      <c r="L612">
        <f>IF(Wapato_Inventory[[#This Row],[parcel_acres]]-Wapato_Inventory[[#This Row],[non_valued_acres]] =0,0,LN(Wapato_Inventory[[#This Row],[parcel_acres]]-Wapato_Inventory[[#This Row],[non_valued_acres]]))</f>
        <v>-1.6094379124341003</v>
      </c>
      <c r="M612">
        <v>0</v>
      </c>
      <c r="N612">
        <v>0</v>
      </c>
      <c r="O612">
        <v>0</v>
      </c>
      <c r="P612">
        <v>27904.037</v>
      </c>
      <c r="Q612">
        <v>74398</v>
      </c>
      <c r="R612" s="3">
        <f>(Wapato_Inventory[[#This Row],[ln_acres]]*Wapato_Inventory[[#This Row],[coeff]])+Wapato_Inventory[[#This Row],[const]]</f>
        <v>29488.184942236105</v>
      </c>
      <c r="S612" t="s">
        <v>66</v>
      </c>
      <c r="T612">
        <v>1</v>
      </c>
      <c r="U612" t="s">
        <v>75</v>
      </c>
      <c r="V612" t="s">
        <v>68</v>
      </c>
      <c r="W612">
        <v>0</v>
      </c>
      <c r="X612">
        <v>0</v>
      </c>
      <c r="Y612">
        <v>56</v>
      </c>
      <c r="Z612">
        <v>100</v>
      </c>
      <c r="AA612">
        <v>100</v>
      </c>
      <c r="AB612">
        <v>1500</v>
      </c>
      <c r="AC612">
        <v>1410</v>
      </c>
      <c r="AD612">
        <v>1266</v>
      </c>
      <c r="AE612">
        <v>0</v>
      </c>
      <c r="AF612">
        <v>0</v>
      </c>
      <c r="AG612">
        <v>144</v>
      </c>
      <c r="AH612">
        <v>0</v>
      </c>
      <c r="AI612">
        <v>0</v>
      </c>
      <c r="AJ612">
        <v>0</v>
      </c>
      <c r="AK612">
        <v>729</v>
      </c>
      <c r="AL612">
        <v>0</v>
      </c>
      <c r="AM612">
        <v>0</v>
      </c>
      <c r="AN612">
        <v>40</v>
      </c>
      <c r="AO612">
        <v>0</v>
      </c>
      <c r="AP612">
        <v>5</v>
      </c>
      <c r="AQ612">
        <v>1</v>
      </c>
      <c r="AR612">
        <v>0</v>
      </c>
      <c r="AS612" t="s">
        <v>59</v>
      </c>
      <c r="AT612">
        <v>1</v>
      </c>
      <c r="AU612" t="s">
        <v>64</v>
      </c>
      <c r="AV612" t="s">
        <v>65</v>
      </c>
      <c r="AW612">
        <v>1</v>
      </c>
      <c r="AX612">
        <v>2</v>
      </c>
      <c r="AY612">
        <v>0</v>
      </c>
      <c r="AZ612">
        <v>6300</v>
      </c>
      <c r="BA612">
        <v>100</v>
      </c>
      <c r="BB612">
        <v>100</v>
      </c>
      <c r="BC612">
        <v>100</v>
      </c>
      <c r="BD612">
        <v>100</v>
      </c>
      <c r="BE612">
        <v>1</v>
      </c>
      <c r="BF612">
        <v>15000</v>
      </c>
      <c r="BG612">
        <v>1000</v>
      </c>
      <c r="BH612" s="7">
        <f>ROUND(Wapato_Inventory[[#This Row],[detatched_value]]*Lookups!$B$22*Lookups!$H$48,-2)</f>
        <v>5600</v>
      </c>
      <c r="BI612" s="7">
        <f>ROUND(((Wapato_Inventory[[#This Row],[land_extract]]*Lookups!$B$3) +(Lookups!$B$2*0.5))*Lookups!$H$48,-2)</f>
        <v>53900</v>
      </c>
      <c r="BJ612" s="7">
        <f>IF(Wapato_Inventory[[#This Row],[bldg_style]]="",0,Lookups!$B$2*0.5)</f>
        <v>53765.27</v>
      </c>
      <c r="BK612" s="7">
        <f>_xlfn.IFNA(VLOOKUP(Wapato_Inventory[[#This Row],[quality]],Lookups!$H$2:$J$14,3,FALSE),0)</f>
        <v>48043</v>
      </c>
      <c r="BL612" s="7">
        <f>_xlfn.IFNA(VLOOKUP(Wapato_Inventory[[#This Row],[condition]],Lookups!$H$17:$J$24,3,FALSE),0)</f>
        <v>52231</v>
      </c>
      <c r="BM612" s="7">
        <f>Wapato_Inventory[[#This Row],[Age]]*Lookups!$B$16</f>
        <v>-37067.57</v>
      </c>
      <c r="BN612" s="7">
        <f>Wapato_Inventory[[#This Row],[Main Floor]]*Lookups!$B$17</f>
        <v>52919.735573999998</v>
      </c>
      <c r="BO612" s="7">
        <f>Wapato_Inventory[[#This Row],[Upper Floor]]*Lookups!$B$18</f>
        <v>0</v>
      </c>
      <c r="BP612" s="7">
        <f>Wapato_Inventory[[#This Row],[Fin BSMT]]*Lookups!$B$19</f>
        <v>3508.8105599999999</v>
      </c>
      <c r="BQ612" s="7">
        <f>(Wapato_Inventory[[#This Row],[att_gar]]+Wapato_Inventory[[#This Row],[blt_gar]])*Lookups!$B$20</f>
        <v>0</v>
      </c>
      <c r="BR612" s="7">
        <f>Wapato_Inventory[[#This Row],[Patio]]*Lookups!$B$21</f>
        <v>0</v>
      </c>
      <c r="BS612" s="7">
        <f>SUM(Wapato_Inventory[[#This Row],[intercept]:[patio_value]])*Wapato_Inventory[[#This Row],[res_pct]]</f>
        <v>173400.24613399999</v>
      </c>
      <c r="BT612" s="7">
        <f>Wapato_Inventory[[#This Row],[land_value]]</f>
        <v>53900</v>
      </c>
      <c r="BU612" s="2">
        <f>_xlfn.IFNA(VLOOKUP(Wapato_Inventory[[#This Row],[quality]],Lookups!$A$28:$C$37,3,FALSE),1)</f>
        <v>0.98196844879778955</v>
      </c>
      <c r="BV612" s="2">
        <f>_xlfn.IFNA(VLOOKUP(Wapato_Inventory[[#This Row],[condition]],Lookups!$A$41:$C$48,3,FALSE),1)</f>
        <v>0.9832333997567807</v>
      </c>
      <c r="BW612" s="2">
        <f>IF(Wapato_Inventory[[#This Row],[decade]]="",1,_xlfn.IFNA(VLOOKUP(Wapato_Inventory[[#This Row],[decade]],Lookups!$F$28:$H$45,3,FALSE),1))</f>
        <v>1.0114203040664467</v>
      </c>
      <c r="BX612" s="2">
        <f>_xlfn.IFNA(VLOOKUP(Wapato_Inventory[[#This Row],[living_area_range]],Lookups!$K$28:$M$37,3,FALSE),1)</f>
        <v>1.0061411172456287</v>
      </c>
      <c r="BY612" s="2">
        <f>AVERAGE(Wapato_Inventory[[#This Row],[qual_adj]:[range_adj]])</f>
        <v>0.99569081746666144</v>
      </c>
      <c r="BZ612" s="7">
        <f>(Wapato_Inventory[[#This Row],[sum_land]]-IF(Wapato_Inventory[[#This Row],[no_utilities]]=1,12000,0))/IF(Wapato_Inventory[[#This Row],[unbuildable]]=1,2,1)</f>
        <v>53900</v>
      </c>
      <c r="CA612" s="7">
        <f>Wapato_Inventory[[#This Row],[pre_res]]*Wapato_Inventory[[#This Row],[overall_adj]]</f>
        <v>172653.03282208275</v>
      </c>
      <c r="CB612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612" s="3">
        <f>IF(ROUND(Wapato_Inventory[[#This Row],[adj_res]]*Lookups!$H$48,-2)&lt;Wapato_Inventory[[#This Row],[min_res]],Wapato_Inventory[[#This Row],[min_res]],ROUND(Wapato_Inventory[[#This Row],[adj_res]]*Lookups!$H$48,-2))</f>
        <v>164000</v>
      </c>
      <c r="CD612" s="3">
        <f>ROUND(Wapato_Inventory[[#This Row],[det_value]]*Lookups!$H$48,-2)</f>
        <v>5300</v>
      </c>
      <c r="CE612" s="3">
        <f>Wapato_Inventory[[#This Row],[final_res]]+Wapato_Inventory[[#This Row],[final_det]]</f>
        <v>169300</v>
      </c>
      <c r="CF612" s="3">
        <f>Wapato_Inventory[[#This Row],[crop_value]]+Wapato_Inventory[[#This Row],[final_land]]+Wapato_Inventory[[#This Row],[final_imp]]</f>
        <v>220500</v>
      </c>
      <c r="CH612" t="str">
        <f t="shared" si="9"/>
        <v>update valuation set market_land =51200, market_bldg=169300, market_total =220500, market_mdno =405, market_date ='9/10/2023' where link_id = (select link_id from parcel where parcel_year = '2024' and parcel_id = '19111513407');</v>
      </c>
    </row>
    <row r="613" spans="1:86" x14ac:dyDescent="0.25">
      <c r="A613">
        <v>19111513408</v>
      </c>
      <c r="B613">
        <v>0.11</v>
      </c>
      <c r="C613">
        <v>4940</v>
      </c>
      <c r="D613" t="s">
        <v>144</v>
      </c>
      <c r="E613" t="s">
        <v>54</v>
      </c>
      <c r="F613" t="s">
        <v>54</v>
      </c>
      <c r="G613">
        <v>3</v>
      </c>
      <c r="H613" t="s">
        <v>55</v>
      </c>
      <c r="I613">
        <v>149300</v>
      </c>
      <c r="J613">
        <v>30200</v>
      </c>
      <c r="K613">
        <v>0.11</v>
      </c>
      <c r="L613">
        <f>IF(Wapato_Inventory[[#This Row],[parcel_acres]]-Wapato_Inventory[[#This Row],[non_valued_acres]] =0,0,LN(Wapato_Inventory[[#This Row],[parcel_acres]]-Wapato_Inventory[[#This Row],[non_valued_acres]]))</f>
        <v>-2.2072749131897207</v>
      </c>
      <c r="M613">
        <v>0</v>
      </c>
      <c r="N613">
        <v>0</v>
      </c>
      <c r="O613">
        <v>0</v>
      </c>
      <c r="P613">
        <v>27904.037</v>
      </c>
      <c r="Q613">
        <v>74398</v>
      </c>
      <c r="R613" s="3">
        <f>(Wapato_Inventory[[#This Row],[ln_acres]]*Wapato_Inventory[[#This Row],[coeff]])+Wapato_Inventory[[#This Row],[const]]</f>
        <v>12806.119153182248</v>
      </c>
      <c r="S613" t="s">
        <v>66</v>
      </c>
      <c r="T613">
        <v>1</v>
      </c>
      <c r="U613" t="s">
        <v>75</v>
      </c>
      <c r="V613" t="s">
        <v>69</v>
      </c>
      <c r="W613">
        <v>0</v>
      </c>
      <c r="X613">
        <v>0</v>
      </c>
      <c r="Y613">
        <v>50</v>
      </c>
      <c r="Z613">
        <v>76</v>
      </c>
      <c r="AA613">
        <v>80</v>
      </c>
      <c r="AB613">
        <v>1000</v>
      </c>
      <c r="AC613">
        <v>744</v>
      </c>
      <c r="AD613">
        <v>744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60</v>
      </c>
      <c r="AM613">
        <v>0</v>
      </c>
      <c r="AN613">
        <v>0</v>
      </c>
      <c r="AO613">
        <v>0</v>
      </c>
      <c r="AP613">
        <v>5</v>
      </c>
      <c r="AQ613">
        <v>0</v>
      </c>
      <c r="AR613">
        <v>0</v>
      </c>
      <c r="AS613" t="s">
        <v>59</v>
      </c>
      <c r="AT613">
        <v>1</v>
      </c>
      <c r="AU613" t="s">
        <v>76</v>
      </c>
      <c r="AV613" t="s">
        <v>65</v>
      </c>
      <c r="AW613">
        <v>0</v>
      </c>
      <c r="AX613">
        <v>2</v>
      </c>
      <c r="AY613">
        <v>0</v>
      </c>
      <c r="AZ613">
        <v>1200</v>
      </c>
      <c r="BA613">
        <v>100</v>
      </c>
      <c r="BB613">
        <v>100</v>
      </c>
      <c r="BC613">
        <v>100</v>
      </c>
      <c r="BD613">
        <v>100</v>
      </c>
      <c r="BE613">
        <v>1</v>
      </c>
      <c r="BF613">
        <v>15000</v>
      </c>
      <c r="BG613">
        <v>1000</v>
      </c>
      <c r="BH613" s="7">
        <f>ROUND(Wapato_Inventory[[#This Row],[detatched_value]]*Lookups!$B$22*Lookups!$H$48,-2)</f>
        <v>1100</v>
      </c>
      <c r="BI613" s="7">
        <f>ROUND(((Wapato_Inventory[[#This Row],[land_extract]]*Lookups!$B$3) +(Lookups!$B$2*0.5))*Lookups!$H$48,-2)</f>
        <v>52300</v>
      </c>
      <c r="BJ613" s="7">
        <f>IF(Wapato_Inventory[[#This Row],[bldg_style]]="",0,Lookups!$B$2*0.5)</f>
        <v>53765.27</v>
      </c>
      <c r="BK613" s="7">
        <f>_xlfn.IFNA(VLOOKUP(Wapato_Inventory[[#This Row],[quality]],Lookups!$H$2:$J$14,3,FALSE),0)</f>
        <v>48043</v>
      </c>
      <c r="BL613" s="7">
        <f>_xlfn.IFNA(VLOOKUP(Wapato_Inventory[[#This Row],[condition]],Lookups!$H$17:$J$24,3,FALSE),0)</f>
        <v>74543</v>
      </c>
      <c r="BM613" s="7">
        <f>Wapato_Inventory[[#This Row],[Age]]*Lookups!$B$16</f>
        <v>-28171.353200000001</v>
      </c>
      <c r="BN613" s="7">
        <f>Wapato_Inventory[[#This Row],[Main Floor]]*Lookups!$B$17</f>
        <v>31099.749816</v>
      </c>
      <c r="BO613" s="7">
        <f>Wapato_Inventory[[#This Row],[Upper Floor]]*Lookups!$B$18</f>
        <v>0</v>
      </c>
      <c r="BP613" s="7">
        <f>Wapato_Inventory[[#This Row],[Fin BSMT]]*Lookups!$B$19</f>
        <v>0</v>
      </c>
      <c r="BQ613" s="7">
        <f>(Wapato_Inventory[[#This Row],[att_gar]]+Wapato_Inventory[[#This Row],[blt_gar]])*Lookups!$B$20</f>
        <v>0</v>
      </c>
      <c r="BR613" s="7">
        <f>Wapato_Inventory[[#This Row],[Patio]]*Lookups!$B$21</f>
        <v>0</v>
      </c>
      <c r="BS613" s="7">
        <f>SUM(Wapato_Inventory[[#This Row],[intercept]:[patio_value]])*Wapato_Inventory[[#This Row],[res_pct]]</f>
        <v>179279.66661599997</v>
      </c>
      <c r="BT613" s="7">
        <f>Wapato_Inventory[[#This Row],[land_value]]</f>
        <v>52300</v>
      </c>
      <c r="BU613" s="2">
        <f>_xlfn.IFNA(VLOOKUP(Wapato_Inventory[[#This Row],[quality]],Lookups!$A$28:$C$37,3,FALSE),1)</f>
        <v>0.98196844879778955</v>
      </c>
      <c r="BV613" s="2">
        <f>_xlfn.IFNA(VLOOKUP(Wapato_Inventory[[#This Row],[condition]],Lookups!$A$41:$C$48,3,FALSE),1)</f>
        <v>0.98442438223270734</v>
      </c>
      <c r="BW613" s="2">
        <f>IF(Wapato_Inventory[[#This Row],[decade]]="",1,_xlfn.IFNA(VLOOKUP(Wapato_Inventory[[#This Row],[decade]],Lookups!$F$28:$H$45,3,FALSE),1))</f>
        <v>0.8438929209510081</v>
      </c>
      <c r="BX613" s="2">
        <f>_xlfn.IFNA(VLOOKUP(Wapato_Inventory[[#This Row],[living_area_range]],Lookups!$K$28:$M$37,3,FALSE),1)</f>
        <v>0.99022994770196116</v>
      </c>
      <c r="BY613" s="2">
        <f>AVERAGE(Wapato_Inventory[[#This Row],[qual_adj]:[range_adj]])</f>
        <v>0.95012892492086654</v>
      </c>
      <c r="BZ613" s="7">
        <f>(Wapato_Inventory[[#This Row],[sum_land]]-IF(Wapato_Inventory[[#This Row],[no_utilities]]=1,12000,0))/IF(Wapato_Inventory[[#This Row],[unbuildable]]=1,2,1)</f>
        <v>52300</v>
      </c>
      <c r="CA613" s="7">
        <f>Wapato_Inventory[[#This Row],[pre_res]]*Wapato_Inventory[[#This Row],[overall_adj]]</f>
        <v>170338.79690203143</v>
      </c>
      <c r="CB613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613" s="3">
        <f>IF(ROUND(Wapato_Inventory[[#This Row],[adj_res]]*Lookups!$H$48,-2)&lt;Wapato_Inventory[[#This Row],[min_res]],Wapato_Inventory[[#This Row],[min_res]],ROUND(Wapato_Inventory[[#This Row],[adj_res]]*Lookups!$H$48,-2))</f>
        <v>161800</v>
      </c>
      <c r="CD613" s="3">
        <f>ROUND(Wapato_Inventory[[#This Row],[det_value]]*Lookups!$H$48,-2)</f>
        <v>1000</v>
      </c>
      <c r="CE613" s="3">
        <f>Wapato_Inventory[[#This Row],[final_res]]+Wapato_Inventory[[#This Row],[final_det]]</f>
        <v>162800</v>
      </c>
      <c r="CF613" s="3">
        <f>Wapato_Inventory[[#This Row],[crop_value]]+Wapato_Inventory[[#This Row],[final_land]]+Wapato_Inventory[[#This Row],[final_imp]]</f>
        <v>212500</v>
      </c>
      <c r="CH613" t="str">
        <f t="shared" si="9"/>
        <v>update valuation set market_land =49700, market_bldg=162800, market_total =212500, market_mdno =405, market_date ='9/10/2023' where link_id = (select link_id from parcel where parcel_year = '2024' and parcel_id = '19111513408');</v>
      </c>
    </row>
    <row r="614" spans="1:86" x14ac:dyDescent="0.25">
      <c r="A614">
        <v>19111513410</v>
      </c>
      <c r="B614">
        <v>0.14000000000000001</v>
      </c>
      <c r="C614">
        <v>5950</v>
      </c>
      <c r="D614" t="s">
        <v>144</v>
      </c>
      <c r="E614" t="s">
        <v>54</v>
      </c>
      <c r="F614" t="s">
        <v>54</v>
      </c>
      <c r="G614">
        <v>3</v>
      </c>
      <c r="H614" t="s">
        <v>55</v>
      </c>
      <c r="I614">
        <v>131900</v>
      </c>
      <c r="J614">
        <v>31900</v>
      </c>
      <c r="K614">
        <v>0.14000000000000001</v>
      </c>
      <c r="L614">
        <f>IF(Wapato_Inventory[[#This Row],[parcel_acres]]-Wapato_Inventory[[#This Row],[non_valued_acres]] =0,0,LN(Wapato_Inventory[[#This Row],[parcel_acres]]-Wapato_Inventory[[#This Row],[non_valued_acres]]))</f>
        <v>-1.9661128563728327</v>
      </c>
      <c r="M614">
        <v>0</v>
      </c>
      <c r="N614">
        <v>0</v>
      </c>
      <c r="O614">
        <v>0</v>
      </c>
      <c r="P614">
        <v>27904.037</v>
      </c>
      <c r="Q614">
        <v>74398</v>
      </c>
      <c r="R614" s="3">
        <f>(Wapato_Inventory[[#This Row],[ln_acres]]*Wapato_Inventory[[#This Row],[coeff]])+Wapato_Inventory[[#This Row],[const]]</f>
        <v>19535.514109596792</v>
      </c>
      <c r="S614" t="s">
        <v>66</v>
      </c>
      <c r="T614">
        <v>1</v>
      </c>
      <c r="U614" t="s">
        <v>71</v>
      </c>
      <c r="V614" t="s">
        <v>68</v>
      </c>
      <c r="W614">
        <v>0</v>
      </c>
      <c r="X614">
        <v>0</v>
      </c>
      <c r="Y614">
        <v>57</v>
      </c>
      <c r="Z614">
        <v>103</v>
      </c>
      <c r="AA614">
        <v>110</v>
      </c>
      <c r="AB614">
        <v>1500</v>
      </c>
      <c r="AC614">
        <v>1326</v>
      </c>
      <c r="AD614">
        <v>1326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200</v>
      </c>
      <c r="AL614">
        <v>0</v>
      </c>
      <c r="AM614">
        <v>0</v>
      </c>
      <c r="AN614">
        <v>42</v>
      </c>
      <c r="AO614">
        <v>0</v>
      </c>
      <c r="AP614">
        <v>5</v>
      </c>
      <c r="AQ614">
        <v>0</v>
      </c>
      <c r="AR614">
        <v>0</v>
      </c>
      <c r="AS614" t="s">
        <v>59</v>
      </c>
      <c r="AT614">
        <v>0</v>
      </c>
      <c r="AU614" t="s">
        <v>80</v>
      </c>
      <c r="AV614" t="s">
        <v>65</v>
      </c>
      <c r="AW614">
        <v>0</v>
      </c>
      <c r="AX614">
        <v>2</v>
      </c>
      <c r="AY614">
        <v>0</v>
      </c>
      <c r="AZ614">
        <v>10800</v>
      </c>
      <c r="BA614">
        <v>100</v>
      </c>
      <c r="BB614">
        <v>100</v>
      </c>
      <c r="BC614">
        <v>100</v>
      </c>
      <c r="BD614">
        <v>100</v>
      </c>
      <c r="BE614">
        <v>1</v>
      </c>
      <c r="BF614">
        <v>15000</v>
      </c>
      <c r="BG614">
        <v>1000</v>
      </c>
      <c r="BH614" s="7">
        <f>ROUND(Wapato_Inventory[[#This Row],[detatched_value]]*Lookups!$B$22*Lookups!$H$48,-2)</f>
        <v>9600</v>
      </c>
      <c r="BI614" s="7">
        <f>ROUND(((Wapato_Inventory[[#This Row],[land_extract]]*Lookups!$B$3) +(Lookups!$B$2*0.5))*Lookups!$H$48,-2)</f>
        <v>53000</v>
      </c>
      <c r="BJ614" s="7">
        <f>IF(Wapato_Inventory[[#This Row],[bldg_style]]="",0,Lookups!$B$2*0.5)</f>
        <v>53765.27</v>
      </c>
      <c r="BK614" s="7">
        <f>_xlfn.IFNA(VLOOKUP(Wapato_Inventory[[#This Row],[quality]],Lookups!$H$2:$J$14,3,FALSE),0)</f>
        <v>28034</v>
      </c>
      <c r="BL614" s="7">
        <f>_xlfn.IFNA(VLOOKUP(Wapato_Inventory[[#This Row],[condition]],Lookups!$H$17:$J$24,3,FALSE),0)</f>
        <v>52231</v>
      </c>
      <c r="BM614" s="7">
        <f>Wapato_Inventory[[#This Row],[Age]]*Lookups!$B$16</f>
        <v>-38179.597099999999</v>
      </c>
      <c r="BN614" s="7">
        <f>Wapato_Inventory[[#This Row],[Main Floor]]*Lookups!$B$17</f>
        <v>55427.779913999999</v>
      </c>
      <c r="BO614" s="7">
        <f>Wapato_Inventory[[#This Row],[Upper Floor]]*Lookups!$B$18</f>
        <v>0</v>
      </c>
      <c r="BP614" s="7">
        <f>Wapato_Inventory[[#This Row],[Fin BSMT]]*Lookups!$B$19</f>
        <v>0</v>
      </c>
      <c r="BQ614" s="7">
        <f>(Wapato_Inventory[[#This Row],[att_gar]]+Wapato_Inventory[[#This Row],[blt_gar]])*Lookups!$B$20</f>
        <v>0</v>
      </c>
      <c r="BR614" s="7">
        <f>Wapato_Inventory[[#This Row],[Patio]]*Lookups!$B$21</f>
        <v>0</v>
      </c>
      <c r="BS614" s="7">
        <f>SUM(Wapato_Inventory[[#This Row],[intercept]:[patio_value]])*Wapato_Inventory[[#This Row],[res_pct]]</f>
        <v>151278.45281399999</v>
      </c>
      <c r="BT614" s="7">
        <f>Wapato_Inventory[[#This Row],[land_value]]</f>
        <v>53000</v>
      </c>
      <c r="BU614" s="2">
        <f>_xlfn.IFNA(VLOOKUP(Wapato_Inventory[[#This Row],[quality]],Lookups!$A$28:$C$37,3,FALSE),1)</f>
        <v>0.96265813922927435</v>
      </c>
      <c r="BV614" s="2">
        <f>_xlfn.IFNA(VLOOKUP(Wapato_Inventory[[#This Row],[condition]],Lookups!$A$41:$C$48,3,FALSE),1)</f>
        <v>0.9832333997567807</v>
      </c>
      <c r="BW614" s="2">
        <f>IF(Wapato_Inventory[[#This Row],[decade]]="",1,_xlfn.IFNA(VLOOKUP(Wapato_Inventory[[#This Row],[decade]],Lookups!$F$28:$H$45,3,FALSE),1))</f>
        <v>0.93664589651353292</v>
      </c>
      <c r="BX614" s="2">
        <f>_xlfn.IFNA(VLOOKUP(Wapato_Inventory[[#This Row],[living_area_range]],Lookups!$K$28:$M$37,3,FALSE),1)</f>
        <v>1.0061411172456287</v>
      </c>
      <c r="BY614" s="2">
        <f>AVERAGE(Wapato_Inventory[[#This Row],[qual_adj]:[range_adj]])</f>
        <v>0.97216963818630409</v>
      </c>
      <c r="BZ614" s="7">
        <f>(Wapato_Inventory[[#This Row],[sum_land]]-IF(Wapato_Inventory[[#This Row],[no_utilities]]=1,12000,0))/IF(Wapato_Inventory[[#This Row],[unbuildable]]=1,2,1)</f>
        <v>53000</v>
      </c>
      <c r="CA614" s="7">
        <f>Wapato_Inventory[[#This Row],[pre_res]]*Wapato_Inventory[[#This Row],[overall_adj]]</f>
        <v>147068.31873757025</v>
      </c>
      <c r="CB61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14" s="3">
        <f>IF(ROUND(Wapato_Inventory[[#This Row],[adj_res]]*Lookups!$H$48,-2)&lt;Wapato_Inventory[[#This Row],[min_res]],Wapato_Inventory[[#This Row],[min_res]],ROUND(Wapato_Inventory[[#This Row],[adj_res]]*Lookups!$H$48,-2))</f>
        <v>139700</v>
      </c>
      <c r="CD614" s="3">
        <f>ROUND(Wapato_Inventory[[#This Row],[det_value]]*Lookups!$H$48,-2)</f>
        <v>9100</v>
      </c>
      <c r="CE614" s="3">
        <f>Wapato_Inventory[[#This Row],[final_res]]+Wapato_Inventory[[#This Row],[final_det]]</f>
        <v>148800</v>
      </c>
      <c r="CF614" s="3">
        <f>Wapato_Inventory[[#This Row],[crop_value]]+Wapato_Inventory[[#This Row],[final_land]]+Wapato_Inventory[[#This Row],[final_imp]]</f>
        <v>199200</v>
      </c>
      <c r="CH614" t="str">
        <f t="shared" si="9"/>
        <v>update valuation set market_land =50400, market_bldg=148800, market_total =199200, market_mdno =405, market_date ='9/10/2023' where link_id = (select link_id from parcel where parcel_year = '2024' and parcel_id = '19111513410');</v>
      </c>
    </row>
    <row r="615" spans="1:86" x14ac:dyDescent="0.25">
      <c r="A615">
        <v>19111513411</v>
      </c>
      <c r="B615">
        <v>0.13</v>
      </c>
      <c r="C615">
        <v>5690</v>
      </c>
      <c r="D615" t="s">
        <v>144</v>
      </c>
      <c r="E615" t="s">
        <v>54</v>
      </c>
      <c r="F615" t="s">
        <v>54</v>
      </c>
      <c r="G615">
        <v>3</v>
      </c>
      <c r="H615" t="s">
        <v>55</v>
      </c>
      <c r="I615">
        <v>180500</v>
      </c>
      <c r="J615">
        <v>31400</v>
      </c>
      <c r="K615">
        <v>0.13</v>
      </c>
      <c r="L615">
        <f>IF(Wapato_Inventory[[#This Row],[parcel_acres]]-Wapato_Inventory[[#This Row],[non_valued_acres]] =0,0,LN(Wapato_Inventory[[#This Row],[parcel_acres]]-Wapato_Inventory[[#This Row],[non_valued_acres]]))</f>
        <v>-2.0402208285265546</v>
      </c>
      <c r="M615">
        <v>0</v>
      </c>
      <c r="N615">
        <v>0</v>
      </c>
      <c r="O615">
        <v>0</v>
      </c>
      <c r="P615">
        <v>27904.037</v>
      </c>
      <c r="Q615">
        <v>74398</v>
      </c>
      <c r="R615" s="3">
        <f>(Wapato_Inventory[[#This Row],[ln_acres]]*Wapato_Inventory[[#This Row],[coeff]])+Wapato_Inventory[[#This Row],[const]]</f>
        <v>17467.602512624362</v>
      </c>
      <c r="S615" t="s">
        <v>66</v>
      </c>
      <c r="T615">
        <v>1</v>
      </c>
      <c r="U615" t="s">
        <v>75</v>
      </c>
      <c r="V615" t="s">
        <v>68</v>
      </c>
      <c r="W615">
        <v>0</v>
      </c>
      <c r="X615">
        <v>0</v>
      </c>
      <c r="Y615">
        <v>55</v>
      </c>
      <c r="Z615">
        <v>98</v>
      </c>
      <c r="AA615">
        <v>100</v>
      </c>
      <c r="AB615">
        <v>1500</v>
      </c>
      <c r="AC615">
        <v>1176</v>
      </c>
      <c r="AD615">
        <v>1176</v>
      </c>
      <c r="AE615">
        <v>0</v>
      </c>
      <c r="AF615">
        <v>0</v>
      </c>
      <c r="AG615">
        <v>0</v>
      </c>
      <c r="AH615">
        <v>0</v>
      </c>
      <c r="AI615">
        <v>0</v>
      </c>
      <c r="AJ615">
        <v>0</v>
      </c>
      <c r="AK615">
        <v>0</v>
      </c>
      <c r="AL615">
        <v>0</v>
      </c>
      <c r="AM615">
        <v>192</v>
      </c>
      <c r="AN615">
        <v>48</v>
      </c>
      <c r="AO615">
        <v>192</v>
      </c>
      <c r="AP615">
        <v>5</v>
      </c>
      <c r="AQ615">
        <v>0</v>
      </c>
      <c r="AR615">
        <v>0</v>
      </c>
      <c r="AS615" t="s">
        <v>59</v>
      </c>
      <c r="AT615">
        <v>1</v>
      </c>
      <c r="AU615" t="s">
        <v>60</v>
      </c>
      <c r="AV615" t="s">
        <v>61</v>
      </c>
      <c r="AW615">
        <v>1</v>
      </c>
      <c r="AX615">
        <v>2</v>
      </c>
      <c r="AY615">
        <v>0</v>
      </c>
      <c r="AZ615">
        <v>7200</v>
      </c>
      <c r="BA615">
        <v>100</v>
      </c>
      <c r="BB615">
        <v>100</v>
      </c>
      <c r="BC615">
        <v>100</v>
      </c>
      <c r="BD615">
        <v>100</v>
      </c>
      <c r="BE615">
        <v>1</v>
      </c>
      <c r="BF615">
        <v>15000</v>
      </c>
      <c r="BG615">
        <v>1000</v>
      </c>
      <c r="BH615" s="7">
        <f>ROUND(Wapato_Inventory[[#This Row],[detatched_value]]*Lookups!$B$22*Lookups!$H$48,-2)</f>
        <v>6400</v>
      </c>
      <c r="BI615" s="7">
        <f>ROUND(((Wapato_Inventory[[#This Row],[land_extract]]*Lookups!$B$3) +(Lookups!$B$2*0.5))*Lookups!$H$48,-2)</f>
        <v>52800</v>
      </c>
      <c r="BJ615" s="7">
        <f>IF(Wapato_Inventory[[#This Row],[bldg_style]]="",0,Lookups!$B$2*0.5)</f>
        <v>53765.27</v>
      </c>
      <c r="BK615" s="7">
        <f>_xlfn.IFNA(VLOOKUP(Wapato_Inventory[[#This Row],[quality]],Lookups!$H$2:$J$14,3,FALSE),0)</f>
        <v>48043</v>
      </c>
      <c r="BL615" s="7">
        <f>_xlfn.IFNA(VLOOKUP(Wapato_Inventory[[#This Row],[condition]],Lookups!$H$17:$J$24,3,FALSE),0)</f>
        <v>52231</v>
      </c>
      <c r="BM615" s="7">
        <f>Wapato_Inventory[[#This Row],[Age]]*Lookups!$B$16</f>
        <v>-36326.2186</v>
      </c>
      <c r="BN615" s="7">
        <f>Wapato_Inventory[[#This Row],[Main Floor]]*Lookups!$B$17</f>
        <v>49157.669064000002</v>
      </c>
      <c r="BO615" s="7">
        <f>Wapato_Inventory[[#This Row],[Upper Floor]]*Lookups!$B$18</f>
        <v>0</v>
      </c>
      <c r="BP615" s="7">
        <f>Wapato_Inventory[[#This Row],[Fin BSMT]]*Lookups!$B$19</f>
        <v>0</v>
      </c>
      <c r="BQ615" s="7">
        <f>(Wapato_Inventory[[#This Row],[att_gar]]+Wapato_Inventory[[#This Row],[blt_gar]])*Lookups!$B$20</f>
        <v>0</v>
      </c>
      <c r="BR615" s="7">
        <f>Wapato_Inventory[[#This Row],[Patio]]*Lookups!$B$21</f>
        <v>8318.2039679999998</v>
      </c>
      <c r="BS615" s="7">
        <f>SUM(Wapato_Inventory[[#This Row],[intercept]:[patio_value]])*Wapato_Inventory[[#This Row],[res_pct]]</f>
        <v>175188.924432</v>
      </c>
      <c r="BT615" s="7">
        <f>Wapato_Inventory[[#This Row],[land_value]]</f>
        <v>52800</v>
      </c>
      <c r="BU615" s="2">
        <f>_xlfn.IFNA(VLOOKUP(Wapato_Inventory[[#This Row],[quality]],Lookups!$A$28:$C$37,3,FALSE),1)</f>
        <v>0.98196844879778955</v>
      </c>
      <c r="BV615" s="2">
        <f>_xlfn.IFNA(VLOOKUP(Wapato_Inventory[[#This Row],[condition]],Lookups!$A$41:$C$48,3,FALSE),1)</f>
        <v>0.9832333997567807</v>
      </c>
      <c r="BW615" s="2">
        <f>IF(Wapato_Inventory[[#This Row],[decade]]="",1,_xlfn.IFNA(VLOOKUP(Wapato_Inventory[[#This Row],[decade]],Lookups!$F$28:$H$45,3,FALSE),1))</f>
        <v>1.0114203040664467</v>
      </c>
      <c r="BX615" s="2">
        <f>_xlfn.IFNA(VLOOKUP(Wapato_Inventory[[#This Row],[living_area_range]],Lookups!$K$28:$M$37,3,FALSE),1)</f>
        <v>1.0061411172456287</v>
      </c>
      <c r="BY615" s="2">
        <f>AVERAGE(Wapato_Inventory[[#This Row],[qual_adj]:[range_adj]])</f>
        <v>0.99569081746666144</v>
      </c>
      <c r="BZ615" s="7">
        <f>(Wapato_Inventory[[#This Row],[sum_land]]-IF(Wapato_Inventory[[#This Row],[no_utilities]]=1,12000,0))/IF(Wapato_Inventory[[#This Row],[unbuildable]]=1,2,1)</f>
        <v>52800</v>
      </c>
      <c r="CA615" s="7">
        <f>Wapato_Inventory[[#This Row],[pre_res]]*Wapato_Inventory[[#This Row],[overall_adj]]</f>
        <v>174434.00337880326</v>
      </c>
      <c r="CB615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15" s="3">
        <f>IF(ROUND(Wapato_Inventory[[#This Row],[adj_res]]*Lookups!$H$48,-2)&lt;Wapato_Inventory[[#This Row],[min_res]],Wapato_Inventory[[#This Row],[min_res]],ROUND(Wapato_Inventory[[#This Row],[adj_res]]*Lookups!$H$48,-2))</f>
        <v>165700</v>
      </c>
      <c r="CD615" s="3">
        <f>ROUND(Wapato_Inventory[[#This Row],[det_value]]*Lookups!$H$48,-2)</f>
        <v>6100</v>
      </c>
      <c r="CE615" s="3">
        <f>Wapato_Inventory[[#This Row],[final_res]]+Wapato_Inventory[[#This Row],[final_det]]</f>
        <v>171800</v>
      </c>
      <c r="CF615" s="3">
        <f>Wapato_Inventory[[#This Row],[crop_value]]+Wapato_Inventory[[#This Row],[final_land]]+Wapato_Inventory[[#This Row],[final_imp]]</f>
        <v>222000</v>
      </c>
      <c r="CH615" t="str">
        <f t="shared" si="9"/>
        <v>update valuation set market_land =50200, market_bldg=171800, market_total =222000, market_mdno =405, market_date ='9/10/2023' where link_id = (select link_id from parcel where parcel_year = '2024' and parcel_id = '19111513411');</v>
      </c>
    </row>
    <row r="616" spans="1:86" x14ac:dyDescent="0.25">
      <c r="A616">
        <v>19111513413</v>
      </c>
      <c r="B616">
        <v>0.13</v>
      </c>
      <c r="C616">
        <v>5585</v>
      </c>
      <c r="D616" t="s">
        <v>144</v>
      </c>
      <c r="E616" t="s">
        <v>54</v>
      </c>
      <c r="F616" t="s">
        <v>54</v>
      </c>
      <c r="G616">
        <v>3</v>
      </c>
      <c r="H616" t="s">
        <v>55</v>
      </c>
      <c r="I616">
        <v>189700</v>
      </c>
      <c r="J616">
        <v>31400</v>
      </c>
      <c r="K616">
        <v>0.13</v>
      </c>
      <c r="L616">
        <f>IF(Wapato_Inventory[[#This Row],[parcel_acres]]-Wapato_Inventory[[#This Row],[non_valued_acres]] =0,0,LN(Wapato_Inventory[[#This Row],[parcel_acres]]-Wapato_Inventory[[#This Row],[non_valued_acres]]))</f>
        <v>-2.0402208285265546</v>
      </c>
      <c r="M616">
        <v>0</v>
      </c>
      <c r="N616">
        <v>0</v>
      </c>
      <c r="O616">
        <v>0</v>
      </c>
      <c r="P616">
        <v>27904.037</v>
      </c>
      <c r="Q616">
        <v>74398</v>
      </c>
      <c r="R616" s="3">
        <f>(Wapato_Inventory[[#This Row],[ln_acres]]*Wapato_Inventory[[#This Row],[coeff]])+Wapato_Inventory[[#This Row],[const]]</f>
        <v>17467.602512624362</v>
      </c>
      <c r="S616" t="s">
        <v>66</v>
      </c>
      <c r="T616">
        <v>2</v>
      </c>
      <c r="U616" t="s">
        <v>75</v>
      </c>
      <c r="V616" t="s">
        <v>69</v>
      </c>
      <c r="W616">
        <v>0</v>
      </c>
      <c r="X616">
        <v>0</v>
      </c>
      <c r="Y616">
        <v>57</v>
      </c>
      <c r="Z616">
        <v>103</v>
      </c>
      <c r="AA616">
        <v>110</v>
      </c>
      <c r="AB616">
        <v>1500</v>
      </c>
      <c r="AC616">
        <v>1308</v>
      </c>
      <c r="AD616">
        <v>1116</v>
      </c>
      <c r="AE616">
        <v>192</v>
      </c>
      <c r="AF616">
        <v>0</v>
      </c>
      <c r="AG616">
        <v>0</v>
      </c>
      <c r="AH616">
        <v>100</v>
      </c>
      <c r="AI616">
        <v>0</v>
      </c>
      <c r="AJ616">
        <v>0</v>
      </c>
      <c r="AK616">
        <v>0</v>
      </c>
      <c r="AL616">
        <v>0</v>
      </c>
      <c r="AM616">
        <v>638</v>
      </c>
      <c r="AN616">
        <v>96</v>
      </c>
      <c r="AO616">
        <v>638</v>
      </c>
      <c r="AP616">
        <v>5</v>
      </c>
      <c r="AQ616">
        <v>1</v>
      </c>
      <c r="AR616">
        <v>0</v>
      </c>
      <c r="AS616" t="s">
        <v>59</v>
      </c>
      <c r="AT616">
        <v>1</v>
      </c>
      <c r="AU616" t="s">
        <v>76</v>
      </c>
      <c r="AV616" t="s">
        <v>61</v>
      </c>
      <c r="AW616">
        <v>0</v>
      </c>
      <c r="AX616">
        <v>4</v>
      </c>
      <c r="AY616">
        <v>0</v>
      </c>
      <c r="AZ616">
        <v>4600</v>
      </c>
      <c r="BA616">
        <v>100</v>
      </c>
      <c r="BB616">
        <v>100</v>
      </c>
      <c r="BC616">
        <v>100</v>
      </c>
      <c r="BD616">
        <v>100</v>
      </c>
      <c r="BE616">
        <v>1</v>
      </c>
      <c r="BF616">
        <v>15000</v>
      </c>
      <c r="BG616">
        <v>1000</v>
      </c>
      <c r="BH616" s="7">
        <f>ROUND(Wapato_Inventory[[#This Row],[detatched_value]]*Lookups!$B$22*Lookups!$H$48,-2)</f>
        <v>4100</v>
      </c>
      <c r="BI616" s="7">
        <f>ROUND(((Wapato_Inventory[[#This Row],[land_extract]]*Lookups!$B$3) +(Lookups!$B$2*0.5))*Lookups!$H$48,-2)</f>
        <v>52800</v>
      </c>
      <c r="BJ616" s="7">
        <f>IF(Wapato_Inventory[[#This Row],[bldg_style]]="",0,Lookups!$B$2*0.5)</f>
        <v>53765.27</v>
      </c>
      <c r="BK616" s="7">
        <f>_xlfn.IFNA(VLOOKUP(Wapato_Inventory[[#This Row],[quality]],Lookups!$H$2:$J$14,3,FALSE),0)</f>
        <v>48043</v>
      </c>
      <c r="BL616" s="7">
        <f>_xlfn.IFNA(VLOOKUP(Wapato_Inventory[[#This Row],[condition]],Lookups!$H$17:$J$24,3,FALSE),0)</f>
        <v>74543</v>
      </c>
      <c r="BM616" s="7">
        <f>Wapato_Inventory[[#This Row],[Age]]*Lookups!$B$16</f>
        <v>-38179.597099999999</v>
      </c>
      <c r="BN616" s="7">
        <f>Wapato_Inventory[[#This Row],[Main Floor]]*Lookups!$B$17</f>
        <v>46649.624724000001</v>
      </c>
      <c r="BO616" s="7">
        <f>Wapato_Inventory[[#This Row],[Upper Floor]]*Lookups!$B$18</f>
        <v>9523.4186880000016</v>
      </c>
      <c r="BP616" s="7">
        <f>Wapato_Inventory[[#This Row],[Fin BSMT]]*Lookups!$B$19</f>
        <v>0</v>
      </c>
      <c r="BQ616" s="7">
        <f>(Wapato_Inventory[[#This Row],[att_gar]]+Wapato_Inventory[[#This Row],[blt_gar]])*Lookups!$B$20</f>
        <v>0</v>
      </c>
      <c r="BR616" s="7">
        <f>Wapato_Inventory[[#This Row],[Patio]]*Lookups!$B$21</f>
        <v>27640.698602</v>
      </c>
      <c r="BS616" s="7">
        <f>SUM(Wapato_Inventory[[#This Row],[intercept]:[patio_value]])*Wapato_Inventory[[#This Row],[res_pct]]</f>
        <v>221985.41491399999</v>
      </c>
      <c r="BT616" s="7">
        <f>Wapato_Inventory[[#This Row],[land_value]]</f>
        <v>52800</v>
      </c>
      <c r="BU616" s="2">
        <f>_xlfn.IFNA(VLOOKUP(Wapato_Inventory[[#This Row],[quality]],Lookups!$A$28:$C$37,3,FALSE),1)</f>
        <v>0.98196844879778955</v>
      </c>
      <c r="BV616" s="2">
        <f>_xlfn.IFNA(VLOOKUP(Wapato_Inventory[[#This Row],[condition]],Lookups!$A$41:$C$48,3,FALSE),1)</f>
        <v>0.98442438223270734</v>
      </c>
      <c r="BW616" s="2">
        <f>IF(Wapato_Inventory[[#This Row],[decade]]="",1,_xlfn.IFNA(VLOOKUP(Wapato_Inventory[[#This Row],[decade]],Lookups!$F$28:$H$45,3,FALSE),1))</f>
        <v>0.93664589651353292</v>
      </c>
      <c r="BX616" s="2">
        <f>_xlfn.IFNA(VLOOKUP(Wapato_Inventory[[#This Row],[living_area_range]],Lookups!$K$28:$M$37,3,FALSE),1)</f>
        <v>1.0061411172456287</v>
      </c>
      <c r="BY616" s="2">
        <f>AVERAGE(Wapato_Inventory[[#This Row],[qual_adj]:[range_adj]])</f>
        <v>0.97729496119741466</v>
      </c>
      <c r="BZ616" s="7">
        <f>(Wapato_Inventory[[#This Row],[sum_land]]-IF(Wapato_Inventory[[#This Row],[no_utilities]]=1,12000,0))/IF(Wapato_Inventory[[#This Row],[unbuildable]]=1,2,1)</f>
        <v>52800</v>
      </c>
      <c r="CA616" s="7">
        <f>Wapato_Inventory[[#This Row],[pre_res]]*Wapato_Inventory[[#This Row],[overall_adj]]</f>
        <v>216945.22745476963</v>
      </c>
      <c r="CB616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16" s="3">
        <f>IF(ROUND(Wapato_Inventory[[#This Row],[adj_res]]*Lookups!$H$48,-2)&lt;Wapato_Inventory[[#This Row],[min_res]],Wapato_Inventory[[#This Row],[min_res]],ROUND(Wapato_Inventory[[#This Row],[adj_res]]*Lookups!$H$48,-2))</f>
        <v>206100</v>
      </c>
      <c r="CD616" s="3">
        <f>ROUND(Wapato_Inventory[[#This Row],[det_value]]*Lookups!$H$48,-2)</f>
        <v>3900</v>
      </c>
      <c r="CE616" s="3">
        <f>Wapato_Inventory[[#This Row],[final_res]]+Wapato_Inventory[[#This Row],[final_det]]</f>
        <v>210000</v>
      </c>
      <c r="CF616" s="3">
        <f>Wapato_Inventory[[#This Row],[crop_value]]+Wapato_Inventory[[#This Row],[final_land]]+Wapato_Inventory[[#This Row],[final_imp]]</f>
        <v>260200</v>
      </c>
      <c r="CH616" t="str">
        <f t="shared" si="9"/>
        <v>update valuation set market_land =50200, market_bldg=210000, market_total =260200, market_mdno =405, market_date ='9/10/2023' where link_id = (select link_id from parcel where parcel_year = '2024' and parcel_id = '19111513413');</v>
      </c>
    </row>
    <row r="617" spans="1:86" x14ac:dyDescent="0.25">
      <c r="A617">
        <v>19111513414</v>
      </c>
      <c r="B617">
        <v>0.12</v>
      </c>
      <c r="C617">
        <v>5437</v>
      </c>
      <c r="D617" t="s">
        <v>144</v>
      </c>
      <c r="E617" t="s">
        <v>54</v>
      </c>
      <c r="F617" t="s">
        <v>54</v>
      </c>
      <c r="G617">
        <v>3</v>
      </c>
      <c r="H617" t="s">
        <v>55</v>
      </c>
      <c r="I617">
        <v>141200</v>
      </c>
      <c r="J617">
        <v>30800</v>
      </c>
      <c r="K617">
        <v>0.12</v>
      </c>
      <c r="L617">
        <f>IF(Wapato_Inventory[[#This Row],[parcel_acres]]-Wapato_Inventory[[#This Row],[non_valued_acres]] =0,0,LN(Wapato_Inventory[[#This Row],[parcel_acres]]-Wapato_Inventory[[#This Row],[non_valued_acres]]))</f>
        <v>-2.120263536200091</v>
      </c>
      <c r="M617">
        <v>0</v>
      </c>
      <c r="N617">
        <v>0</v>
      </c>
      <c r="O617">
        <v>0</v>
      </c>
      <c r="P617">
        <v>27904.037</v>
      </c>
      <c r="Q617">
        <v>74398</v>
      </c>
      <c r="R617" s="3">
        <f>(Wapato_Inventory[[#This Row],[ln_acres]]*Wapato_Inventory[[#This Row],[coeff]])+Wapato_Inventory[[#This Row],[const]]</f>
        <v>15234.08783612182</v>
      </c>
      <c r="S617" t="s">
        <v>66</v>
      </c>
      <c r="T617">
        <v>1</v>
      </c>
      <c r="U617" t="s">
        <v>67</v>
      </c>
      <c r="V617" t="s">
        <v>68</v>
      </c>
      <c r="W617">
        <v>0</v>
      </c>
      <c r="X617">
        <v>0</v>
      </c>
      <c r="Y617">
        <v>53</v>
      </c>
      <c r="Z617">
        <v>93</v>
      </c>
      <c r="AA617">
        <v>100</v>
      </c>
      <c r="AB617">
        <v>1500</v>
      </c>
      <c r="AC617">
        <v>1044</v>
      </c>
      <c r="AD617">
        <v>1044</v>
      </c>
      <c r="AE617">
        <v>0</v>
      </c>
      <c r="AF617">
        <v>0</v>
      </c>
      <c r="AG617">
        <v>0</v>
      </c>
      <c r="AH617">
        <v>522</v>
      </c>
      <c r="AI617">
        <v>0</v>
      </c>
      <c r="AJ617">
        <v>0</v>
      </c>
      <c r="AK617">
        <v>0</v>
      </c>
      <c r="AL617">
        <v>0</v>
      </c>
      <c r="AM617">
        <v>552</v>
      </c>
      <c r="AN617">
        <v>36</v>
      </c>
      <c r="AO617">
        <v>552</v>
      </c>
      <c r="AP617">
        <v>5</v>
      </c>
      <c r="AQ617">
        <v>0</v>
      </c>
      <c r="AR617">
        <v>1</v>
      </c>
      <c r="AS617" t="s">
        <v>59</v>
      </c>
      <c r="AT617">
        <v>1</v>
      </c>
      <c r="AU617" t="s">
        <v>72</v>
      </c>
      <c r="AV617" t="s">
        <v>61</v>
      </c>
      <c r="AW617">
        <v>0</v>
      </c>
      <c r="AX617">
        <v>2</v>
      </c>
      <c r="AY617">
        <v>0</v>
      </c>
      <c r="AZ617">
        <v>0</v>
      </c>
      <c r="BA617">
        <v>100</v>
      </c>
      <c r="BB617">
        <v>100</v>
      </c>
      <c r="BC617">
        <v>100</v>
      </c>
      <c r="BD617">
        <v>100</v>
      </c>
      <c r="BE617">
        <v>1</v>
      </c>
      <c r="BF617">
        <v>15000</v>
      </c>
      <c r="BG617">
        <v>1000</v>
      </c>
      <c r="BH617" s="7">
        <f>ROUND(Wapato_Inventory[[#This Row],[detatched_value]]*Lookups!$B$22*Lookups!$H$48,-2)</f>
        <v>0</v>
      </c>
      <c r="BI617" s="7">
        <f>ROUND(((Wapato_Inventory[[#This Row],[land_extract]]*Lookups!$B$3) +(Lookups!$B$2*0.5))*Lookups!$H$48,-2)</f>
        <v>52500</v>
      </c>
      <c r="BJ617" s="7">
        <f>IF(Wapato_Inventory[[#This Row],[bldg_style]]="",0,Lookups!$B$2*0.5)</f>
        <v>53765.27</v>
      </c>
      <c r="BK617" s="7">
        <f>_xlfn.IFNA(VLOOKUP(Wapato_Inventory[[#This Row],[quality]],Lookups!$H$2:$J$14,3,FALSE),0)</f>
        <v>50405</v>
      </c>
      <c r="BL617" s="7">
        <f>_xlfn.IFNA(VLOOKUP(Wapato_Inventory[[#This Row],[condition]],Lookups!$H$17:$J$24,3,FALSE),0)</f>
        <v>52231</v>
      </c>
      <c r="BM617" s="7">
        <f>Wapato_Inventory[[#This Row],[Age]]*Lookups!$B$16</f>
        <v>-34472.840100000001</v>
      </c>
      <c r="BN617" s="7">
        <f>Wapato_Inventory[[#This Row],[Main Floor]]*Lookups!$B$17</f>
        <v>43639.971515999998</v>
      </c>
      <c r="BO617" s="7">
        <f>Wapato_Inventory[[#This Row],[Upper Floor]]*Lookups!$B$18</f>
        <v>0</v>
      </c>
      <c r="BP617" s="7">
        <f>Wapato_Inventory[[#This Row],[Fin BSMT]]*Lookups!$B$19</f>
        <v>0</v>
      </c>
      <c r="BQ617" s="7">
        <f>(Wapato_Inventory[[#This Row],[att_gar]]+Wapato_Inventory[[#This Row],[blt_gar]])*Lookups!$B$20</f>
        <v>0</v>
      </c>
      <c r="BR617" s="7">
        <f>Wapato_Inventory[[#This Row],[Patio]]*Lookups!$B$21</f>
        <v>23914.836407999999</v>
      </c>
      <c r="BS617" s="7">
        <f>SUM(Wapato_Inventory[[#This Row],[intercept]:[patio_value]])*Wapato_Inventory[[#This Row],[res_pct]]</f>
        <v>189483.23782399998</v>
      </c>
      <c r="BT617" s="7">
        <f>Wapato_Inventory[[#This Row],[land_value]]</f>
        <v>52500</v>
      </c>
      <c r="BU617" s="2">
        <f>_xlfn.IFNA(VLOOKUP(Wapato_Inventory[[#This Row],[quality]],Lookups!$A$28:$C$37,3,FALSE),1)</f>
        <v>0.97993206410140754</v>
      </c>
      <c r="BV617" s="2">
        <f>_xlfn.IFNA(VLOOKUP(Wapato_Inventory[[#This Row],[condition]],Lookups!$A$41:$C$48,3,FALSE),1)</f>
        <v>0.9832333997567807</v>
      </c>
      <c r="BW617" s="2">
        <f>IF(Wapato_Inventory[[#This Row],[decade]]="",1,_xlfn.IFNA(VLOOKUP(Wapato_Inventory[[#This Row],[decade]],Lookups!$F$28:$H$45,3,FALSE),1))</f>
        <v>1.0114203040664467</v>
      </c>
      <c r="BX617" s="2">
        <f>_xlfn.IFNA(VLOOKUP(Wapato_Inventory[[#This Row],[living_area_range]],Lookups!$K$28:$M$37,3,FALSE),1)</f>
        <v>1.0061411172456287</v>
      </c>
      <c r="BY617" s="2">
        <f>AVERAGE(Wapato_Inventory[[#This Row],[qual_adj]:[range_adj]])</f>
        <v>0.99518172129256599</v>
      </c>
      <c r="BZ617" s="7">
        <f>(Wapato_Inventory[[#This Row],[sum_land]]-IF(Wapato_Inventory[[#This Row],[no_utilities]]=1,12000,0))/IF(Wapato_Inventory[[#This Row],[unbuildable]]=1,2,1)</f>
        <v>52500</v>
      </c>
      <c r="CA617" s="7">
        <f>Wapato_Inventory[[#This Row],[pre_res]]*Wapato_Inventory[[#This Row],[overall_adj]]</f>
        <v>188570.25477377695</v>
      </c>
      <c r="CB617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617" s="3">
        <f>IF(ROUND(Wapato_Inventory[[#This Row],[adj_res]]*Lookups!$H$48,-2)&lt;Wapato_Inventory[[#This Row],[min_res]],Wapato_Inventory[[#This Row],[min_res]],ROUND(Wapato_Inventory[[#This Row],[adj_res]]*Lookups!$H$48,-2))</f>
        <v>179100</v>
      </c>
      <c r="CD617" s="3">
        <f>ROUND(Wapato_Inventory[[#This Row],[det_value]]*Lookups!$H$48,-2)</f>
        <v>0</v>
      </c>
      <c r="CE617" s="3">
        <f>Wapato_Inventory[[#This Row],[final_res]]+Wapato_Inventory[[#This Row],[final_det]]</f>
        <v>179100</v>
      </c>
      <c r="CF617" s="3">
        <f>Wapato_Inventory[[#This Row],[crop_value]]+Wapato_Inventory[[#This Row],[final_land]]+Wapato_Inventory[[#This Row],[final_imp]]</f>
        <v>229000</v>
      </c>
      <c r="CH617" t="str">
        <f t="shared" si="9"/>
        <v>update valuation set market_land =49900, market_bldg=179100, market_total =229000, market_mdno =405, market_date ='9/10/2023' where link_id = (select link_id from parcel where parcel_year = '2024' and parcel_id = '19111513414');</v>
      </c>
    </row>
    <row r="618" spans="1:86" x14ac:dyDescent="0.25">
      <c r="A618">
        <v>19111513415</v>
      </c>
      <c r="B618">
        <v>0.13</v>
      </c>
      <c r="C618">
        <v>5509</v>
      </c>
      <c r="D618" t="s">
        <v>144</v>
      </c>
      <c r="E618" t="s">
        <v>54</v>
      </c>
      <c r="F618" t="s">
        <v>54</v>
      </c>
      <c r="G618">
        <v>3</v>
      </c>
      <c r="H618" t="s">
        <v>55</v>
      </c>
      <c r="I618">
        <v>72900</v>
      </c>
      <c r="J618">
        <v>31400</v>
      </c>
      <c r="K618">
        <v>0.13</v>
      </c>
      <c r="L618">
        <f>IF(Wapato_Inventory[[#This Row],[parcel_acres]]-Wapato_Inventory[[#This Row],[non_valued_acres]] =0,0,LN(Wapato_Inventory[[#This Row],[parcel_acres]]-Wapato_Inventory[[#This Row],[non_valued_acres]]))</f>
        <v>-2.0402208285265546</v>
      </c>
      <c r="M618">
        <v>0</v>
      </c>
      <c r="N618">
        <v>0</v>
      </c>
      <c r="O618">
        <v>0</v>
      </c>
      <c r="P618">
        <v>27904.037</v>
      </c>
      <c r="Q618">
        <v>74398</v>
      </c>
      <c r="R618" s="3">
        <f>(Wapato_Inventory[[#This Row],[ln_acres]]*Wapato_Inventory[[#This Row],[coeff]])+Wapato_Inventory[[#This Row],[const]]</f>
        <v>17467.602512624362</v>
      </c>
      <c r="S618" t="s">
        <v>56</v>
      </c>
      <c r="T618">
        <v>2</v>
      </c>
      <c r="U618" t="s">
        <v>78</v>
      </c>
      <c r="V618" t="s">
        <v>73</v>
      </c>
      <c r="W618">
        <v>0</v>
      </c>
      <c r="X618">
        <v>0</v>
      </c>
      <c r="Y618">
        <v>75</v>
      </c>
      <c r="Z618">
        <v>123</v>
      </c>
      <c r="AA618">
        <v>130</v>
      </c>
      <c r="AB618">
        <v>1500</v>
      </c>
      <c r="AC618">
        <v>1109</v>
      </c>
      <c r="AD618">
        <v>761</v>
      </c>
      <c r="AE618">
        <v>348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75</v>
      </c>
      <c r="AO618">
        <v>0</v>
      </c>
      <c r="AP618">
        <v>5</v>
      </c>
      <c r="AQ618">
        <v>0</v>
      </c>
      <c r="AR618">
        <v>0</v>
      </c>
      <c r="AS618" t="s">
        <v>59</v>
      </c>
      <c r="AT618">
        <v>0</v>
      </c>
      <c r="AU618" t="s">
        <v>80</v>
      </c>
      <c r="AV618" t="s">
        <v>65</v>
      </c>
      <c r="AW618">
        <v>0</v>
      </c>
      <c r="AX618">
        <v>2</v>
      </c>
      <c r="AY618">
        <v>0</v>
      </c>
      <c r="AZ618">
        <v>1800</v>
      </c>
      <c r="BA618">
        <v>100</v>
      </c>
      <c r="BB618">
        <v>100</v>
      </c>
      <c r="BC618">
        <v>100</v>
      </c>
      <c r="BD618">
        <v>100</v>
      </c>
      <c r="BE618">
        <v>1</v>
      </c>
      <c r="BF618">
        <v>15000</v>
      </c>
      <c r="BG618">
        <v>1000</v>
      </c>
      <c r="BH618" s="7">
        <f>ROUND(Wapato_Inventory[[#This Row],[detatched_value]]*Lookups!$B$22*Lookups!$H$48,-2)</f>
        <v>1600</v>
      </c>
      <c r="BI618" s="7">
        <f>ROUND(((Wapato_Inventory[[#This Row],[land_extract]]*Lookups!$B$3) +(Lookups!$B$2*0.5))*Lookups!$H$48,-2)</f>
        <v>52800</v>
      </c>
      <c r="BJ618" s="7">
        <f>IF(Wapato_Inventory[[#This Row],[bldg_style]]="",0,Lookups!$B$2*0.5)</f>
        <v>53765.27</v>
      </c>
      <c r="BK618" s="7">
        <f>_xlfn.IFNA(VLOOKUP(Wapato_Inventory[[#This Row],[quality]],Lookups!$H$2:$J$14,3,FALSE),0)</f>
        <v>23424</v>
      </c>
      <c r="BL618" s="7">
        <f>_xlfn.IFNA(VLOOKUP(Wapato_Inventory[[#This Row],[condition]],Lookups!$H$17:$J$24,3,FALSE),0)</f>
        <v>16276</v>
      </c>
      <c r="BM618" s="7">
        <f>Wapato_Inventory[[#This Row],[Age]]*Lookups!$B$16</f>
        <v>-45593.111100000002</v>
      </c>
      <c r="BN618" s="7">
        <f>Wapato_Inventory[[#This Row],[Main Floor]]*Lookups!$B$17</f>
        <v>31810.362378999998</v>
      </c>
      <c r="BO618" s="7">
        <f>Wapato_Inventory[[#This Row],[Upper Floor]]*Lookups!$B$18</f>
        <v>17261.196372000002</v>
      </c>
      <c r="BP618" s="7">
        <f>Wapato_Inventory[[#This Row],[Fin BSMT]]*Lookups!$B$19</f>
        <v>0</v>
      </c>
      <c r="BQ618" s="7">
        <f>(Wapato_Inventory[[#This Row],[att_gar]]+Wapato_Inventory[[#This Row],[blt_gar]])*Lookups!$B$20</f>
        <v>0</v>
      </c>
      <c r="BR618" s="7">
        <f>Wapato_Inventory[[#This Row],[Patio]]*Lookups!$B$21</f>
        <v>0</v>
      </c>
      <c r="BS618" s="7">
        <f>SUM(Wapato_Inventory[[#This Row],[intercept]:[patio_value]])*Wapato_Inventory[[#This Row],[res_pct]]</f>
        <v>96943.717650999984</v>
      </c>
      <c r="BT618" s="7">
        <f>Wapato_Inventory[[#This Row],[land_value]]</f>
        <v>52800</v>
      </c>
      <c r="BU618" s="2">
        <f>_xlfn.IFNA(VLOOKUP(Wapato_Inventory[[#This Row],[quality]],Lookups!$A$28:$C$37,3,FALSE),1)</f>
        <v>1.0091195562373767</v>
      </c>
      <c r="BV618" s="2">
        <f>_xlfn.IFNA(VLOOKUP(Wapato_Inventory[[#This Row],[condition]],Lookups!$A$41:$C$48,3,FALSE),1)</f>
        <v>0.93399385491337139</v>
      </c>
      <c r="BW618" s="2">
        <f>IF(Wapato_Inventory[[#This Row],[decade]]="",1,_xlfn.IFNA(VLOOKUP(Wapato_Inventory[[#This Row],[decade]],Lookups!$F$28:$H$45,3,FALSE),1))</f>
        <v>0.93664589651353292</v>
      </c>
      <c r="BX618" s="2">
        <f>_xlfn.IFNA(VLOOKUP(Wapato_Inventory[[#This Row],[living_area_range]],Lookups!$K$28:$M$37,3,FALSE),1)</f>
        <v>1.0061411172456287</v>
      </c>
      <c r="BY618" s="2">
        <f>AVERAGE(Wapato_Inventory[[#This Row],[qual_adj]:[range_adj]])</f>
        <v>0.97147510622747735</v>
      </c>
      <c r="BZ618" s="7">
        <f>(Wapato_Inventory[[#This Row],[sum_land]]-IF(Wapato_Inventory[[#This Row],[no_utilities]]=1,12000,0))/IF(Wapato_Inventory[[#This Row],[unbuildable]]=1,2,1)</f>
        <v>52800</v>
      </c>
      <c r="CA618" s="7">
        <f>Wapato_Inventory[[#This Row],[pre_res]]*Wapato_Inventory[[#This Row],[overall_adj]]</f>
        <v>94178.408403091787</v>
      </c>
      <c r="CB618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18" s="3">
        <f>IF(ROUND(Wapato_Inventory[[#This Row],[adj_res]]*Lookups!$H$48,-2)&lt;Wapato_Inventory[[#This Row],[min_res]],Wapato_Inventory[[#This Row],[min_res]],ROUND(Wapato_Inventory[[#This Row],[adj_res]]*Lookups!$H$48,-2))</f>
        <v>89500</v>
      </c>
      <c r="CD618" s="3">
        <f>ROUND(Wapato_Inventory[[#This Row],[det_value]]*Lookups!$H$48,-2)</f>
        <v>1500</v>
      </c>
      <c r="CE618" s="3">
        <f>Wapato_Inventory[[#This Row],[final_res]]+Wapato_Inventory[[#This Row],[final_det]]</f>
        <v>91000</v>
      </c>
      <c r="CF618" s="3">
        <f>Wapato_Inventory[[#This Row],[crop_value]]+Wapato_Inventory[[#This Row],[final_land]]+Wapato_Inventory[[#This Row],[final_imp]]</f>
        <v>141200</v>
      </c>
      <c r="CH618" t="str">
        <f t="shared" si="9"/>
        <v>update valuation set market_land =50200, market_bldg=91000, market_total =141200, market_mdno =405, market_date ='9/10/2023' where link_id = (select link_id from parcel where parcel_year = '2024' and parcel_id = '19111513415');</v>
      </c>
    </row>
    <row r="619" spans="1:86" x14ac:dyDescent="0.25">
      <c r="A619">
        <v>19111513416</v>
      </c>
      <c r="B619">
        <v>0.06</v>
      </c>
      <c r="C619">
        <v>2701</v>
      </c>
      <c r="D619" t="s">
        <v>144</v>
      </c>
      <c r="E619" t="s">
        <v>54</v>
      </c>
      <c r="F619" t="s">
        <v>54</v>
      </c>
      <c r="G619">
        <v>3</v>
      </c>
      <c r="H619" t="s">
        <v>55</v>
      </c>
      <c r="I619">
        <v>83100</v>
      </c>
      <c r="J619">
        <v>25800</v>
      </c>
      <c r="K619">
        <v>0.06</v>
      </c>
      <c r="L619">
        <f>IF(Wapato_Inventory[[#This Row],[parcel_acres]]-Wapato_Inventory[[#This Row],[non_valued_acres]] =0,0,LN(Wapato_Inventory[[#This Row],[parcel_acres]]-Wapato_Inventory[[#This Row],[non_valued_acres]]))</f>
        <v>-2.8134107167600364</v>
      </c>
      <c r="M619">
        <v>0</v>
      </c>
      <c r="N619">
        <v>0</v>
      </c>
      <c r="O619">
        <v>0</v>
      </c>
      <c r="P619">
        <v>27904.037</v>
      </c>
      <c r="Q619">
        <v>74398</v>
      </c>
      <c r="R619" s="3">
        <f>(Wapato_Inventory[[#This Row],[ln_acres]]*Wapato_Inventory[[#This Row],[coeff]])+Wapato_Inventory[[#This Row],[const]]</f>
        <v>-4107.5167366685782</v>
      </c>
      <c r="S619" t="s">
        <v>66</v>
      </c>
      <c r="T619">
        <v>1</v>
      </c>
      <c r="U619" t="s">
        <v>78</v>
      </c>
      <c r="V619" t="s">
        <v>68</v>
      </c>
      <c r="W619">
        <v>0</v>
      </c>
      <c r="X619">
        <v>0</v>
      </c>
      <c r="Y619">
        <v>57</v>
      </c>
      <c r="Z619">
        <v>103</v>
      </c>
      <c r="AA619">
        <v>110</v>
      </c>
      <c r="AB619">
        <v>1000</v>
      </c>
      <c r="AC619">
        <v>520</v>
      </c>
      <c r="AD619">
        <v>520</v>
      </c>
      <c r="AE619">
        <v>0</v>
      </c>
      <c r="AF619">
        <v>0</v>
      </c>
      <c r="AG619">
        <v>0</v>
      </c>
      <c r="AH619">
        <v>0</v>
      </c>
      <c r="AI619">
        <v>0</v>
      </c>
      <c r="AJ619">
        <v>0</v>
      </c>
      <c r="AK619">
        <v>0</v>
      </c>
      <c r="AL619">
        <v>0</v>
      </c>
      <c r="AM619">
        <v>0</v>
      </c>
      <c r="AN619">
        <v>24</v>
      </c>
      <c r="AO619">
        <v>0</v>
      </c>
      <c r="AP619">
        <v>5</v>
      </c>
      <c r="AQ619">
        <v>0</v>
      </c>
      <c r="AR619">
        <v>0</v>
      </c>
      <c r="AS619" t="s">
        <v>59</v>
      </c>
      <c r="AT619">
        <v>0</v>
      </c>
      <c r="AU619" t="s">
        <v>80</v>
      </c>
      <c r="AV619" t="s">
        <v>77</v>
      </c>
      <c r="AW619">
        <v>0</v>
      </c>
      <c r="AX619">
        <v>2</v>
      </c>
      <c r="AY619">
        <v>0</v>
      </c>
      <c r="AZ619">
        <v>0</v>
      </c>
      <c r="BA619">
        <v>100</v>
      </c>
      <c r="BB619">
        <v>100</v>
      </c>
      <c r="BC619">
        <v>100</v>
      </c>
      <c r="BD619">
        <v>100</v>
      </c>
      <c r="BE619">
        <v>1</v>
      </c>
      <c r="BF619">
        <v>15000</v>
      </c>
      <c r="BG619">
        <v>1000</v>
      </c>
      <c r="BH619" s="7">
        <f>ROUND(Wapato_Inventory[[#This Row],[detatched_value]]*Lookups!$B$22*Lookups!$H$48,-2)</f>
        <v>0</v>
      </c>
      <c r="BI619" s="7">
        <f>ROUND(((Wapato_Inventory[[#This Row],[land_extract]]*Lookups!$B$3) +(Lookups!$B$2*0.5))*Lookups!$H$48,-2)</f>
        <v>50700</v>
      </c>
      <c r="BJ619" s="7">
        <f>IF(Wapato_Inventory[[#This Row],[bldg_style]]="",0,Lookups!$B$2*0.5)</f>
        <v>53765.27</v>
      </c>
      <c r="BK619" s="7">
        <f>_xlfn.IFNA(VLOOKUP(Wapato_Inventory[[#This Row],[quality]],Lookups!$H$2:$J$14,3,FALSE),0)</f>
        <v>23424</v>
      </c>
      <c r="BL619" s="7">
        <f>_xlfn.IFNA(VLOOKUP(Wapato_Inventory[[#This Row],[condition]],Lookups!$H$17:$J$24,3,FALSE),0)</f>
        <v>52231</v>
      </c>
      <c r="BM619" s="7">
        <f>Wapato_Inventory[[#This Row],[Age]]*Lookups!$B$16</f>
        <v>-38179.597099999999</v>
      </c>
      <c r="BN619" s="7">
        <f>Wapato_Inventory[[#This Row],[Main Floor]]*Lookups!$B$17</f>
        <v>21736.384279999998</v>
      </c>
      <c r="BO619" s="7">
        <f>Wapato_Inventory[[#This Row],[Upper Floor]]*Lookups!$B$18</f>
        <v>0</v>
      </c>
      <c r="BP619" s="7">
        <f>Wapato_Inventory[[#This Row],[Fin BSMT]]*Lookups!$B$19</f>
        <v>0</v>
      </c>
      <c r="BQ619" s="7">
        <f>(Wapato_Inventory[[#This Row],[att_gar]]+Wapato_Inventory[[#This Row],[blt_gar]])*Lookups!$B$20</f>
        <v>0</v>
      </c>
      <c r="BR619" s="7">
        <f>Wapato_Inventory[[#This Row],[Patio]]*Lookups!$B$21</f>
        <v>0</v>
      </c>
      <c r="BS619" s="7">
        <f>SUM(Wapato_Inventory[[#This Row],[intercept]:[patio_value]])*Wapato_Inventory[[#This Row],[res_pct]]</f>
        <v>112977.05717999999</v>
      </c>
      <c r="BT619" s="7">
        <f>Wapato_Inventory[[#This Row],[land_value]]</f>
        <v>50700</v>
      </c>
      <c r="BU619" s="2">
        <f>_xlfn.IFNA(VLOOKUP(Wapato_Inventory[[#This Row],[quality]],Lookups!$A$28:$C$37,3,FALSE),1)</f>
        <v>1.0091195562373767</v>
      </c>
      <c r="BV619" s="2">
        <f>_xlfn.IFNA(VLOOKUP(Wapato_Inventory[[#This Row],[condition]],Lookups!$A$41:$C$48,3,FALSE),1)</f>
        <v>0.9832333997567807</v>
      </c>
      <c r="BW619" s="2">
        <f>IF(Wapato_Inventory[[#This Row],[decade]]="",1,_xlfn.IFNA(VLOOKUP(Wapato_Inventory[[#This Row],[decade]],Lookups!$F$28:$H$45,3,FALSE),1))</f>
        <v>0.93664589651353292</v>
      </c>
      <c r="BX619" s="2">
        <f>_xlfn.IFNA(VLOOKUP(Wapato_Inventory[[#This Row],[living_area_range]],Lookups!$K$28:$M$37,3,FALSE),1)</f>
        <v>0.99022994770196116</v>
      </c>
      <c r="BY619" s="2">
        <f>AVERAGE(Wapato_Inventory[[#This Row],[qual_adj]:[range_adj]])</f>
        <v>0.97980720005241284</v>
      </c>
      <c r="BZ619" s="7">
        <f>(Wapato_Inventory[[#This Row],[sum_land]]-IF(Wapato_Inventory[[#This Row],[no_utilities]]=1,12000,0))/IF(Wapato_Inventory[[#This Row],[unbuildable]]=1,2,1)</f>
        <v>50700</v>
      </c>
      <c r="CA619" s="7">
        <f>Wapato_Inventory[[#This Row],[pre_res]]*Wapato_Inventory[[#This Row],[overall_adj]]</f>
        <v>110695.73406569714</v>
      </c>
      <c r="CB619" s="3">
        <f>IF(ROUND(Wapato_Inventory[[#This Row],[adj_land]]*Lookups!$H$48,-2)&lt;Wapato_Inventory[[#This Row],[min_land]],Wapato_Inventory[[#This Row],[min_land]],ROUND(Wapato_Inventory[[#This Row],[adj_land]]*Lookups!$H$48,-2))</f>
        <v>48200</v>
      </c>
      <c r="CC619" s="3">
        <f>IF(ROUND(Wapato_Inventory[[#This Row],[adj_res]]*Lookups!$H$48,-2)&lt;Wapato_Inventory[[#This Row],[min_res]],Wapato_Inventory[[#This Row],[min_res]],ROUND(Wapato_Inventory[[#This Row],[adj_res]]*Lookups!$H$48,-2))</f>
        <v>105200</v>
      </c>
      <c r="CD619" s="3">
        <f>ROUND(Wapato_Inventory[[#This Row],[det_value]]*Lookups!$H$48,-2)</f>
        <v>0</v>
      </c>
      <c r="CE619" s="3">
        <f>Wapato_Inventory[[#This Row],[final_res]]+Wapato_Inventory[[#This Row],[final_det]]</f>
        <v>105200</v>
      </c>
      <c r="CF619" s="3">
        <f>Wapato_Inventory[[#This Row],[crop_value]]+Wapato_Inventory[[#This Row],[final_land]]+Wapato_Inventory[[#This Row],[final_imp]]</f>
        <v>153400</v>
      </c>
      <c r="CH619" t="str">
        <f t="shared" si="9"/>
        <v>update valuation set market_land =48200, market_bldg=105200, market_total =153400, market_mdno =405, market_date ='9/10/2023' where link_id = (select link_id from parcel where parcel_year = '2024' and parcel_id = '19111513416');</v>
      </c>
    </row>
    <row r="620" spans="1:86" x14ac:dyDescent="0.25">
      <c r="A620">
        <v>19111513417</v>
      </c>
      <c r="B620">
        <v>7.0000000000000007E-2</v>
      </c>
      <c r="C620">
        <v>3253</v>
      </c>
      <c r="D620" t="s">
        <v>144</v>
      </c>
      <c r="E620" t="s">
        <v>54</v>
      </c>
      <c r="F620" t="s">
        <v>54</v>
      </c>
      <c r="G620">
        <v>3</v>
      </c>
      <c r="H620" t="s">
        <v>55</v>
      </c>
      <c r="I620">
        <v>80400</v>
      </c>
      <c r="J620">
        <v>26900</v>
      </c>
      <c r="K620">
        <v>7.0000000000000007E-2</v>
      </c>
      <c r="L620">
        <f>IF(Wapato_Inventory[[#This Row],[parcel_acres]]-Wapato_Inventory[[#This Row],[non_valued_acres]] =0,0,LN(Wapato_Inventory[[#This Row],[parcel_acres]]-Wapato_Inventory[[#This Row],[non_valued_acres]]))</f>
        <v>-2.6592600369327779</v>
      </c>
      <c r="M620">
        <v>0</v>
      </c>
      <c r="N620">
        <v>0</v>
      </c>
      <c r="O620">
        <v>0</v>
      </c>
      <c r="P620">
        <v>27904.037</v>
      </c>
      <c r="Q620">
        <v>74398</v>
      </c>
      <c r="R620" s="3">
        <f>(Wapato_Inventory[[#This Row],[ln_acres]]*Wapato_Inventory[[#This Row],[coeff]])+Wapato_Inventory[[#This Row],[const]]</f>
        <v>193.90953680640087</v>
      </c>
      <c r="S620" t="s">
        <v>66</v>
      </c>
      <c r="T620">
        <v>1</v>
      </c>
      <c r="U620" t="s">
        <v>78</v>
      </c>
      <c r="V620" t="s">
        <v>68</v>
      </c>
      <c r="W620">
        <v>0</v>
      </c>
      <c r="X620">
        <v>0</v>
      </c>
      <c r="Y620">
        <v>60</v>
      </c>
      <c r="Z620">
        <v>108</v>
      </c>
      <c r="AA620">
        <v>110</v>
      </c>
      <c r="AB620">
        <v>1000</v>
      </c>
      <c r="AC620">
        <v>504</v>
      </c>
      <c r="AD620">
        <v>504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72</v>
      </c>
      <c r="AN620">
        <v>0</v>
      </c>
      <c r="AO620">
        <v>72</v>
      </c>
      <c r="AP620">
        <v>5</v>
      </c>
      <c r="AQ620">
        <v>0</v>
      </c>
      <c r="AR620">
        <v>0</v>
      </c>
      <c r="AS620" t="s">
        <v>59</v>
      </c>
      <c r="AT620">
        <v>0</v>
      </c>
      <c r="AU620" t="s">
        <v>80</v>
      </c>
      <c r="AV620" t="s">
        <v>65</v>
      </c>
      <c r="AW620">
        <v>0</v>
      </c>
      <c r="AX620">
        <v>2</v>
      </c>
      <c r="AY620">
        <v>0</v>
      </c>
      <c r="AZ620">
        <v>0</v>
      </c>
      <c r="BA620">
        <v>100</v>
      </c>
      <c r="BB620">
        <v>100</v>
      </c>
      <c r="BC620">
        <v>100</v>
      </c>
      <c r="BD620">
        <v>100</v>
      </c>
      <c r="BE620">
        <v>1</v>
      </c>
      <c r="BF620">
        <v>15000</v>
      </c>
      <c r="BG620">
        <v>1000</v>
      </c>
      <c r="BH620" s="7">
        <f>ROUND(Wapato_Inventory[[#This Row],[detatched_value]]*Lookups!$B$22*Lookups!$H$48,-2)</f>
        <v>0</v>
      </c>
      <c r="BI620" s="7">
        <f>ROUND(((Wapato_Inventory[[#This Row],[land_extract]]*Lookups!$B$3) +(Lookups!$B$2*0.5))*Lookups!$H$48,-2)</f>
        <v>51100</v>
      </c>
      <c r="BJ620" s="7">
        <f>IF(Wapato_Inventory[[#This Row],[bldg_style]]="",0,Lookups!$B$2*0.5)</f>
        <v>53765.27</v>
      </c>
      <c r="BK620" s="7">
        <f>_xlfn.IFNA(VLOOKUP(Wapato_Inventory[[#This Row],[quality]],Lookups!$H$2:$J$14,3,FALSE),0)</f>
        <v>23424</v>
      </c>
      <c r="BL620" s="7">
        <f>_xlfn.IFNA(VLOOKUP(Wapato_Inventory[[#This Row],[condition]],Lookups!$H$17:$J$24,3,FALSE),0)</f>
        <v>52231</v>
      </c>
      <c r="BM620" s="7">
        <f>Wapato_Inventory[[#This Row],[Age]]*Lookups!$B$16</f>
        <v>-40032.975599999998</v>
      </c>
      <c r="BN620" s="7">
        <f>Wapato_Inventory[[#This Row],[Main Floor]]*Lookups!$B$17</f>
        <v>21067.572456000002</v>
      </c>
      <c r="BO620" s="7">
        <f>Wapato_Inventory[[#This Row],[Upper Floor]]*Lookups!$B$18</f>
        <v>0</v>
      </c>
      <c r="BP620" s="7">
        <f>Wapato_Inventory[[#This Row],[Fin BSMT]]*Lookups!$B$19</f>
        <v>0</v>
      </c>
      <c r="BQ620" s="7">
        <f>(Wapato_Inventory[[#This Row],[att_gar]]+Wapato_Inventory[[#This Row],[blt_gar]])*Lookups!$B$20</f>
        <v>0</v>
      </c>
      <c r="BR620" s="7">
        <f>Wapato_Inventory[[#This Row],[Patio]]*Lookups!$B$21</f>
        <v>3119.3264880000002</v>
      </c>
      <c r="BS620" s="7">
        <f>SUM(Wapato_Inventory[[#This Row],[intercept]:[patio_value]])*Wapato_Inventory[[#This Row],[res_pct]]</f>
        <v>113574.19334399998</v>
      </c>
      <c r="BT620" s="7">
        <f>Wapato_Inventory[[#This Row],[land_value]]</f>
        <v>51100</v>
      </c>
      <c r="BU620" s="2">
        <f>_xlfn.IFNA(VLOOKUP(Wapato_Inventory[[#This Row],[quality]],Lookups!$A$28:$C$37,3,FALSE),1)</f>
        <v>1.0091195562373767</v>
      </c>
      <c r="BV620" s="2">
        <f>_xlfn.IFNA(VLOOKUP(Wapato_Inventory[[#This Row],[condition]],Lookups!$A$41:$C$48,3,FALSE),1)</f>
        <v>0.9832333997567807</v>
      </c>
      <c r="BW620" s="2">
        <f>IF(Wapato_Inventory[[#This Row],[decade]]="",1,_xlfn.IFNA(VLOOKUP(Wapato_Inventory[[#This Row],[decade]],Lookups!$F$28:$H$45,3,FALSE),1))</f>
        <v>0.93664589651353292</v>
      </c>
      <c r="BX620" s="2">
        <f>_xlfn.IFNA(VLOOKUP(Wapato_Inventory[[#This Row],[living_area_range]],Lookups!$K$28:$M$37,3,FALSE),1)</f>
        <v>0.99022994770196116</v>
      </c>
      <c r="BY620" s="2">
        <f>AVERAGE(Wapato_Inventory[[#This Row],[qual_adj]:[range_adj]])</f>
        <v>0.97980720005241284</v>
      </c>
      <c r="BZ620" s="7">
        <f>(Wapato_Inventory[[#This Row],[sum_land]]-IF(Wapato_Inventory[[#This Row],[no_utilities]]=1,12000,0))/IF(Wapato_Inventory[[#This Row],[unbuildable]]=1,2,1)</f>
        <v>51100</v>
      </c>
      <c r="CA620" s="7">
        <f>Wapato_Inventory[[#This Row],[pre_res]]*Wapato_Inventory[[#This Row],[overall_adj]]</f>
        <v>111280.81237859601</v>
      </c>
      <c r="CB620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620" s="3">
        <f>IF(ROUND(Wapato_Inventory[[#This Row],[adj_res]]*Lookups!$H$48,-2)&lt;Wapato_Inventory[[#This Row],[min_res]],Wapato_Inventory[[#This Row],[min_res]],ROUND(Wapato_Inventory[[#This Row],[adj_res]]*Lookups!$H$48,-2))</f>
        <v>105700</v>
      </c>
      <c r="CD620" s="3">
        <f>ROUND(Wapato_Inventory[[#This Row],[det_value]]*Lookups!$H$48,-2)</f>
        <v>0</v>
      </c>
      <c r="CE620" s="3">
        <f>Wapato_Inventory[[#This Row],[final_res]]+Wapato_Inventory[[#This Row],[final_det]]</f>
        <v>105700</v>
      </c>
      <c r="CF620" s="3">
        <f>Wapato_Inventory[[#This Row],[crop_value]]+Wapato_Inventory[[#This Row],[final_land]]+Wapato_Inventory[[#This Row],[final_imp]]</f>
        <v>154200</v>
      </c>
      <c r="CH620" t="str">
        <f t="shared" si="9"/>
        <v>update valuation set market_land =48500, market_bldg=105700, market_total =154200, market_mdno =405, market_date ='9/10/2023' where link_id = (select link_id from parcel where parcel_year = '2024' and parcel_id = '19111513417');</v>
      </c>
    </row>
    <row r="621" spans="1:86" x14ac:dyDescent="0.25">
      <c r="A621">
        <v>19111513418</v>
      </c>
      <c r="B621">
        <v>0.13</v>
      </c>
      <c r="C621">
        <v>5727</v>
      </c>
      <c r="D621" t="s">
        <v>144</v>
      </c>
      <c r="E621" t="s">
        <v>54</v>
      </c>
      <c r="F621" t="s">
        <v>54</v>
      </c>
      <c r="G621">
        <v>3</v>
      </c>
      <c r="H621" t="s">
        <v>55</v>
      </c>
      <c r="I621">
        <v>218900</v>
      </c>
      <c r="J621">
        <v>31400</v>
      </c>
      <c r="K621">
        <v>0.13</v>
      </c>
      <c r="L621">
        <f>IF(Wapato_Inventory[[#This Row],[parcel_acres]]-Wapato_Inventory[[#This Row],[non_valued_acres]] =0,0,LN(Wapato_Inventory[[#This Row],[parcel_acres]]-Wapato_Inventory[[#This Row],[non_valued_acres]]))</f>
        <v>-2.0402208285265546</v>
      </c>
      <c r="M621">
        <v>0</v>
      </c>
      <c r="N621">
        <v>0</v>
      </c>
      <c r="O621">
        <v>0</v>
      </c>
      <c r="P621">
        <v>27904.037</v>
      </c>
      <c r="Q621">
        <v>74398</v>
      </c>
      <c r="R621" s="3">
        <f>(Wapato_Inventory[[#This Row],[ln_acres]]*Wapato_Inventory[[#This Row],[coeff]])+Wapato_Inventory[[#This Row],[const]]</f>
        <v>17467.602512624362</v>
      </c>
      <c r="S621" t="s">
        <v>56</v>
      </c>
      <c r="T621">
        <v>2</v>
      </c>
      <c r="U621" t="s">
        <v>67</v>
      </c>
      <c r="V621" t="s">
        <v>68</v>
      </c>
      <c r="W621">
        <v>0</v>
      </c>
      <c r="X621">
        <v>0</v>
      </c>
      <c r="Y621">
        <v>57</v>
      </c>
      <c r="Z621">
        <v>103</v>
      </c>
      <c r="AA621">
        <v>110</v>
      </c>
      <c r="AB621">
        <v>2000</v>
      </c>
      <c r="AC621">
        <v>1895</v>
      </c>
      <c r="AD621">
        <v>1395</v>
      </c>
      <c r="AE621">
        <v>500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60</v>
      </c>
      <c r="AM621">
        <v>0</v>
      </c>
      <c r="AN621">
        <v>60</v>
      </c>
      <c r="AO621">
        <v>0</v>
      </c>
      <c r="AP621">
        <v>8</v>
      </c>
      <c r="AQ621">
        <v>0</v>
      </c>
      <c r="AR621">
        <v>1</v>
      </c>
      <c r="AS621" t="s">
        <v>79</v>
      </c>
      <c r="AT621">
        <v>1</v>
      </c>
      <c r="AU621" t="s">
        <v>64</v>
      </c>
      <c r="AV621" t="s">
        <v>65</v>
      </c>
      <c r="AW621">
        <v>1</v>
      </c>
      <c r="AX621">
        <v>3</v>
      </c>
      <c r="AY621">
        <v>0</v>
      </c>
      <c r="AZ621">
        <v>7700</v>
      </c>
      <c r="BA621">
        <v>100</v>
      </c>
      <c r="BB621">
        <v>100</v>
      </c>
      <c r="BC621">
        <v>100</v>
      </c>
      <c r="BD621">
        <v>100</v>
      </c>
      <c r="BE621">
        <v>1</v>
      </c>
      <c r="BF621">
        <v>15000</v>
      </c>
      <c r="BG621">
        <v>1000</v>
      </c>
      <c r="BH621" s="7">
        <f>ROUND(Wapato_Inventory[[#This Row],[detatched_value]]*Lookups!$B$22*Lookups!$H$48,-2)</f>
        <v>6900</v>
      </c>
      <c r="BI621" s="7">
        <f>ROUND(((Wapato_Inventory[[#This Row],[land_extract]]*Lookups!$B$3) +(Lookups!$B$2*0.5))*Lookups!$H$48,-2)</f>
        <v>52800</v>
      </c>
      <c r="BJ621" s="7">
        <f>IF(Wapato_Inventory[[#This Row],[bldg_style]]="",0,Lookups!$B$2*0.5)</f>
        <v>53765.27</v>
      </c>
      <c r="BK621" s="7">
        <f>_xlfn.IFNA(VLOOKUP(Wapato_Inventory[[#This Row],[quality]],Lookups!$H$2:$J$14,3,FALSE),0)</f>
        <v>50405</v>
      </c>
      <c r="BL621" s="7">
        <f>_xlfn.IFNA(VLOOKUP(Wapato_Inventory[[#This Row],[condition]],Lookups!$H$17:$J$24,3,FALSE),0)</f>
        <v>52231</v>
      </c>
      <c r="BM621" s="7">
        <f>Wapato_Inventory[[#This Row],[Age]]*Lookups!$B$16</f>
        <v>-38179.597099999999</v>
      </c>
      <c r="BN621" s="7">
        <f>Wapato_Inventory[[#This Row],[Main Floor]]*Lookups!$B$17</f>
        <v>58312.030905</v>
      </c>
      <c r="BO621" s="7">
        <f>Wapato_Inventory[[#This Row],[Upper Floor]]*Lookups!$B$18</f>
        <v>24800.569500000001</v>
      </c>
      <c r="BP621" s="7">
        <f>Wapato_Inventory[[#This Row],[Fin BSMT]]*Lookups!$B$19</f>
        <v>0</v>
      </c>
      <c r="BQ621" s="7">
        <f>(Wapato_Inventory[[#This Row],[att_gar]]+Wapato_Inventory[[#This Row],[blt_gar]])*Lookups!$B$20</f>
        <v>0</v>
      </c>
      <c r="BR621" s="7">
        <f>Wapato_Inventory[[#This Row],[Patio]]*Lookups!$B$21</f>
        <v>0</v>
      </c>
      <c r="BS621" s="7">
        <f>SUM(Wapato_Inventory[[#This Row],[intercept]:[patio_value]])*Wapato_Inventory[[#This Row],[res_pct]]</f>
        <v>201334.27330500001</v>
      </c>
      <c r="BT621" s="7">
        <f>Wapato_Inventory[[#This Row],[land_value]]</f>
        <v>52800</v>
      </c>
      <c r="BU621" s="2">
        <f>_xlfn.IFNA(VLOOKUP(Wapato_Inventory[[#This Row],[quality]],Lookups!$A$28:$C$37,3,FALSE),1)</f>
        <v>0.97993206410140754</v>
      </c>
      <c r="BV621" s="2">
        <f>_xlfn.IFNA(VLOOKUP(Wapato_Inventory[[#This Row],[condition]],Lookups!$A$41:$C$48,3,FALSE),1)</f>
        <v>0.9832333997567807</v>
      </c>
      <c r="BW621" s="2">
        <f>IF(Wapato_Inventory[[#This Row],[decade]]="",1,_xlfn.IFNA(VLOOKUP(Wapato_Inventory[[#This Row],[decade]],Lookups!$F$28:$H$45,3,FALSE),1))</f>
        <v>0.93664589651353292</v>
      </c>
      <c r="BX621" s="2">
        <f>_xlfn.IFNA(VLOOKUP(Wapato_Inventory[[#This Row],[living_area_range]],Lookups!$K$28:$M$37,3,FALSE),1)</f>
        <v>0.99330894324714125</v>
      </c>
      <c r="BY621" s="2">
        <f>AVERAGE(Wapato_Inventory[[#This Row],[qual_adj]:[range_adj]])</f>
        <v>0.97328007590471566</v>
      </c>
      <c r="BZ621" s="7">
        <f>(Wapato_Inventory[[#This Row],[sum_land]]-IF(Wapato_Inventory[[#This Row],[no_utilities]]=1,12000,0))/IF(Wapato_Inventory[[#This Row],[unbuildable]]=1,2,1)</f>
        <v>52800</v>
      </c>
      <c r="CA621" s="7">
        <f>Wapato_Inventory[[#This Row],[pre_res]]*Wapato_Inventory[[#This Row],[overall_adj]]</f>
        <v>195954.63680451119</v>
      </c>
      <c r="CB621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21" s="3">
        <f>IF(ROUND(Wapato_Inventory[[#This Row],[adj_res]]*Lookups!$H$48,-2)&lt;Wapato_Inventory[[#This Row],[min_res]],Wapato_Inventory[[#This Row],[min_res]],ROUND(Wapato_Inventory[[#This Row],[adj_res]]*Lookups!$H$48,-2))</f>
        <v>186200</v>
      </c>
      <c r="CD621" s="3">
        <f>ROUND(Wapato_Inventory[[#This Row],[det_value]]*Lookups!$H$48,-2)</f>
        <v>6600</v>
      </c>
      <c r="CE621" s="3">
        <f>Wapato_Inventory[[#This Row],[final_res]]+Wapato_Inventory[[#This Row],[final_det]]</f>
        <v>192800</v>
      </c>
      <c r="CF621" s="3">
        <f>Wapato_Inventory[[#This Row],[crop_value]]+Wapato_Inventory[[#This Row],[final_land]]+Wapato_Inventory[[#This Row],[final_imp]]</f>
        <v>243000</v>
      </c>
      <c r="CH621" t="str">
        <f t="shared" si="9"/>
        <v>update valuation set market_land =50200, market_bldg=192800, market_total =243000, market_mdno =405, market_date ='9/10/2023' where link_id = (select link_id from parcel where parcel_year = '2024' and parcel_id = '19111513418');</v>
      </c>
    </row>
    <row r="622" spans="1:86" x14ac:dyDescent="0.25">
      <c r="A622">
        <v>19111513419</v>
      </c>
      <c r="B622">
        <v>0.14000000000000001</v>
      </c>
      <c r="C622">
        <v>5970</v>
      </c>
      <c r="D622" t="s">
        <v>144</v>
      </c>
      <c r="E622" t="s">
        <v>54</v>
      </c>
      <c r="F622" t="s">
        <v>54</v>
      </c>
      <c r="G622">
        <v>3</v>
      </c>
      <c r="H622" t="s">
        <v>55</v>
      </c>
      <c r="I622">
        <v>98200</v>
      </c>
      <c r="J622">
        <v>31900</v>
      </c>
      <c r="K622">
        <v>0.14000000000000001</v>
      </c>
      <c r="L622">
        <f>IF(Wapato_Inventory[[#This Row],[parcel_acres]]-Wapato_Inventory[[#This Row],[non_valued_acres]] =0,0,LN(Wapato_Inventory[[#This Row],[parcel_acres]]-Wapato_Inventory[[#This Row],[non_valued_acres]]))</f>
        <v>-1.9661128563728327</v>
      </c>
      <c r="M622">
        <v>0</v>
      </c>
      <c r="N622">
        <v>0</v>
      </c>
      <c r="O622">
        <v>0</v>
      </c>
      <c r="P622">
        <v>27904.037</v>
      </c>
      <c r="Q622">
        <v>74398</v>
      </c>
      <c r="R622" s="3">
        <f>(Wapato_Inventory[[#This Row],[ln_acres]]*Wapato_Inventory[[#This Row],[coeff]])+Wapato_Inventory[[#This Row],[const]]</f>
        <v>19535.514109596792</v>
      </c>
      <c r="S622" t="s">
        <v>66</v>
      </c>
      <c r="T622">
        <v>1</v>
      </c>
      <c r="U622" t="s">
        <v>71</v>
      </c>
      <c r="V622" t="s">
        <v>68</v>
      </c>
      <c r="W622">
        <v>0</v>
      </c>
      <c r="X622">
        <v>0</v>
      </c>
      <c r="Y622">
        <v>53</v>
      </c>
      <c r="Z622">
        <v>93</v>
      </c>
      <c r="AA622">
        <v>100</v>
      </c>
      <c r="AB622">
        <v>1000</v>
      </c>
      <c r="AC622">
        <v>1000</v>
      </c>
      <c r="AD622">
        <v>1000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216</v>
      </c>
      <c r="AL622">
        <v>0</v>
      </c>
      <c r="AM622">
        <v>0</v>
      </c>
      <c r="AN622">
        <v>64</v>
      </c>
      <c r="AO622">
        <v>0</v>
      </c>
      <c r="AP622">
        <v>5</v>
      </c>
      <c r="AQ622">
        <v>0</v>
      </c>
      <c r="AR622">
        <v>0</v>
      </c>
      <c r="AS622" t="s">
        <v>59</v>
      </c>
      <c r="AT622">
        <v>1</v>
      </c>
      <c r="AU622" t="s">
        <v>72</v>
      </c>
      <c r="AV622" t="s">
        <v>65</v>
      </c>
      <c r="AW622">
        <v>0</v>
      </c>
      <c r="AX622">
        <v>3</v>
      </c>
      <c r="AY622">
        <v>0</v>
      </c>
      <c r="AZ622">
        <v>0</v>
      </c>
      <c r="BA622">
        <v>100</v>
      </c>
      <c r="BB622">
        <v>100</v>
      </c>
      <c r="BC622">
        <v>100</v>
      </c>
      <c r="BD622">
        <v>100</v>
      </c>
      <c r="BE622">
        <v>1</v>
      </c>
      <c r="BF622">
        <v>15000</v>
      </c>
      <c r="BG622">
        <v>1000</v>
      </c>
      <c r="BH622" s="7">
        <f>ROUND(Wapato_Inventory[[#This Row],[detatched_value]]*Lookups!$B$22*Lookups!$H$48,-2)</f>
        <v>0</v>
      </c>
      <c r="BI622" s="7">
        <f>ROUND(((Wapato_Inventory[[#This Row],[land_extract]]*Lookups!$B$3) +(Lookups!$B$2*0.5))*Lookups!$H$48,-2)</f>
        <v>53000</v>
      </c>
      <c r="BJ622" s="7">
        <f>IF(Wapato_Inventory[[#This Row],[bldg_style]]="",0,Lookups!$B$2*0.5)</f>
        <v>53765.27</v>
      </c>
      <c r="BK622" s="7">
        <f>_xlfn.IFNA(VLOOKUP(Wapato_Inventory[[#This Row],[quality]],Lookups!$H$2:$J$14,3,FALSE),0)</f>
        <v>28034</v>
      </c>
      <c r="BL622" s="7">
        <f>_xlfn.IFNA(VLOOKUP(Wapato_Inventory[[#This Row],[condition]],Lookups!$H$17:$J$24,3,FALSE),0)</f>
        <v>52231</v>
      </c>
      <c r="BM622" s="7">
        <f>Wapato_Inventory[[#This Row],[Age]]*Lookups!$B$16</f>
        <v>-34472.840100000001</v>
      </c>
      <c r="BN622" s="7">
        <f>Wapato_Inventory[[#This Row],[Main Floor]]*Lookups!$B$17</f>
        <v>41800.739000000001</v>
      </c>
      <c r="BO622" s="7">
        <f>Wapato_Inventory[[#This Row],[Upper Floor]]*Lookups!$B$18</f>
        <v>0</v>
      </c>
      <c r="BP622" s="7">
        <f>Wapato_Inventory[[#This Row],[Fin BSMT]]*Lookups!$B$19</f>
        <v>0</v>
      </c>
      <c r="BQ622" s="7">
        <f>(Wapato_Inventory[[#This Row],[att_gar]]+Wapato_Inventory[[#This Row],[blt_gar]])*Lookups!$B$20</f>
        <v>0</v>
      </c>
      <c r="BR622" s="7">
        <f>Wapato_Inventory[[#This Row],[Patio]]*Lookups!$B$21</f>
        <v>0</v>
      </c>
      <c r="BS622" s="7">
        <f>SUM(Wapato_Inventory[[#This Row],[intercept]:[patio_value]])*Wapato_Inventory[[#This Row],[res_pct]]</f>
        <v>141358.16889999999</v>
      </c>
      <c r="BT622" s="7">
        <f>Wapato_Inventory[[#This Row],[land_value]]</f>
        <v>53000</v>
      </c>
      <c r="BU622" s="2">
        <f>_xlfn.IFNA(VLOOKUP(Wapato_Inventory[[#This Row],[quality]],Lookups!$A$28:$C$37,3,FALSE),1)</f>
        <v>0.96265813922927435</v>
      </c>
      <c r="BV622" s="2">
        <f>_xlfn.IFNA(VLOOKUP(Wapato_Inventory[[#This Row],[condition]],Lookups!$A$41:$C$48,3,FALSE),1)</f>
        <v>0.9832333997567807</v>
      </c>
      <c r="BW622" s="2">
        <f>IF(Wapato_Inventory[[#This Row],[decade]]="",1,_xlfn.IFNA(VLOOKUP(Wapato_Inventory[[#This Row],[decade]],Lookups!$F$28:$H$45,3,FALSE),1))</f>
        <v>1.0114203040664467</v>
      </c>
      <c r="BX622" s="2">
        <f>_xlfn.IFNA(VLOOKUP(Wapato_Inventory[[#This Row],[living_area_range]],Lookups!$K$28:$M$37,3,FALSE),1)</f>
        <v>0.99022994770196116</v>
      </c>
      <c r="BY622" s="2">
        <f>AVERAGE(Wapato_Inventory[[#This Row],[qual_adj]:[range_adj]])</f>
        <v>0.98688544768861564</v>
      </c>
      <c r="BZ622" s="7">
        <f>(Wapato_Inventory[[#This Row],[sum_land]]-IF(Wapato_Inventory[[#This Row],[no_utilities]]=1,12000,0))/IF(Wapato_Inventory[[#This Row],[unbuildable]]=1,2,1)</f>
        <v>53000</v>
      </c>
      <c r="CA622" s="7">
        <f>Wapato_Inventory[[#This Row],[pre_res]]*Wapato_Inventory[[#This Row],[overall_adj]]</f>
        <v>139504.31979931943</v>
      </c>
      <c r="CB62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22" s="3">
        <f>IF(ROUND(Wapato_Inventory[[#This Row],[adj_res]]*Lookups!$H$48,-2)&lt;Wapato_Inventory[[#This Row],[min_res]],Wapato_Inventory[[#This Row],[min_res]],ROUND(Wapato_Inventory[[#This Row],[adj_res]]*Lookups!$H$48,-2))</f>
        <v>132500</v>
      </c>
      <c r="CD622" s="3">
        <f>ROUND(Wapato_Inventory[[#This Row],[det_value]]*Lookups!$H$48,-2)</f>
        <v>0</v>
      </c>
      <c r="CE622" s="3">
        <f>Wapato_Inventory[[#This Row],[final_res]]+Wapato_Inventory[[#This Row],[final_det]]</f>
        <v>132500</v>
      </c>
      <c r="CF622" s="3">
        <f>Wapato_Inventory[[#This Row],[crop_value]]+Wapato_Inventory[[#This Row],[final_land]]+Wapato_Inventory[[#This Row],[final_imp]]</f>
        <v>182900</v>
      </c>
      <c r="CH622" t="str">
        <f t="shared" si="9"/>
        <v>update valuation set market_land =50400, market_bldg=132500, market_total =182900, market_mdno =405, market_date ='9/10/2023' where link_id = (select link_id from parcel where parcel_year = '2024' and parcel_id = '19111513419');</v>
      </c>
    </row>
    <row r="623" spans="1:86" x14ac:dyDescent="0.25">
      <c r="A623">
        <v>19111513420</v>
      </c>
      <c r="B623">
        <v>0.13</v>
      </c>
      <c r="C623">
        <v>5636</v>
      </c>
      <c r="D623" t="s">
        <v>144</v>
      </c>
      <c r="E623" t="s">
        <v>54</v>
      </c>
      <c r="F623" t="s">
        <v>54</v>
      </c>
      <c r="G623">
        <v>3</v>
      </c>
      <c r="H623" t="s">
        <v>55</v>
      </c>
      <c r="I623">
        <v>129100</v>
      </c>
      <c r="J623">
        <v>31400</v>
      </c>
      <c r="K623">
        <v>0.13</v>
      </c>
      <c r="L623">
        <f>IF(Wapato_Inventory[[#This Row],[parcel_acres]]-Wapato_Inventory[[#This Row],[non_valued_acres]] =0,0,LN(Wapato_Inventory[[#This Row],[parcel_acres]]-Wapato_Inventory[[#This Row],[non_valued_acres]]))</f>
        <v>-2.0402208285265546</v>
      </c>
      <c r="M623">
        <v>0</v>
      </c>
      <c r="N623">
        <v>0</v>
      </c>
      <c r="O623">
        <v>0</v>
      </c>
      <c r="P623">
        <v>27904.037</v>
      </c>
      <c r="Q623">
        <v>74398</v>
      </c>
      <c r="R623" s="3">
        <f>(Wapato_Inventory[[#This Row],[ln_acres]]*Wapato_Inventory[[#This Row],[coeff]])+Wapato_Inventory[[#This Row],[const]]</f>
        <v>17467.602512624362</v>
      </c>
      <c r="S623" t="s">
        <v>66</v>
      </c>
      <c r="T623">
        <v>1</v>
      </c>
      <c r="U623" t="s">
        <v>75</v>
      </c>
      <c r="V623" t="s">
        <v>68</v>
      </c>
      <c r="W623">
        <v>0</v>
      </c>
      <c r="X623">
        <v>0</v>
      </c>
      <c r="Y623">
        <v>55</v>
      </c>
      <c r="Z623">
        <v>98</v>
      </c>
      <c r="AA623">
        <v>100</v>
      </c>
      <c r="AB623">
        <v>1000</v>
      </c>
      <c r="AC623">
        <v>896</v>
      </c>
      <c r="AD623">
        <v>896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24</v>
      </c>
      <c r="AO623">
        <v>0</v>
      </c>
      <c r="AP623">
        <v>5</v>
      </c>
      <c r="AQ623">
        <v>0</v>
      </c>
      <c r="AR623">
        <v>0</v>
      </c>
      <c r="AS623" t="s">
        <v>59</v>
      </c>
      <c r="AT623">
        <v>1</v>
      </c>
      <c r="AU623" t="s">
        <v>64</v>
      </c>
      <c r="AV623" t="s">
        <v>65</v>
      </c>
      <c r="AW623">
        <v>1</v>
      </c>
      <c r="AX623">
        <v>3</v>
      </c>
      <c r="AY623">
        <v>0</v>
      </c>
      <c r="AZ623">
        <v>5400</v>
      </c>
      <c r="BA623">
        <v>100</v>
      </c>
      <c r="BB623">
        <v>100</v>
      </c>
      <c r="BC623">
        <v>100</v>
      </c>
      <c r="BD623">
        <v>100</v>
      </c>
      <c r="BE623">
        <v>1</v>
      </c>
      <c r="BF623">
        <v>15000</v>
      </c>
      <c r="BG623">
        <v>1000</v>
      </c>
      <c r="BH623" s="7">
        <f>ROUND(Wapato_Inventory[[#This Row],[detatched_value]]*Lookups!$B$22*Lookups!$H$48,-2)</f>
        <v>4800</v>
      </c>
      <c r="BI623" s="7">
        <f>ROUND(((Wapato_Inventory[[#This Row],[land_extract]]*Lookups!$B$3) +(Lookups!$B$2*0.5))*Lookups!$H$48,-2)</f>
        <v>52800</v>
      </c>
      <c r="BJ623" s="7">
        <f>IF(Wapato_Inventory[[#This Row],[bldg_style]]="",0,Lookups!$B$2*0.5)</f>
        <v>53765.27</v>
      </c>
      <c r="BK623" s="7">
        <f>_xlfn.IFNA(VLOOKUP(Wapato_Inventory[[#This Row],[quality]],Lookups!$H$2:$J$14,3,FALSE),0)</f>
        <v>48043</v>
      </c>
      <c r="BL623" s="7">
        <f>_xlfn.IFNA(VLOOKUP(Wapato_Inventory[[#This Row],[condition]],Lookups!$H$17:$J$24,3,FALSE),0)</f>
        <v>52231</v>
      </c>
      <c r="BM623" s="7">
        <f>Wapato_Inventory[[#This Row],[Age]]*Lookups!$B$16</f>
        <v>-36326.2186</v>
      </c>
      <c r="BN623" s="7">
        <f>Wapato_Inventory[[#This Row],[Main Floor]]*Lookups!$B$17</f>
        <v>37453.462143999997</v>
      </c>
      <c r="BO623" s="7">
        <f>Wapato_Inventory[[#This Row],[Upper Floor]]*Lookups!$B$18</f>
        <v>0</v>
      </c>
      <c r="BP623" s="7">
        <f>Wapato_Inventory[[#This Row],[Fin BSMT]]*Lookups!$B$19</f>
        <v>0</v>
      </c>
      <c r="BQ623" s="7">
        <f>(Wapato_Inventory[[#This Row],[att_gar]]+Wapato_Inventory[[#This Row],[blt_gar]])*Lookups!$B$20</f>
        <v>0</v>
      </c>
      <c r="BR623" s="7">
        <f>Wapato_Inventory[[#This Row],[Patio]]*Lookups!$B$21</f>
        <v>0</v>
      </c>
      <c r="BS623" s="7">
        <f>SUM(Wapato_Inventory[[#This Row],[intercept]:[patio_value]])*Wapato_Inventory[[#This Row],[res_pct]]</f>
        <v>155166.51354399999</v>
      </c>
      <c r="BT623" s="7">
        <f>Wapato_Inventory[[#This Row],[land_value]]</f>
        <v>52800</v>
      </c>
      <c r="BU623" s="2">
        <f>_xlfn.IFNA(VLOOKUP(Wapato_Inventory[[#This Row],[quality]],Lookups!$A$28:$C$37,3,FALSE),1)</f>
        <v>0.98196844879778955</v>
      </c>
      <c r="BV623" s="2">
        <f>_xlfn.IFNA(VLOOKUP(Wapato_Inventory[[#This Row],[condition]],Lookups!$A$41:$C$48,3,FALSE),1)</f>
        <v>0.9832333997567807</v>
      </c>
      <c r="BW623" s="2">
        <f>IF(Wapato_Inventory[[#This Row],[decade]]="",1,_xlfn.IFNA(VLOOKUP(Wapato_Inventory[[#This Row],[decade]],Lookups!$F$28:$H$45,3,FALSE),1))</f>
        <v>1.0114203040664467</v>
      </c>
      <c r="BX623" s="2">
        <f>_xlfn.IFNA(VLOOKUP(Wapato_Inventory[[#This Row],[living_area_range]],Lookups!$K$28:$M$37,3,FALSE),1)</f>
        <v>0.99022994770196116</v>
      </c>
      <c r="BY623" s="2">
        <f>AVERAGE(Wapato_Inventory[[#This Row],[qual_adj]:[range_adj]])</f>
        <v>0.99171302508074455</v>
      </c>
      <c r="BZ623" s="7">
        <f>(Wapato_Inventory[[#This Row],[sum_land]]-IF(Wapato_Inventory[[#This Row],[no_utilities]]=1,12000,0))/IF(Wapato_Inventory[[#This Row],[unbuildable]]=1,2,1)</f>
        <v>52800</v>
      </c>
      <c r="CA623" s="7">
        <f>Wapato_Inventory[[#This Row],[pre_res]]*Wapato_Inventory[[#This Row],[overall_adj]]</f>
        <v>153880.65253795256</v>
      </c>
      <c r="CB623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23" s="3">
        <f>IF(ROUND(Wapato_Inventory[[#This Row],[adj_res]]*Lookups!$H$48,-2)&lt;Wapato_Inventory[[#This Row],[min_res]],Wapato_Inventory[[#This Row],[min_res]],ROUND(Wapato_Inventory[[#This Row],[adj_res]]*Lookups!$H$48,-2))</f>
        <v>146200</v>
      </c>
      <c r="CD623" s="3">
        <f>ROUND(Wapato_Inventory[[#This Row],[det_value]]*Lookups!$H$48,-2)</f>
        <v>4600</v>
      </c>
      <c r="CE623" s="3">
        <f>Wapato_Inventory[[#This Row],[final_res]]+Wapato_Inventory[[#This Row],[final_det]]</f>
        <v>150800</v>
      </c>
      <c r="CF623" s="3">
        <f>Wapato_Inventory[[#This Row],[crop_value]]+Wapato_Inventory[[#This Row],[final_land]]+Wapato_Inventory[[#This Row],[final_imp]]</f>
        <v>201000</v>
      </c>
      <c r="CH623" t="str">
        <f t="shared" si="9"/>
        <v>update valuation set market_land =50200, market_bldg=150800, market_total =201000, market_mdno =405, market_date ='9/10/2023' where link_id = (select link_id from parcel where parcel_year = '2024' and parcel_id = '19111513420');</v>
      </c>
    </row>
    <row r="624" spans="1:86" x14ac:dyDescent="0.25">
      <c r="A624">
        <v>19111513421</v>
      </c>
      <c r="B624">
        <v>0.14000000000000001</v>
      </c>
      <c r="C624">
        <v>6038</v>
      </c>
      <c r="D624" t="s">
        <v>144</v>
      </c>
      <c r="E624" t="s">
        <v>54</v>
      </c>
      <c r="F624" t="s">
        <v>54</v>
      </c>
      <c r="G624">
        <v>3</v>
      </c>
      <c r="H624" t="s">
        <v>55</v>
      </c>
      <c r="I624">
        <v>151400</v>
      </c>
      <c r="J624">
        <v>31900</v>
      </c>
      <c r="K624">
        <v>0.14000000000000001</v>
      </c>
      <c r="L624">
        <f>IF(Wapato_Inventory[[#This Row],[parcel_acres]]-Wapato_Inventory[[#This Row],[non_valued_acres]] =0,0,LN(Wapato_Inventory[[#This Row],[parcel_acres]]-Wapato_Inventory[[#This Row],[non_valued_acres]]))</f>
        <v>-1.9661128563728327</v>
      </c>
      <c r="M624">
        <v>0</v>
      </c>
      <c r="N624">
        <v>0</v>
      </c>
      <c r="O624">
        <v>0</v>
      </c>
      <c r="P624">
        <v>27904.037</v>
      </c>
      <c r="Q624">
        <v>74398</v>
      </c>
      <c r="R624" s="3">
        <f>(Wapato_Inventory[[#This Row],[ln_acres]]*Wapato_Inventory[[#This Row],[coeff]])+Wapato_Inventory[[#This Row],[const]]</f>
        <v>19535.514109596792</v>
      </c>
      <c r="S624" t="s">
        <v>66</v>
      </c>
      <c r="T624">
        <v>1</v>
      </c>
      <c r="U624" t="s">
        <v>71</v>
      </c>
      <c r="V624" t="s">
        <v>68</v>
      </c>
      <c r="W624">
        <v>0</v>
      </c>
      <c r="X624">
        <v>0</v>
      </c>
      <c r="Y624">
        <v>53</v>
      </c>
      <c r="Z624">
        <v>92</v>
      </c>
      <c r="AA624">
        <v>100</v>
      </c>
      <c r="AB624">
        <v>1000</v>
      </c>
      <c r="AC624">
        <v>684</v>
      </c>
      <c r="AD624">
        <v>684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5</v>
      </c>
      <c r="AQ624">
        <v>0</v>
      </c>
      <c r="AR624">
        <v>0</v>
      </c>
      <c r="AS624" t="s">
        <v>59</v>
      </c>
      <c r="AT624">
        <v>1</v>
      </c>
      <c r="AU624" t="s">
        <v>72</v>
      </c>
      <c r="AV624" t="s">
        <v>65</v>
      </c>
      <c r="AW624">
        <v>0</v>
      </c>
      <c r="AX624">
        <v>2</v>
      </c>
      <c r="AY624">
        <v>0</v>
      </c>
      <c r="AZ624">
        <v>47600</v>
      </c>
      <c r="BA624">
        <v>100</v>
      </c>
      <c r="BB624">
        <v>100</v>
      </c>
      <c r="BC624">
        <v>100</v>
      </c>
      <c r="BD624">
        <v>100</v>
      </c>
      <c r="BE624">
        <v>1</v>
      </c>
      <c r="BF624">
        <v>15000</v>
      </c>
      <c r="BG624">
        <v>1000</v>
      </c>
      <c r="BH624" s="7">
        <f>ROUND(Wapato_Inventory[[#This Row],[detatched_value]]*Lookups!$B$22*Lookups!$H$48,-2)</f>
        <v>42500</v>
      </c>
      <c r="BI624" s="7">
        <f>ROUND(((Wapato_Inventory[[#This Row],[land_extract]]*Lookups!$B$3) +(Lookups!$B$2*0.5))*Lookups!$H$48,-2)</f>
        <v>53000</v>
      </c>
      <c r="BJ624" s="7">
        <f>IF(Wapato_Inventory[[#This Row],[bldg_style]]="",0,Lookups!$B$2*0.5)</f>
        <v>53765.27</v>
      </c>
      <c r="BK624" s="7">
        <f>_xlfn.IFNA(VLOOKUP(Wapato_Inventory[[#This Row],[quality]],Lookups!$H$2:$J$14,3,FALSE),0)</f>
        <v>28034</v>
      </c>
      <c r="BL624" s="7">
        <f>_xlfn.IFNA(VLOOKUP(Wapato_Inventory[[#This Row],[condition]],Lookups!$H$17:$J$24,3,FALSE),0)</f>
        <v>52231</v>
      </c>
      <c r="BM624" s="7">
        <f>Wapato_Inventory[[#This Row],[Age]]*Lookups!$B$16</f>
        <v>-34102.164400000001</v>
      </c>
      <c r="BN624" s="7">
        <f>Wapato_Inventory[[#This Row],[Main Floor]]*Lookups!$B$17</f>
        <v>28591.705475999999</v>
      </c>
      <c r="BO624" s="7">
        <f>Wapato_Inventory[[#This Row],[Upper Floor]]*Lookups!$B$18</f>
        <v>0</v>
      </c>
      <c r="BP624" s="7">
        <f>Wapato_Inventory[[#This Row],[Fin BSMT]]*Lookups!$B$19</f>
        <v>0</v>
      </c>
      <c r="BQ624" s="7">
        <f>(Wapato_Inventory[[#This Row],[att_gar]]+Wapato_Inventory[[#This Row],[blt_gar]])*Lookups!$B$20</f>
        <v>0</v>
      </c>
      <c r="BR624" s="7">
        <f>Wapato_Inventory[[#This Row],[Patio]]*Lookups!$B$21</f>
        <v>0</v>
      </c>
      <c r="BS624" s="7">
        <f>SUM(Wapato_Inventory[[#This Row],[intercept]:[patio_value]])*Wapato_Inventory[[#This Row],[res_pct]]</f>
        <v>128519.81107599998</v>
      </c>
      <c r="BT624" s="7">
        <f>Wapato_Inventory[[#This Row],[land_value]]</f>
        <v>53000</v>
      </c>
      <c r="BU624" s="2">
        <f>_xlfn.IFNA(VLOOKUP(Wapato_Inventory[[#This Row],[quality]],Lookups!$A$28:$C$37,3,FALSE),1)</f>
        <v>0.96265813922927435</v>
      </c>
      <c r="BV624" s="2">
        <f>_xlfn.IFNA(VLOOKUP(Wapato_Inventory[[#This Row],[condition]],Lookups!$A$41:$C$48,3,FALSE),1)</f>
        <v>0.9832333997567807</v>
      </c>
      <c r="BW624" s="2">
        <f>IF(Wapato_Inventory[[#This Row],[decade]]="",1,_xlfn.IFNA(VLOOKUP(Wapato_Inventory[[#This Row],[decade]],Lookups!$F$28:$H$45,3,FALSE),1))</f>
        <v>1.0114203040664467</v>
      </c>
      <c r="BX624" s="2">
        <f>_xlfn.IFNA(VLOOKUP(Wapato_Inventory[[#This Row],[living_area_range]],Lookups!$K$28:$M$37,3,FALSE),1)</f>
        <v>0.99022994770196116</v>
      </c>
      <c r="BY624" s="2">
        <f>AVERAGE(Wapato_Inventory[[#This Row],[qual_adj]:[range_adj]])</f>
        <v>0.98688544768861564</v>
      </c>
      <c r="BZ624" s="7">
        <f>(Wapato_Inventory[[#This Row],[sum_land]]-IF(Wapato_Inventory[[#This Row],[no_utilities]]=1,12000,0))/IF(Wapato_Inventory[[#This Row],[unbuildable]]=1,2,1)</f>
        <v>53000</v>
      </c>
      <c r="CA624" s="7">
        <f>Wapato_Inventory[[#This Row],[pre_res]]*Wapato_Inventory[[#This Row],[overall_adj]]</f>
        <v>126834.33129059455</v>
      </c>
      <c r="CB62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24" s="3">
        <f>IF(ROUND(Wapato_Inventory[[#This Row],[adj_res]]*Lookups!$H$48,-2)&lt;Wapato_Inventory[[#This Row],[min_res]],Wapato_Inventory[[#This Row],[min_res]],ROUND(Wapato_Inventory[[#This Row],[adj_res]]*Lookups!$H$48,-2))</f>
        <v>120500</v>
      </c>
      <c r="CD624" s="3">
        <f>ROUND(Wapato_Inventory[[#This Row],[det_value]]*Lookups!$H$48,-2)</f>
        <v>40400</v>
      </c>
      <c r="CE624" s="3">
        <f>Wapato_Inventory[[#This Row],[final_res]]+Wapato_Inventory[[#This Row],[final_det]]</f>
        <v>160900</v>
      </c>
      <c r="CF624" s="3">
        <f>Wapato_Inventory[[#This Row],[crop_value]]+Wapato_Inventory[[#This Row],[final_land]]+Wapato_Inventory[[#This Row],[final_imp]]</f>
        <v>211300</v>
      </c>
      <c r="CH624" t="str">
        <f t="shared" si="9"/>
        <v>update valuation set market_land =50400, market_bldg=160900, market_total =211300, market_mdno =405, market_date ='9/10/2023' where link_id = (select link_id from parcel where parcel_year = '2024' and parcel_id = '19111513421');</v>
      </c>
    </row>
    <row r="625" spans="1:86" x14ac:dyDescent="0.25">
      <c r="A625">
        <v>19111513422</v>
      </c>
      <c r="B625">
        <v>0.14000000000000001</v>
      </c>
      <c r="C625">
        <v>6231</v>
      </c>
      <c r="D625" t="s">
        <v>144</v>
      </c>
      <c r="E625" t="s">
        <v>54</v>
      </c>
      <c r="F625" t="s">
        <v>54</v>
      </c>
      <c r="G625">
        <v>3</v>
      </c>
      <c r="H625" t="s">
        <v>55</v>
      </c>
      <c r="I625">
        <v>150200</v>
      </c>
      <c r="J625">
        <v>31900</v>
      </c>
      <c r="K625">
        <v>0.14000000000000001</v>
      </c>
      <c r="L625">
        <f>IF(Wapato_Inventory[[#This Row],[parcel_acres]]-Wapato_Inventory[[#This Row],[non_valued_acres]] =0,0,LN(Wapato_Inventory[[#This Row],[parcel_acres]]-Wapato_Inventory[[#This Row],[non_valued_acres]]))</f>
        <v>-1.9661128563728327</v>
      </c>
      <c r="M625">
        <v>0</v>
      </c>
      <c r="N625">
        <v>0</v>
      </c>
      <c r="O625">
        <v>0</v>
      </c>
      <c r="P625">
        <v>27904.037</v>
      </c>
      <c r="Q625">
        <v>74398</v>
      </c>
      <c r="R625" s="3">
        <f>(Wapato_Inventory[[#This Row],[ln_acres]]*Wapato_Inventory[[#This Row],[coeff]])+Wapato_Inventory[[#This Row],[const]]</f>
        <v>19535.514109596792</v>
      </c>
      <c r="S625" t="s">
        <v>66</v>
      </c>
      <c r="T625">
        <v>1</v>
      </c>
      <c r="U625" t="s">
        <v>75</v>
      </c>
      <c r="V625" t="s">
        <v>68</v>
      </c>
      <c r="W625">
        <v>0</v>
      </c>
      <c r="X625">
        <v>0</v>
      </c>
      <c r="Y625">
        <v>53</v>
      </c>
      <c r="Z625">
        <v>93</v>
      </c>
      <c r="AA625">
        <v>100</v>
      </c>
      <c r="AB625">
        <v>1500</v>
      </c>
      <c r="AC625">
        <v>1248</v>
      </c>
      <c r="AD625">
        <v>1248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192</v>
      </c>
      <c r="AL625">
        <v>100</v>
      </c>
      <c r="AM625">
        <v>0</v>
      </c>
      <c r="AN625">
        <v>0</v>
      </c>
      <c r="AO625">
        <v>212</v>
      </c>
      <c r="AP625">
        <v>5</v>
      </c>
      <c r="AQ625">
        <v>0</v>
      </c>
      <c r="AR625">
        <v>0</v>
      </c>
      <c r="AS625" t="s">
        <v>59</v>
      </c>
      <c r="AT625">
        <v>1</v>
      </c>
      <c r="AU625" t="s">
        <v>64</v>
      </c>
      <c r="AV625" t="s">
        <v>65</v>
      </c>
      <c r="AW625">
        <v>1</v>
      </c>
      <c r="AX625">
        <v>3</v>
      </c>
      <c r="AY625">
        <v>0</v>
      </c>
      <c r="AZ625">
        <v>0</v>
      </c>
      <c r="BA625">
        <v>100</v>
      </c>
      <c r="BB625">
        <v>100</v>
      </c>
      <c r="BC625">
        <v>100</v>
      </c>
      <c r="BD625">
        <v>100</v>
      </c>
      <c r="BE625">
        <v>1</v>
      </c>
      <c r="BF625">
        <v>15000</v>
      </c>
      <c r="BG625">
        <v>1000</v>
      </c>
      <c r="BH625" s="7">
        <f>ROUND(Wapato_Inventory[[#This Row],[detatched_value]]*Lookups!$B$22*Lookups!$H$48,-2)</f>
        <v>0</v>
      </c>
      <c r="BI625" s="7">
        <f>ROUND(((Wapato_Inventory[[#This Row],[land_extract]]*Lookups!$B$3) +(Lookups!$B$2*0.5))*Lookups!$H$48,-2)</f>
        <v>53000</v>
      </c>
      <c r="BJ625" s="7">
        <f>IF(Wapato_Inventory[[#This Row],[bldg_style]]="",0,Lookups!$B$2*0.5)</f>
        <v>53765.27</v>
      </c>
      <c r="BK625" s="7">
        <f>_xlfn.IFNA(VLOOKUP(Wapato_Inventory[[#This Row],[quality]],Lookups!$H$2:$J$14,3,FALSE),0)</f>
        <v>48043</v>
      </c>
      <c r="BL625" s="7">
        <f>_xlfn.IFNA(VLOOKUP(Wapato_Inventory[[#This Row],[condition]],Lookups!$H$17:$J$24,3,FALSE),0)</f>
        <v>52231</v>
      </c>
      <c r="BM625" s="7">
        <f>Wapato_Inventory[[#This Row],[Age]]*Lookups!$B$16</f>
        <v>-34472.840100000001</v>
      </c>
      <c r="BN625" s="7">
        <f>Wapato_Inventory[[#This Row],[Main Floor]]*Lookups!$B$17</f>
        <v>52167.322271999998</v>
      </c>
      <c r="BO625" s="7">
        <f>Wapato_Inventory[[#This Row],[Upper Floor]]*Lookups!$B$18</f>
        <v>0</v>
      </c>
      <c r="BP625" s="7">
        <f>Wapato_Inventory[[#This Row],[Fin BSMT]]*Lookups!$B$19</f>
        <v>0</v>
      </c>
      <c r="BQ625" s="7">
        <f>(Wapato_Inventory[[#This Row],[att_gar]]+Wapato_Inventory[[#This Row],[blt_gar]])*Lookups!$B$20</f>
        <v>0</v>
      </c>
      <c r="BR625" s="7">
        <f>Wapato_Inventory[[#This Row],[Patio]]*Lookups!$B$21</f>
        <v>0</v>
      </c>
      <c r="BS625" s="7">
        <f>SUM(Wapato_Inventory[[#This Row],[intercept]:[patio_value]])*Wapato_Inventory[[#This Row],[res_pct]]</f>
        <v>171733.75217199998</v>
      </c>
      <c r="BT625" s="7">
        <f>Wapato_Inventory[[#This Row],[land_value]]</f>
        <v>53000</v>
      </c>
      <c r="BU625" s="2">
        <f>_xlfn.IFNA(VLOOKUP(Wapato_Inventory[[#This Row],[quality]],Lookups!$A$28:$C$37,3,FALSE),1)</f>
        <v>0.98196844879778955</v>
      </c>
      <c r="BV625" s="2">
        <f>_xlfn.IFNA(VLOOKUP(Wapato_Inventory[[#This Row],[condition]],Lookups!$A$41:$C$48,3,FALSE),1)</f>
        <v>0.9832333997567807</v>
      </c>
      <c r="BW625" s="2">
        <f>IF(Wapato_Inventory[[#This Row],[decade]]="",1,_xlfn.IFNA(VLOOKUP(Wapato_Inventory[[#This Row],[decade]],Lookups!$F$28:$H$45,3,FALSE),1))</f>
        <v>1.0114203040664467</v>
      </c>
      <c r="BX625" s="2">
        <f>_xlfn.IFNA(VLOOKUP(Wapato_Inventory[[#This Row],[living_area_range]],Lookups!$K$28:$M$37,3,FALSE),1)</f>
        <v>1.0061411172456287</v>
      </c>
      <c r="BY625" s="2">
        <f>AVERAGE(Wapato_Inventory[[#This Row],[qual_adj]:[range_adj]])</f>
        <v>0.99569081746666144</v>
      </c>
      <c r="BZ625" s="7">
        <f>(Wapato_Inventory[[#This Row],[sum_land]]-IF(Wapato_Inventory[[#This Row],[no_utilities]]=1,12000,0))/IF(Wapato_Inventory[[#This Row],[unbuildable]]=1,2,1)</f>
        <v>53000</v>
      </c>
      <c r="CA625" s="7">
        <f>Wapato_Inventory[[#This Row],[pre_res]]*Wapato_Inventory[[#This Row],[overall_adj]]</f>
        <v>170993.7200867557</v>
      </c>
      <c r="CB62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25" s="3">
        <f>IF(ROUND(Wapato_Inventory[[#This Row],[adj_res]]*Lookups!$H$48,-2)&lt;Wapato_Inventory[[#This Row],[min_res]],Wapato_Inventory[[#This Row],[min_res]],ROUND(Wapato_Inventory[[#This Row],[adj_res]]*Lookups!$H$48,-2))</f>
        <v>162400</v>
      </c>
      <c r="CD625" s="3">
        <f>ROUND(Wapato_Inventory[[#This Row],[det_value]]*Lookups!$H$48,-2)</f>
        <v>0</v>
      </c>
      <c r="CE625" s="3">
        <f>Wapato_Inventory[[#This Row],[final_res]]+Wapato_Inventory[[#This Row],[final_det]]</f>
        <v>162400</v>
      </c>
      <c r="CF625" s="3">
        <f>Wapato_Inventory[[#This Row],[crop_value]]+Wapato_Inventory[[#This Row],[final_land]]+Wapato_Inventory[[#This Row],[final_imp]]</f>
        <v>212800</v>
      </c>
      <c r="CH625" t="str">
        <f t="shared" si="9"/>
        <v>update valuation set market_land =50400, market_bldg=162400, market_total =212800, market_mdno =405, market_date ='9/10/2023' where link_id = (select link_id from parcel where parcel_year = '2024' and parcel_id = '19111513422');</v>
      </c>
    </row>
    <row r="626" spans="1:86" x14ac:dyDescent="0.25">
      <c r="A626">
        <v>19111513425</v>
      </c>
      <c r="B626">
        <v>0.14000000000000001</v>
      </c>
      <c r="C626">
        <v>5930</v>
      </c>
      <c r="D626" t="s">
        <v>144</v>
      </c>
      <c r="E626" t="s">
        <v>54</v>
      </c>
      <c r="F626" t="s">
        <v>54</v>
      </c>
      <c r="G626">
        <v>3</v>
      </c>
      <c r="H626" t="s">
        <v>55</v>
      </c>
      <c r="I626">
        <v>250300</v>
      </c>
      <c r="J626">
        <v>31900</v>
      </c>
      <c r="K626">
        <v>0.14000000000000001</v>
      </c>
      <c r="L626">
        <f>IF(Wapato_Inventory[[#This Row],[parcel_acres]]-Wapato_Inventory[[#This Row],[non_valued_acres]] =0,0,LN(Wapato_Inventory[[#This Row],[parcel_acres]]-Wapato_Inventory[[#This Row],[non_valued_acres]]))</f>
        <v>-1.9661128563728327</v>
      </c>
      <c r="M626">
        <v>0</v>
      </c>
      <c r="N626">
        <v>0</v>
      </c>
      <c r="O626">
        <v>0</v>
      </c>
      <c r="P626">
        <v>27904.037</v>
      </c>
      <c r="Q626">
        <v>74398</v>
      </c>
      <c r="R626" s="3">
        <f>(Wapato_Inventory[[#This Row],[ln_acres]]*Wapato_Inventory[[#This Row],[coeff]])+Wapato_Inventory[[#This Row],[const]]</f>
        <v>19535.514109596792</v>
      </c>
      <c r="S626" t="s">
        <v>66</v>
      </c>
      <c r="T626">
        <v>1</v>
      </c>
      <c r="U626" t="s">
        <v>71</v>
      </c>
      <c r="V626" t="s">
        <v>68</v>
      </c>
      <c r="W626">
        <v>0</v>
      </c>
      <c r="X626">
        <v>0</v>
      </c>
      <c r="Y626">
        <v>50</v>
      </c>
      <c r="Z626">
        <v>73</v>
      </c>
      <c r="AA626">
        <v>80</v>
      </c>
      <c r="AB626">
        <v>1500</v>
      </c>
      <c r="AC626">
        <v>1008</v>
      </c>
      <c r="AD626">
        <v>1008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5</v>
      </c>
      <c r="AQ626">
        <v>0</v>
      </c>
      <c r="AR626">
        <v>0</v>
      </c>
      <c r="AS626" t="s">
        <v>59</v>
      </c>
      <c r="AT626">
        <v>0</v>
      </c>
      <c r="AU626" t="s">
        <v>80</v>
      </c>
      <c r="AV626" t="s">
        <v>61</v>
      </c>
      <c r="AW626">
        <v>0</v>
      </c>
      <c r="AX626">
        <v>2</v>
      </c>
      <c r="AY626">
        <v>0</v>
      </c>
      <c r="AZ626">
        <v>37800</v>
      </c>
      <c r="BA626">
        <v>100</v>
      </c>
      <c r="BB626">
        <v>100</v>
      </c>
      <c r="BC626">
        <v>100</v>
      </c>
      <c r="BD626">
        <v>100</v>
      </c>
      <c r="BE626">
        <v>1</v>
      </c>
      <c r="BF626">
        <v>15000</v>
      </c>
      <c r="BG626">
        <v>1000</v>
      </c>
      <c r="BH626" s="7">
        <f>ROUND(Wapato_Inventory[[#This Row],[detatched_value]]*Lookups!$B$22*Lookups!$H$48,-2)</f>
        <v>33800</v>
      </c>
      <c r="BI626" s="7">
        <f>ROUND(((Wapato_Inventory[[#This Row],[land_extract]]*Lookups!$B$3) +(Lookups!$B$2*0.5))*Lookups!$H$48,-2)</f>
        <v>53000</v>
      </c>
      <c r="BJ626" s="7">
        <f>IF(Wapato_Inventory[[#This Row],[bldg_style]]="",0,Lookups!$B$2*0.5)</f>
        <v>53765.27</v>
      </c>
      <c r="BK626" s="7">
        <f>_xlfn.IFNA(VLOOKUP(Wapato_Inventory[[#This Row],[quality]],Lookups!$H$2:$J$14,3,FALSE),0)</f>
        <v>28034</v>
      </c>
      <c r="BL626" s="7">
        <f>_xlfn.IFNA(VLOOKUP(Wapato_Inventory[[#This Row],[condition]],Lookups!$H$17:$J$24,3,FALSE),0)</f>
        <v>52231</v>
      </c>
      <c r="BM626" s="7">
        <f>Wapato_Inventory[[#This Row],[Age]]*Lookups!$B$16</f>
        <v>-27059.326100000002</v>
      </c>
      <c r="BN626" s="7">
        <f>Wapato_Inventory[[#This Row],[Main Floor]]*Lookups!$B$17</f>
        <v>42135.144912000003</v>
      </c>
      <c r="BO626" s="7">
        <f>Wapato_Inventory[[#This Row],[Upper Floor]]*Lookups!$B$18</f>
        <v>0</v>
      </c>
      <c r="BP626" s="7">
        <f>Wapato_Inventory[[#This Row],[Fin BSMT]]*Lookups!$B$19</f>
        <v>0</v>
      </c>
      <c r="BQ626" s="7">
        <f>(Wapato_Inventory[[#This Row],[att_gar]]+Wapato_Inventory[[#This Row],[blt_gar]])*Lookups!$B$20</f>
        <v>0</v>
      </c>
      <c r="BR626" s="7">
        <f>Wapato_Inventory[[#This Row],[Patio]]*Lookups!$B$21</f>
        <v>0</v>
      </c>
      <c r="BS626" s="7">
        <f>SUM(Wapato_Inventory[[#This Row],[intercept]:[patio_value]])*Wapato_Inventory[[#This Row],[res_pct]]</f>
        <v>149106.088812</v>
      </c>
      <c r="BT626" s="7">
        <f>Wapato_Inventory[[#This Row],[land_value]]</f>
        <v>53000</v>
      </c>
      <c r="BU626" s="2">
        <f>_xlfn.IFNA(VLOOKUP(Wapato_Inventory[[#This Row],[quality]],Lookups!$A$28:$C$37,3,FALSE),1)</f>
        <v>0.96265813922927435</v>
      </c>
      <c r="BV626" s="2">
        <f>_xlfn.IFNA(VLOOKUP(Wapato_Inventory[[#This Row],[condition]],Lookups!$A$41:$C$48,3,FALSE),1)</f>
        <v>0.9832333997567807</v>
      </c>
      <c r="BW626" s="2">
        <f>IF(Wapato_Inventory[[#This Row],[decade]]="",1,_xlfn.IFNA(VLOOKUP(Wapato_Inventory[[#This Row],[decade]],Lookups!$F$28:$H$45,3,FALSE),1))</f>
        <v>0.8438929209510081</v>
      </c>
      <c r="BX626" s="2">
        <f>_xlfn.IFNA(VLOOKUP(Wapato_Inventory[[#This Row],[living_area_range]],Lookups!$K$28:$M$37,3,FALSE),1)</f>
        <v>1.0061411172456287</v>
      </c>
      <c r="BY626" s="2">
        <f>AVERAGE(Wapato_Inventory[[#This Row],[qual_adj]:[range_adj]])</f>
        <v>0.94898139429567296</v>
      </c>
      <c r="BZ626" s="7">
        <f>(Wapato_Inventory[[#This Row],[sum_land]]-IF(Wapato_Inventory[[#This Row],[no_utilities]]=1,12000,0))/IF(Wapato_Inventory[[#This Row],[unbuildable]]=1,2,1)</f>
        <v>53000</v>
      </c>
      <c r="CA626" s="7">
        <f>Wapato_Inventory[[#This Row],[pre_res]]*Wapato_Inventory[[#This Row],[overall_adj]]</f>
        <v>141498.9040587862</v>
      </c>
      <c r="CB62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26" s="3">
        <f>IF(ROUND(Wapato_Inventory[[#This Row],[adj_res]]*Lookups!$H$48,-2)&lt;Wapato_Inventory[[#This Row],[min_res]],Wapato_Inventory[[#This Row],[min_res]],ROUND(Wapato_Inventory[[#This Row],[adj_res]]*Lookups!$H$48,-2))</f>
        <v>134400</v>
      </c>
      <c r="CD626" s="3">
        <f>ROUND(Wapato_Inventory[[#This Row],[det_value]]*Lookups!$H$48,-2)</f>
        <v>32100</v>
      </c>
      <c r="CE626" s="3">
        <f>Wapato_Inventory[[#This Row],[final_res]]+Wapato_Inventory[[#This Row],[final_det]]</f>
        <v>166500</v>
      </c>
      <c r="CF626" s="3">
        <f>Wapato_Inventory[[#This Row],[crop_value]]+Wapato_Inventory[[#This Row],[final_land]]+Wapato_Inventory[[#This Row],[final_imp]]</f>
        <v>216900</v>
      </c>
      <c r="CH626" t="str">
        <f t="shared" si="9"/>
        <v>update valuation set market_land =50400, market_bldg=166500, market_total =216900, market_mdno =405, market_date ='9/10/2023' where link_id = (select link_id from parcel where parcel_year = '2024' and parcel_id = '19111513425');</v>
      </c>
    </row>
    <row r="627" spans="1:86" x14ac:dyDescent="0.25">
      <c r="A627">
        <v>19111513426</v>
      </c>
      <c r="B627">
        <v>0.13</v>
      </c>
      <c r="C627">
        <v>5705</v>
      </c>
      <c r="D627" t="s">
        <v>144</v>
      </c>
      <c r="E627" t="s">
        <v>54</v>
      </c>
      <c r="F627" t="s">
        <v>54</v>
      </c>
      <c r="G627">
        <v>3</v>
      </c>
      <c r="H627" t="s">
        <v>55</v>
      </c>
      <c r="I627">
        <v>57900</v>
      </c>
      <c r="J627">
        <v>31400</v>
      </c>
      <c r="K627">
        <v>0.13</v>
      </c>
      <c r="L627">
        <f>IF(Wapato_Inventory[[#This Row],[parcel_acres]]-Wapato_Inventory[[#This Row],[non_valued_acres]] =0,0,LN(Wapato_Inventory[[#This Row],[parcel_acres]]-Wapato_Inventory[[#This Row],[non_valued_acres]]))</f>
        <v>-2.0402208285265546</v>
      </c>
      <c r="M627">
        <v>0</v>
      </c>
      <c r="N627">
        <v>0</v>
      </c>
      <c r="O627">
        <v>0</v>
      </c>
      <c r="P627">
        <v>27904.037</v>
      </c>
      <c r="Q627">
        <v>74398</v>
      </c>
      <c r="R627" s="3">
        <f>(Wapato_Inventory[[#This Row],[ln_acres]]*Wapato_Inventory[[#This Row],[coeff]])+Wapato_Inventory[[#This Row],[const]]</f>
        <v>17467.602512624362</v>
      </c>
      <c r="S627" t="s">
        <v>83</v>
      </c>
      <c r="T627">
        <v>1</v>
      </c>
      <c r="U627" t="s">
        <v>86</v>
      </c>
      <c r="V627" t="s">
        <v>68</v>
      </c>
      <c r="W627">
        <v>0</v>
      </c>
      <c r="X627">
        <v>0</v>
      </c>
      <c r="Y627">
        <v>52</v>
      </c>
      <c r="Z627">
        <v>88</v>
      </c>
      <c r="AA627">
        <v>90</v>
      </c>
      <c r="AB627">
        <v>500</v>
      </c>
      <c r="AC627">
        <v>480</v>
      </c>
      <c r="AD627">
        <v>480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5</v>
      </c>
      <c r="AQ627">
        <v>0</v>
      </c>
      <c r="AR627">
        <v>0</v>
      </c>
      <c r="AS627" t="s">
        <v>59</v>
      </c>
      <c r="AT627">
        <v>0</v>
      </c>
      <c r="AU627" t="s">
        <v>80</v>
      </c>
      <c r="AV627" t="s">
        <v>147</v>
      </c>
      <c r="AW627">
        <v>0</v>
      </c>
      <c r="AX627">
        <v>1</v>
      </c>
      <c r="AY627">
        <v>0</v>
      </c>
      <c r="AZ627">
        <v>0</v>
      </c>
      <c r="BA627">
        <v>100</v>
      </c>
      <c r="BB627">
        <v>100</v>
      </c>
      <c r="BC627">
        <v>100</v>
      </c>
      <c r="BD627">
        <v>100</v>
      </c>
      <c r="BE627">
        <v>1</v>
      </c>
      <c r="BF627">
        <v>15000</v>
      </c>
      <c r="BG627">
        <v>1000</v>
      </c>
      <c r="BH627" s="7">
        <f>ROUND(Wapato_Inventory[[#This Row],[detatched_value]]*Lookups!$B$22*Lookups!$H$48,-2)</f>
        <v>0</v>
      </c>
      <c r="BI627" s="7">
        <f>ROUND(((Wapato_Inventory[[#This Row],[land_extract]]*Lookups!$B$3) +(Lookups!$B$2*0.5))*Lookups!$H$48,-2)</f>
        <v>52800</v>
      </c>
      <c r="BJ627" s="7">
        <f>IF(Wapato_Inventory[[#This Row],[bldg_style]]="",0,Lookups!$B$2*0.5)</f>
        <v>53765.27</v>
      </c>
      <c r="BK627" s="7">
        <f>_xlfn.IFNA(VLOOKUP(Wapato_Inventory[[#This Row],[quality]],Lookups!$H$2:$J$14,3,FALSE),0)</f>
        <v>0</v>
      </c>
      <c r="BL627" s="7">
        <f>_xlfn.IFNA(VLOOKUP(Wapato_Inventory[[#This Row],[condition]],Lookups!$H$17:$J$24,3,FALSE),0)</f>
        <v>52231</v>
      </c>
      <c r="BM627" s="7">
        <f>Wapato_Inventory[[#This Row],[Age]]*Lookups!$B$16</f>
        <v>-32619.461600000002</v>
      </c>
      <c r="BN627" s="7">
        <f>Wapato_Inventory[[#This Row],[Main Floor]]*Lookups!$B$17</f>
        <v>20064.354719999999</v>
      </c>
      <c r="BO627" s="7">
        <f>Wapato_Inventory[[#This Row],[Upper Floor]]*Lookups!$B$18</f>
        <v>0</v>
      </c>
      <c r="BP627" s="7">
        <f>Wapato_Inventory[[#This Row],[Fin BSMT]]*Lookups!$B$19</f>
        <v>0</v>
      </c>
      <c r="BQ627" s="7">
        <f>(Wapato_Inventory[[#This Row],[att_gar]]+Wapato_Inventory[[#This Row],[blt_gar]])*Lookups!$B$20</f>
        <v>0</v>
      </c>
      <c r="BR627" s="7">
        <f>Wapato_Inventory[[#This Row],[Patio]]*Lookups!$B$21</f>
        <v>0</v>
      </c>
      <c r="BS627" s="7">
        <f>SUM(Wapato_Inventory[[#This Row],[intercept]:[patio_value]])*Wapato_Inventory[[#This Row],[res_pct]]</f>
        <v>93441.163119999983</v>
      </c>
      <c r="BT627" s="7">
        <f>Wapato_Inventory[[#This Row],[land_value]]</f>
        <v>52800</v>
      </c>
      <c r="BU627" s="2">
        <f>_xlfn.IFNA(VLOOKUP(Wapato_Inventory[[#This Row],[quality]],Lookups!$A$28:$C$37,3,FALSE),1)</f>
        <v>1.0000010866511106</v>
      </c>
      <c r="BV627" s="2">
        <f>_xlfn.IFNA(VLOOKUP(Wapato_Inventory[[#This Row],[condition]],Lookups!$A$41:$C$48,3,FALSE),1)</f>
        <v>0.9832333997567807</v>
      </c>
      <c r="BW627" s="2">
        <f>IF(Wapato_Inventory[[#This Row],[decade]]="",1,_xlfn.IFNA(VLOOKUP(Wapato_Inventory[[#This Row],[decade]],Lookups!$F$28:$H$45,3,FALSE),1))</f>
        <v>0.94742695999815718</v>
      </c>
      <c r="BX627" s="2">
        <f>_xlfn.IFNA(VLOOKUP(Wapato_Inventory[[#This Row],[living_area_range]],Lookups!$K$28:$M$37,3,FALSE),1)</f>
        <v>0.62984720518148585</v>
      </c>
      <c r="BY627" s="2">
        <f>AVERAGE(Wapato_Inventory[[#This Row],[qual_adj]:[range_adj]])</f>
        <v>0.89012716289688354</v>
      </c>
      <c r="BZ627" s="7">
        <f>(Wapato_Inventory[[#This Row],[sum_land]]-IF(Wapato_Inventory[[#This Row],[no_utilities]]=1,12000,0))/IF(Wapato_Inventory[[#This Row],[unbuildable]]=1,2,1)</f>
        <v>52800</v>
      </c>
      <c r="CA627" s="7">
        <f>Wapato_Inventory[[#This Row],[pre_res]]*Wapato_Inventory[[#This Row],[overall_adj]]</f>
        <v>83174.517425790487</v>
      </c>
      <c r="CB62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27" s="3">
        <f>IF(ROUND(Wapato_Inventory[[#This Row],[adj_res]]*Lookups!$H$48,-2)&lt;Wapato_Inventory[[#This Row],[min_res]],Wapato_Inventory[[#This Row],[min_res]],ROUND(Wapato_Inventory[[#This Row],[adj_res]]*Lookups!$H$48,-2))</f>
        <v>79000</v>
      </c>
      <c r="CD627" s="3">
        <f>ROUND(Wapato_Inventory[[#This Row],[det_value]]*Lookups!$H$48,-2)</f>
        <v>0</v>
      </c>
      <c r="CE627" s="3">
        <f>Wapato_Inventory[[#This Row],[final_res]]+Wapato_Inventory[[#This Row],[final_det]]</f>
        <v>79000</v>
      </c>
      <c r="CF627" s="3">
        <f>Wapato_Inventory[[#This Row],[crop_value]]+Wapato_Inventory[[#This Row],[final_land]]+Wapato_Inventory[[#This Row],[final_imp]]</f>
        <v>129200</v>
      </c>
      <c r="CH627" t="str">
        <f t="shared" si="9"/>
        <v>update valuation set market_land =50200, market_bldg=79000, market_total =129200, market_mdno =405, market_date ='9/10/2023' where link_id = (select link_id from parcel where parcel_year = '2024' and parcel_id = '19111513426');</v>
      </c>
    </row>
    <row r="628" spans="1:86" x14ac:dyDescent="0.25">
      <c r="A628">
        <v>19111513427</v>
      </c>
      <c r="B628">
        <v>7.0000000000000007E-2</v>
      </c>
      <c r="C628">
        <v>2924</v>
      </c>
      <c r="D628" t="s">
        <v>144</v>
      </c>
      <c r="E628" t="s">
        <v>54</v>
      </c>
      <c r="F628" t="s">
        <v>54</v>
      </c>
      <c r="G628">
        <v>3</v>
      </c>
      <c r="H628" t="s">
        <v>55</v>
      </c>
      <c r="I628">
        <v>95800</v>
      </c>
      <c r="J628">
        <v>26900</v>
      </c>
      <c r="K628">
        <v>7.0000000000000007E-2</v>
      </c>
      <c r="L628">
        <f>IF(Wapato_Inventory[[#This Row],[parcel_acres]]-Wapato_Inventory[[#This Row],[non_valued_acres]] =0,0,LN(Wapato_Inventory[[#This Row],[parcel_acres]]-Wapato_Inventory[[#This Row],[non_valued_acres]]))</f>
        <v>-2.6592600369327779</v>
      </c>
      <c r="M628">
        <v>0</v>
      </c>
      <c r="N628">
        <v>0</v>
      </c>
      <c r="O628">
        <v>0</v>
      </c>
      <c r="P628">
        <v>27904.037</v>
      </c>
      <c r="Q628">
        <v>74398</v>
      </c>
      <c r="R628" s="3">
        <f>(Wapato_Inventory[[#This Row],[ln_acres]]*Wapato_Inventory[[#This Row],[coeff]])+Wapato_Inventory[[#This Row],[const]]</f>
        <v>193.90953680640087</v>
      </c>
      <c r="S628" t="s">
        <v>66</v>
      </c>
      <c r="T628">
        <v>1</v>
      </c>
      <c r="U628" t="s">
        <v>71</v>
      </c>
      <c r="V628" t="s">
        <v>68</v>
      </c>
      <c r="W628">
        <v>0</v>
      </c>
      <c r="X628">
        <v>0</v>
      </c>
      <c r="Y628">
        <v>45</v>
      </c>
      <c r="Z628">
        <v>98</v>
      </c>
      <c r="AA628">
        <v>100</v>
      </c>
      <c r="AB628">
        <v>1000</v>
      </c>
      <c r="AC628">
        <v>792</v>
      </c>
      <c r="AD628">
        <v>792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5</v>
      </c>
      <c r="AQ628">
        <v>0</v>
      </c>
      <c r="AR628">
        <v>0</v>
      </c>
      <c r="AS628" t="s">
        <v>59</v>
      </c>
      <c r="AT628">
        <v>0</v>
      </c>
      <c r="AU628" t="s">
        <v>80</v>
      </c>
      <c r="AV628" t="s">
        <v>77</v>
      </c>
      <c r="AW628">
        <v>0</v>
      </c>
      <c r="AX628">
        <v>3</v>
      </c>
      <c r="AY628">
        <v>0</v>
      </c>
      <c r="AZ628">
        <v>2800</v>
      </c>
      <c r="BA628">
        <v>100</v>
      </c>
      <c r="BB628">
        <v>100</v>
      </c>
      <c r="BC628">
        <v>100</v>
      </c>
      <c r="BD628">
        <v>100</v>
      </c>
      <c r="BE628">
        <v>1</v>
      </c>
      <c r="BF628">
        <v>15000</v>
      </c>
      <c r="BG628">
        <v>1000</v>
      </c>
      <c r="BH628" s="7">
        <f>ROUND(Wapato_Inventory[[#This Row],[detatched_value]]*Lookups!$B$22*Lookups!$H$48,-2)</f>
        <v>2500</v>
      </c>
      <c r="BI628" s="7">
        <f>ROUND(((Wapato_Inventory[[#This Row],[land_extract]]*Lookups!$B$3) +(Lookups!$B$2*0.5))*Lookups!$H$48,-2)</f>
        <v>51100</v>
      </c>
      <c r="BJ628" s="7">
        <f>IF(Wapato_Inventory[[#This Row],[bldg_style]]="",0,Lookups!$B$2*0.5)</f>
        <v>53765.27</v>
      </c>
      <c r="BK628" s="7">
        <f>_xlfn.IFNA(VLOOKUP(Wapato_Inventory[[#This Row],[quality]],Lookups!$H$2:$J$14,3,FALSE),0)</f>
        <v>28034</v>
      </c>
      <c r="BL628" s="7">
        <f>_xlfn.IFNA(VLOOKUP(Wapato_Inventory[[#This Row],[condition]],Lookups!$H$17:$J$24,3,FALSE),0)</f>
        <v>52231</v>
      </c>
      <c r="BM628" s="7">
        <f>Wapato_Inventory[[#This Row],[Age]]*Lookups!$B$16</f>
        <v>-36326.2186</v>
      </c>
      <c r="BN628" s="7">
        <f>Wapato_Inventory[[#This Row],[Main Floor]]*Lookups!$B$17</f>
        <v>33106.185288000001</v>
      </c>
      <c r="BO628" s="7">
        <f>Wapato_Inventory[[#This Row],[Upper Floor]]*Lookups!$B$18</f>
        <v>0</v>
      </c>
      <c r="BP628" s="7">
        <f>Wapato_Inventory[[#This Row],[Fin BSMT]]*Lookups!$B$19</f>
        <v>0</v>
      </c>
      <c r="BQ628" s="7">
        <f>(Wapato_Inventory[[#This Row],[att_gar]]+Wapato_Inventory[[#This Row],[blt_gar]])*Lookups!$B$20</f>
        <v>0</v>
      </c>
      <c r="BR628" s="7">
        <f>Wapato_Inventory[[#This Row],[Patio]]*Lookups!$B$21</f>
        <v>0</v>
      </c>
      <c r="BS628" s="7">
        <f>SUM(Wapato_Inventory[[#This Row],[intercept]:[patio_value]])*Wapato_Inventory[[#This Row],[res_pct]]</f>
        <v>130810.236688</v>
      </c>
      <c r="BT628" s="7">
        <f>Wapato_Inventory[[#This Row],[land_value]]</f>
        <v>51100</v>
      </c>
      <c r="BU628" s="2">
        <f>_xlfn.IFNA(VLOOKUP(Wapato_Inventory[[#This Row],[quality]],Lookups!$A$28:$C$37,3,FALSE),1)</f>
        <v>0.96265813922927435</v>
      </c>
      <c r="BV628" s="2">
        <f>_xlfn.IFNA(VLOOKUP(Wapato_Inventory[[#This Row],[condition]],Lookups!$A$41:$C$48,3,FALSE),1)</f>
        <v>0.9832333997567807</v>
      </c>
      <c r="BW628" s="2">
        <f>IF(Wapato_Inventory[[#This Row],[decade]]="",1,_xlfn.IFNA(VLOOKUP(Wapato_Inventory[[#This Row],[decade]],Lookups!$F$28:$H$45,3,FALSE),1))</f>
        <v>1.0114203040664467</v>
      </c>
      <c r="BX628" s="2">
        <f>_xlfn.IFNA(VLOOKUP(Wapato_Inventory[[#This Row],[living_area_range]],Lookups!$K$28:$M$37,3,FALSE),1)</f>
        <v>0.99022994770196116</v>
      </c>
      <c r="BY628" s="2">
        <f>AVERAGE(Wapato_Inventory[[#This Row],[qual_adj]:[range_adj]])</f>
        <v>0.98688544768861564</v>
      </c>
      <c r="BZ628" s="7">
        <f>(Wapato_Inventory[[#This Row],[sum_land]]-IF(Wapato_Inventory[[#This Row],[no_utilities]]=1,12000,0))/IF(Wapato_Inventory[[#This Row],[unbuildable]]=1,2,1)</f>
        <v>51100</v>
      </c>
      <c r="CA628" s="7">
        <f>Wapato_Inventory[[#This Row],[pre_res]]*Wapato_Inventory[[#This Row],[overall_adj]]</f>
        <v>129094.71899609065</v>
      </c>
      <c r="CB628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628" s="3">
        <f>IF(ROUND(Wapato_Inventory[[#This Row],[adj_res]]*Lookups!$H$48,-2)&lt;Wapato_Inventory[[#This Row],[min_res]],Wapato_Inventory[[#This Row],[min_res]],ROUND(Wapato_Inventory[[#This Row],[adj_res]]*Lookups!$H$48,-2))</f>
        <v>122600</v>
      </c>
      <c r="CD628" s="3">
        <f>ROUND(Wapato_Inventory[[#This Row],[det_value]]*Lookups!$H$48,-2)</f>
        <v>2400</v>
      </c>
      <c r="CE628" s="3">
        <f>Wapato_Inventory[[#This Row],[final_res]]+Wapato_Inventory[[#This Row],[final_det]]</f>
        <v>125000</v>
      </c>
      <c r="CF628" s="3">
        <f>Wapato_Inventory[[#This Row],[crop_value]]+Wapato_Inventory[[#This Row],[final_land]]+Wapato_Inventory[[#This Row],[final_imp]]</f>
        <v>173500</v>
      </c>
      <c r="CH628" t="str">
        <f t="shared" si="9"/>
        <v>update valuation set market_land =48500, market_bldg=125000, market_total =173500, market_mdno =405, market_date ='9/10/2023' where link_id = (select link_id from parcel where parcel_year = '2024' and parcel_id = '19111513427');</v>
      </c>
    </row>
    <row r="629" spans="1:86" x14ac:dyDescent="0.25">
      <c r="A629">
        <v>19111513428</v>
      </c>
      <c r="B629">
        <v>7.0000000000000007E-2</v>
      </c>
      <c r="C629">
        <v>3190</v>
      </c>
      <c r="D629" t="s">
        <v>144</v>
      </c>
      <c r="E629" t="s">
        <v>54</v>
      </c>
      <c r="F629" t="s">
        <v>54</v>
      </c>
      <c r="G629">
        <v>3</v>
      </c>
      <c r="H629" t="s">
        <v>55</v>
      </c>
      <c r="I629">
        <v>94700</v>
      </c>
      <c r="J629">
        <v>26900</v>
      </c>
      <c r="K629">
        <v>7.0000000000000007E-2</v>
      </c>
      <c r="L629">
        <f>IF(Wapato_Inventory[[#This Row],[parcel_acres]]-Wapato_Inventory[[#This Row],[non_valued_acres]] =0,0,LN(Wapato_Inventory[[#This Row],[parcel_acres]]-Wapato_Inventory[[#This Row],[non_valued_acres]]))</f>
        <v>-2.6592600369327779</v>
      </c>
      <c r="M629">
        <v>0</v>
      </c>
      <c r="N629">
        <v>0</v>
      </c>
      <c r="O629">
        <v>0</v>
      </c>
      <c r="P629">
        <v>27904.037</v>
      </c>
      <c r="Q629">
        <v>74398</v>
      </c>
      <c r="R629" s="3">
        <f>(Wapato_Inventory[[#This Row],[ln_acres]]*Wapato_Inventory[[#This Row],[coeff]])+Wapato_Inventory[[#This Row],[const]]</f>
        <v>193.90953680640087</v>
      </c>
      <c r="S629" t="s">
        <v>66</v>
      </c>
      <c r="T629">
        <v>1</v>
      </c>
      <c r="U629" t="s">
        <v>71</v>
      </c>
      <c r="V629" t="s">
        <v>68</v>
      </c>
      <c r="W629">
        <v>0</v>
      </c>
      <c r="X629">
        <v>0</v>
      </c>
      <c r="Y629">
        <v>55</v>
      </c>
      <c r="Z629">
        <v>98</v>
      </c>
      <c r="AA629">
        <v>100</v>
      </c>
      <c r="AB629">
        <v>1000</v>
      </c>
      <c r="AC629">
        <v>801</v>
      </c>
      <c r="AD629">
        <v>801</v>
      </c>
      <c r="AE629">
        <v>0</v>
      </c>
      <c r="AF629">
        <v>0</v>
      </c>
      <c r="AG629">
        <v>0</v>
      </c>
      <c r="AH629">
        <v>231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18</v>
      </c>
      <c r="AO629">
        <v>0</v>
      </c>
      <c r="AP629">
        <v>5</v>
      </c>
      <c r="AQ629">
        <v>0</v>
      </c>
      <c r="AR629">
        <v>0</v>
      </c>
      <c r="AS629" t="s">
        <v>59</v>
      </c>
      <c r="AT629">
        <v>0</v>
      </c>
      <c r="AU629" t="s">
        <v>80</v>
      </c>
      <c r="AV629" t="s">
        <v>77</v>
      </c>
      <c r="AW629">
        <v>0</v>
      </c>
      <c r="AX629">
        <v>3</v>
      </c>
      <c r="AY629">
        <v>0</v>
      </c>
      <c r="AZ629">
        <v>0</v>
      </c>
      <c r="BA629">
        <v>100</v>
      </c>
      <c r="BB629">
        <v>100</v>
      </c>
      <c r="BC629">
        <v>100</v>
      </c>
      <c r="BD629">
        <v>100</v>
      </c>
      <c r="BE629">
        <v>1</v>
      </c>
      <c r="BF629">
        <v>15000</v>
      </c>
      <c r="BG629">
        <v>1000</v>
      </c>
      <c r="BH629" s="7">
        <f>ROUND(Wapato_Inventory[[#This Row],[detatched_value]]*Lookups!$B$22*Lookups!$H$48,-2)</f>
        <v>0</v>
      </c>
      <c r="BI629" s="7">
        <f>ROUND(((Wapato_Inventory[[#This Row],[land_extract]]*Lookups!$B$3) +(Lookups!$B$2*0.5))*Lookups!$H$48,-2)</f>
        <v>51100</v>
      </c>
      <c r="BJ629" s="7">
        <f>IF(Wapato_Inventory[[#This Row],[bldg_style]]="",0,Lookups!$B$2*0.5)</f>
        <v>53765.27</v>
      </c>
      <c r="BK629" s="7">
        <f>_xlfn.IFNA(VLOOKUP(Wapato_Inventory[[#This Row],[quality]],Lookups!$H$2:$J$14,3,FALSE),0)</f>
        <v>28034</v>
      </c>
      <c r="BL629" s="7">
        <f>_xlfn.IFNA(VLOOKUP(Wapato_Inventory[[#This Row],[condition]],Lookups!$H$17:$J$24,3,FALSE),0)</f>
        <v>52231</v>
      </c>
      <c r="BM629" s="7">
        <f>Wapato_Inventory[[#This Row],[Age]]*Lookups!$B$16</f>
        <v>-36326.2186</v>
      </c>
      <c r="BN629" s="7">
        <f>Wapato_Inventory[[#This Row],[Main Floor]]*Lookups!$B$17</f>
        <v>33482.391939000001</v>
      </c>
      <c r="BO629" s="7">
        <f>Wapato_Inventory[[#This Row],[Upper Floor]]*Lookups!$B$18</f>
        <v>0</v>
      </c>
      <c r="BP629" s="7">
        <f>Wapato_Inventory[[#This Row],[Fin BSMT]]*Lookups!$B$19</f>
        <v>0</v>
      </c>
      <c r="BQ629" s="7">
        <f>(Wapato_Inventory[[#This Row],[att_gar]]+Wapato_Inventory[[#This Row],[blt_gar]])*Lookups!$B$20</f>
        <v>0</v>
      </c>
      <c r="BR629" s="7">
        <f>Wapato_Inventory[[#This Row],[Patio]]*Lookups!$B$21</f>
        <v>0</v>
      </c>
      <c r="BS629" s="7">
        <f>SUM(Wapato_Inventory[[#This Row],[intercept]:[patio_value]])*Wapato_Inventory[[#This Row],[res_pct]]</f>
        <v>131186.44333899999</v>
      </c>
      <c r="BT629" s="7">
        <f>Wapato_Inventory[[#This Row],[land_value]]</f>
        <v>51100</v>
      </c>
      <c r="BU629" s="2">
        <f>_xlfn.IFNA(VLOOKUP(Wapato_Inventory[[#This Row],[quality]],Lookups!$A$28:$C$37,3,FALSE),1)</f>
        <v>0.96265813922927435</v>
      </c>
      <c r="BV629" s="2">
        <f>_xlfn.IFNA(VLOOKUP(Wapato_Inventory[[#This Row],[condition]],Lookups!$A$41:$C$48,3,FALSE),1)</f>
        <v>0.9832333997567807</v>
      </c>
      <c r="BW629" s="2">
        <f>IF(Wapato_Inventory[[#This Row],[decade]]="",1,_xlfn.IFNA(VLOOKUP(Wapato_Inventory[[#This Row],[decade]],Lookups!$F$28:$H$45,3,FALSE),1))</f>
        <v>1.0114203040664467</v>
      </c>
      <c r="BX629" s="2">
        <f>_xlfn.IFNA(VLOOKUP(Wapato_Inventory[[#This Row],[living_area_range]],Lookups!$K$28:$M$37,3,FALSE),1)</f>
        <v>0.99022994770196116</v>
      </c>
      <c r="BY629" s="2">
        <f>AVERAGE(Wapato_Inventory[[#This Row],[qual_adj]:[range_adj]])</f>
        <v>0.98688544768861564</v>
      </c>
      <c r="BZ629" s="7">
        <f>(Wapato_Inventory[[#This Row],[sum_land]]-IF(Wapato_Inventory[[#This Row],[no_utilities]]=1,12000,0))/IF(Wapato_Inventory[[#This Row],[unbuildable]]=1,2,1)</f>
        <v>51100</v>
      </c>
      <c r="CA629" s="7">
        <f>Wapato_Inventory[[#This Row],[pre_res]]*Wapato_Inventory[[#This Row],[overall_adj]]</f>
        <v>129465.99186528621</v>
      </c>
      <c r="CB629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629" s="3">
        <f>IF(ROUND(Wapato_Inventory[[#This Row],[adj_res]]*Lookups!$H$48,-2)&lt;Wapato_Inventory[[#This Row],[min_res]],Wapato_Inventory[[#This Row],[min_res]],ROUND(Wapato_Inventory[[#This Row],[adj_res]]*Lookups!$H$48,-2))</f>
        <v>123000</v>
      </c>
      <c r="CD629" s="3">
        <f>ROUND(Wapato_Inventory[[#This Row],[det_value]]*Lookups!$H$48,-2)</f>
        <v>0</v>
      </c>
      <c r="CE629" s="3">
        <f>Wapato_Inventory[[#This Row],[final_res]]+Wapato_Inventory[[#This Row],[final_det]]</f>
        <v>123000</v>
      </c>
      <c r="CF629" s="3">
        <f>Wapato_Inventory[[#This Row],[crop_value]]+Wapato_Inventory[[#This Row],[final_land]]+Wapato_Inventory[[#This Row],[final_imp]]</f>
        <v>171500</v>
      </c>
      <c r="CH629" t="str">
        <f t="shared" si="9"/>
        <v>update valuation set market_land =48500, market_bldg=123000, market_total =171500, market_mdno =405, market_date ='9/10/2023' where link_id = (select link_id from parcel where parcel_year = '2024' and parcel_id = '19111513428');</v>
      </c>
    </row>
    <row r="630" spans="1:86" x14ac:dyDescent="0.25">
      <c r="A630">
        <v>19111513429</v>
      </c>
      <c r="B630">
        <v>0.15</v>
      </c>
      <c r="C630">
        <v>6494</v>
      </c>
      <c r="D630" t="s">
        <v>144</v>
      </c>
      <c r="E630" t="s">
        <v>54</v>
      </c>
      <c r="F630" t="s">
        <v>54</v>
      </c>
      <c r="G630">
        <v>3</v>
      </c>
      <c r="H630" t="s">
        <v>55</v>
      </c>
      <c r="I630">
        <v>142900</v>
      </c>
      <c r="J630">
        <v>32300</v>
      </c>
      <c r="K630">
        <v>0.15</v>
      </c>
      <c r="L630">
        <f>IF(Wapato_Inventory[[#This Row],[parcel_acres]]-Wapato_Inventory[[#This Row],[non_valued_acres]] =0,0,LN(Wapato_Inventory[[#This Row],[parcel_acres]]-Wapato_Inventory[[#This Row],[non_valued_acres]]))</f>
        <v>-1.8971199848858813</v>
      </c>
      <c r="M630">
        <v>0</v>
      </c>
      <c r="N630">
        <v>0</v>
      </c>
      <c r="O630">
        <v>0</v>
      </c>
      <c r="P630">
        <v>27904.037</v>
      </c>
      <c r="Q630">
        <v>74398</v>
      </c>
      <c r="R630" s="3">
        <f>(Wapato_Inventory[[#This Row],[ln_acres]]*Wapato_Inventory[[#This Row],[coeff]])+Wapato_Inventory[[#This Row],[const]]</f>
        <v>21460.693748304926</v>
      </c>
      <c r="S630" t="s">
        <v>66</v>
      </c>
      <c r="T630">
        <v>1</v>
      </c>
      <c r="U630" t="s">
        <v>75</v>
      </c>
      <c r="V630" t="s">
        <v>68</v>
      </c>
      <c r="W630">
        <v>0</v>
      </c>
      <c r="X630">
        <v>0</v>
      </c>
      <c r="Y630">
        <v>57</v>
      </c>
      <c r="Z630">
        <v>103</v>
      </c>
      <c r="AA630">
        <v>110</v>
      </c>
      <c r="AB630">
        <v>1500</v>
      </c>
      <c r="AC630">
        <v>1277</v>
      </c>
      <c r="AD630">
        <v>1277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234</v>
      </c>
      <c r="AN630">
        <v>144</v>
      </c>
      <c r="AO630">
        <v>434</v>
      </c>
      <c r="AP630">
        <v>8</v>
      </c>
      <c r="AQ630">
        <v>0</v>
      </c>
      <c r="AR630">
        <v>0</v>
      </c>
      <c r="AS630" t="s">
        <v>59</v>
      </c>
      <c r="AT630">
        <v>1</v>
      </c>
      <c r="AU630" t="s">
        <v>76</v>
      </c>
      <c r="AV630" t="s">
        <v>61</v>
      </c>
      <c r="AW630">
        <v>0</v>
      </c>
      <c r="AX630">
        <v>3</v>
      </c>
      <c r="AY630">
        <v>0</v>
      </c>
      <c r="AZ630">
        <v>0</v>
      </c>
      <c r="BA630">
        <v>100</v>
      </c>
      <c r="BB630">
        <v>100</v>
      </c>
      <c r="BC630">
        <v>100</v>
      </c>
      <c r="BD630">
        <v>100</v>
      </c>
      <c r="BE630">
        <v>1</v>
      </c>
      <c r="BF630">
        <v>15000</v>
      </c>
      <c r="BG630">
        <v>1000</v>
      </c>
      <c r="BH630" s="7">
        <f>ROUND(Wapato_Inventory[[#This Row],[detatched_value]]*Lookups!$B$22*Lookups!$H$48,-2)</f>
        <v>0</v>
      </c>
      <c r="BI630" s="7">
        <f>ROUND(((Wapato_Inventory[[#This Row],[land_extract]]*Lookups!$B$3) +(Lookups!$B$2*0.5))*Lookups!$H$48,-2)</f>
        <v>53100</v>
      </c>
      <c r="BJ630" s="7">
        <f>IF(Wapato_Inventory[[#This Row],[bldg_style]]="",0,Lookups!$B$2*0.5)</f>
        <v>53765.27</v>
      </c>
      <c r="BK630" s="7">
        <f>_xlfn.IFNA(VLOOKUP(Wapato_Inventory[[#This Row],[quality]],Lookups!$H$2:$J$14,3,FALSE),0)</f>
        <v>48043</v>
      </c>
      <c r="BL630" s="7">
        <f>_xlfn.IFNA(VLOOKUP(Wapato_Inventory[[#This Row],[condition]],Lookups!$H$17:$J$24,3,FALSE),0)</f>
        <v>52231</v>
      </c>
      <c r="BM630" s="7">
        <f>Wapato_Inventory[[#This Row],[Age]]*Lookups!$B$16</f>
        <v>-38179.597099999999</v>
      </c>
      <c r="BN630" s="7">
        <f>Wapato_Inventory[[#This Row],[Main Floor]]*Lookups!$B$17</f>
        <v>53379.543703000003</v>
      </c>
      <c r="BO630" s="7">
        <f>Wapato_Inventory[[#This Row],[Upper Floor]]*Lookups!$B$18</f>
        <v>0</v>
      </c>
      <c r="BP630" s="7">
        <f>Wapato_Inventory[[#This Row],[Fin BSMT]]*Lookups!$B$19</f>
        <v>0</v>
      </c>
      <c r="BQ630" s="7">
        <f>(Wapato_Inventory[[#This Row],[att_gar]]+Wapato_Inventory[[#This Row],[blt_gar]])*Lookups!$B$20</f>
        <v>0</v>
      </c>
      <c r="BR630" s="7">
        <f>Wapato_Inventory[[#This Row],[Patio]]*Lookups!$B$21</f>
        <v>10137.811086</v>
      </c>
      <c r="BS630" s="7">
        <f>SUM(Wapato_Inventory[[#This Row],[intercept]:[patio_value]])*Wapato_Inventory[[#This Row],[res_pct]]</f>
        <v>179377.02768900001</v>
      </c>
      <c r="BT630" s="7">
        <f>Wapato_Inventory[[#This Row],[land_value]]</f>
        <v>53100</v>
      </c>
      <c r="BU630" s="2">
        <f>_xlfn.IFNA(VLOOKUP(Wapato_Inventory[[#This Row],[quality]],Lookups!$A$28:$C$37,3,FALSE),1)</f>
        <v>0.98196844879778955</v>
      </c>
      <c r="BV630" s="2">
        <f>_xlfn.IFNA(VLOOKUP(Wapato_Inventory[[#This Row],[condition]],Lookups!$A$41:$C$48,3,FALSE),1)</f>
        <v>0.9832333997567807</v>
      </c>
      <c r="BW630" s="2">
        <f>IF(Wapato_Inventory[[#This Row],[decade]]="",1,_xlfn.IFNA(VLOOKUP(Wapato_Inventory[[#This Row],[decade]],Lookups!$F$28:$H$45,3,FALSE),1))</f>
        <v>0.93664589651353292</v>
      </c>
      <c r="BX630" s="2">
        <f>_xlfn.IFNA(VLOOKUP(Wapato_Inventory[[#This Row],[living_area_range]],Lookups!$K$28:$M$37,3,FALSE),1)</f>
        <v>1.0061411172456287</v>
      </c>
      <c r="BY630" s="2">
        <f>AVERAGE(Wapato_Inventory[[#This Row],[qual_adj]:[range_adj]])</f>
        <v>0.976997215578433</v>
      </c>
      <c r="BZ630" s="7">
        <f>(Wapato_Inventory[[#This Row],[sum_land]]-IF(Wapato_Inventory[[#This Row],[no_utilities]]=1,12000,0))/IF(Wapato_Inventory[[#This Row],[unbuildable]]=1,2,1)</f>
        <v>53100</v>
      </c>
      <c r="CA630" s="7">
        <f>Wapato_Inventory[[#This Row],[pre_res]]*Wapato_Inventory[[#This Row],[overall_adj]]</f>
        <v>175250.85659088849</v>
      </c>
      <c r="CB63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30" s="3">
        <f>IF(ROUND(Wapato_Inventory[[#This Row],[adj_res]]*Lookups!$H$48,-2)&lt;Wapato_Inventory[[#This Row],[min_res]],Wapato_Inventory[[#This Row],[min_res]],ROUND(Wapato_Inventory[[#This Row],[adj_res]]*Lookups!$H$48,-2))</f>
        <v>166500</v>
      </c>
      <c r="CD630" s="3">
        <f>ROUND(Wapato_Inventory[[#This Row],[det_value]]*Lookups!$H$48,-2)</f>
        <v>0</v>
      </c>
      <c r="CE630" s="3">
        <f>Wapato_Inventory[[#This Row],[final_res]]+Wapato_Inventory[[#This Row],[final_det]]</f>
        <v>166500</v>
      </c>
      <c r="CF630" s="3">
        <f>Wapato_Inventory[[#This Row],[crop_value]]+Wapato_Inventory[[#This Row],[final_land]]+Wapato_Inventory[[#This Row],[final_imp]]</f>
        <v>216900</v>
      </c>
      <c r="CH630" t="str">
        <f t="shared" si="9"/>
        <v>update valuation set market_land =50400, market_bldg=166500, market_total =216900, market_mdno =405, market_date ='9/10/2023' where link_id = (select link_id from parcel where parcel_year = '2024' and parcel_id = '19111513429');</v>
      </c>
    </row>
    <row r="631" spans="1:86" x14ac:dyDescent="0.25">
      <c r="A631">
        <v>19111513431</v>
      </c>
      <c r="B631">
        <v>0.15</v>
      </c>
      <c r="C631">
        <v>6543</v>
      </c>
      <c r="D631" t="s">
        <v>144</v>
      </c>
      <c r="E631" t="s">
        <v>54</v>
      </c>
      <c r="F631" t="s">
        <v>54</v>
      </c>
      <c r="G631">
        <v>3</v>
      </c>
      <c r="H631" t="s">
        <v>55</v>
      </c>
      <c r="I631">
        <v>127100</v>
      </c>
      <c r="J631">
        <v>32300</v>
      </c>
      <c r="K631">
        <v>0.15</v>
      </c>
      <c r="L631">
        <f>IF(Wapato_Inventory[[#This Row],[parcel_acres]]-Wapato_Inventory[[#This Row],[non_valued_acres]] =0,0,LN(Wapato_Inventory[[#This Row],[parcel_acres]]-Wapato_Inventory[[#This Row],[non_valued_acres]]))</f>
        <v>-1.8971199848858813</v>
      </c>
      <c r="M631">
        <v>0</v>
      </c>
      <c r="N631">
        <v>0</v>
      </c>
      <c r="O631">
        <v>0</v>
      </c>
      <c r="P631">
        <v>27904.037</v>
      </c>
      <c r="Q631">
        <v>74398</v>
      </c>
      <c r="R631" s="3">
        <f>(Wapato_Inventory[[#This Row],[ln_acres]]*Wapato_Inventory[[#This Row],[coeff]])+Wapato_Inventory[[#This Row],[const]]</f>
        <v>21460.693748304926</v>
      </c>
      <c r="S631" t="s">
        <v>62</v>
      </c>
      <c r="T631">
        <v>1</v>
      </c>
      <c r="U631" t="s">
        <v>71</v>
      </c>
      <c r="V631" t="s">
        <v>68</v>
      </c>
      <c r="W631">
        <v>0</v>
      </c>
      <c r="X631">
        <v>0</v>
      </c>
      <c r="Y631">
        <v>45</v>
      </c>
      <c r="Z631">
        <v>51</v>
      </c>
      <c r="AA631">
        <v>60</v>
      </c>
      <c r="AB631">
        <v>1500</v>
      </c>
      <c r="AC631">
        <v>1008</v>
      </c>
      <c r="AD631">
        <v>1008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480</v>
      </c>
      <c r="AL631">
        <v>0</v>
      </c>
      <c r="AM631">
        <v>140</v>
      </c>
      <c r="AN631">
        <v>60</v>
      </c>
      <c r="AO631">
        <v>140</v>
      </c>
      <c r="AP631">
        <v>5</v>
      </c>
      <c r="AQ631">
        <v>0</v>
      </c>
      <c r="AR631">
        <v>0</v>
      </c>
      <c r="AS631" t="s">
        <v>59</v>
      </c>
      <c r="AT631">
        <v>1</v>
      </c>
      <c r="AU631" t="s">
        <v>72</v>
      </c>
      <c r="AV631" t="s">
        <v>61</v>
      </c>
      <c r="AW631">
        <v>0</v>
      </c>
      <c r="AX631">
        <v>3</v>
      </c>
      <c r="AY631">
        <v>0</v>
      </c>
      <c r="AZ631">
        <v>0</v>
      </c>
      <c r="BA631">
        <v>100</v>
      </c>
      <c r="BB631">
        <v>100</v>
      </c>
      <c r="BC631">
        <v>100</v>
      </c>
      <c r="BD631">
        <v>100</v>
      </c>
      <c r="BE631">
        <v>1</v>
      </c>
      <c r="BF631">
        <v>15000</v>
      </c>
      <c r="BG631">
        <v>1000</v>
      </c>
      <c r="BH631" s="7">
        <f>ROUND(Wapato_Inventory[[#This Row],[detatched_value]]*Lookups!$B$22*Lookups!$H$48,-2)</f>
        <v>0</v>
      </c>
      <c r="BI631" s="7">
        <f>ROUND(((Wapato_Inventory[[#This Row],[land_extract]]*Lookups!$B$3) +(Lookups!$B$2*0.5))*Lookups!$H$48,-2)</f>
        <v>53100</v>
      </c>
      <c r="BJ631" s="7">
        <f>IF(Wapato_Inventory[[#This Row],[bldg_style]]="",0,Lookups!$B$2*0.5)</f>
        <v>53765.27</v>
      </c>
      <c r="BK631" s="7">
        <f>_xlfn.IFNA(VLOOKUP(Wapato_Inventory[[#This Row],[quality]],Lookups!$H$2:$J$14,3,FALSE),0)</f>
        <v>28034</v>
      </c>
      <c r="BL631" s="7">
        <f>_xlfn.IFNA(VLOOKUP(Wapato_Inventory[[#This Row],[condition]],Lookups!$H$17:$J$24,3,FALSE),0)</f>
        <v>52231</v>
      </c>
      <c r="BM631" s="7">
        <f>Wapato_Inventory[[#This Row],[Age]]*Lookups!$B$16</f>
        <v>-18904.4607</v>
      </c>
      <c r="BN631" s="7">
        <f>Wapato_Inventory[[#This Row],[Main Floor]]*Lookups!$B$17</f>
        <v>42135.144912000003</v>
      </c>
      <c r="BO631" s="7">
        <f>Wapato_Inventory[[#This Row],[Upper Floor]]*Lookups!$B$18</f>
        <v>0</v>
      </c>
      <c r="BP631" s="7">
        <f>Wapato_Inventory[[#This Row],[Fin BSMT]]*Lookups!$B$19</f>
        <v>0</v>
      </c>
      <c r="BQ631" s="7">
        <f>(Wapato_Inventory[[#This Row],[att_gar]]+Wapato_Inventory[[#This Row],[blt_gar]])*Lookups!$B$20</f>
        <v>0</v>
      </c>
      <c r="BR631" s="7">
        <f>Wapato_Inventory[[#This Row],[Patio]]*Lookups!$B$21</f>
        <v>6065.3570600000003</v>
      </c>
      <c r="BS631" s="7">
        <f>SUM(Wapato_Inventory[[#This Row],[intercept]:[patio_value]])*Wapato_Inventory[[#This Row],[res_pct]]</f>
        <v>163326.31127200002</v>
      </c>
      <c r="BT631" s="7">
        <f>Wapato_Inventory[[#This Row],[land_value]]</f>
        <v>53100</v>
      </c>
      <c r="BU631" s="2">
        <f>_xlfn.IFNA(VLOOKUP(Wapato_Inventory[[#This Row],[quality]],Lookups!$A$28:$C$37,3,FALSE),1)</f>
        <v>0.96265813922927435</v>
      </c>
      <c r="BV631" s="2">
        <f>_xlfn.IFNA(VLOOKUP(Wapato_Inventory[[#This Row],[condition]],Lookups!$A$41:$C$48,3,FALSE),1)</f>
        <v>0.9832333997567807</v>
      </c>
      <c r="BW631" s="2">
        <f>IF(Wapato_Inventory[[#This Row],[decade]]="",1,_xlfn.IFNA(VLOOKUP(Wapato_Inventory[[#This Row],[decade]],Lookups!$F$28:$H$45,3,FALSE),1))</f>
        <v>1.035341704162583</v>
      </c>
      <c r="BX631" s="2">
        <f>_xlfn.IFNA(VLOOKUP(Wapato_Inventory[[#This Row],[living_area_range]],Lookups!$K$28:$M$37,3,FALSE),1)</f>
        <v>1.0061411172456287</v>
      </c>
      <c r="BY631" s="2">
        <f>AVERAGE(Wapato_Inventory[[#This Row],[qual_adj]:[range_adj]])</f>
        <v>0.9968435900985666</v>
      </c>
      <c r="BZ631" s="7">
        <f>(Wapato_Inventory[[#This Row],[sum_land]]-IF(Wapato_Inventory[[#This Row],[no_utilities]]=1,12000,0))/IF(Wapato_Inventory[[#This Row],[unbuildable]]=1,2,1)</f>
        <v>53100</v>
      </c>
      <c r="CA631" s="7">
        <f>Wapato_Inventory[[#This Row],[pre_res]]*Wapato_Inventory[[#This Row],[overall_adj]]</f>
        <v>162810.78648593649</v>
      </c>
      <c r="CB63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31" s="3">
        <f>IF(ROUND(Wapato_Inventory[[#This Row],[adj_res]]*Lookups!$H$48,-2)&lt;Wapato_Inventory[[#This Row],[min_res]],Wapato_Inventory[[#This Row],[min_res]],ROUND(Wapato_Inventory[[#This Row],[adj_res]]*Lookups!$H$48,-2))</f>
        <v>154700</v>
      </c>
      <c r="CD631" s="3">
        <f>ROUND(Wapato_Inventory[[#This Row],[det_value]]*Lookups!$H$48,-2)</f>
        <v>0</v>
      </c>
      <c r="CE631" s="3">
        <f>Wapato_Inventory[[#This Row],[final_res]]+Wapato_Inventory[[#This Row],[final_det]]</f>
        <v>154700</v>
      </c>
      <c r="CF631" s="3">
        <f>Wapato_Inventory[[#This Row],[crop_value]]+Wapato_Inventory[[#This Row],[final_land]]+Wapato_Inventory[[#This Row],[final_imp]]</f>
        <v>205100</v>
      </c>
      <c r="CH631" t="str">
        <f t="shared" si="9"/>
        <v>update valuation set market_land =50400, market_bldg=154700, market_total =205100, market_mdno =405, market_date ='9/10/2023' where link_id = (select link_id from parcel where parcel_year = '2024' and parcel_id = '19111513431');</v>
      </c>
    </row>
    <row r="632" spans="1:86" x14ac:dyDescent="0.25">
      <c r="A632">
        <v>19111513432</v>
      </c>
      <c r="B632">
        <v>0.13</v>
      </c>
      <c r="C632">
        <v>5847</v>
      </c>
      <c r="D632" t="s">
        <v>144</v>
      </c>
      <c r="E632" t="s">
        <v>54</v>
      </c>
      <c r="F632" t="s">
        <v>54</v>
      </c>
      <c r="G632">
        <v>3</v>
      </c>
      <c r="H632" t="s">
        <v>55</v>
      </c>
      <c r="I632">
        <v>105300</v>
      </c>
      <c r="J632">
        <v>31400</v>
      </c>
      <c r="K632">
        <v>0.13</v>
      </c>
      <c r="L632">
        <f>IF(Wapato_Inventory[[#This Row],[parcel_acres]]-Wapato_Inventory[[#This Row],[non_valued_acres]] =0,0,LN(Wapato_Inventory[[#This Row],[parcel_acres]]-Wapato_Inventory[[#This Row],[non_valued_acres]]))</f>
        <v>-2.0402208285265546</v>
      </c>
      <c r="M632">
        <v>0</v>
      </c>
      <c r="N632">
        <v>0</v>
      </c>
      <c r="O632">
        <v>0</v>
      </c>
      <c r="P632">
        <v>27904.037</v>
      </c>
      <c r="Q632">
        <v>74398</v>
      </c>
      <c r="R632" s="3">
        <f>(Wapato_Inventory[[#This Row],[ln_acres]]*Wapato_Inventory[[#This Row],[coeff]])+Wapato_Inventory[[#This Row],[const]]</f>
        <v>17467.602512624362</v>
      </c>
      <c r="S632" t="s">
        <v>145</v>
      </c>
      <c r="T632">
        <v>1</v>
      </c>
      <c r="U632" t="s">
        <v>71</v>
      </c>
      <c r="V632" t="s">
        <v>68</v>
      </c>
      <c r="W632">
        <v>0</v>
      </c>
      <c r="X632">
        <v>0</v>
      </c>
      <c r="Y632">
        <v>52</v>
      </c>
      <c r="Z632">
        <v>88</v>
      </c>
      <c r="AA632">
        <v>90</v>
      </c>
      <c r="AB632">
        <v>1000</v>
      </c>
      <c r="AC632">
        <v>928</v>
      </c>
      <c r="AD632">
        <v>928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5</v>
      </c>
      <c r="AQ632">
        <v>0</v>
      </c>
      <c r="AR632">
        <v>0</v>
      </c>
      <c r="AS632" t="s">
        <v>59</v>
      </c>
      <c r="AT632">
        <v>0</v>
      </c>
      <c r="AU632" t="s">
        <v>80</v>
      </c>
      <c r="AV632" t="s">
        <v>77</v>
      </c>
      <c r="AW632">
        <v>0</v>
      </c>
      <c r="AX632">
        <v>2</v>
      </c>
      <c r="AY632">
        <v>0</v>
      </c>
      <c r="AZ632">
        <v>0</v>
      </c>
      <c r="BA632">
        <v>100</v>
      </c>
      <c r="BB632">
        <v>100</v>
      </c>
      <c r="BC632">
        <v>100</v>
      </c>
      <c r="BD632">
        <v>100</v>
      </c>
      <c r="BE632">
        <v>1</v>
      </c>
      <c r="BF632">
        <v>15000</v>
      </c>
      <c r="BG632">
        <v>1000</v>
      </c>
      <c r="BH632" s="7">
        <f>ROUND(Wapato_Inventory[[#This Row],[detatched_value]]*Lookups!$B$22*Lookups!$H$48,-2)</f>
        <v>0</v>
      </c>
      <c r="BI632" s="7">
        <f>ROUND(((Wapato_Inventory[[#This Row],[land_extract]]*Lookups!$B$3) +(Lookups!$B$2*0.5))*Lookups!$H$48,-2)</f>
        <v>52800</v>
      </c>
      <c r="BJ632" s="7">
        <f>IF(Wapato_Inventory[[#This Row],[bldg_style]]="",0,Lookups!$B$2*0.5)</f>
        <v>53765.27</v>
      </c>
      <c r="BK632" s="7">
        <f>_xlfn.IFNA(VLOOKUP(Wapato_Inventory[[#This Row],[quality]],Lookups!$H$2:$J$14,3,FALSE),0)</f>
        <v>28034</v>
      </c>
      <c r="BL632" s="7">
        <f>_xlfn.IFNA(VLOOKUP(Wapato_Inventory[[#This Row],[condition]],Lookups!$H$17:$J$24,3,FALSE),0)</f>
        <v>52231</v>
      </c>
      <c r="BM632" s="7">
        <f>Wapato_Inventory[[#This Row],[Age]]*Lookups!$B$16</f>
        <v>-32619.461600000002</v>
      </c>
      <c r="BN632" s="7">
        <f>Wapato_Inventory[[#This Row],[Main Floor]]*Lookups!$B$17</f>
        <v>38791.085791999998</v>
      </c>
      <c r="BO632" s="7">
        <f>Wapato_Inventory[[#This Row],[Upper Floor]]*Lookups!$B$18</f>
        <v>0</v>
      </c>
      <c r="BP632" s="7">
        <f>Wapato_Inventory[[#This Row],[Fin BSMT]]*Lookups!$B$19</f>
        <v>0</v>
      </c>
      <c r="BQ632" s="7">
        <f>(Wapato_Inventory[[#This Row],[att_gar]]+Wapato_Inventory[[#This Row],[blt_gar]])*Lookups!$B$20</f>
        <v>0</v>
      </c>
      <c r="BR632" s="7">
        <f>Wapato_Inventory[[#This Row],[Patio]]*Lookups!$B$21</f>
        <v>0</v>
      </c>
      <c r="BS632" s="7">
        <f>SUM(Wapato_Inventory[[#This Row],[intercept]:[patio_value]])*Wapato_Inventory[[#This Row],[res_pct]]</f>
        <v>140201.89419199998</v>
      </c>
      <c r="BT632" s="7">
        <f>Wapato_Inventory[[#This Row],[land_value]]</f>
        <v>52800</v>
      </c>
      <c r="BU632" s="2">
        <f>_xlfn.IFNA(VLOOKUP(Wapato_Inventory[[#This Row],[quality]],Lookups!$A$28:$C$37,3,FALSE),1)</f>
        <v>0.96265813922927435</v>
      </c>
      <c r="BV632" s="2">
        <f>_xlfn.IFNA(VLOOKUP(Wapato_Inventory[[#This Row],[condition]],Lookups!$A$41:$C$48,3,FALSE),1)</f>
        <v>0.9832333997567807</v>
      </c>
      <c r="BW632" s="2">
        <f>IF(Wapato_Inventory[[#This Row],[decade]]="",1,_xlfn.IFNA(VLOOKUP(Wapato_Inventory[[#This Row],[decade]],Lookups!$F$28:$H$45,3,FALSE),1))</f>
        <v>0.94742695999815718</v>
      </c>
      <c r="BX632" s="2">
        <f>_xlfn.IFNA(VLOOKUP(Wapato_Inventory[[#This Row],[living_area_range]],Lookups!$K$28:$M$37,3,FALSE),1)</f>
        <v>0.99022994770196116</v>
      </c>
      <c r="BY632" s="2">
        <f>AVERAGE(Wapato_Inventory[[#This Row],[qual_adj]:[range_adj]])</f>
        <v>0.97088711167154329</v>
      </c>
      <c r="BZ632" s="7">
        <f>(Wapato_Inventory[[#This Row],[sum_land]]-IF(Wapato_Inventory[[#This Row],[no_utilities]]=1,12000,0))/IF(Wapato_Inventory[[#This Row],[unbuildable]]=1,2,1)</f>
        <v>52800</v>
      </c>
      <c r="CA632" s="7">
        <f>Wapato_Inventory[[#This Row],[pre_res]]*Wapato_Inventory[[#This Row],[overall_adj]]</f>
        <v>136120.21210295017</v>
      </c>
      <c r="CB632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32" s="3">
        <f>IF(ROUND(Wapato_Inventory[[#This Row],[adj_res]]*Lookups!$H$48,-2)&lt;Wapato_Inventory[[#This Row],[min_res]],Wapato_Inventory[[#This Row],[min_res]],ROUND(Wapato_Inventory[[#This Row],[adj_res]]*Lookups!$H$48,-2))</f>
        <v>129300</v>
      </c>
      <c r="CD632" s="3">
        <f>ROUND(Wapato_Inventory[[#This Row],[det_value]]*Lookups!$H$48,-2)</f>
        <v>0</v>
      </c>
      <c r="CE632" s="3">
        <f>Wapato_Inventory[[#This Row],[final_res]]+Wapato_Inventory[[#This Row],[final_det]]</f>
        <v>129300</v>
      </c>
      <c r="CF632" s="3">
        <f>Wapato_Inventory[[#This Row],[crop_value]]+Wapato_Inventory[[#This Row],[final_land]]+Wapato_Inventory[[#This Row],[final_imp]]</f>
        <v>179500</v>
      </c>
      <c r="CH632" t="str">
        <f t="shared" si="9"/>
        <v>update valuation set market_land =50200, market_bldg=129300, market_total =179500, market_mdno =405, market_date ='9/10/2023' where link_id = (select link_id from parcel where parcel_year = '2024' and parcel_id = '19111513432');</v>
      </c>
    </row>
    <row r="633" spans="1:86" x14ac:dyDescent="0.25">
      <c r="A633">
        <v>19111513433</v>
      </c>
      <c r="B633">
        <v>0.14000000000000001</v>
      </c>
      <c r="C633">
        <v>6002</v>
      </c>
      <c r="D633" t="s">
        <v>144</v>
      </c>
      <c r="E633" t="s">
        <v>54</v>
      </c>
      <c r="F633" t="s">
        <v>54</v>
      </c>
      <c r="G633">
        <v>3</v>
      </c>
      <c r="H633" t="s">
        <v>55</v>
      </c>
      <c r="I633">
        <v>171100</v>
      </c>
      <c r="J633">
        <v>31900</v>
      </c>
      <c r="K633">
        <v>0.14000000000000001</v>
      </c>
      <c r="L633">
        <f>IF(Wapato_Inventory[[#This Row],[parcel_acres]]-Wapato_Inventory[[#This Row],[non_valued_acres]] =0,0,LN(Wapato_Inventory[[#This Row],[parcel_acres]]-Wapato_Inventory[[#This Row],[non_valued_acres]]))</f>
        <v>-1.9661128563728327</v>
      </c>
      <c r="M633">
        <v>0</v>
      </c>
      <c r="N633">
        <v>0</v>
      </c>
      <c r="O633">
        <v>0</v>
      </c>
      <c r="P633">
        <v>27904.037</v>
      </c>
      <c r="Q633">
        <v>74398</v>
      </c>
      <c r="R633" s="3">
        <f>(Wapato_Inventory[[#This Row],[ln_acres]]*Wapato_Inventory[[#This Row],[coeff]])+Wapato_Inventory[[#This Row],[const]]</f>
        <v>19535.514109596792</v>
      </c>
      <c r="S633" t="s">
        <v>66</v>
      </c>
      <c r="T633">
        <v>1</v>
      </c>
      <c r="U633" t="s">
        <v>75</v>
      </c>
      <c r="V633" t="s">
        <v>69</v>
      </c>
      <c r="W633">
        <v>0</v>
      </c>
      <c r="X633">
        <v>0</v>
      </c>
      <c r="Y633">
        <v>53</v>
      </c>
      <c r="Z633">
        <v>93</v>
      </c>
      <c r="AA633">
        <v>100</v>
      </c>
      <c r="AB633">
        <v>1500</v>
      </c>
      <c r="AC633">
        <v>1012</v>
      </c>
      <c r="AD633">
        <v>1012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336</v>
      </c>
      <c r="AL633">
        <v>0</v>
      </c>
      <c r="AM633">
        <v>0</v>
      </c>
      <c r="AN633">
        <v>64</v>
      </c>
      <c r="AO633">
        <v>0</v>
      </c>
      <c r="AP633">
        <v>5</v>
      </c>
      <c r="AQ633">
        <v>0</v>
      </c>
      <c r="AR633">
        <v>0</v>
      </c>
      <c r="AS633" t="s">
        <v>59</v>
      </c>
      <c r="AT633">
        <v>1</v>
      </c>
      <c r="AU633" t="s">
        <v>64</v>
      </c>
      <c r="AV633" t="s">
        <v>65</v>
      </c>
      <c r="AW633">
        <v>0</v>
      </c>
      <c r="AX633">
        <v>2</v>
      </c>
      <c r="AY633">
        <v>0</v>
      </c>
      <c r="AZ633">
        <v>0</v>
      </c>
      <c r="BA633">
        <v>100</v>
      </c>
      <c r="BB633">
        <v>100</v>
      </c>
      <c r="BC633">
        <v>100</v>
      </c>
      <c r="BD633">
        <v>100</v>
      </c>
      <c r="BE633">
        <v>1</v>
      </c>
      <c r="BF633">
        <v>15000</v>
      </c>
      <c r="BG633">
        <v>1000</v>
      </c>
      <c r="BH633" s="7">
        <f>ROUND(Wapato_Inventory[[#This Row],[detatched_value]]*Lookups!$B$22*Lookups!$H$48,-2)</f>
        <v>0</v>
      </c>
      <c r="BI633" s="7">
        <f>ROUND(((Wapato_Inventory[[#This Row],[land_extract]]*Lookups!$B$3) +(Lookups!$B$2*0.5))*Lookups!$H$48,-2)</f>
        <v>53000</v>
      </c>
      <c r="BJ633" s="7">
        <f>IF(Wapato_Inventory[[#This Row],[bldg_style]]="",0,Lookups!$B$2*0.5)</f>
        <v>53765.27</v>
      </c>
      <c r="BK633" s="7">
        <f>_xlfn.IFNA(VLOOKUP(Wapato_Inventory[[#This Row],[quality]],Lookups!$H$2:$J$14,3,FALSE),0)</f>
        <v>48043</v>
      </c>
      <c r="BL633" s="7">
        <f>_xlfn.IFNA(VLOOKUP(Wapato_Inventory[[#This Row],[condition]],Lookups!$H$17:$J$24,3,FALSE),0)</f>
        <v>74543</v>
      </c>
      <c r="BM633" s="7">
        <f>Wapato_Inventory[[#This Row],[Age]]*Lookups!$B$16</f>
        <v>-34472.840100000001</v>
      </c>
      <c r="BN633" s="7">
        <f>Wapato_Inventory[[#This Row],[Main Floor]]*Lookups!$B$17</f>
        <v>42302.347867999997</v>
      </c>
      <c r="BO633" s="7">
        <f>Wapato_Inventory[[#This Row],[Upper Floor]]*Lookups!$B$18</f>
        <v>0</v>
      </c>
      <c r="BP633" s="7">
        <f>Wapato_Inventory[[#This Row],[Fin BSMT]]*Lookups!$B$19</f>
        <v>0</v>
      </c>
      <c r="BQ633" s="7">
        <f>(Wapato_Inventory[[#This Row],[att_gar]]+Wapato_Inventory[[#This Row],[blt_gar]])*Lookups!$B$20</f>
        <v>0</v>
      </c>
      <c r="BR633" s="7">
        <f>Wapato_Inventory[[#This Row],[Patio]]*Lookups!$B$21</f>
        <v>0</v>
      </c>
      <c r="BS633" s="7">
        <f>SUM(Wapato_Inventory[[#This Row],[intercept]:[patio_value]])*Wapato_Inventory[[#This Row],[res_pct]]</f>
        <v>184180.77776799997</v>
      </c>
      <c r="BT633" s="7">
        <f>Wapato_Inventory[[#This Row],[land_value]]</f>
        <v>53000</v>
      </c>
      <c r="BU633" s="2">
        <f>_xlfn.IFNA(VLOOKUP(Wapato_Inventory[[#This Row],[quality]],Lookups!$A$28:$C$37,3,FALSE),1)</f>
        <v>0.98196844879778955</v>
      </c>
      <c r="BV633" s="2">
        <f>_xlfn.IFNA(VLOOKUP(Wapato_Inventory[[#This Row],[condition]],Lookups!$A$41:$C$48,3,FALSE),1)</f>
        <v>0.98442438223270734</v>
      </c>
      <c r="BW633" s="2">
        <f>IF(Wapato_Inventory[[#This Row],[decade]]="",1,_xlfn.IFNA(VLOOKUP(Wapato_Inventory[[#This Row],[decade]],Lookups!$F$28:$H$45,3,FALSE),1))</f>
        <v>1.0114203040664467</v>
      </c>
      <c r="BX633" s="2">
        <f>_xlfn.IFNA(VLOOKUP(Wapato_Inventory[[#This Row],[living_area_range]],Lookups!$K$28:$M$37,3,FALSE),1)</f>
        <v>1.0061411172456287</v>
      </c>
      <c r="BY633" s="2">
        <f>AVERAGE(Wapato_Inventory[[#This Row],[qual_adj]:[range_adj]])</f>
        <v>0.9959885630856431</v>
      </c>
      <c r="BZ633" s="7">
        <f>(Wapato_Inventory[[#This Row],[sum_land]]-IF(Wapato_Inventory[[#This Row],[no_utilities]]=1,12000,0))/IF(Wapato_Inventory[[#This Row],[unbuildable]]=1,2,1)</f>
        <v>53000</v>
      </c>
      <c r="CA633" s="7">
        <f>Wapato_Inventory[[#This Row],[pre_res]]*Wapato_Inventory[[#This Row],[overall_adj]]</f>
        <v>183441.94819714644</v>
      </c>
      <c r="CB63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33" s="3">
        <f>IF(ROUND(Wapato_Inventory[[#This Row],[adj_res]]*Lookups!$H$48,-2)&lt;Wapato_Inventory[[#This Row],[min_res]],Wapato_Inventory[[#This Row],[min_res]],ROUND(Wapato_Inventory[[#This Row],[adj_res]]*Lookups!$H$48,-2))</f>
        <v>174300</v>
      </c>
      <c r="CD633" s="3">
        <f>ROUND(Wapato_Inventory[[#This Row],[det_value]]*Lookups!$H$48,-2)</f>
        <v>0</v>
      </c>
      <c r="CE633" s="3">
        <f>Wapato_Inventory[[#This Row],[final_res]]+Wapato_Inventory[[#This Row],[final_det]]</f>
        <v>174300</v>
      </c>
      <c r="CF633" s="3">
        <f>Wapato_Inventory[[#This Row],[crop_value]]+Wapato_Inventory[[#This Row],[final_land]]+Wapato_Inventory[[#This Row],[final_imp]]</f>
        <v>224700</v>
      </c>
      <c r="CH633" t="str">
        <f t="shared" si="9"/>
        <v>update valuation set market_land =50400, market_bldg=174300, market_total =224700, market_mdno =405, market_date ='9/10/2023' where link_id = (select link_id from parcel where parcel_year = '2024' and parcel_id = '19111513433');</v>
      </c>
    </row>
    <row r="634" spans="1:86" x14ac:dyDescent="0.25">
      <c r="A634">
        <v>19111513434</v>
      </c>
      <c r="B634">
        <v>0.13</v>
      </c>
      <c r="C634">
        <v>5585</v>
      </c>
      <c r="D634" t="s">
        <v>144</v>
      </c>
      <c r="E634" t="s">
        <v>54</v>
      </c>
      <c r="F634" t="s">
        <v>54</v>
      </c>
      <c r="G634">
        <v>3</v>
      </c>
      <c r="H634" t="s">
        <v>55</v>
      </c>
      <c r="I634">
        <v>142200</v>
      </c>
      <c r="J634">
        <v>31400</v>
      </c>
      <c r="K634">
        <v>0.13</v>
      </c>
      <c r="L634">
        <f>IF(Wapato_Inventory[[#This Row],[parcel_acres]]-Wapato_Inventory[[#This Row],[non_valued_acres]] =0,0,LN(Wapato_Inventory[[#This Row],[parcel_acres]]-Wapato_Inventory[[#This Row],[non_valued_acres]]))</f>
        <v>-2.0402208285265546</v>
      </c>
      <c r="M634">
        <v>0</v>
      </c>
      <c r="N634">
        <v>0</v>
      </c>
      <c r="O634">
        <v>0</v>
      </c>
      <c r="P634">
        <v>27904.037</v>
      </c>
      <c r="Q634">
        <v>74398</v>
      </c>
      <c r="R634" s="3">
        <f>(Wapato_Inventory[[#This Row],[ln_acres]]*Wapato_Inventory[[#This Row],[coeff]])+Wapato_Inventory[[#This Row],[const]]</f>
        <v>17467.602512624362</v>
      </c>
      <c r="S634" t="s">
        <v>145</v>
      </c>
      <c r="T634">
        <v>2</v>
      </c>
      <c r="U634" t="s">
        <v>67</v>
      </c>
      <c r="V634" t="s">
        <v>68</v>
      </c>
      <c r="W634">
        <v>0</v>
      </c>
      <c r="X634">
        <v>0</v>
      </c>
      <c r="Y634">
        <v>52</v>
      </c>
      <c r="Z634">
        <v>88</v>
      </c>
      <c r="AA634">
        <v>90</v>
      </c>
      <c r="AB634">
        <v>1500</v>
      </c>
      <c r="AC634">
        <v>1120</v>
      </c>
      <c r="AD634">
        <v>820</v>
      </c>
      <c r="AE634">
        <v>300</v>
      </c>
      <c r="AF634">
        <v>0</v>
      </c>
      <c r="AG634">
        <v>0</v>
      </c>
      <c r="AH634">
        <v>820</v>
      </c>
      <c r="AI634">
        <v>0</v>
      </c>
      <c r="AJ634">
        <v>0</v>
      </c>
      <c r="AK634">
        <v>300</v>
      </c>
      <c r="AL634">
        <v>0</v>
      </c>
      <c r="AM634">
        <v>225</v>
      </c>
      <c r="AN634">
        <v>0</v>
      </c>
      <c r="AO634">
        <v>0</v>
      </c>
      <c r="AP634">
        <v>7</v>
      </c>
      <c r="AQ634">
        <v>0</v>
      </c>
      <c r="AR634">
        <v>1</v>
      </c>
      <c r="AS634" t="s">
        <v>59</v>
      </c>
      <c r="AT634">
        <v>1</v>
      </c>
      <c r="AU634" t="s">
        <v>64</v>
      </c>
      <c r="AV634" t="s">
        <v>65</v>
      </c>
      <c r="AW634">
        <v>0</v>
      </c>
      <c r="AX634">
        <v>3</v>
      </c>
      <c r="AY634">
        <v>0</v>
      </c>
      <c r="AZ634">
        <v>0</v>
      </c>
      <c r="BA634">
        <v>100</v>
      </c>
      <c r="BB634">
        <v>100</v>
      </c>
      <c r="BC634">
        <v>100</v>
      </c>
      <c r="BD634">
        <v>100</v>
      </c>
      <c r="BE634">
        <v>1</v>
      </c>
      <c r="BF634">
        <v>15000</v>
      </c>
      <c r="BG634">
        <v>1000</v>
      </c>
      <c r="BH634" s="7">
        <f>ROUND(Wapato_Inventory[[#This Row],[detatched_value]]*Lookups!$B$22*Lookups!$H$48,-2)</f>
        <v>0</v>
      </c>
      <c r="BI634" s="7">
        <f>ROUND(((Wapato_Inventory[[#This Row],[land_extract]]*Lookups!$B$3) +(Lookups!$B$2*0.5))*Lookups!$H$48,-2)</f>
        <v>52800</v>
      </c>
      <c r="BJ634" s="7">
        <f>IF(Wapato_Inventory[[#This Row],[bldg_style]]="",0,Lookups!$B$2*0.5)</f>
        <v>53765.27</v>
      </c>
      <c r="BK634" s="7">
        <f>_xlfn.IFNA(VLOOKUP(Wapato_Inventory[[#This Row],[quality]],Lookups!$H$2:$J$14,3,FALSE),0)</f>
        <v>50405</v>
      </c>
      <c r="BL634" s="7">
        <f>_xlfn.IFNA(VLOOKUP(Wapato_Inventory[[#This Row],[condition]],Lookups!$H$17:$J$24,3,FALSE),0)</f>
        <v>52231</v>
      </c>
      <c r="BM634" s="7">
        <f>Wapato_Inventory[[#This Row],[Age]]*Lookups!$B$16</f>
        <v>-32619.461600000002</v>
      </c>
      <c r="BN634" s="7">
        <f>Wapato_Inventory[[#This Row],[Main Floor]]*Lookups!$B$17</f>
        <v>34276.60598</v>
      </c>
      <c r="BO634" s="7">
        <f>Wapato_Inventory[[#This Row],[Upper Floor]]*Lookups!$B$18</f>
        <v>14880.341700000001</v>
      </c>
      <c r="BP634" s="7">
        <f>Wapato_Inventory[[#This Row],[Fin BSMT]]*Lookups!$B$19</f>
        <v>0</v>
      </c>
      <c r="BQ634" s="7">
        <f>(Wapato_Inventory[[#This Row],[att_gar]]+Wapato_Inventory[[#This Row],[blt_gar]])*Lookups!$B$20</f>
        <v>0</v>
      </c>
      <c r="BR634" s="7">
        <f>Wapato_Inventory[[#This Row],[Patio]]*Lookups!$B$21</f>
        <v>9747.8952750000008</v>
      </c>
      <c r="BS634" s="7">
        <f>SUM(Wapato_Inventory[[#This Row],[intercept]:[patio_value]])*Wapato_Inventory[[#This Row],[res_pct]]</f>
        <v>182686.65135499995</v>
      </c>
      <c r="BT634" s="7">
        <f>Wapato_Inventory[[#This Row],[land_value]]</f>
        <v>52800</v>
      </c>
      <c r="BU634" s="2">
        <f>_xlfn.IFNA(VLOOKUP(Wapato_Inventory[[#This Row],[quality]],Lookups!$A$28:$C$37,3,FALSE),1)</f>
        <v>0.97993206410140754</v>
      </c>
      <c r="BV634" s="2">
        <f>_xlfn.IFNA(VLOOKUP(Wapato_Inventory[[#This Row],[condition]],Lookups!$A$41:$C$48,3,FALSE),1)</f>
        <v>0.9832333997567807</v>
      </c>
      <c r="BW634" s="2">
        <f>IF(Wapato_Inventory[[#This Row],[decade]]="",1,_xlfn.IFNA(VLOOKUP(Wapato_Inventory[[#This Row],[decade]],Lookups!$F$28:$H$45,3,FALSE),1))</f>
        <v>0.94742695999815718</v>
      </c>
      <c r="BX634" s="2">
        <f>_xlfn.IFNA(VLOOKUP(Wapato_Inventory[[#This Row],[living_area_range]],Lookups!$K$28:$M$37,3,FALSE),1)</f>
        <v>1.0061411172456287</v>
      </c>
      <c r="BY634" s="2">
        <f>AVERAGE(Wapato_Inventory[[#This Row],[qual_adj]:[range_adj]])</f>
        <v>0.97918338527549353</v>
      </c>
      <c r="BZ634" s="7">
        <f>(Wapato_Inventory[[#This Row],[sum_land]]-IF(Wapato_Inventory[[#This Row],[no_utilities]]=1,12000,0))/IF(Wapato_Inventory[[#This Row],[unbuildable]]=1,2,1)</f>
        <v>52800</v>
      </c>
      <c r="CA634" s="7">
        <f>Wapato_Inventory[[#This Row],[pre_res]]*Wapato_Inventory[[#This Row],[overall_adj]]</f>
        <v>178883.73371843269</v>
      </c>
      <c r="CB634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34" s="3">
        <f>IF(ROUND(Wapato_Inventory[[#This Row],[adj_res]]*Lookups!$H$48,-2)&lt;Wapato_Inventory[[#This Row],[min_res]],Wapato_Inventory[[#This Row],[min_res]],ROUND(Wapato_Inventory[[#This Row],[adj_res]]*Lookups!$H$48,-2))</f>
        <v>169900</v>
      </c>
      <c r="CD634" s="3">
        <f>ROUND(Wapato_Inventory[[#This Row],[det_value]]*Lookups!$H$48,-2)</f>
        <v>0</v>
      </c>
      <c r="CE634" s="3">
        <f>Wapato_Inventory[[#This Row],[final_res]]+Wapato_Inventory[[#This Row],[final_det]]</f>
        <v>169900</v>
      </c>
      <c r="CF634" s="3">
        <f>Wapato_Inventory[[#This Row],[crop_value]]+Wapato_Inventory[[#This Row],[final_land]]+Wapato_Inventory[[#This Row],[final_imp]]</f>
        <v>220100</v>
      </c>
      <c r="CH634" t="str">
        <f t="shared" si="9"/>
        <v>update valuation set market_land =50200, market_bldg=169900, market_total =220100, market_mdno =405, market_date ='9/10/2023' where link_id = (select link_id from parcel where parcel_year = '2024' and parcel_id = '19111513434');</v>
      </c>
    </row>
    <row r="635" spans="1:86" x14ac:dyDescent="0.25">
      <c r="A635">
        <v>19111513435</v>
      </c>
      <c r="B635">
        <v>0.15</v>
      </c>
      <c r="C635">
        <v>6448</v>
      </c>
      <c r="D635" t="s">
        <v>144</v>
      </c>
      <c r="E635" t="s">
        <v>54</v>
      </c>
      <c r="F635" t="s">
        <v>54</v>
      </c>
      <c r="G635">
        <v>3</v>
      </c>
      <c r="H635" t="s">
        <v>55</v>
      </c>
      <c r="I635">
        <v>215300</v>
      </c>
      <c r="J635">
        <v>32300</v>
      </c>
      <c r="K635">
        <v>0.15</v>
      </c>
      <c r="L635">
        <f>IF(Wapato_Inventory[[#This Row],[parcel_acres]]-Wapato_Inventory[[#This Row],[non_valued_acres]] =0,0,LN(Wapato_Inventory[[#This Row],[parcel_acres]]-Wapato_Inventory[[#This Row],[non_valued_acres]]))</f>
        <v>-1.8971199848858813</v>
      </c>
      <c r="M635">
        <v>0</v>
      </c>
      <c r="N635">
        <v>0</v>
      </c>
      <c r="O635">
        <v>0</v>
      </c>
      <c r="P635">
        <v>27904.037</v>
      </c>
      <c r="Q635">
        <v>74398</v>
      </c>
      <c r="R635" s="3">
        <f>(Wapato_Inventory[[#This Row],[ln_acres]]*Wapato_Inventory[[#This Row],[coeff]])+Wapato_Inventory[[#This Row],[const]]</f>
        <v>21460.693748304926</v>
      </c>
      <c r="S635" t="s">
        <v>110</v>
      </c>
      <c r="T635">
        <v>1</v>
      </c>
      <c r="U635" t="s">
        <v>65</v>
      </c>
      <c r="V635" t="s">
        <v>68</v>
      </c>
      <c r="W635">
        <v>0</v>
      </c>
      <c r="X635">
        <v>0</v>
      </c>
      <c r="Y635">
        <v>52</v>
      </c>
      <c r="Z635">
        <v>85</v>
      </c>
      <c r="AA635">
        <v>90</v>
      </c>
      <c r="AB635">
        <v>3000</v>
      </c>
      <c r="AC635">
        <v>2610</v>
      </c>
      <c r="AD635">
        <v>2082</v>
      </c>
      <c r="AE635">
        <v>0</v>
      </c>
      <c r="AF635">
        <v>0</v>
      </c>
      <c r="AG635">
        <v>528</v>
      </c>
      <c r="AH635">
        <v>615</v>
      </c>
      <c r="AI635">
        <v>0</v>
      </c>
      <c r="AJ635">
        <v>0</v>
      </c>
      <c r="AK635">
        <v>0</v>
      </c>
      <c r="AL635">
        <v>0</v>
      </c>
      <c r="AM635">
        <v>190</v>
      </c>
      <c r="AN635">
        <v>0</v>
      </c>
      <c r="AO635">
        <v>0</v>
      </c>
      <c r="AP635">
        <v>8</v>
      </c>
      <c r="AQ635">
        <v>0</v>
      </c>
      <c r="AR635">
        <v>1</v>
      </c>
      <c r="AS635" t="s">
        <v>59</v>
      </c>
      <c r="AT635">
        <v>1</v>
      </c>
      <c r="AU635" t="s">
        <v>64</v>
      </c>
      <c r="AV635" t="s">
        <v>65</v>
      </c>
      <c r="AW635">
        <v>1</v>
      </c>
      <c r="AX635">
        <v>3</v>
      </c>
      <c r="AY635">
        <v>0</v>
      </c>
      <c r="AZ635">
        <v>6700</v>
      </c>
      <c r="BA635">
        <v>100</v>
      </c>
      <c r="BB635">
        <v>100</v>
      </c>
      <c r="BC635">
        <v>100</v>
      </c>
      <c r="BD635">
        <v>100</v>
      </c>
      <c r="BE635">
        <v>1</v>
      </c>
      <c r="BF635">
        <v>15000</v>
      </c>
      <c r="BG635">
        <v>1000</v>
      </c>
      <c r="BH635" s="7">
        <f>ROUND(Wapato_Inventory[[#This Row],[detatched_value]]*Lookups!$B$22*Lookups!$H$48,-2)</f>
        <v>6000</v>
      </c>
      <c r="BI635" s="7">
        <f>ROUND(((Wapato_Inventory[[#This Row],[land_extract]]*Lookups!$B$3) +(Lookups!$B$2*0.5))*Lookups!$H$48,-2)</f>
        <v>53100</v>
      </c>
      <c r="BJ635" s="7">
        <f>IF(Wapato_Inventory[[#This Row],[bldg_style]]="",0,Lookups!$B$2*0.5)</f>
        <v>53765.27</v>
      </c>
      <c r="BK635" s="7">
        <f>_xlfn.IFNA(VLOOKUP(Wapato_Inventory[[#This Row],[quality]],Lookups!$H$2:$J$14,3,FALSE),0)</f>
        <v>92307</v>
      </c>
      <c r="BL635" s="7">
        <f>_xlfn.IFNA(VLOOKUP(Wapato_Inventory[[#This Row],[condition]],Lookups!$H$17:$J$24,3,FALSE),0)</f>
        <v>52231</v>
      </c>
      <c r="BM635" s="7">
        <f>Wapato_Inventory[[#This Row],[Age]]*Lookups!$B$16</f>
        <v>-31507.434499999999</v>
      </c>
      <c r="BN635" s="7">
        <f>Wapato_Inventory[[#This Row],[Main Floor]]*Lookups!$B$17</f>
        <v>87029.138598000005</v>
      </c>
      <c r="BO635" s="7">
        <f>Wapato_Inventory[[#This Row],[Upper Floor]]*Lookups!$B$18</f>
        <v>0</v>
      </c>
      <c r="BP635" s="7">
        <f>Wapato_Inventory[[#This Row],[Fin BSMT]]*Lookups!$B$19</f>
        <v>12865.638720000001</v>
      </c>
      <c r="BQ635" s="7">
        <f>(Wapato_Inventory[[#This Row],[att_gar]]+Wapato_Inventory[[#This Row],[blt_gar]])*Lookups!$B$20</f>
        <v>0</v>
      </c>
      <c r="BR635" s="7">
        <f>Wapato_Inventory[[#This Row],[Patio]]*Lookups!$B$21</f>
        <v>8231.5560100000002</v>
      </c>
      <c r="BS635" s="7">
        <f>SUM(Wapato_Inventory[[#This Row],[intercept]:[patio_value]])*Wapato_Inventory[[#This Row],[res_pct]]</f>
        <v>274922.16882799997</v>
      </c>
      <c r="BT635" s="7">
        <f>Wapato_Inventory[[#This Row],[land_value]]</f>
        <v>53100</v>
      </c>
      <c r="BU635" s="2">
        <f>_xlfn.IFNA(VLOOKUP(Wapato_Inventory[[#This Row],[quality]],Lookups!$A$28:$C$37,3,FALSE),1)</f>
        <v>1.0013727718490204</v>
      </c>
      <c r="BV635" s="2">
        <f>_xlfn.IFNA(VLOOKUP(Wapato_Inventory[[#This Row],[condition]],Lookups!$A$41:$C$48,3,FALSE),1)</f>
        <v>0.9832333997567807</v>
      </c>
      <c r="BW635" s="2">
        <f>IF(Wapato_Inventory[[#This Row],[decade]]="",1,_xlfn.IFNA(VLOOKUP(Wapato_Inventory[[#This Row],[decade]],Lookups!$F$28:$H$45,3,FALSE),1))</f>
        <v>0.94742695999815718</v>
      </c>
      <c r="BX635" s="2">
        <f>_xlfn.IFNA(VLOOKUP(Wapato_Inventory[[#This Row],[living_area_range]],Lookups!$K$28:$M$37,3,FALSE),1)</f>
        <v>1.0155869662067822</v>
      </c>
      <c r="BY635" s="2">
        <f>AVERAGE(Wapato_Inventory[[#This Row],[qual_adj]:[range_adj]])</f>
        <v>0.98690502445268513</v>
      </c>
      <c r="BZ635" s="7">
        <f>(Wapato_Inventory[[#This Row],[sum_land]]-IF(Wapato_Inventory[[#This Row],[no_utilities]]=1,12000,0))/IF(Wapato_Inventory[[#This Row],[unbuildable]]=1,2,1)</f>
        <v>53100</v>
      </c>
      <c r="CA635" s="7">
        <f>Wapato_Inventory[[#This Row],[pre_res]]*Wapato_Inventory[[#This Row],[overall_adj]]</f>
        <v>271322.06974978256</v>
      </c>
      <c r="CB63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35" s="3">
        <f>IF(ROUND(Wapato_Inventory[[#This Row],[adj_res]]*Lookups!$H$48,-2)&lt;Wapato_Inventory[[#This Row],[min_res]],Wapato_Inventory[[#This Row],[min_res]],ROUND(Wapato_Inventory[[#This Row],[adj_res]]*Lookups!$H$48,-2))</f>
        <v>257800</v>
      </c>
      <c r="CD635" s="3">
        <f>ROUND(Wapato_Inventory[[#This Row],[det_value]]*Lookups!$H$48,-2)</f>
        <v>5700</v>
      </c>
      <c r="CE635" s="3">
        <f>Wapato_Inventory[[#This Row],[final_res]]+Wapato_Inventory[[#This Row],[final_det]]</f>
        <v>263500</v>
      </c>
      <c r="CF635" s="3">
        <f>Wapato_Inventory[[#This Row],[crop_value]]+Wapato_Inventory[[#This Row],[final_land]]+Wapato_Inventory[[#This Row],[final_imp]]</f>
        <v>313900</v>
      </c>
      <c r="CH635" t="str">
        <f t="shared" si="9"/>
        <v>update valuation set market_land =50400, market_bldg=263500, market_total =313900, market_mdno =405, market_date ='9/10/2023' where link_id = (select link_id from parcel where parcel_year = '2024' and parcel_id = '19111513435');</v>
      </c>
    </row>
    <row r="636" spans="1:86" x14ac:dyDescent="0.25">
      <c r="A636">
        <v>19111513436</v>
      </c>
      <c r="B636">
        <v>0.14000000000000001</v>
      </c>
      <c r="C636">
        <v>6102</v>
      </c>
      <c r="D636" t="s">
        <v>144</v>
      </c>
      <c r="E636" t="s">
        <v>54</v>
      </c>
      <c r="F636" t="s">
        <v>54</v>
      </c>
      <c r="G636">
        <v>3</v>
      </c>
      <c r="H636" t="s">
        <v>55</v>
      </c>
      <c r="I636">
        <v>212200</v>
      </c>
      <c r="J636">
        <v>31900</v>
      </c>
      <c r="K636">
        <v>0.14000000000000001</v>
      </c>
      <c r="L636">
        <f>IF(Wapato_Inventory[[#This Row],[parcel_acres]]-Wapato_Inventory[[#This Row],[non_valued_acres]] =0,0,LN(Wapato_Inventory[[#This Row],[parcel_acres]]-Wapato_Inventory[[#This Row],[non_valued_acres]]))</f>
        <v>-1.9661128563728327</v>
      </c>
      <c r="M636">
        <v>0</v>
      </c>
      <c r="N636">
        <v>0</v>
      </c>
      <c r="O636">
        <v>0</v>
      </c>
      <c r="P636">
        <v>27904.037</v>
      </c>
      <c r="Q636">
        <v>74398</v>
      </c>
      <c r="R636" s="3">
        <f>(Wapato_Inventory[[#This Row],[ln_acres]]*Wapato_Inventory[[#This Row],[coeff]])+Wapato_Inventory[[#This Row],[const]]</f>
        <v>19535.514109596792</v>
      </c>
      <c r="S636" t="s">
        <v>66</v>
      </c>
      <c r="T636">
        <v>1</v>
      </c>
      <c r="U636" t="s">
        <v>75</v>
      </c>
      <c r="V636" t="s">
        <v>69</v>
      </c>
      <c r="W636">
        <v>0</v>
      </c>
      <c r="X636">
        <v>0</v>
      </c>
      <c r="Y636">
        <v>44</v>
      </c>
      <c r="Z636">
        <v>48</v>
      </c>
      <c r="AA636">
        <v>50</v>
      </c>
      <c r="AB636">
        <v>1500</v>
      </c>
      <c r="AC636">
        <v>1040</v>
      </c>
      <c r="AD636">
        <v>1040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128</v>
      </c>
      <c r="AM636">
        <v>80</v>
      </c>
      <c r="AN636">
        <v>0</v>
      </c>
      <c r="AO636">
        <v>104</v>
      </c>
      <c r="AP636">
        <v>8</v>
      </c>
      <c r="AQ636">
        <v>1</v>
      </c>
      <c r="AR636">
        <v>0</v>
      </c>
      <c r="AS636" t="s">
        <v>59</v>
      </c>
      <c r="AT636">
        <v>1</v>
      </c>
      <c r="AU636" t="s">
        <v>64</v>
      </c>
      <c r="AV636" t="s">
        <v>65</v>
      </c>
      <c r="AW636">
        <v>1</v>
      </c>
      <c r="AX636">
        <v>2</v>
      </c>
      <c r="AY636">
        <v>0</v>
      </c>
      <c r="AZ636">
        <v>12800</v>
      </c>
      <c r="BA636">
        <v>100</v>
      </c>
      <c r="BB636">
        <v>100</v>
      </c>
      <c r="BC636">
        <v>100</v>
      </c>
      <c r="BD636">
        <v>100</v>
      </c>
      <c r="BE636">
        <v>1</v>
      </c>
      <c r="BF636">
        <v>15000</v>
      </c>
      <c r="BG636">
        <v>1000</v>
      </c>
      <c r="BH636" s="7">
        <f>ROUND(Wapato_Inventory[[#This Row],[detatched_value]]*Lookups!$B$22*Lookups!$H$48,-2)</f>
        <v>11400</v>
      </c>
      <c r="BI636" s="7">
        <f>ROUND(((Wapato_Inventory[[#This Row],[land_extract]]*Lookups!$B$3) +(Lookups!$B$2*0.5))*Lookups!$H$48,-2)</f>
        <v>53000</v>
      </c>
      <c r="BJ636" s="7">
        <f>IF(Wapato_Inventory[[#This Row],[bldg_style]]="",0,Lookups!$B$2*0.5)</f>
        <v>53765.27</v>
      </c>
      <c r="BK636" s="7">
        <f>_xlfn.IFNA(VLOOKUP(Wapato_Inventory[[#This Row],[quality]],Lookups!$H$2:$J$14,3,FALSE),0)</f>
        <v>48043</v>
      </c>
      <c r="BL636" s="7">
        <f>_xlfn.IFNA(VLOOKUP(Wapato_Inventory[[#This Row],[condition]],Lookups!$H$17:$J$24,3,FALSE),0)</f>
        <v>74543</v>
      </c>
      <c r="BM636" s="7">
        <f>Wapato_Inventory[[#This Row],[Age]]*Lookups!$B$16</f>
        <v>-17792.4336</v>
      </c>
      <c r="BN636" s="7">
        <f>Wapato_Inventory[[#This Row],[Main Floor]]*Lookups!$B$17</f>
        <v>43472.768559999997</v>
      </c>
      <c r="BO636" s="7">
        <f>Wapato_Inventory[[#This Row],[Upper Floor]]*Lookups!$B$18</f>
        <v>0</v>
      </c>
      <c r="BP636" s="7">
        <f>Wapato_Inventory[[#This Row],[Fin BSMT]]*Lookups!$B$19</f>
        <v>0</v>
      </c>
      <c r="BQ636" s="7">
        <f>(Wapato_Inventory[[#This Row],[att_gar]]+Wapato_Inventory[[#This Row],[blt_gar]])*Lookups!$B$20</f>
        <v>0</v>
      </c>
      <c r="BR636" s="7">
        <f>Wapato_Inventory[[#This Row],[Patio]]*Lookups!$B$21</f>
        <v>3465.9183200000002</v>
      </c>
      <c r="BS636" s="7">
        <f>SUM(Wapato_Inventory[[#This Row],[intercept]:[patio_value]])*Wapato_Inventory[[#This Row],[res_pct]]</f>
        <v>205497.52327999999</v>
      </c>
      <c r="BT636" s="7">
        <f>Wapato_Inventory[[#This Row],[land_value]]</f>
        <v>53000</v>
      </c>
      <c r="BU636" s="2">
        <f>_xlfn.IFNA(VLOOKUP(Wapato_Inventory[[#This Row],[quality]],Lookups!$A$28:$C$37,3,FALSE),1)</f>
        <v>0.98196844879778955</v>
      </c>
      <c r="BV636" s="2">
        <f>_xlfn.IFNA(VLOOKUP(Wapato_Inventory[[#This Row],[condition]],Lookups!$A$41:$C$48,3,FALSE),1)</f>
        <v>0.98442438223270734</v>
      </c>
      <c r="BW636" s="2">
        <f>IF(Wapato_Inventory[[#This Row],[decade]]="",1,_xlfn.IFNA(VLOOKUP(Wapato_Inventory[[#This Row],[decade]],Lookups!$F$28:$H$45,3,FALSE),1))</f>
        <v>0.96240333884358298</v>
      </c>
      <c r="BX636" s="2">
        <f>_xlfn.IFNA(VLOOKUP(Wapato_Inventory[[#This Row],[living_area_range]],Lookups!$K$28:$M$37,3,FALSE),1)</f>
        <v>1.0061411172456287</v>
      </c>
      <c r="BY636" s="2">
        <f>AVERAGE(Wapato_Inventory[[#This Row],[qual_adj]:[range_adj]])</f>
        <v>0.98373432177992715</v>
      </c>
      <c r="BZ636" s="7">
        <f>(Wapato_Inventory[[#This Row],[sum_land]]-IF(Wapato_Inventory[[#This Row],[no_utilities]]=1,12000,0))/IF(Wapato_Inventory[[#This Row],[unbuildable]]=1,2,1)</f>
        <v>53000</v>
      </c>
      <c r="CA636" s="7">
        <f>Wapato_Inventory[[#This Row],[pre_res]]*Wapato_Inventory[[#This Row],[overall_adj]]</f>
        <v>202154.96669130557</v>
      </c>
      <c r="CB63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36" s="3">
        <f>IF(ROUND(Wapato_Inventory[[#This Row],[adj_res]]*Lookups!$H$48,-2)&lt;Wapato_Inventory[[#This Row],[min_res]],Wapato_Inventory[[#This Row],[min_res]],ROUND(Wapato_Inventory[[#This Row],[adj_res]]*Lookups!$H$48,-2))</f>
        <v>192000</v>
      </c>
      <c r="CD636" s="3">
        <f>ROUND(Wapato_Inventory[[#This Row],[det_value]]*Lookups!$H$48,-2)</f>
        <v>10800</v>
      </c>
      <c r="CE636" s="3">
        <f>Wapato_Inventory[[#This Row],[final_res]]+Wapato_Inventory[[#This Row],[final_det]]</f>
        <v>202800</v>
      </c>
      <c r="CF636" s="3">
        <f>Wapato_Inventory[[#This Row],[crop_value]]+Wapato_Inventory[[#This Row],[final_land]]+Wapato_Inventory[[#This Row],[final_imp]]</f>
        <v>253200</v>
      </c>
      <c r="CH636" t="str">
        <f t="shared" si="9"/>
        <v>update valuation set market_land =50400, market_bldg=202800, market_total =253200, market_mdno =405, market_date ='9/10/2023' where link_id = (select link_id from parcel where parcel_year = '2024' and parcel_id = '19111513436');</v>
      </c>
    </row>
    <row r="637" spans="1:86" x14ac:dyDescent="0.25">
      <c r="A637">
        <v>19111513437</v>
      </c>
      <c r="B637">
        <v>0.14000000000000001</v>
      </c>
      <c r="C637">
        <v>6313</v>
      </c>
      <c r="D637" t="s">
        <v>144</v>
      </c>
      <c r="E637" t="s">
        <v>54</v>
      </c>
      <c r="F637" t="s">
        <v>54</v>
      </c>
      <c r="G637">
        <v>3</v>
      </c>
      <c r="H637" t="s">
        <v>55</v>
      </c>
      <c r="I637">
        <v>123200</v>
      </c>
      <c r="J637">
        <v>31900</v>
      </c>
      <c r="K637">
        <v>0.14000000000000001</v>
      </c>
      <c r="L637">
        <f>IF(Wapato_Inventory[[#This Row],[parcel_acres]]-Wapato_Inventory[[#This Row],[non_valued_acres]] =0,0,LN(Wapato_Inventory[[#This Row],[parcel_acres]]-Wapato_Inventory[[#This Row],[non_valued_acres]]))</f>
        <v>-1.9661128563728327</v>
      </c>
      <c r="M637">
        <v>0</v>
      </c>
      <c r="N637">
        <v>0</v>
      </c>
      <c r="O637">
        <v>0</v>
      </c>
      <c r="P637">
        <v>27904.037</v>
      </c>
      <c r="Q637">
        <v>74398</v>
      </c>
      <c r="R637" s="3">
        <f>(Wapato_Inventory[[#This Row],[ln_acres]]*Wapato_Inventory[[#This Row],[coeff]])+Wapato_Inventory[[#This Row],[const]]</f>
        <v>19535.514109596792</v>
      </c>
      <c r="S637" t="s">
        <v>66</v>
      </c>
      <c r="T637">
        <v>1</v>
      </c>
      <c r="U637" t="s">
        <v>71</v>
      </c>
      <c r="V637" t="s">
        <v>68</v>
      </c>
      <c r="W637">
        <v>0</v>
      </c>
      <c r="X637">
        <v>0</v>
      </c>
      <c r="Y637">
        <v>57</v>
      </c>
      <c r="Z637">
        <v>103</v>
      </c>
      <c r="AA637">
        <v>110</v>
      </c>
      <c r="AB637">
        <v>1500</v>
      </c>
      <c r="AC637">
        <v>1252</v>
      </c>
      <c r="AD637">
        <v>1252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5</v>
      </c>
      <c r="AQ637">
        <v>0</v>
      </c>
      <c r="AR637">
        <v>0</v>
      </c>
      <c r="AS637" t="s">
        <v>59</v>
      </c>
      <c r="AT637">
        <v>1</v>
      </c>
      <c r="AU637" t="s">
        <v>72</v>
      </c>
      <c r="AV637" t="s">
        <v>61</v>
      </c>
      <c r="AW637">
        <v>0</v>
      </c>
      <c r="AX637">
        <v>4</v>
      </c>
      <c r="AY637">
        <v>0</v>
      </c>
      <c r="AZ637">
        <v>3000</v>
      </c>
      <c r="BA637">
        <v>100</v>
      </c>
      <c r="BB637">
        <v>100</v>
      </c>
      <c r="BC637">
        <v>100</v>
      </c>
      <c r="BD637">
        <v>100</v>
      </c>
      <c r="BE637">
        <v>1</v>
      </c>
      <c r="BF637">
        <v>15000</v>
      </c>
      <c r="BG637">
        <v>1000</v>
      </c>
      <c r="BH637" s="7">
        <f>ROUND(Wapato_Inventory[[#This Row],[detatched_value]]*Lookups!$B$22*Lookups!$H$48,-2)</f>
        <v>2700</v>
      </c>
      <c r="BI637" s="7">
        <f>ROUND(((Wapato_Inventory[[#This Row],[land_extract]]*Lookups!$B$3) +(Lookups!$B$2*0.5))*Lookups!$H$48,-2)</f>
        <v>53000</v>
      </c>
      <c r="BJ637" s="7">
        <f>IF(Wapato_Inventory[[#This Row],[bldg_style]]="",0,Lookups!$B$2*0.5)</f>
        <v>53765.27</v>
      </c>
      <c r="BK637" s="7">
        <f>_xlfn.IFNA(VLOOKUP(Wapato_Inventory[[#This Row],[quality]],Lookups!$H$2:$J$14,3,FALSE),0)</f>
        <v>28034</v>
      </c>
      <c r="BL637" s="7">
        <f>_xlfn.IFNA(VLOOKUP(Wapato_Inventory[[#This Row],[condition]],Lookups!$H$17:$J$24,3,FALSE),0)</f>
        <v>52231</v>
      </c>
      <c r="BM637" s="7">
        <f>Wapato_Inventory[[#This Row],[Age]]*Lookups!$B$16</f>
        <v>-38179.597099999999</v>
      </c>
      <c r="BN637" s="7">
        <f>Wapato_Inventory[[#This Row],[Main Floor]]*Lookups!$B$17</f>
        <v>52334.525227999999</v>
      </c>
      <c r="BO637" s="7">
        <f>Wapato_Inventory[[#This Row],[Upper Floor]]*Lookups!$B$18</f>
        <v>0</v>
      </c>
      <c r="BP637" s="7">
        <f>Wapato_Inventory[[#This Row],[Fin BSMT]]*Lookups!$B$19</f>
        <v>0</v>
      </c>
      <c r="BQ637" s="7">
        <f>(Wapato_Inventory[[#This Row],[att_gar]]+Wapato_Inventory[[#This Row],[blt_gar]])*Lookups!$B$20</f>
        <v>0</v>
      </c>
      <c r="BR637" s="7">
        <f>Wapato_Inventory[[#This Row],[Patio]]*Lookups!$B$21</f>
        <v>0</v>
      </c>
      <c r="BS637" s="7">
        <f>SUM(Wapato_Inventory[[#This Row],[intercept]:[patio_value]])*Wapato_Inventory[[#This Row],[res_pct]]</f>
        <v>148185.19812799999</v>
      </c>
      <c r="BT637" s="7">
        <f>Wapato_Inventory[[#This Row],[land_value]]</f>
        <v>53000</v>
      </c>
      <c r="BU637" s="2">
        <f>_xlfn.IFNA(VLOOKUP(Wapato_Inventory[[#This Row],[quality]],Lookups!$A$28:$C$37,3,FALSE),1)</f>
        <v>0.96265813922927435</v>
      </c>
      <c r="BV637" s="2">
        <f>_xlfn.IFNA(VLOOKUP(Wapato_Inventory[[#This Row],[condition]],Lookups!$A$41:$C$48,3,FALSE),1)</f>
        <v>0.9832333997567807</v>
      </c>
      <c r="BW637" s="2">
        <f>IF(Wapato_Inventory[[#This Row],[decade]]="",1,_xlfn.IFNA(VLOOKUP(Wapato_Inventory[[#This Row],[decade]],Lookups!$F$28:$H$45,3,FALSE),1))</f>
        <v>0.93664589651353292</v>
      </c>
      <c r="BX637" s="2">
        <f>_xlfn.IFNA(VLOOKUP(Wapato_Inventory[[#This Row],[living_area_range]],Lookups!$K$28:$M$37,3,FALSE),1)</f>
        <v>1.0061411172456287</v>
      </c>
      <c r="BY637" s="2">
        <f>AVERAGE(Wapato_Inventory[[#This Row],[qual_adj]:[range_adj]])</f>
        <v>0.97216963818630409</v>
      </c>
      <c r="BZ637" s="7">
        <f>(Wapato_Inventory[[#This Row],[sum_land]]-IF(Wapato_Inventory[[#This Row],[no_utilities]]=1,12000,0))/IF(Wapato_Inventory[[#This Row],[unbuildable]]=1,2,1)</f>
        <v>53000</v>
      </c>
      <c r="CA637" s="7">
        <f>Wapato_Inventory[[#This Row],[pre_res]]*Wapato_Inventory[[#This Row],[overall_adj]]</f>
        <v>144061.15044866354</v>
      </c>
      <c r="CB63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37" s="3">
        <f>IF(ROUND(Wapato_Inventory[[#This Row],[adj_res]]*Lookups!$H$48,-2)&lt;Wapato_Inventory[[#This Row],[min_res]],Wapato_Inventory[[#This Row],[min_res]],ROUND(Wapato_Inventory[[#This Row],[adj_res]]*Lookups!$H$48,-2))</f>
        <v>136900</v>
      </c>
      <c r="CD637" s="3">
        <f>ROUND(Wapato_Inventory[[#This Row],[det_value]]*Lookups!$H$48,-2)</f>
        <v>2600</v>
      </c>
      <c r="CE637" s="3">
        <f>Wapato_Inventory[[#This Row],[final_res]]+Wapato_Inventory[[#This Row],[final_det]]</f>
        <v>139500</v>
      </c>
      <c r="CF637" s="3">
        <f>Wapato_Inventory[[#This Row],[crop_value]]+Wapato_Inventory[[#This Row],[final_land]]+Wapato_Inventory[[#This Row],[final_imp]]</f>
        <v>189900</v>
      </c>
      <c r="CH637" t="str">
        <f t="shared" si="9"/>
        <v>update valuation set market_land =50400, market_bldg=139500, market_total =189900, market_mdno =405, market_date ='9/10/2023' where link_id = (select link_id from parcel where parcel_year = '2024' and parcel_id = '19111513437');</v>
      </c>
    </row>
    <row r="638" spans="1:86" x14ac:dyDescent="0.25">
      <c r="A638">
        <v>19111513438</v>
      </c>
      <c r="B638">
        <v>0.26</v>
      </c>
      <c r="C638">
        <v>11130</v>
      </c>
      <c r="D638" t="s">
        <v>144</v>
      </c>
      <c r="E638" t="s">
        <v>54</v>
      </c>
      <c r="F638" t="s">
        <v>54</v>
      </c>
      <c r="G638">
        <v>3</v>
      </c>
      <c r="H638" t="s">
        <v>55</v>
      </c>
      <c r="I638">
        <v>153000</v>
      </c>
      <c r="J638">
        <v>36300</v>
      </c>
      <c r="K638">
        <v>0.26</v>
      </c>
      <c r="L638">
        <f>IF(Wapato_Inventory[[#This Row],[parcel_acres]]-Wapato_Inventory[[#This Row],[non_valued_acres]] =0,0,LN(Wapato_Inventory[[#This Row],[parcel_acres]]-Wapato_Inventory[[#This Row],[non_valued_acres]]))</f>
        <v>-1.3470736479666092</v>
      </c>
      <c r="M638">
        <v>0</v>
      </c>
      <c r="N638">
        <v>0</v>
      </c>
      <c r="O638">
        <v>0</v>
      </c>
      <c r="P638">
        <v>27904.037</v>
      </c>
      <c r="Q638">
        <v>74398</v>
      </c>
      <c r="R638" s="3">
        <f>(Wapato_Inventory[[#This Row],[ln_acres]]*Wapato_Inventory[[#This Row],[coeff]])+Wapato_Inventory[[#This Row],[const]]</f>
        <v>36809.207085414761</v>
      </c>
      <c r="S638" t="s">
        <v>56</v>
      </c>
      <c r="T638">
        <v>2</v>
      </c>
      <c r="U638" t="s">
        <v>75</v>
      </c>
      <c r="V638" t="s">
        <v>68</v>
      </c>
      <c r="W638">
        <v>0</v>
      </c>
      <c r="X638">
        <v>0</v>
      </c>
      <c r="Y638">
        <v>50</v>
      </c>
      <c r="Z638">
        <v>73</v>
      </c>
      <c r="AA638">
        <v>80</v>
      </c>
      <c r="AB638">
        <v>1500</v>
      </c>
      <c r="AC638">
        <v>1203</v>
      </c>
      <c r="AD638">
        <v>840</v>
      </c>
      <c r="AE638">
        <v>363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120</v>
      </c>
      <c r="AO638">
        <v>0</v>
      </c>
      <c r="AP638">
        <v>8</v>
      </c>
      <c r="AQ638">
        <v>1</v>
      </c>
      <c r="AR638">
        <v>0</v>
      </c>
      <c r="AS638" t="s">
        <v>59</v>
      </c>
      <c r="AT638">
        <v>1</v>
      </c>
      <c r="AU638" t="s">
        <v>64</v>
      </c>
      <c r="AV638" t="s">
        <v>77</v>
      </c>
      <c r="AW638">
        <v>0</v>
      </c>
      <c r="AX638">
        <v>3</v>
      </c>
      <c r="AY638">
        <v>0</v>
      </c>
      <c r="AZ638">
        <v>0</v>
      </c>
      <c r="BA638">
        <v>100</v>
      </c>
      <c r="BB638">
        <v>100</v>
      </c>
      <c r="BC638">
        <v>100</v>
      </c>
      <c r="BD638">
        <v>100</v>
      </c>
      <c r="BE638">
        <v>1</v>
      </c>
      <c r="BF638">
        <v>15000</v>
      </c>
      <c r="BG638">
        <v>1000</v>
      </c>
      <c r="BH638" s="7">
        <f>ROUND(Wapato_Inventory[[#This Row],[detatched_value]]*Lookups!$B$22*Lookups!$H$48,-2)</f>
        <v>0</v>
      </c>
      <c r="BI638" s="7">
        <f>ROUND(((Wapato_Inventory[[#This Row],[land_extract]]*Lookups!$B$3) +(Lookups!$B$2*0.5))*Lookups!$H$48,-2)</f>
        <v>54600</v>
      </c>
      <c r="BJ638" s="7">
        <f>IF(Wapato_Inventory[[#This Row],[bldg_style]]="",0,Lookups!$B$2*0.5)</f>
        <v>53765.27</v>
      </c>
      <c r="BK638" s="7">
        <f>_xlfn.IFNA(VLOOKUP(Wapato_Inventory[[#This Row],[quality]],Lookups!$H$2:$J$14,3,FALSE),0)</f>
        <v>48043</v>
      </c>
      <c r="BL638" s="7">
        <f>_xlfn.IFNA(VLOOKUP(Wapato_Inventory[[#This Row],[condition]],Lookups!$H$17:$J$24,3,FALSE),0)</f>
        <v>52231</v>
      </c>
      <c r="BM638" s="7">
        <f>Wapato_Inventory[[#This Row],[Age]]*Lookups!$B$16</f>
        <v>-27059.326100000002</v>
      </c>
      <c r="BN638" s="7">
        <f>Wapato_Inventory[[#This Row],[Main Floor]]*Lookups!$B$17</f>
        <v>35112.620759999998</v>
      </c>
      <c r="BO638" s="7">
        <f>Wapato_Inventory[[#This Row],[Upper Floor]]*Lookups!$B$18</f>
        <v>18005.213457000002</v>
      </c>
      <c r="BP638" s="7">
        <f>Wapato_Inventory[[#This Row],[Fin BSMT]]*Lookups!$B$19</f>
        <v>0</v>
      </c>
      <c r="BQ638" s="7">
        <f>(Wapato_Inventory[[#This Row],[att_gar]]+Wapato_Inventory[[#This Row],[blt_gar]])*Lookups!$B$20</f>
        <v>0</v>
      </c>
      <c r="BR638" s="7">
        <f>Wapato_Inventory[[#This Row],[Patio]]*Lookups!$B$21</f>
        <v>0</v>
      </c>
      <c r="BS638" s="7">
        <f>SUM(Wapato_Inventory[[#This Row],[intercept]:[patio_value]])*Wapato_Inventory[[#This Row],[res_pct]]</f>
        <v>180097.77811699998</v>
      </c>
      <c r="BT638" s="7">
        <f>Wapato_Inventory[[#This Row],[land_value]]</f>
        <v>54600</v>
      </c>
      <c r="BU638" s="2">
        <f>_xlfn.IFNA(VLOOKUP(Wapato_Inventory[[#This Row],[quality]],Lookups!$A$28:$C$37,3,FALSE),1)</f>
        <v>0.98196844879778955</v>
      </c>
      <c r="BV638" s="2">
        <f>_xlfn.IFNA(VLOOKUP(Wapato_Inventory[[#This Row],[condition]],Lookups!$A$41:$C$48,3,FALSE),1)</f>
        <v>0.9832333997567807</v>
      </c>
      <c r="BW638" s="2">
        <f>IF(Wapato_Inventory[[#This Row],[decade]]="",1,_xlfn.IFNA(VLOOKUP(Wapato_Inventory[[#This Row],[decade]],Lookups!$F$28:$H$45,3,FALSE),1))</f>
        <v>0.8438929209510081</v>
      </c>
      <c r="BX638" s="2">
        <f>_xlfn.IFNA(VLOOKUP(Wapato_Inventory[[#This Row],[living_area_range]],Lookups!$K$28:$M$37,3,FALSE),1)</f>
        <v>1.0061411172456287</v>
      </c>
      <c r="BY638" s="2">
        <f>AVERAGE(Wapato_Inventory[[#This Row],[qual_adj]:[range_adj]])</f>
        <v>0.95380897168780177</v>
      </c>
      <c r="BZ638" s="7">
        <f>(Wapato_Inventory[[#This Row],[sum_land]]-IF(Wapato_Inventory[[#This Row],[no_utilities]]=1,12000,0))/IF(Wapato_Inventory[[#This Row],[unbuildable]]=1,2,1)</f>
        <v>54600</v>
      </c>
      <c r="CA638" s="7">
        <f>Wapato_Inventory[[#This Row],[pre_res]]*Wapato_Inventory[[#This Row],[overall_adj]]</f>
        <v>171778.87654903365</v>
      </c>
      <c r="CB638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638" s="3">
        <f>IF(ROUND(Wapato_Inventory[[#This Row],[adj_res]]*Lookups!$H$48,-2)&lt;Wapato_Inventory[[#This Row],[min_res]],Wapato_Inventory[[#This Row],[min_res]],ROUND(Wapato_Inventory[[#This Row],[adj_res]]*Lookups!$H$48,-2))</f>
        <v>163200</v>
      </c>
      <c r="CD638" s="3">
        <f>ROUND(Wapato_Inventory[[#This Row],[det_value]]*Lookups!$H$48,-2)</f>
        <v>0</v>
      </c>
      <c r="CE638" s="3">
        <f>Wapato_Inventory[[#This Row],[final_res]]+Wapato_Inventory[[#This Row],[final_det]]</f>
        <v>163200</v>
      </c>
      <c r="CF638" s="3">
        <f>Wapato_Inventory[[#This Row],[crop_value]]+Wapato_Inventory[[#This Row],[final_land]]+Wapato_Inventory[[#This Row],[final_imp]]</f>
        <v>215100</v>
      </c>
      <c r="CH638" t="str">
        <f t="shared" si="9"/>
        <v>update valuation set market_land =51900, market_bldg=163200, market_total =215100, market_mdno =405, market_date ='9/10/2023' where link_id = (select link_id from parcel where parcel_year = '2024' and parcel_id = '19111513438');</v>
      </c>
    </row>
    <row r="639" spans="1:86" x14ac:dyDescent="0.25">
      <c r="A639">
        <v>19111513439</v>
      </c>
      <c r="B639">
        <v>0.13</v>
      </c>
      <c r="C639">
        <v>5721</v>
      </c>
      <c r="D639" t="s">
        <v>144</v>
      </c>
      <c r="E639" t="s">
        <v>54</v>
      </c>
      <c r="F639" t="s">
        <v>54</v>
      </c>
      <c r="G639">
        <v>3</v>
      </c>
      <c r="H639" t="s">
        <v>55</v>
      </c>
      <c r="I639">
        <v>75900</v>
      </c>
      <c r="J639">
        <v>31400</v>
      </c>
      <c r="K639">
        <v>0.13</v>
      </c>
      <c r="L639">
        <f>IF(Wapato_Inventory[[#This Row],[parcel_acres]]-Wapato_Inventory[[#This Row],[non_valued_acres]] =0,0,LN(Wapato_Inventory[[#This Row],[parcel_acres]]-Wapato_Inventory[[#This Row],[non_valued_acres]]))</f>
        <v>-2.0402208285265546</v>
      </c>
      <c r="M639">
        <v>0</v>
      </c>
      <c r="N639">
        <v>0</v>
      </c>
      <c r="O639">
        <v>0</v>
      </c>
      <c r="P639">
        <v>27904.037</v>
      </c>
      <c r="Q639">
        <v>74398</v>
      </c>
      <c r="R639" s="3">
        <f>(Wapato_Inventory[[#This Row],[ln_acres]]*Wapato_Inventory[[#This Row],[coeff]])+Wapato_Inventory[[#This Row],[const]]</f>
        <v>17467.602512624362</v>
      </c>
      <c r="S639" t="s">
        <v>66</v>
      </c>
      <c r="T639">
        <v>1</v>
      </c>
      <c r="U639" t="s">
        <v>78</v>
      </c>
      <c r="V639" t="s">
        <v>73</v>
      </c>
      <c r="W639">
        <v>0</v>
      </c>
      <c r="X639">
        <v>0</v>
      </c>
      <c r="Y639">
        <v>60</v>
      </c>
      <c r="Z639">
        <v>108</v>
      </c>
      <c r="AA639">
        <v>110</v>
      </c>
      <c r="AB639">
        <v>1000</v>
      </c>
      <c r="AC639">
        <v>954</v>
      </c>
      <c r="AD639">
        <v>954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5</v>
      </c>
      <c r="AQ639">
        <v>0</v>
      </c>
      <c r="AR639">
        <v>0</v>
      </c>
      <c r="AS639" t="s">
        <v>59</v>
      </c>
      <c r="AT639">
        <v>0</v>
      </c>
      <c r="AU639" t="s">
        <v>80</v>
      </c>
      <c r="AV639" t="s">
        <v>77</v>
      </c>
      <c r="AW639">
        <v>0</v>
      </c>
      <c r="AX639">
        <v>3</v>
      </c>
      <c r="AY639">
        <v>0</v>
      </c>
      <c r="AZ639">
        <v>3400</v>
      </c>
      <c r="BA639">
        <v>100</v>
      </c>
      <c r="BB639">
        <v>100</v>
      </c>
      <c r="BC639">
        <v>100</v>
      </c>
      <c r="BD639">
        <v>100</v>
      </c>
      <c r="BE639">
        <v>1</v>
      </c>
      <c r="BF639">
        <v>15000</v>
      </c>
      <c r="BG639">
        <v>1000</v>
      </c>
      <c r="BH639" s="7">
        <f>ROUND(Wapato_Inventory[[#This Row],[detatched_value]]*Lookups!$B$22*Lookups!$H$48,-2)</f>
        <v>3000</v>
      </c>
      <c r="BI639" s="7">
        <f>ROUND(((Wapato_Inventory[[#This Row],[land_extract]]*Lookups!$B$3) +(Lookups!$B$2*0.5))*Lookups!$H$48,-2)</f>
        <v>52800</v>
      </c>
      <c r="BJ639" s="7">
        <f>IF(Wapato_Inventory[[#This Row],[bldg_style]]="",0,Lookups!$B$2*0.5)</f>
        <v>53765.27</v>
      </c>
      <c r="BK639" s="7">
        <f>_xlfn.IFNA(VLOOKUP(Wapato_Inventory[[#This Row],[quality]],Lookups!$H$2:$J$14,3,FALSE),0)</f>
        <v>23424</v>
      </c>
      <c r="BL639" s="7">
        <f>_xlfn.IFNA(VLOOKUP(Wapato_Inventory[[#This Row],[condition]],Lookups!$H$17:$J$24,3,FALSE),0)</f>
        <v>16276</v>
      </c>
      <c r="BM639" s="7">
        <f>Wapato_Inventory[[#This Row],[Age]]*Lookups!$B$16</f>
        <v>-40032.975599999998</v>
      </c>
      <c r="BN639" s="7">
        <f>Wapato_Inventory[[#This Row],[Main Floor]]*Lookups!$B$17</f>
        <v>39877.905006000001</v>
      </c>
      <c r="BO639" s="7">
        <f>Wapato_Inventory[[#This Row],[Upper Floor]]*Lookups!$B$18</f>
        <v>0</v>
      </c>
      <c r="BP639" s="7">
        <f>Wapato_Inventory[[#This Row],[Fin BSMT]]*Lookups!$B$19</f>
        <v>0</v>
      </c>
      <c r="BQ639" s="7">
        <f>(Wapato_Inventory[[#This Row],[att_gar]]+Wapato_Inventory[[#This Row],[blt_gar]])*Lookups!$B$20</f>
        <v>0</v>
      </c>
      <c r="BR639" s="7">
        <f>Wapato_Inventory[[#This Row],[Patio]]*Lookups!$B$21</f>
        <v>0</v>
      </c>
      <c r="BS639" s="7">
        <f>SUM(Wapato_Inventory[[#This Row],[intercept]:[patio_value]])*Wapato_Inventory[[#This Row],[res_pct]]</f>
        <v>93310.199406</v>
      </c>
      <c r="BT639" s="7">
        <f>Wapato_Inventory[[#This Row],[land_value]]</f>
        <v>52800</v>
      </c>
      <c r="BU639" s="2">
        <f>_xlfn.IFNA(VLOOKUP(Wapato_Inventory[[#This Row],[quality]],Lookups!$A$28:$C$37,3,FALSE),1)</f>
        <v>1.0091195562373767</v>
      </c>
      <c r="BV639" s="2">
        <f>_xlfn.IFNA(VLOOKUP(Wapato_Inventory[[#This Row],[condition]],Lookups!$A$41:$C$48,3,FALSE),1)</f>
        <v>0.93399385491337139</v>
      </c>
      <c r="BW639" s="2">
        <f>IF(Wapato_Inventory[[#This Row],[decade]]="",1,_xlfn.IFNA(VLOOKUP(Wapato_Inventory[[#This Row],[decade]],Lookups!$F$28:$H$45,3,FALSE),1))</f>
        <v>0.93664589651353292</v>
      </c>
      <c r="BX639" s="2">
        <f>_xlfn.IFNA(VLOOKUP(Wapato_Inventory[[#This Row],[living_area_range]],Lookups!$K$28:$M$37,3,FALSE),1)</f>
        <v>0.99022994770196116</v>
      </c>
      <c r="BY639" s="2">
        <f>AVERAGE(Wapato_Inventory[[#This Row],[qual_adj]:[range_adj]])</f>
        <v>0.96749731384156046</v>
      </c>
      <c r="BZ639" s="7">
        <f>(Wapato_Inventory[[#This Row],[sum_land]]-IF(Wapato_Inventory[[#This Row],[no_utilities]]=1,12000,0))/IF(Wapato_Inventory[[#This Row],[unbuildable]]=1,2,1)</f>
        <v>52800</v>
      </c>
      <c r="CA639" s="7">
        <f>Wapato_Inventory[[#This Row],[pre_res]]*Wapato_Inventory[[#This Row],[overall_adj]]</f>
        <v>90277.367279325365</v>
      </c>
      <c r="CB639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39" s="3">
        <f>IF(ROUND(Wapato_Inventory[[#This Row],[adj_res]]*Lookups!$H$48,-2)&lt;Wapato_Inventory[[#This Row],[min_res]],Wapato_Inventory[[#This Row],[min_res]],ROUND(Wapato_Inventory[[#This Row],[adj_res]]*Lookups!$H$48,-2))</f>
        <v>85800</v>
      </c>
      <c r="CD639" s="3">
        <f>ROUND(Wapato_Inventory[[#This Row],[det_value]]*Lookups!$H$48,-2)</f>
        <v>2900</v>
      </c>
      <c r="CE639" s="3">
        <f>Wapato_Inventory[[#This Row],[final_res]]+Wapato_Inventory[[#This Row],[final_det]]</f>
        <v>88700</v>
      </c>
      <c r="CF639" s="3">
        <f>Wapato_Inventory[[#This Row],[crop_value]]+Wapato_Inventory[[#This Row],[final_land]]+Wapato_Inventory[[#This Row],[final_imp]]</f>
        <v>138900</v>
      </c>
      <c r="CH639" t="str">
        <f t="shared" si="9"/>
        <v>update valuation set market_land =50200, market_bldg=88700, market_total =138900, market_mdno =405, market_date ='9/10/2023' where link_id = (select link_id from parcel where parcel_year = '2024' and parcel_id = '19111513439');</v>
      </c>
    </row>
    <row r="640" spans="1:86" x14ac:dyDescent="0.25">
      <c r="A640">
        <v>19111513440</v>
      </c>
      <c r="B640">
        <v>0.28000000000000003</v>
      </c>
      <c r="C640">
        <v>12070</v>
      </c>
      <c r="D640" t="s">
        <v>144</v>
      </c>
      <c r="E640" t="s">
        <v>54</v>
      </c>
      <c r="F640" t="s">
        <v>54</v>
      </c>
      <c r="G640">
        <v>3</v>
      </c>
      <c r="H640" t="s">
        <v>55</v>
      </c>
      <c r="I640">
        <v>141800</v>
      </c>
      <c r="J640">
        <v>36800</v>
      </c>
      <c r="K640">
        <v>0.28000000000000003</v>
      </c>
      <c r="L640">
        <f>IF(Wapato_Inventory[[#This Row],[parcel_acres]]-Wapato_Inventory[[#This Row],[non_valued_acres]] =0,0,LN(Wapato_Inventory[[#This Row],[parcel_acres]]-Wapato_Inventory[[#This Row],[non_valued_acres]]))</f>
        <v>-1.2729656758128873</v>
      </c>
      <c r="M640">
        <v>0</v>
      </c>
      <c r="N640">
        <v>0</v>
      </c>
      <c r="O640">
        <v>0</v>
      </c>
      <c r="P640">
        <v>27904.037</v>
      </c>
      <c r="Q640">
        <v>74398</v>
      </c>
      <c r="R640" s="3">
        <f>(Wapato_Inventory[[#This Row],[ln_acres]]*Wapato_Inventory[[#This Row],[coeff]])+Wapato_Inventory[[#This Row],[const]]</f>
        <v>38877.118682387183</v>
      </c>
      <c r="S640" t="s">
        <v>66</v>
      </c>
      <c r="T640">
        <v>1</v>
      </c>
      <c r="U640" t="s">
        <v>75</v>
      </c>
      <c r="V640" t="s">
        <v>68</v>
      </c>
      <c r="W640">
        <v>0</v>
      </c>
      <c r="X640">
        <v>0</v>
      </c>
      <c r="Y640">
        <v>52</v>
      </c>
      <c r="Z640">
        <v>88</v>
      </c>
      <c r="AA640">
        <v>90</v>
      </c>
      <c r="AB640">
        <v>1000</v>
      </c>
      <c r="AC640">
        <v>993</v>
      </c>
      <c r="AD640">
        <v>993</v>
      </c>
      <c r="AE640">
        <v>0</v>
      </c>
      <c r="AF640">
        <v>0</v>
      </c>
      <c r="AG640">
        <v>0</v>
      </c>
      <c r="AH640">
        <v>600</v>
      </c>
      <c r="AI640">
        <v>0</v>
      </c>
      <c r="AJ640">
        <v>0</v>
      </c>
      <c r="AK640">
        <v>0</v>
      </c>
      <c r="AL640">
        <v>105</v>
      </c>
      <c r="AM640">
        <v>0</v>
      </c>
      <c r="AN640">
        <v>45</v>
      </c>
      <c r="AO640">
        <v>105</v>
      </c>
      <c r="AP640">
        <v>5</v>
      </c>
      <c r="AQ640">
        <v>0</v>
      </c>
      <c r="AR640">
        <v>0</v>
      </c>
      <c r="AS640" t="s">
        <v>59</v>
      </c>
      <c r="AT640">
        <v>1</v>
      </c>
      <c r="AU640" t="s">
        <v>64</v>
      </c>
      <c r="AV640" t="s">
        <v>65</v>
      </c>
      <c r="AW640">
        <v>1</v>
      </c>
      <c r="AX640">
        <v>2</v>
      </c>
      <c r="AY640">
        <v>0</v>
      </c>
      <c r="AZ640">
        <v>3000</v>
      </c>
      <c r="BA640">
        <v>100</v>
      </c>
      <c r="BB640">
        <v>100</v>
      </c>
      <c r="BC640">
        <v>100</v>
      </c>
      <c r="BD640">
        <v>100</v>
      </c>
      <c r="BE640">
        <v>1</v>
      </c>
      <c r="BF640">
        <v>15000</v>
      </c>
      <c r="BG640">
        <v>1000</v>
      </c>
      <c r="BH640" s="7">
        <f>ROUND(Wapato_Inventory[[#This Row],[detatched_value]]*Lookups!$B$22*Lookups!$H$48,-2)</f>
        <v>2700</v>
      </c>
      <c r="BI640" s="7">
        <f>ROUND(((Wapato_Inventory[[#This Row],[land_extract]]*Lookups!$B$3) +(Lookups!$B$2*0.5))*Lookups!$H$48,-2)</f>
        <v>54800</v>
      </c>
      <c r="BJ640" s="7">
        <f>IF(Wapato_Inventory[[#This Row],[bldg_style]]="",0,Lookups!$B$2*0.5)</f>
        <v>53765.27</v>
      </c>
      <c r="BK640" s="7">
        <f>_xlfn.IFNA(VLOOKUP(Wapato_Inventory[[#This Row],[quality]],Lookups!$H$2:$J$14,3,FALSE),0)</f>
        <v>48043</v>
      </c>
      <c r="BL640" s="7">
        <f>_xlfn.IFNA(VLOOKUP(Wapato_Inventory[[#This Row],[condition]],Lookups!$H$17:$J$24,3,FALSE),0)</f>
        <v>52231</v>
      </c>
      <c r="BM640" s="7">
        <f>Wapato_Inventory[[#This Row],[Age]]*Lookups!$B$16</f>
        <v>-32619.461600000002</v>
      </c>
      <c r="BN640" s="7">
        <f>Wapato_Inventory[[#This Row],[Main Floor]]*Lookups!$B$17</f>
        <v>41508.133826999998</v>
      </c>
      <c r="BO640" s="7">
        <f>Wapato_Inventory[[#This Row],[Upper Floor]]*Lookups!$B$18</f>
        <v>0</v>
      </c>
      <c r="BP640" s="7">
        <f>Wapato_Inventory[[#This Row],[Fin BSMT]]*Lookups!$B$19</f>
        <v>0</v>
      </c>
      <c r="BQ640" s="7">
        <f>(Wapato_Inventory[[#This Row],[att_gar]]+Wapato_Inventory[[#This Row],[blt_gar]])*Lookups!$B$20</f>
        <v>0</v>
      </c>
      <c r="BR640" s="7">
        <f>Wapato_Inventory[[#This Row],[Patio]]*Lookups!$B$21</f>
        <v>0</v>
      </c>
      <c r="BS640" s="7">
        <f>SUM(Wapato_Inventory[[#This Row],[intercept]:[patio_value]])*Wapato_Inventory[[#This Row],[res_pct]]</f>
        <v>162927.94222699996</v>
      </c>
      <c r="BT640" s="7">
        <f>Wapato_Inventory[[#This Row],[land_value]]</f>
        <v>54800</v>
      </c>
      <c r="BU640" s="2">
        <f>_xlfn.IFNA(VLOOKUP(Wapato_Inventory[[#This Row],[quality]],Lookups!$A$28:$C$37,3,FALSE),1)</f>
        <v>0.98196844879778955</v>
      </c>
      <c r="BV640" s="2">
        <f>_xlfn.IFNA(VLOOKUP(Wapato_Inventory[[#This Row],[condition]],Lookups!$A$41:$C$48,3,FALSE),1)</f>
        <v>0.9832333997567807</v>
      </c>
      <c r="BW640" s="2">
        <f>IF(Wapato_Inventory[[#This Row],[decade]]="",1,_xlfn.IFNA(VLOOKUP(Wapato_Inventory[[#This Row],[decade]],Lookups!$F$28:$H$45,3,FALSE),1))</f>
        <v>0.94742695999815718</v>
      </c>
      <c r="BX640" s="2">
        <f>_xlfn.IFNA(VLOOKUP(Wapato_Inventory[[#This Row],[living_area_range]],Lookups!$K$28:$M$37,3,FALSE),1)</f>
        <v>0.99022994770196116</v>
      </c>
      <c r="BY640" s="2">
        <f>AVERAGE(Wapato_Inventory[[#This Row],[qual_adj]:[range_adj]])</f>
        <v>0.97571468906367209</v>
      </c>
      <c r="BZ640" s="7">
        <f>(Wapato_Inventory[[#This Row],[sum_land]]-IF(Wapato_Inventory[[#This Row],[no_utilities]]=1,12000,0))/IF(Wapato_Inventory[[#This Row],[unbuildable]]=1,2,1)</f>
        <v>54800</v>
      </c>
      <c r="CA640" s="7">
        <f>Wapato_Inventory[[#This Row],[pre_res]]*Wapato_Inventory[[#This Row],[overall_adj]]</f>
        <v>158971.18648980121</v>
      </c>
      <c r="CB640" s="3">
        <f>IF(ROUND(Wapato_Inventory[[#This Row],[adj_land]]*Lookups!$H$48,-2)&lt;Wapato_Inventory[[#This Row],[min_land]],Wapato_Inventory[[#This Row],[min_land]],ROUND(Wapato_Inventory[[#This Row],[adj_land]]*Lookups!$H$48,-2))</f>
        <v>52100</v>
      </c>
      <c r="CC640" s="3">
        <f>IF(ROUND(Wapato_Inventory[[#This Row],[adj_res]]*Lookups!$H$48,-2)&lt;Wapato_Inventory[[#This Row],[min_res]],Wapato_Inventory[[#This Row],[min_res]],ROUND(Wapato_Inventory[[#This Row],[adj_res]]*Lookups!$H$48,-2))</f>
        <v>151000</v>
      </c>
      <c r="CD640" s="3">
        <f>ROUND(Wapato_Inventory[[#This Row],[det_value]]*Lookups!$H$48,-2)</f>
        <v>2600</v>
      </c>
      <c r="CE640" s="3">
        <f>Wapato_Inventory[[#This Row],[final_res]]+Wapato_Inventory[[#This Row],[final_det]]</f>
        <v>153600</v>
      </c>
      <c r="CF640" s="3">
        <f>Wapato_Inventory[[#This Row],[crop_value]]+Wapato_Inventory[[#This Row],[final_land]]+Wapato_Inventory[[#This Row],[final_imp]]</f>
        <v>205700</v>
      </c>
      <c r="CH640" t="str">
        <f t="shared" si="9"/>
        <v>update valuation set market_land =52100, market_bldg=153600, market_total =205700, market_mdno =405, market_date ='9/10/2023' where link_id = (select link_id from parcel where parcel_year = '2024' and parcel_id = '19111513440');</v>
      </c>
    </row>
    <row r="641" spans="1:86" x14ac:dyDescent="0.25">
      <c r="A641">
        <v>19111513441</v>
      </c>
      <c r="B641">
        <v>0.12</v>
      </c>
      <c r="C641">
        <v>5349</v>
      </c>
      <c r="D641" t="s">
        <v>144</v>
      </c>
      <c r="E641" t="s">
        <v>54</v>
      </c>
      <c r="F641" t="s">
        <v>54</v>
      </c>
      <c r="G641">
        <v>3</v>
      </c>
      <c r="H641" t="s">
        <v>55</v>
      </c>
      <c r="I641">
        <v>141100</v>
      </c>
      <c r="J641">
        <v>30800</v>
      </c>
      <c r="K641">
        <v>0.12</v>
      </c>
      <c r="L641">
        <f>IF(Wapato_Inventory[[#This Row],[parcel_acres]]-Wapato_Inventory[[#This Row],[non_valued_acres]] =0,0,LN(Wapato_Inventory[[#This Row],[parcel_acres]]-Wapato_Inventory[[#This Row],[non_valued_acres]]))</f>
        <v>-2.120263536200091</v>
      </c>
      <c r="M641">
        <v>0</v>
      </c>
      <c r="N641">
        <v>0</v>
      </c>
      <c r="O641">
        <v>0</v>
      </c>
      <c r="P641">
        <v>27904.037</v>
      </c>
      <c r="Q641">
        <v>74398</v>
      </c>
      <c r="R641" s="3">
        <f>(Wapato_Inventory[[#This Row],[ln_acres]]*Wapato_Inventory[[#This Row],[coeff]])+Wapato_Inventory[[#This Row],[const]]</f>
        <v>15234.08783612182</v>
      </c>
      <c r="S641" t="s">
        <v>66</v>
      </c>
      <c r="T641">
        <v>1</v>
      </c>
      <c r="U641" t="s">
        <v>71</v>
      </c>
      <c r="V641" t="s">
        <v>68</v>
      </c>
      <c r="W641">
        <v>0</v>
      </c>
      <c r="X641">
        <v>0</v>
      </c>
      <c r="Y641">
        <v>51</v>
      </c>
      <c r="Z641">
        <v>83</v>
      </c>
      <c r="AA641">
        <v>90</v>
      </c>
      <c r="AB641">
        <v>1500</v>
      </c>
      <c r="AC641">
        <v>1104</v>
      </c>
      <c r="AD641">
        <v>1104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192</v>
      </c>
      <c r="AN641">
        <v>0</v>
      </c>
      <c r="AO641">
        <v>192</v>
      </c>
      <c r="AP641">
        <v>5</v>
      </c>
      <c r="AQ641">
        <v>0</v>
      </c>
      <c r="AR641">
        <v>0</v>
      </c>
      <c r="AS641" t="s">
        <v>59</v>
      </c>
      <c r="AT641">
        <v>1</v>
      </c>
      <c r="AU641" t="s">
        <v>60</v>
      </c>
      <c r="AV641" t="s">
        <v>65</v>
      </c>
      <c r="AW641">
        <v>1</v>
      </c>
      <c r="AX641">
        <v>2</v>
      </c>
      <c r="AY641">
        <v>0</v>
      </c>
      <c r="AZ641">
        <v>4000</v>
      </c>
      <c r="BA641">
        <v>100</v>
      </c>
      <c r="BB641">
        <v>100</v>
      </c>
      <c r="BC641">
        <v>100</v>
      </c>
      <c r="BD641">
        <v>100</v>
      </c>
      <c r="BE641">
        <v>1</v>
      </c>
      <c r="BF641">
        <v>15000</v>
      </c>
      <c r="BG641">
        <v>1000</v>
      </c>
      <c r="BH641" s="7">
        <f>ROUND(Wapato_Inventory[[#This Row],[detatched_value]]*Lookups!$B$22*Lookups!$H$48,-2)</f>
        <v>3600</v>
      </c>
      <c r="BI641" s="7">
        <f>ROUND(((Wapato_Inventory[[#This Row],[land_extract]]*Lookups!$B$3) +(Lookups!$B$2*0.5))*Lookups!$H$48,-2)</f>
        <v>52500</v>
      </c>
      <c r="BJ641" s="7">
        <f>IF(Wapato_Inventory[[#This Row],[bldg_style]]="",0,Lookups!$B$2*0.5)</f>
        <v>53765.27</v>
      </c>
      <c r="BK641" s="7">
        <f>_xlfn.IFNA(VLOOKUP(Wapato_Inventory[[#This Row],[quality]],Lookups!$H$2:$J$14,3,FALSE),0)</f>
        <v>28034</v>
      </c>
      <c r="BL641" s="7">
        <f>_xlfn.IFNA(VLOOKUP(Wapato_Inventory[[#This Row],[condition]],Lookups!$H$17:$J$24,3,FALSE),0)</f>
        <v>52231</v>
      </c>
      <c r="BM641" s="7">
        <f>Wapato_Inventory[[#This Row],[Age]]*Lookups!$B$16</f>
        <v>-30766.0831</v>
      </c>
      <c r="BN641" s="7">
        <f>Wapato_Inventory[[#This Row],[Main Floor]]*Lookups!$B$17</f>
        <v>46148.015855999998</v>
      </c>
      <c r="BO641" s="7">
        <f>Wapato_Inventory[[#This Row],[Upper Floor]]*Lookups!$B$18</f>
        <v>0</v>
      </c>
      <c r="BP641" s="7">
        <f>Wapato_Inventory[[#This Row],[Fin BSMT]]*Lookups!$B$19</f>
        <v>0</v>
      </c>
      <c r="BQ641" s="7">
        <f>(Wapato_Inventory[[#This Row],[att_gar]]+Wapato_Inventory[[#This Row],[blt_gar]])*Lookups!$B$20</f>
        <v>0</v>
      </c>
      <c r="BR641" s="7">
        <f>Wapato_Inventory[[#This Row],[Patio]]*Lookups!$B$21</f>
        <v>8318.2039679999998</v>
      </c>
      <c r="BS641" s="7">
        <f>SUM(Wapato_Inventory[[#This Row],[intercept]:[patio_value]])*Wapato_Inventory[[#This Row],[res_pct]]</f>
        <v>157730.40672399997</v>
      </c>
      <c r="BT641" s="7">
        <f>Wapato_Inventory[[#This Row],[land_value]]</f>
        <v>52500</v>
      </c>
      <c r="BU641" s="2">
        <f>_xlfn.IFNA(VLOOKUP(Wapato_Inventory[[#This Row],[quality]],Lookups!$A$28:$C$37,3,FALSE),1)</f>
        <v>0.96265813922927435</v>
      </c>
      <c r="BV641" s="2">
        <f>_xlfn.IFNA(VLOOKUP(Wapato_Inventory[[#This Row],[condition]],Lookups!$A$41:$C$48,3,FALSE),1)</f>
        <v>0.9832333997567807</v>
      </c>
      <c r="BW641" s="2">
        <f>IF(Wapato_Inventory[[#This Row],[decade]]="",1,_xlfn.IFNA(VLOOKUP(Wapato_Inventory[[#This Row],[decade]],Lookups!$F$28:$H$45,3,FALSE),1))</f>
        <v>0.94742695999815718</v>
      </c>
      <c r="BX641" s="2">
        <f>_xlfn.IFNA(VLOOKUP(Wapato_Inventory[[#This Row],[living_area_range]],Lookups!$K$28:$M$37,3,FALSE),1)</f>
        <v>1.0061411172456287</v>
      </c>
      <c r="BY641" s="2">
        <f>AVERAGE(Wapato_Inventory[[#This Row],[qual_adj]:[range_adj]])</f>
        <v>0.97486490405746018</v>
      </c>
      <c r="BZ641" s="7">
        <f>(Wapato_Inventory[[#This Row],[sum_land]]-IF(Wapato_Inventory[[#This Row],[no_utilities]]=1,12000,0))/IF(Wapato_Inventory[[#This Row],[unbuildable]]=1,2,1)</f>
        <v>52500</v>
      </c>
      <c r="CA641" s="7">
        <f>Wapato_Inventory[[#This Row],[pre_res]]*Wapato_Inventory[[#This Row],[overall_adj]]</f>
        <v>153765.83781793641</v>
      </c>
      <c r="CB641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641" s="3">
        <f>IF(ROUND(Wapato_Inventory[[#This Row],[adj_res]]*Lookups!$H$48,-2)&lt;Wapato_Inventory[[#This Row],[min_res]],Wapato_Inventory[[#This Row],[min_res]],ROUND(Wapato_Inventory[[#This Row],[adj_res]]*Lookups!$H$48,-2))</f>
        <v>146100</v>
      </c>
      <c r="CD641" s="3">
        <f>ROUND(Wapato_Inventory[[#This Row],[det_value]]*Lookups!$H$48,-2)</f>
        <v>3400</v>
      </c>
      <c r="CE641" s="3">
        <f>Wapato_Inventory[[#This Row],[final_res]]+Wapato_Inventory[[#This Row],[final_det]]</f>
        <v>149500</v>
      </c>
      <c r="CF641" s="3">
        <f>Wapato_Inventory[[#This Row],[crop_value]]+Wapato_Inventory[[#This Row],[final_land]]+Wapato_Inventory[[#This Row],[final_imp]]</f>
        <v>199400</v>
      </c>
      <c r="CH641" t="str">
        <f t="shared" si="9"/>
        <v>update valuation set market_land =49900, market_bldg=149500, market_total =199400, market_mdno =405, market_date ='9/10/2023' where link_id = (select link_id from parcel where parcel_year = '2024' and parcel_id = '19111513441');</v>
      </c>
    </row>
    <row r="642" spans="1:86" x14ac:dyDescent="0.25">
      <c r="A642">
        <v>19111513442</v>
      </c>
      <c r="B642">
        <v>0.14000000000000001</v>
      </c>
      <c r="C642">
        <v>5946</v>
      </c>
      <c r="D642" t="s">
        <v>144</v>
      </c>
      <c r="E642" t="s">
        <v>54</v>
      </c>
      <c r="F642" t="s">
        <v>54</v>
      </c>
      <c r="G642">
        <v>3</v>
      </c>
      <c r="H642" t="s">
        <v>55</v>
      </c>
      <c r="I642">
        <v>65000</v>
      </c>
      <c r="J642">
        <v>31900</v>
      </c>
      <c r="K642">
        <v>0.14000000000000001</v>
      </c>
      <c r="L642">
        <f>IF(Wapato_Inventory[[#This Row],[parcel_acres]]-Wapato_Inventory[[#This Row],[non_valued_acres]] =0,0,LN(Wapato_Inventory[[#This Row],[parcel_acres]]-Wapato_Inventory[[#This Row],[non_valued_acres]]))</f>
        <v>-1.9661128563728327</v>
      </c>
      <c r="M642">
        <v>0</v>
      </c>
      <c r="N642">
        <v>0</v>
      </c>
      <c r="O642">
        <v>0</v>
      </c>
      <c r="P642">
        <v>27904.037</v>
      </c>
      <c r="Q642">
        <v>74398</v>
      </c>
      <c r="R642" s="3">
        <f>(Wapato_Inventory[[#This Row],[ln_acres]]*Wapato_Inventory[[#This Row],[coeff]])+Wapato_Inventory[[#This Row],[const]]</f>
        <v>19535.514109596792</v>
      </c>
      <c r="S642" t="s">
        <v>56</v>
      </c>
      <c r="T642">
        <v>2</v>
      </c>
      <c r="U642" t="s">
        <v>71</v>
      </c>
      <c r="V642" t="s">
        <v>73</v>
      </c>
      <c r="W642">
        <v>0</v>
      </c>
      <c r="X642">
        <v>0</v>
      </c>
      <c r="Y642">
        <v>53</v>
      </c>
      <c r="Z642">
        <v>93</v>
      </c>
      <c r="AA642">
        <v>100</v>
      </c>
      <c r="AB642">
        <v>1000</v>
      </c>
      <c r="AC642">
        <v>836</v>
      </c>
      <c r="AD642">
        <v>716</v>
      </c>
      <c r="AE642">
        <v>120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84</v>
      </c>
      <c r="AO642">
        <v>0</v>
      </c>
      <c r="AP642">
        <v>5</v>
      </c>
      <c r="AQ642">
        <v>0</v>
      </c>
      <c r="AR642">
        <v>1</v>
      </c>
      <c r="AS642" t="s">
        <v>59</v>
      </c>
      <c r="AT642">
        <v>1</v>
      </c>
      <c r="AU642" t="s">
        <v>72</v>
      </c>
      <c r="AV642" t="s">
        <v>65</v>
      </c>
      <c r="AW642">
        <v>0</v>
      </c>
      <c r="AX642">
        <v>2</v>
      </c>
      <c r="AY642">
        <v>0</v>
      </c>
      <c r="AZ642">
        <v>3400</v>
      </c>
      <c r="BA642">
        <v>100</v>
      </c>
      <c r="BB642">
        <v>100</v>
      </c>
      <c r="BC642">
        <v>100</v>
      </c>
      <c r="BD642">
        <v>100</v>
      </c>
      <c r="BE642">
        <v>1</v>
      </c>
      <c r="BF642">
        <v>15000</v>
      </c>
      <c r="BG642">
        <v>1000</v>
      </c>
      <c r="BH642" s="7">
        <f>ROUND(Wapato_Inventory[[#This Row],[detatched_value]]*Lookups!$B$22*Lookups!$H$48,-2)</f>
        <v>3000</v>
      </c>
      <c r="BI642" s="7">
        <f>ROUND(((Wapato_Inventory[[#This Row],[land_extract]]*Lookups!$B$3) +(Lookups!$B$2*0.5))*Lookups!$H$48,-2)</f>
        <v>53000</v>
      </c>
      <c r="BJ642" s="7">
        <f>IF(Wapato_Inventory[[#This Row],[bldg_style]]="",0,Lookups!$B$2*0.5)</f>
        <v>53765.27</v>
      </c>
      <c r="BK642" s="7">
        <f>_xlfn.IFNA(VLOOKUP(Wapato_Inventory[[#This Row],[quality]],Lookups!$H$2:$J$14,3,FALSE),0)</f>
        <v>28034</v>
      </c>
      <c r="BL642" s="7">
        <f>_xlfn.IFNA(VLOOKUP(Wapato_Inventory[[#This Row],[condition]],Lookups!$H$17:$J$24,3,FALSE),0)</f>
        <v>16276</v>
      </c>
      <c r="BM642" s="7">
        <f>Wapato_Inventory[[#This Row],[Age]]*Lookups!$B$16</f>
        <v>-34472.840100000001</v>
      </c>
      <c r="BN642" s="7">
        <f>Wapato_Inventory[[#This Row],[Main Floor]]*Lookups!$B$17</f>
        <v>29929.329124</v>
      </c>
      <c r="BO642" s="7">
        <f>Wapato_Inventory[[#This Row],[Upper Floor]]*Lookups!$B$18</f>
        <v>5952.1366800000005</v>
      </c>
      <c r="BP642" s="7">
        <f>Wapato_Inventory[[#This Row],[Fin BSMT]]*Lookups!$B$19</f>
        <v>0</v>
      </c>
      <c r="BQ642" s="7">
        <f>(Wapato_Inventory[[#This Row],[att_gar]]+Wapato_Inventory[[#This Row],[blt_gar]])*Lookups!$B$20</f>
        <v>0</v>
      </c>
      <c r="BR642" s="7">
        <f>Wapato_Inventory[[#This Row],[Patio]]*Lookups!$B$21</f>
        <v>0</v>
      </c>
      <c r="BS642" s="7">
        <f>SUM(Wapato_Inventory[[#This Row],[intercept]:[patio_value]])*Wapato_Inventory[[#This Row],[res_pct]]</f>
        <v>99483.89570399998</v>
      </c>
      <c r="BT642" s="7">
        <f>Wapato_Inventory[[#This Row],[land_value]]</f>
        <v>53000</v>
      </c>
      <c r="BU642" s="2">
        <f>_xlfn.IFNA(VLOOKUP(Wapato_Inventory[[#This Row],[quality]],Lookups!$A$28:$C$37,3,FALSE),1)</f>
        <v>0.96265813922927435</v>
      </c>
      <c r="BV642" s="2">
        <f>_xlfn.IFNA(VLOOKUP(Wapato_Inventory[[#This Row],[condition]],Lookups!$A$41:$C$48,3,FALSE),1)</f>
        <v>0.93399385491337139</v>
      </c>
      <c r="BW642" s="2">
        <f>IF(Wapato_Inventory[[#This Row],[decade]]="",1,_xlfn.IFNA(VLOOKUP(Wapato_Inventory[[#This Row],[decade]],Lookups!$F$28:$H$45,3,FALSE),1))</f>
        <v>1.0114203040664467</v>
      </c>
      <c r="BX642" s="2">
        <f>_xlfn.IFNA(VLOOKUP(Wapato_Inventory[[#This Row],[living_area_range]],Lookups!$K$28:$M$37,3,FALSE),1)</f>
        <v>0.99022994770196116</v>
      </c>
      <c r="BY642" s="2">
        <f>AVERAGE(Wapato_Inventory[[#This Row],[qual_adj]:[range_adj]])</f>
        <v>0.97457556147776347</v>
      </c>
      <c r="BZ642" s="7">
        <f>(Wapato_Inventory[[#This Row],[sum_land]]-IF(Wapato_Inventory[[#This Row],[no_utilities]]=1,12000,0))/IF(Wapato_Inventory[[#This Row],[unbuildable]]=1,2,1)</f>
        <v>53000</v>
      </c>
      <c r="CA642" s="7">
        <f>Wapato_Inventory[[#This Row],[pre_res]]*Wapato_Inventory[[#This Row],[overall_adj]]</f>
        <v>96954.573513721043</v>
      </c>
      <c r="CB64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42" s="3">
        <f>IF(ROUND(Wapato_Inventory[[#This Row],[adj_res]]*Lookups!$H$48,-2)&lt;Wapato_Inventory[[#This Row],[min_res]],Wapato_Inventory[[#This Row],[min_res]],ROUND(Wapato_Inventory[[#This Row],[adj_res]]*Lookups!$H$48,-2))</f>
        <v>92100</v>
      </c>
      <c r="CD642" s="3">
        <f>ROUND(Wapato_Inventory[[#This Row],[det_value]]*Lookups!$H$48,-2)</f>
        <v>2900</v>
      </c>
      <c r="CE642" s="3">
        <f>Wapato_Inventory[[#This Row],[final_res]]+Wapato_Inventory[[#This Row],[final_det]]</f>
        <v>95000</v>
      </c>
      <c r="CF642" s="3">
        <f>Wapato_Inventory[[#This Row],[crop_value]]+Wapato_Inventory[[#This Row],[final_land]]+Wapato_Inventory[[#This Row],[final_imp]]</f>
        <v>145400</v>
      </c>
      <c r="CH642" t="str">
        <f t="shared" ref="CH642:CH705" si="10">"update valuation set market_land ="&amp;CB642&amp;", market_bldg="&amp;CE642&amp;", market_total ="&amp;CF642&amp;", market_mdno ="&amp;$CH$1&amp;", market_date ='"&amp;TEXT($CI$1,"m/d/yyyy")&amp;"' where link_id = (select link_id from parcel where parcel_year = '2024' and parcel_id = '"&amp;A642&amp;"');"</f>
        <v>update valuation set market_land =50400, market_bldg=95000, market_total =145400, market_mdno =405, market_date ='9/10/2023' where link_id = (select link_id from parcel where parcel_year = '2024' and parcel_id = '19111513442');</v>
      </c>
    </row>
    <row r="643" spans="1:86" x14ac:dyDescent="0.25">
      <c r="A643">
        <v>19111513443</v>
      </c>
      <c r="B643">
        <v>0.12</v>
      </c>
      <c r="C643">
        <v>5380</v>
      </c>
      <c r="D643" t="s">
        <v>144</v>
      </c>
      <c r="E643" t="s">
        <v>54</v>
      </c>
      <c r="F643" t="s">
        <v>54</v>
      </c>
      <c r="G643">
        <v>3</v>
      </c>
      <c r="H643" t="s">
        <v>55</v>
      </c>
      <c r="I643">
        <v>145600</v>
      </c>
      <c r="J643">
        <v>30800</v>
      </c>
      <c r="K643">
        <v>0.12</v>
      </c>
      <c r="L643">
        <f>IF(Wapato_Inventory[[#This Row],[parcel_acres]]-Wapato_Inventory[[#This Row],[non_valued_acres]] =0,0,LN(Wapato_Inventory[[#This Row],[parcel_acres]]-Wapato_Inventory[[#This Row],[non_valued_acres]]))</f>
        <v>-2.120263536200091</v>
      </c>
      <c r="M643">
        <v>0</v>
      </c>
      <c r="N643">
        <v>0</v>
      </c>
      <c r="O643">
        <v>0</v>
      </c>
      <c r="P643">
        <v>27904.037</v>
      </c>
      <c r="Q643">
        <v>74398</v>
      </c>
      <c r="R643" s="3">
        <f>(Wapato_Inventory[[#This Row],[ln_acres]]*Wapato_Inventory[[#This Row],[coeff]])+Wapato_Inventory[[#This Row],[const]]</f>
        <v>15234.08783612182</v>
      </c>
      <c r="S643" t="s">
        <v>66</v>
      </c>
      <c r="T643">
        <v>1</v>
      </c>
      <c r="U643" t="s">
        <v>71</v>
      </c>
      <c r="V643" t="s">
        <v>68</v>
      </c>
      <c r="W643">
        <v>0</v>
      </c>
      <c r="X643">
        <v>0</v>
      </c>
      <c r="Y643">
        <v>51</v>
      </c>
      <c r="Z643">
        <v>77</v>
      </c>
      <c r="AA643">
        <v>80</v>
      </c>
      <c r="AB643">
        <v>2000</v>
      </c>
      <c r="AC643">
        <v>1688</v>
      </c>
      <c r="AD643">
        <v>968</v>
      </c>
      <c r="AE643">
        <v>0</v>
      </c>
      <c r="AF643">
        <v>0</v>
      </c>
      <c r="AG643">
        <v>720</v>
      </c>
      <c r="AH643">
        <v>0</v>
      </c>
      <c r="AI643">
        <v>0</v>
      </c>
      <c r="AJ643">
        <v>0</v>
      </c>
      <c r="AK643">
        <v>288</v>
      </c>
      <c r="AL643">
        <v>0</v>
      </c>
      <c r="AM643">
        <v>96</v>
      </c>
      <c r="AN643">
        <v>48</v>
      </c>
      <c r="AO643">
        <v>48</v>
      </c>
      <c r="AP643">
        <v>5</v>
      </c>
      <c r="AQ643">
        <v>1</v>
      </c>
      <c r="AR643">
        <v>0</v>
      </c>
      <c r="AS643" t="s">
        <v>59</v>
      </c>
      <c r="AT643">
        <v>1</v>
      </c>
      <c r="AU643" t="s">
        <v>72</v>
      </c>
      <c r="AV643" t="s">
        <v>61</v>
      </c>
      <c r="AW643">
        <v>0</v>
      </c>
      <c r="AX643">
        <v>2</v>
      </c>
      <c r="AY643">
        <v>0</v>
      </c>
      <c r="AZ643">
        <v>22000</v>
      </c>
      <c r="BA643">
        <v>100</v>
      </c>
      <c r="BB643">
        <v>100</v>
      </c>
      <c r="BC643">
        <v>100</v>
      </c>
      <c r="BD643">
        <v>100</v>
      </c>
      <c r="BE643">
        <v>1</v>
      </c>
      <c r="BF643">
        <v>15000</v>
      </c>
      <c r="BG643">
        <v>1000</v>
      </c>
      <c r="BH643" s="7">
        <f>ROUND(Wapato_Inventory[[#This Row],[detatched_value]]*Lookups!$B$22*Lookups!$H$48,-2)</f>
        <v>19700</v>
      </c>
      <c r="BI643" s="7">
        <f>ROUND(((Wapato_Inventory[[#This Row],[land_extract]]*Lookups!$B$3) +(Lookups!$B$2*0.5))*Lookups!$H$48,-2)</f>
        <v>52500</v>
      </c>
      <c r="BJ643" s="7">
        <f>IF(Wapato_Inventory[[#This Row],[bldg_style]]="",0,Lookups!$B$2*0.5)</f>
        <v>53765.27</v>
      </c>
      <c r="BK643" s="7">
        <f>_xlfn.IFNA(VLOOKUP(Wapato_Inventory[[#This Row],[quality]],Lookups!$H$2:$J$14,3,FALSE),0)</f>
        <v>28034</v>
      </c>
      <c r="BL643" s="7">
        <f>_xlfn.IFNA(VLOOKUP(Wapato_Inventory[[#This Row],[condition]],Lookups!$H$17:$J$24,3,FALSE),0)</f>
        <v>52231</v>
      </c>
      <c r="BM643" s="7">
        <f>Wapato_Inventory[[#This Row],[Age]]*Lookups!$B$16</f>
        <v>-28542.028900000001</v>
      </c>
      <c r="BN643" s="7">
        <f>Wapato_Inventory[[#This Row],[Main Floor]]*Lookups!$B$17</f>
        <v>40463.115352000001</v>
      </c>
      <c r="BO643" s="7">
        <f>Wapato_Inventory[[#This Row],[Upper Floor]]*Lookups!$B$18</f>
        <v>0</v>
      </c>
      <c r="BP643" s="7">
        <f>Wapato_Inventory[[#This Row],[Fin BSMT]]*Lookups!$B$19</f>
        <v>17544.052800000001</v>
      </c>
      <c r="BQ643" s="7">
        <f>(Wapato_Inventory[[#This Row],[att_gar]]+Wapato_Inventory[[#This Row],[blt_gar]])*Lookups!$B$20</f>
        <v>0</v>
      </c>
      <c r="BR643" s="7">
        <f>Wapato_Inventory[[#This Row],[Patio]]*Lookups!$B$21</f>
        <v>4159.1019839999999</v>
      </c>
      <c r="BS643" s="7">
        <f>SUM(Wapato_Inventory[[#This Row],[intercept]:[patio_value]])*Wapato_Inventory[[#This Row],[res_pct]]</f>
        <v>167654.51123599999</v>
      </c>
      <c r="BT643" s="7">
        <f>Wapato_Inventory[[#This Row],[land_value]]</f>
        <v>52500</v>
      </c>
      <c r="BU643" s="2">
        <f>_xlfn.IFNA(VLOOKUP(Wapato_Inventory[[#This Row],[quality]],Lookups!$A$28:$C$37,3,FALSE),1)</f>
        <v>0.96265813922927435</v>
      </c>
      <c r="BV643" s="2">
        <f>_xlfn.IFNA(VLOOKUP(Wapato_Inventory[[#This Row],[condition]],Lookups!$A$41:$C$48,3,FALSE),1)</f>
        <v>0.9832333997567807</v>
      </c>
      <c r="BW643" s="2">
        <f>IF(Wapato_Inventory[[#This Row],[decade]]="",1,_xlfn.IFNA(VLOOKUP(Wapato_Inventory[[#This Row],[decade]],Lookups!$F$28:$H$45,3,FALSE),1))</f>
        <v>0.8438929209510081</v>
      </c>
      <c r="BX643" s="2">
        <f>_xlfn.IFNA(VLOOKUP(Wapato_Inventory[[#This Row],[living_area_range]],Lookups!$K$28:$M$37,3,FALSE),1)</f>
        <v>0.99330894324714125</v>
      </c>
      <c r="BY643" s="2">
        <f>AVERAGE(Wapato_Inventory[[#This Row],[qual_adj]:[range_adj]])</f>
        <v>0.94577335079605107</v>
      </c>
      <c r="BZ643" s="7">
        <f>(Wapato_Inventory[[#This Row],[sum_land]]-IF(Wapato_Inventory[[#This Row],[no_utilities]]=1,12000,0))/IF(Wapato_Inventory[[#This Row],[unbuildable]]=1,2,1)</f>
        <v>52500</v>
      </c>
      <c r="CA643" s="7">
        <f>Wapato_Inventory[[#This Row],[pre_res]]*Wapato_Inventory[[#This Row],[overall_adj]]</f>
        <v>158563.1688677459</v>
      </c>
      <c r="CB643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643" s="3">
        <f>IF(ROUND(Wapato_Inventory[[#This Row],[adj_res]]*Lookups!$H$48,-2)&lt;Wapato_Inventory[[#This Row],[min_res]],Wapato_Inventory[[#This Row],[min_res]],ROUND(Wapato_Inventory[[#This Row],[adj_res]]*Lookups!$H$48,-2))</f>
        <v>150600</v>
      </c>
      <c r="CD643" s="3">
        <f>ROUND(Wapato_Inventory[[#This Row],[det_value]]*Lookups!$H$48,-2)</f>
        <v>18700</v>
      </c>
      <c r="CE643" s="3">
        <f>Wapato_Inventory[[#This Row],[final_res]]+Wapato_Inventory[[#This Row],[final_det]]</f>
        <v>169300</v>
      </c>
      <c r="CF643" s="3">
        <f>Wapato_Inventory[[#This Row],[crop_value]]+Wapato_Inventory[[#This Row],[final_land]]+Wapato_Inventory[[#This Row],[final_imp]]</f>
        <v>219200</v>
      </c>
      <c r="CH643" t="str">
        <f t="shared" si="10"/>
        <v>update valuation set market_land =49900, market_bldg=169300, market_total =219200, market_mdno =405, market_date ='9/10/2023' where link_id = (select link_id from parcel where parcel_year = '2024' and parcel_id = '19111513443');</v>
      </c>
    </row>
    <row r="644" spans="1:86" x14ac:dyDescent="0.25">
      <c r="A644">
        <v>19111513444</v>
      </c>
      <c r="B644">
        <v>0.13</v>
      </c>
      <c r="C644">
        <v>5646</v>
      </c>
      <c r="D644" t="s">
        <v>144</v>
      </c>
      <c r="E644" t="s">
        <v>54</v>
      </c>
      <c r="F644" t="s">
        <v>54</v>
      </c>
      <c r="G644">
        <v>3</v>
      </c>
      <c r="H644" t="s">
        <v>55</v>
      </c>
      <c r="I644">
        <v>199300</v>
      </c>
      <c r="J644">
        <v>31400</v>
      </c>
      <c r="K644">
        <v>0.13</v>
      </c>
      <c r="L644">
        <f>IF(Wapato_Inventory[[#This Row],[parcel_acres]]-Wapato_Inventory[[#This Row],[non_valued_acres]] =0,0,LN(Wapato_Inventory[[#This Row],[parcel_acres]]-Wapato_Inventory[[#This Row],[non_valued_acres]]))</f>
        <v>-2.0402208285265546</v>
      </c>
      <c r="M644">
        <v>0</v>
      </c>
      <c r="N644">
        <v>0</v>
      </c>
      <c r="O644">
        <v>0</v>
      </c>
      <c r="P644">
        <v>27904.037</v>
      </c>
      <c r="Q644">
        <v>74398</v>
      </c>
      <c r="R644" s="3">
        <f>(Wapato_Inventory[[#This Row],[ln_acres]]*Wapato_Inventory[[#This Row],[coeff]])+Wapato_Inventory[[#This Row],[const]]</f>
        <v>17467.602512624362</v>
      </c>
      <c r="S644" t="s">
        <v>56</v>
      </c>
      <c r="T644">
        <v>2</v>
      </c>
      <c r="U644" t="s">
        <v>75</v>
      </c>
      <c r="V644" t="s">
        <v>68</v>
      </c>
      <c r="W644">
        <v>0</v>
      </c>
      <c r="X644">
        <v>0</v>
      </c>
      <c r="Y644">
        <v>65</v>
      </c>
      <c r="Z644">
        <v>113</v>
      </c>
      <c r="AA644">
        <v>120</v>
      </c>
      <c r="AB644">
        <v>2000</v>
      </c>
      <c r="AC644">
        <v>1552</v>
      </c>
      <c r="AD644">
        <v>1096</v>
      </c>
      <c r="AE644">
        <v>456</v>
      </c>
      <c r="AF644">
        <v>0</v>
      </c>
      <c r="AG644">
        <v>0</v>
      </c>
      <c r="AH644">
        <v>100</v>
      </c>
      <c r="AI644">
        <v>864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8</v>
      </c>
      <c r="AQ644">
        <v>1</v>
      </c>
      <c r="AR644">
        <v>0</v>
      </c>
      <c r="AS644" t="s">
        <v>59</v>
      </c>
      <c r="AT644">
        <v>0</v>
      </c>
      <c r="AU644" t="s">
        <v>80</v>
      </c>
      <c r="AV644" t="s">
        <v>65</v>
      </c>
      <c r="AW644">
        <v>0</v>
      </c>
      <c r="AX644">
        <v>4</v>
      </c>
      <c r="AY644">
        <v>0</v>
      </c>
      <c r="AZ644">
        <v>0</v>
      </c>
      <c r="BA644">
        <v>100</v>
      </c>
      <c r="BB644">
        <v>100</v>
      </c>
      <c r="BC644">
        <v>100</v>
      </c>
      <c r="BD644">
        <v>100</v>
      </c>
      <c r="BE644">
        <v>1</v>
      </c>
      <c r="BF644">
        <v>15000</v>
      </c>
      <c r="BG644">
        <v>1000</v>
      </c>
      <c r="BH644" s="7">
        <f>ROUND(Wapato_Inventory[[#This Row],[detatched_value]]*Lookups!$B$22*Lookups!$H$48,-2)</f>
        <v>0</v>
      </c>
      <c r="BI644" s="7">
        <f>ROUND(((Wapato_Inventory[[#This Row],[land_extract]]*Lookups!$B$3) +(Lookups!$B$2*0.5))*Lookups!$H$48,-2)</f>
        <v>52800</v>
      </c>
      <c r="BJ644" s="7">
        <f>IF(Wapato_Inventory[[#This Row],[bldg_style]]="",0,Lookups!$B$2*0.5)</f>
        <v>53765.27</v>
      </c>
      <c r="BK644" s="7">
        <f>_xlfn.IFNA(VLOOKUP(Wapato_Inventory[[#This Row],[quality]],Lookups!$H$2:$J$14,3,FALSE),0)</f>
        <v>48043</v>
      </c>
      <c r="BL644" s="7">
        <f>_xlfn.IFNA(VLOOKUP(Wapato_Inventory[[#This Row],[condition]],Lookups!$H$17:$J$24,3,FALSE),0)</f>
        <v>52231</v>
      </c>
      <c r="BM644" s="7">
        <f>Wapato_Inventory[[#This Row],[Age]]*Lookups!$B$16</f>
        <v>-41886.354100000004</v>
      </c>
      <c r="BN644" s="7">
        <f>Wapato_Inventory[[#This Row],[Main Floor]]*Lookups!$B$17</f>
        <v>45813.609944000003</v>
      </c>
      <c r="BO644" s="7">
        <f>Wapato_Inventory[[#This Row],[Upper Floor]]*Lookups!$B$18</f>
        <v>22618.119384000001</v>
      </c>
      <c r="BP644" s="7">
        <f>Wapato_Inventory[[#This Row],[Fin BSMT]]*Lookups!$B$19</f>
        <v>0</v>
      </c>
      <c r="BQ644" s="7">
        <f>(Wapato_Inventory[[#This Row],[att_gar]]+Wapato_Inventory[[#This Row],[blt_gar]])*Lookups!$B$20</f>
        <v>31975.561728000001</v>
      </c>
      <c r="BR644" s="7">
        <f>Wapato_Inventory[[#This Row],[Patio]]*Lookups!$B$21</f>
        <v>0</v>
      </c>
      <c r="BS644" s="7">
        <f>SUM(Wapato_Inventory[[#This Row],[intercept]:[patio_value]])*Wapato_Inventory[[#This Row],[res_pct]]</f>
        <v>212560.20695599998</v>
      </c>
      <c r="BT644" s="7">
        <f>Wapato_Inventory[[#This Row],[land_value]]</f>
        <v>52800</v>
      </c>
      <c r="BU644" s="2">
        <f>_xlfn.IFNA(VLOOKUP(Wapato_Inventory[[#This Row],[quality]],Lookups!$A$28:$C$37,3,FALSE),1)</f>
        <v>0.98196844879778955</v>
      </c>
      <c r="BV644" s="2">
        <f>_xlfn.IFNA(VLOOKUP(Wapato_Inventory[[#This Row],[condition]],Lookups!$A$41:$C$48,3,FALSE),1)</f>
        <v>0.9832333997567807</v>
      </c>
      <c r="BW644" s="2">
        <f>IF(Wapato_Inventory[[#This Row],[decade]]="",1,_xlfn.IFNA(VLOOKUP(Wapato_Inventory[[#This Row],[decade]],Lookups!$F$28:$H$45,3,FALSE),1))</f>
        <v>0.93664589651353292</v>
      </c>
      <c r="BX644" s="2">
        <f>_xlfn.IFNA(VLOOKUP(Wapato_Inventory[[#This Row],[living_area_range]],Lookups!$K$28:$M$37,3,FALSE),1)</f>
        <v>0.99330894324714125</v>
      </c>
      <c r="BY644" s="2">
        <f>AVERAGE(Wapato_Inventory[[#This Row],[qual_adj]:[range_adj]])</f>
        <v>0.9737891720788111</v>
      </c>
      <c r="BZ644" s="7">
        <f>(Wapato_Inventory[[#This Row],[sum_land]]-IF(Wapato_Inventory[[#This Row],[no_utilities]]=1,12000,0))/IF(Wapato_Inventory[[#This Row],[unbuildable]]=1,2,1)</f>
        <v>52800</v>
      </c>
      <c r="CA644" s="7">
        <f>Wapato_Inventory[[#This Row],[pre_res]]*Wapato_Inventory[[#This Row],[overall_adj]]</f>
        <v>206988.82794858396</v>
      </c>
      <c r="CB644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44" s="3">
        <f>IF(ROUND(Wapato_Inventory[[#This Row],[adj_res]]*Lookups!$H$48,-2)&lt;Wapato_Inventory[[#This Row],[min_res]],Wapato_Inventory[[#This Row],[min_res]],ROUND(Wapato_Inventory[[#This Row],[adj_res]]*Lookups!$H$48,-2))</f>
        <v>196600</v>
      </c>
      <c r="CD644" s="3">
        <f>ROUND(Wapato_Inventory[[#This Row],[det_value]]*Lookups!$H$48,-2)</f>
        <v>0</v>
      </c>
      <c r="CE644" s="3">
        <f>Wapato_Inventory[[#This Row],[final_res]]+Wapato_Inventory[[#This Row],[final_det]]</f>
        <v>196600</v>
      </c>
      <c r="CF644" s="3">
        <f>Wapato_Inventory[[#This Row],[crop_value]]+Wapato_Inventory[[#This Row],[final_land]]+Wapato_Inventory[[#This Row],[final_imp]]</f>
        <v>246800</v>
      </c>
      <c r="CH644" t="str">
        <f t="shared" si="10"/>
        <v>update valuation set market_land =50200, market_bldg=196600, market_total =246800, market_mdno =405, market_date ='9/10/2023' where link_id = (select link_id from parcel where parcel_year = '2024' and parcel_id = '19111513444');</v>
      </c>
    </row>
    <row r="645" spans="1:86" x14ac:dyDescent="0.25">
      <c r="A645">
        <v>19111513445</v>
      </c>
      <c r="B645">
        <v>0.12</v>
      </c>
      <c r="C645">
        <v>5154</v>
      </c>
      <c r="D645" t="s">
        <v>144</v>
      </c>
      <c r="E645" t="s">
        <v>54</v>
      </c>
      <c r="F645" t="s">
        <v>54</v>
      </c>
      <c r="G645">
        <v>3</v>
      </c>
      <c r="H645" t="s">
        <v>55</v>
      </c>
      <c r="I645">
        <v>147800</v>
      </c>
      <c r="J645">
        <v>30800</v>
      </c>
      <c r="K645">
        <v>0.12</v>
      </c>
      <c r="L645">
        <f>IF(Wapato_Inventory[[#This Row],[parcel_acres]]-Wapato_Inventory[[#This Row],[non_valued_acres]] =0,0,LN(Wapato_Inventory[[#This Row],[parcel_acres]]-Wapato_Inventory[[#This Row],[non_valued_acres]]))</f>
        <v>-2.120263536200091</v>
      </c>
      <c r="M645">
        <v>0</v>
      </c>
      <c r="N645">
        <v>0</v>
      </c>
      <c r="O645">
        <v>0</v>
      </c>
      <c r="P645">
        <v>27904.037</v>
      </c>
      <c r="Q645">
        <v>74398</v>
      </c>
      <c r="R645" s="3">
        <f>(Wapato_Inventory[[#This Row],[ln_acres]]*Wapato_Inventory[[#This Row],[coeff]])+Wapato_Inventory[[#This Row],[const]]</f>
        <v>15234.08783612182</v>
      </c>
      <c r="S645" t="s">
        <v>66</v>
      </c>
      <c r="T645">
        <v>1</v>
      </c>
      <c r="U645" t="s">
        <v>75</v>
      </c>
      <c r="V645" t="s">
        <v>68</v>
      </c>
      <c r="W645">
        <v>0</v>
      </c>
      <c r="X645">
        <v>0</v>
      </c>
      <c r="Y645">
        <v>52</v>
      </c>
      <c r="Z645">
        <v>88</v>
      </c>
      <c r="AA645">
        <v>90</v>
      </c>
      <c r="AB645">
        <v>1500</v>
      </c>
      <c r="AC645">
        <v>1096</v>
      </c>
      <c r="AD645">
        <v>1096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80</v>
      </c>
      <c r="AO645">
        <v>0</v>
      </c>
      <c r="AP645">
        <v>7</v>
      </c>
      <c r="AQ645">
        <v>0</v>
      </c>
      <c r="AR645">
        <v>0</v>
      </c>
      <c r="AS645" t="s">
        <v>59</v>
      </c>
      <c r="AT645">
        <v>1</v>
      </c>
      <c r="AU645" t="s">
        <v>64</v>
      </c>
      <c r="AV645" t="s">
        <v>77</v>
      </c>
      <c r="AW645">
        <v>0</v>
      </c>
      <c r="AX645">
        <v>3</v>
      </c>
      <c r="AY645">
        <v>0</v>
      </c>
      <c r="AZ645">
        <v>8800</v>
      </c>
      <c r="BA645">
        <v>100</v>
      </c>
      <c r="BB645">
        <v>100</v>
      </c>
      <c r="BC645">
        <v>100</v>
      </c>
      <c r="BD645">
        <v>100</v>
      </c>
      <c r="BE645">
        <v>1</v>
      </c>
      <c r="BF645">
        <v>15000</v>
      </c>
      <c r="BG645">
        <v>1000</v>
      </c>
      <c r="BH645" s="7">
        <f>ROUND(Wapato_Inventory[[#This Row],[detatched_value]]*Lookups!$B$22*Lookups!$H$48,-2)</f>
        <v>7900</v>
      </c>
      <c r="BI645" s="7">
        <f>ROUND(((Wapato_Inventory[[#This Row],[land_extract]]*Lookups!$B$3) +(Lookups!$B$2*0.5))*Lookups!$H$48,-2)</f>
        <v>52500</v>
      </c>
      <c r="BJ645" s="7">
        <f>IF(Wapato_Inventory[[#This Row],[bldg_style]]="",0,Lookups!$B$2*0.5)</f>
        <v>53765.27</v>
      </c>
      <c r="BK645" s="7">
        <f>_xlfn.IFNA(VLOOKUP(Wapato_Inventory[[#This Row],[quality]],Lookups!$H$2:$J$14,3,FALSE),0)</f>
        <v>48043</v>
      </c>
      <c r="BL645" s="7">
        <f>_xlfn.IFNA(VLOOKUP(Wapato_Inventory[[#This Row],[condition]],Lookups!$H$17:$J$24,3,FALSE),0)</f>
        <v>52231</v>
      </c>
      <c r="BM645" s="7">
        <f>Wapato_Inventory[[#This Row],[Age]]*Lookups!$B$16</f>
        <v>-32619.461600000002</v>
      </c>
      <c r="BN645" s="7">
        <f>Wapato_Inventory[[#This Row],[Main Floor]]*Lookups!$B$17</f>
        <v>45813.609944000003</v>
      </c>
      <c r="BO645" s="7">
        <f>Wapato_Inventory[[#This Row],[Upper Floor]]*Lookups!$B$18</f>
        <v>0</v>
      </c>
      <c r="BP645" s="7">
        <f>Wapato_Inventory[[#This Row],[Fin BSMT]]*Lookups!$B$19</f>
        <v>0</v>
      </c>
      <c r="BQ645" s="7">
        <f>(Wapato_Inventory[[#This Row],[att_gar]]+Wapato_Inventory[[#This Row],[blt_gar]])*Lookups!$B$20</f>
        <v>0</v>
      </c>
      <c r="BR645" s="7">
        <f>Wapato_Inventory[[#This Row],[Patio]]*Lookups!$B$21</f>
        <v>0</v>
      </c>
      <c r="BS645" s="7">
        <f>SUM(Wapato_Inventory[[#This Row],[intercept]:[patio_value]])*Wapato_Inventory[[#This Row],[res_pct]]</f>
        <v>167233.41834399998</v>
      </c>
      <c r="BT645" s="7">
        <f>Wapato_Inventory[[#This Row],[land_value]]</f>
        <v>52500</v>
      </c>
      <c r="BU645" s="2">
        <f>_xlfn.IFNA(VLOOKUP(Wapato_Inventory[[#This Row],[quality]],Lookups!$A$28:$C$37,3,FALSE),1)</f>
        <v>0.98196844879778955</v>
      </c>
      <c r="BV645" s="2">
        <f>_xlfn.IFNA(VLOOKUP(Wapato_Inventory[[#This Row],[condition]],Lookups!$A$41:$C$48,3,FALSE),1)</f>
        <v>0.9832333997567807</v>
      </c>
      <c r="BW645" s="2">
        <f>IF(Wapato_Inventory[[#This Row],[decade]]="",1,_xlfn.IFNA(VLOOKUP(Wapato_Inventory[[#This Row],[decade]],Lookups!$F$28:$H$45,3,FALSE),1))</f>
        <v>0.94742695999815718</v>
      </c>
      <c r="BX645" s="2">
        <f>_xlfn.IFNA(VLOOKUP(Wapato_Inventory[[#This Row],[living_area_range]],Lookups!$K$28:$M$37,3,FALSE),1)</f>
        <v>1.0061411172456287</v>
      </c>
      <c r="BY645" s="2">
        <f>AVERAGE(Wapato_Inventory[[#This Row],[qual_adj]:[range_adj]])</f>
        <v>0.97969248144958898</v>
      </c>
      <c r="BZ645" s="7">
        <f>(Wapato_Inventory[[#This Row],[sum_land]]-IF(Wapato_Inventory[[#This Row],[no_utilities]]=1,12000,0))/IF(Wapato_Inventory[[#This Row],[unbuildable]]=1,2,1)</f>
        <v>52500</v>
      </c>
      <c r="CA645" s="7">
        <f>Wapato_Inventory[[#This Row],[pre_res]]*Wapato_Inventory[[#This Row],[overall_adj]]</f>
        <v>163837.32259873056</v>
      </c>
      <c r="CB645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645" s="3">
        <f>IF(ROUND(Wapato_Inventory[[#This Row],[adj_res]]*Lookups!$H$48,-2)&lt;Wapato_Inventory[[#This Row],[min_res]],Wapato_Inventory[[#This Row],[min_res]],ROUND(Wapato_Inventory[[#This Row],[adj_res]]*Lookups!$H$48,-2))</f>
        <v>155600</v>
      </c>
      <c r="CD645" s="3">
        <f>ROUND(Wapato_Inventory[[#This Row],[det_value]]*Lookups!$H$48,-2)</f>
        <v>7500</v>
      </c>
      <c r="CE645" s="3">
        <f>Wapato_Inventory[[#This Row],[final_res]]+Wapato_Inventory[[#This Row],[final_det]]</f>
        <v>163100</v>
      </c>
      <c r="CF645" s="3">
        <f>Wapato_Inventory[[#This Row],[crop_value]]+Wapato_Inventory[[#This Row],[final_land]]+Wapato_Inventory[[#This Row],[final_imp]]</f>
        <v>213000</v>
      </c>
      <c r="CH645" t="str">
        <f t="shared" si="10"/>
        <v>update valuation set market_land =49900, market_bldg=163100, market_total =213000, market_mdno =405, market_date ='9/10/2023' where link_id = (select link_id from parcel where parcel_year = '2024' and parcel_id = '19111513445');</v>
      </c>
    </row>
    <row r="646" spans="1:86" x14ac:dyDescent="0.25">
      <c r="A646">
        <v>19111513446</v>
      </c>
      <c r="B646">
        <v>0.14000000000000001</v>
      </c>
      <c r="C646">
        <v>6002</v>
      </c>
      <c r="D646" t="s">
        <v>144</v>
      </c>
      <c r="E646" t="s">
        <v>54</v>
      </c>
      <c r="F646" t="s">
        <v>54</v>
      </c>
      <c r="G646">
        <v>3</v>
      </c>
      <c r="H646" t="s">
        <v>55</v>
      </c>
      <c r="I646">
        <v>81300</v>
      </c>
      <c r="J646">
        <v>31900</v>
      </c>
      <c r="K646">
        <v>0.14000000000000001</v>
      </c>
      <c r="L646">
        <f>IF(Wapato_Inventory[[#This Row],[parcel_acres]]-Wapato_Inventory[[#This Row],[non_valued_acres]] =0,0,LN(Wapato_Inventory[[#This Row],[parcel_acres]]-Wapato_Inventory[[#This Row],[non_valued_acres]]))</f>
        <v>-1.9661128563728327</v>
      </c>
      <c r="M646">
        <v>0</v>
      </c>
      <c r="N646">
        <v>0</v>
      </c>
      <c r="O646">
        <v>0</v>
      </c>
      <c r="P646">
        <v>27904.037</v>
      </c>
      <c r="Q646">
        <v>74398</v>
      </c>
      <c r="R646" s="3">
        <f>(Wapato_Inventory[[#This Row],[ln_acres]]*Wapato_Inventory[[#This Row],[coeff]])+Wapato_Inventory[[#This Row],[const]]</f>
        <v>19535.514109596792</v>
      </c>
      <c r="S646" t="s">
        <v>66</v>
      </c>
      <c r="T646">
        <v>1</v>
      </c>
      <c r="U646" t="s">
        <v>71</v>
      </c>
      <c r="V646" t="s">
        <v>68</v>
      </c>
      <c r="W646">
        <v>0</v>
      </c>
      <c r="X646">
        <v>0</v>
      </c>
      <c r="Y646">
        <v>65</v>
      </c>
      <c r="Z646">
        <v>113</v>
      </c>
      <c r="AA646">
        <v>120</v>
      </c>
      <c r="AB646">
        <v>1000</v>
      </c>
      <c r="AC646">
        <v>680</v>
      </c>
      <c r="AD646">
        <v>680</v>
      </c>
      <c r="AE646">
        <v>0</v>
      </c>
      <c r="AF646">
        <v>0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0</v>
      </c>
      <c r="AN646">
        <v>120</v>
      </c>
      <c r="AO646">
        <v>0</v>
      </c>
      <c r="AP646">
        <v>5</v>
      </c>
      <c r="AQ646">
        <v>0</v>
      </c>
      <c r="AR646">
        <v>0</v>
      </c>
      <c r="AS646" t="s">
        <v>59</v>
      </c>
      <c r="AT646">
        <v>0</v>
      </c>
      <c r="AU646" t="s">
        <v>80</v>
      </c>
      <c r="AV646" t="s">
        <v>65</v>
      </c>
      <c r="AW646">
        <v>0</v>
      </c>
      <c r="AX646">
        <v>2</v>
      </c>
      <c r="AY646">
        <v>0</v>
      </c>
      <c r="AZ646">
        <v>0</v>
      </c>
      <c r="BA646">
        <v>100</v>
      </c>
      <c r="BB646">
        <v>100</v>
      </c>
      <c r="BC646">
        <v>100</v>
      </c>
      <c r="BD646">
        <v>100</v>
      </c>
      <c r="BE646">
        <v>1</v>
      </c>
      <c r="BF646">
        <v>15000</v>
      </c>
      <c r="BG646">
        <v>1000</v>
      </c>
      <c r="BH646" s="7">
        <f>ROUND(Wapato_Inventory[[#This Row],[detatched_value]]*Lookups!$B$22*Lookups!$H$48,-2)</f>
        <v>0</v>
      </c>
      <c r="BI646" s="7">
        <f>ROUND(((Wapato_Inventory[[#This Row],[land_extract]]*Lookups!$B$3) +(Lookups!$B$2*0.5))*Lookups!$H$48,-2)</f>
        <v>53000</v>
      </c>
      <c r="BJ646" s="7">
        <f>IF(Wapato_Inventory[[#This Row],[bldg_style]]="",0,Lookups!$B$2*0.5)</f>
        <v>53765.27</v>
      </c>
      <c r="BK646" s="7">
        <f>_xlfn.IFNA(VLOOKUP(Wapato_Inventory[[#This Row],[quality]],Lookups!$H$2:$J$14,3,FALSE),0)</f>
        <v>28034</v>
      </c>
      <c r="BL646" s="7">
        <f>_xlfn.IFNA(VLOOKUP(Wapato_Inventory[[#This Row],[condition]],Lookups!$H$17:$J$24,3,FALSE),0)</f>
        <v>52231</v>
      </c>
      <c r="BM646" s="7">
        <f>Wapato_Inventory[[#This Row],[Age]]*Lookups!$B$16</f>
        <v>-41886.354100000004</v>
      </c>
      <c r="BN646" s="7">
        <f>Wapato_Inventory[[#This Row],[Main Floor]]*Lookups!$B$17</f>
        <v>28424.502520000002</v>
      </c>
      <c r="BO646" s="7">
        <f>Wapato_Inventory[[#This Row],[Upper Floor]]*Lookups!$B$18</f>
        <v>0</v>
      </c>
      <c r="BP646" s="7">
        <f>Wapato_Inventory[[#This Row],[Fin BSMT]]*Lookups!$B$19</f>
        <v>0</v>
      </c>
      <c r="BQ646" s="7">
        <f>(Wapato_Inventory[[#This Row],[att_gar]]+Wapato_Inventory[[#This Row],[blt_gar]])*Lookups!$B$20</f>
        <v>0</v>
      </c>
      <c r="BR646" s="7">
        <f>Wapato_Inventory[[#This Row],[Patio]]*Lookups!$B$21</f>
        <v>0</v>
      </c>
      <c r="BS646" s="7">
        <f>SUM(Wapato_Inventory[[#This Row],[intercept]:[patio_value]])*Wapato_Inventory[[#This Row],[res_pct]]</f>
        <v>120568.41842</v>
      </c>
      <c r="BT646" s="7">
        <f>Wapato_Inventory[[#This Row],[land_value]]</f>
        <v>53000</v>
      </c>
      <c r="BU646" s="2">
        <f>_xlfn.IFNA(VLOOKUP(Wapato_Inventory[[#This Row],[quality]],Lookups!$A$28:$C$37,3,FALSE),1)</f>
        <v>0.96265813922927435</v>
      </c>
      <c r="BV646" s="2">
        <f>_xlfn.IFNA(VLOOKUP(Wapato_Inventory[[#This Row],[condition]],Lookups!$A$41:$C$48,3,FALSE),1)</f>
        <v>0.9832333997567807</v>
      </c>
      <c r="BW646" s="2">
        <f>IF(Wapato_Inventory[[#This Row],[decade]]="",1,_xlfn.IFNA(VLOOKUP(Wapato_Inventory[[#This Row],[decade]],Lookups!$F$28:$H$45,3,FALSE),1))</f>
        <v>0.93664589651353292</v>
      </c>
      <c r="BX646" s="2">
        <f>_xlfn.IFNA(VLOOKUP(Wapato_Inventory[[#This Row],[living_area_range]],Lookups!$K$28:$M$37,3,FALSE),1)</f>
        <v>0.99022994770196116</v>
      </c>
      <c r="BY646" s="2">
        <f>AVERAGE(Wapato_Inventory[[#This Row],[qual_adj]:[range_adj]])</f>
        <v>0.9681918458003872</v>
      </c>
      <c r="BZ646" s="7">
        <f>(Wapato_Inventory[[#This Row],[sum_land]]-IF(Wapato_Inventory[[#This Row],[no_utilities]]=1,12000,0))/IF(Wapato_Inventory[[#This Row],[unbuildable]]=1,2,1)</f>
        <v>53000</v>
      </c>
      <c r="CA646" s="7">
        <f>Wapato_Inventory[[#This Row],[pre_res]]*Wapato_Inventory[[#This Row],[overall_adj]]</f>
        <v>116733.3595752932</v>
      </c>
      <c r="CB64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46" s="3">
        <f>IF(ROUND(Wapato_Inventory[[#This Row],[adj_res]]*Lookups!$H$48,-2)&lt;Wapato_Inventory[[#This Row],[min_res]],Wapato_Inventory[[#This Row],[min_res]],ROUND(Wapato_Inventory[[#This Row],[adj_res]]*Lookups!$H$48,-2))</f>
        <v>110900</v>
      </c>
      <c r="CD646" s="3">
        <f>ROUND(Wapato_Inventory[[#This Row],[det_value]]*Lookups!$H$48,-2)</f>
        <v>0</v>
      </c>
      <c r="CE646" s="3">
        <f>Wapato_Inventory[[#This Row],[final_res]]+Wapato_Inventory[[#This Row],[final_det]]</f>
        <v>110900</v>
      </c>
      <c r="CF646" s="3">
        <f>Wapato_Inventory[[#This Row],[crop_value]]+Wapato_Inventory[[#This Row],[final_land]]+Wapato_Inventory[[#This Row],[final_imp]]</f>
        <v>161300</v>
      </c>
      <c r="CH646" t="str">
        <f t="shared" si="10"/>
        <v>update valuation set market_land =50400, market_bldg=110900, market_total =161300, market_mdno =405, market_date ='9/10/2023' where link_id = (select link_id from parcel where parcel_year = '2024' and parcel_id = '19111513446');</v>
      </c>
    </row>
    <row r="647" spans="1:86" x14ac:dyDescent="0.25">
      <c r="A647">
        <v>19111513447</v>
      </c>
      <c r="B647">
        <v>0.13</v>
      </c>
      <c r="C647">
        <v>5499</v>
      </c>
      <c r="D647" t="s">
        <v>144</v>
      </c>
      <c r="E647" t="s">
        <v>54</v>
      </c>
      <c r="F647" t="s">
        <v>54</v>
      </c>
      <c r="G647">
        <v>3</v>
      </c>
      <c r="H647" t="s">
        <v>55</v>
      </c>
      <c r="I647">
        <v>174600</v>
      </c>
      <c r="J647">
        <v>31400</v>
      </c>
      <c r="K647">
        <v>0.13</v>
      </c>
      <c r="L647">
        <f>IF(Wapato_Inventory[[#This Row],[parcel_acres]]-Wapato_Inventory[[#This Row],[non_valued_acres]] =0,0,LN(Wapato_Inventory[[#This Row],[parcel_acres]]-Wapato_Inventory[[#This Row],[non_valued_acres]]))</f>
        <v>-2.0402208285265546</v>
      </c>
      <c r="M647">
        <v>0</v>
      </c>
      <c r="N647">
        <v>0</v>
      </c>
      <c r="O647">
        <v>0</v>
      </c>
      <c r="P647">
        <v>27904.037</v>
      </c>
      <c r="Q647">
        <v>74398</v>
      </c>
      <c r="R647" s="3">
        <f>(Wapato_Inventory[[#This Row],[ln_acres]]*Wapato_Inventory[[#This Row],[coeff]])+Wapato_Inventory[[#This Row],[const]]</f>
        <v>17467.602512624362</v>
      </c>
      <c r="S647" t="s">
        <v>66</v>
      </c>
      <c r="T647">
        <v>1</v>
      </c>
      <c r="U647" t="s">
        <v>75</v>
      </c>
      <c r="V647" t="s">
        <v>69</v>
      </c>
      <c r="W647">
        <v>0</v>
      </c>
      <c r="X647">
        <v>0</v>
      </c>
      <c r="Y647">
        <v>38</v>
      </c>
      <c r="Z647">
        <v>108</v>
      </c>
      <c r="AA647">
        <v>110</v>
      </c>
      <c r="AB647">
        <v>1500</v>
      </c>
      <c r="AC647">
        <v>1008</v>
      </c>
      <c r="AD647">
        <v>1008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327</v>
      </c>
      <c r="AN647">
        <v>0</v>
      </c>
      <c r="AO647">
        <v>84</v>
      </c>
      <c r="AP647">
        <v>5</v>
      </c>
      <c r="AQ647">
        <v>0</v>
      </c>
      <c r="AR647">
        <v>0</v>
      </c>
      <c r="AS647" t="s">
        <v>59</v>
      </c>
      <c r="AT647">
        <v>1</v>
      </c>
      <c r="AU647" t="s">
        <v>72</v>
      </c>
      <c r="AV647" t="s">
        <v>61</v>
      </c>
      <c r="AW647">
        <v>0</v>
      </c>
      <c r="AX647">
        <v>2</v>
      </c>
      <c r="AY647">
        <v>0</v>
      </c>
      <c r="AZ647">
        <v>9200</v>
      </c>
      <c r="BA647">
        <v>100</v>
      </c>
      <c r="BB647">
        <v>100</v>
      </c>
      <c r="BC647">
        <v>100</v>
      </c>
      <c r="BD647">
        <v>100</v>
      </c>
      <c r="BE647">
        <v>1</v>
      </c>
      <c r="BF647">
        <v>15000</v>
      </c>
      <c r="BG647">
        <v>1000</v>
      </c>
      <c r="BH647" s="7">
        <f>ROUND(Wapato_Inventory[[#This Row],[detatched_value]]*Lookups!$B$22*Lookups!$H$48,-2)</f>
        <v>8200</v>
      </c>
      <c r="BI647" s="7">
        <f>ROUND(((Wapato_Inventory[[#This Row],[land_extract]]*Lookups!$B$3) +(Lookups!$B$2*0.5))*Lookups!$H$48,-2)</f>
        <v>52800</v>
      </c>
      <c r="BJ647" s="7">
        <f>IF(Wapato_Inventory[[#This Row],[bldg_style]]="",0,Lookups!$B$2*0.5)</f>
        <v>53765.27</v>
      </c>
      <c r="BK647" s="7">
        <f>_xlfn.IFNA(VLOOKUP(Wapato_Inventory[[#This Row],[quality]],Lookups!$H$2:$J$14,3,FALSE),0)</f>
        <v>48043</v>
      </c>
      <c r="BL647" s="7">
        <f>_xlfn.IFNA(VLOOKUP(Wapato_Inventory[[#This Row],[condition]],Lookups!$H$17:$J$24,3,FALSE),0)</f>
        <v>74543</v>
      </c>
      <c r="BM647" s="7">
        <f>Wapato_Inventory[[#This Row],[Age]]*Lookups!$B$16</f>
        <v>-40032.975599999998</v>
      </c>
      <c r="BN647" s="7">
        <f>Wapato_Inventory[[#This Row],[Main Floor]]*Lookups!$B$17</f>
        <v>42135.144912000003</v>
      </c>
      <c r="BO647" s="7">
        <f>Wapato_Inventory[[#This Row],[Upper Floor]]*Lookups!$B$18</f>
        <v>0</v>
      </c>
      <c r="BP647" s="7">
        <f>Wapato_Inventory[[#This Row],[Fin BSMT]]*Lookups!$B$19</f>
        <v>0</v>
      </c>
      <c r="BQ647" s="7">
        <f>(Wapato_Inventory[[#This Row],[att_gar]]+Wapato_Inventory[[#This Row],[blt_gar]])*Lookups!$B$20</f>
        <v>0</v>
      </c>
      <c r="BR647" s="7">
        <f>Wapato_Inventory[[#This Row],[Patio]]*Lookups!$B$21</f>
        <v>14166.941133</v>
      </c>
      <c r="BS647" s="7">
        <f>SUM(Wapato_Inventory[[#This Row],[intercept]:[patio_value]])*Wapato_Inventory[[#This Row],[res_pct]]</f>
        <v>192620.38044500002</v>
      </c>
      <c r="BT647" s="7">
        <f>Wapato_Inventory[[#This Row],[land_value]]</f>
        <v>52800</v>
      </c>
      <c r="BU647" s="2">
        <f>_xlfn.IFNA(VLOOKUP(Wapato_Inventory[[#This Row],[quality]],Lookups!$A$28:$C$37,3,FALSE),1)</f>
        <v>0.98196844879778955</v>
      </c>
      <c r="BV647" s="2">
        <f>_xlfn.IFNA(VLOOKUP(Wapato_Inventory[[#This Row],[condition]],Lookups!$A$41:$C$48,3,FALSE),1)</f>
        <v>0.98442438223270734</v>
      </c>
      <c r="BW647" s="2">
        <f>IF(Wapato_Inventory[[#This Row],[decade]]="",1,_xlfn.IFNA(VLOOKUP(Wapato_Inventory[[#This Row],[decade]],Lookups!$F$28:$H$45,3,FALSE),1))</f>
        <v>0.93664589651353292</v>
      </c>
      <c r="BX647" s="2">
        <f>_xlfn.IFNA(VLOOKUP(Wapato_Inventory[[#This Row],[living_area_range]],Lookups!$K$28:$M$37,3,FALSE),1)</f>
        <v>1.0061411172456287</v>
      </c>
      <c r="BY647" s="2">
        <f>AVERAGE(Wapato_Inventory[[#This Row],[qual_adj]:[range_adj]])</f>
        <v>0.97729496119741466</v>
      </c>
      <c r="BZ647" s="7">
        <f>(Wapato_Inventory[[#This Row],[sum_land]]-IF(Wapato_Inventory[[#This Row],[no_utilities]]=1,12000,0))/IF(Wapato_Inventory[[#This Row],[unbuildable]]=1,2,1)</f>
        <v>52800</v>
      </c>
      <c r="CA647" s="7">
        <f>Wapato_Inventory[[#This Row],[pre_res]]*Wapato_Inventory[[#This Row],[overall_adj]]</f>
        <v>188246.92723282755</v>
      </c>
      <c r="CB64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47" s="3">
        <f>IF(ROUND(Wapato_Inventory[[#This Row],[adj_res]]*Lookups!$H$48,-2)&lt;Wapato_Inventory[[#This Row],[min_res]],Wapato_Inventory[[#This Row],[min_res]],ROUND(Wapato_Inventory[[#This Row],[adj_res]]*Lookups!$H$48,-2))</f>
        <v>178800</v>
      </c>
      <c r="CD647" s="3">
        <f>ROUND(Wapato_Inventory[[#This Row],[det_value]]*Lookups!$H$48,-2)</f>
        <v>7800</v>
      </c>
      <c r="CE647" s="3">
        <f>Wapato_Inventory[[#This Row],[final_res]]+Wapato_Inventory[[#This Row],[final_det]]</f>
        <v>186600</v>
      </c>
      <c r="CF647" s="3">
        <f>Wapato_Inventory[[#This Row],[crop_value]]+Wapato_Inventory[[#This Row],[final_land]]+Wapato_Inventory[[#This Row],[final_imp]]</f>
        <v>236800</v>
      </c>
      <c r="CH647" t="str">
        <f t="shared" si="10"/>
        <v>update valuation set market_land =50200, market_bldg=186600, market_total =236800, market_mdno =405, market_date ='9/10/2023' where link_id = (select link_id from parcel where parcel_year = '2024' and parcel_id = '19111513447');</v>
      </c>
    </row>
    <row r="648" spans="1:86" x14ac:dyDescent="0.25">
      <c r="A648">
        <v>19111513448</v>
      </c>
      <c r="B648">
        <v>0.14000000000000001</v>
      </c>
      <c r="C648">
        <v>5898</v>
      </c>
      <c r="D648" t="s">
        <v>144</v>
      </c>
      <c r="E648" t="s">
        <v>54</v>
      </c>
      <c r="F648" t="s">
        <v>54</v>
      </c>
      <c r="G648">
        <v>3</v>
      </c>
      <c r="H648" t="s">
        <v>55</v>
      </c>
      <c r="I648">
        <v>158900</v>
      </c>
      <c r="J648">
        <v>31900</v>
      </c>
      <c r="K648">
        <v>0.14000000000000001</v>
      </c>
      <c r="L648">
        <f>IF(Wapato_Inventory[[#This Row],[parcel_acres]]-Wapato_Inventory[[#This Row],[non_valued_acres]] =0,0,LN(Wapato_Inventory[[#This Row],[parcel_acres]]-Wapato_Inventory[[#This Row],[non_valued_acres]]))</f>
        <v>-1.9661128563728327</v>
      </c>
      <c r="M648">
        <v>0</v>
      </c>
      <c r="N648">
        <v>0</v>
      </c>
      <c r="O648">
        <v>0</v>
      </c>
      <c r="P648">
        <v>27904.037</v>
      </c>
      <c r="Q648">
        <v>74398</v>
      </c>
      <c r="R648" s="3">
        <f>(Wapato_Inventory[[#This Row],[ln_acres]]*Wapato_Inventory[[#This Row],[coeff]])+Wapato_Inventory[[#This Row],[const]]</f>
        <v>19535.514109596792</v>
      </c>
      <c r="S648" t="s">
        <v>66</v>
      </c>
      <c r="T648">
        <v>1</v>
      </c>
      <c r="U648" t="s">
        <v>75</v>
      </c>
      <c r="V648" t="s">
        <v>68</v>
      </c>
      <c r="W648">
        <v>0</v>
      </c>
      <c r="X648">
        <v>0</v>
      </c>
      <c r="Y648">
        <v>60</v>
      </c>
      <c r="Z648">
        <v>108</v>
      </c>
      <c r="AA648">
        <v>110</v>
      </c>
      <c r="AB648">
        <v>1500</v>
      </c>
      <c r="AC648">
        <v>1144</v>
      </c>
      <c r="AD648">
        <v>1144</v>
      </c>
      <c r="AE648">
        <v>0</v>
      </c>
      <c r="AF648">
        <v>0</v>
      </c>
      <c r="AG648">
        <v>0</v>
      </c>
      <c r="AH648">
        <v>572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66</v>
      </c>
      <c r="AO648">
        <v>0</v>
      </c>
      <c r="AP648">
        <v>5</v>
      </c>
      <c r="AQ648">
        <v>0</v>
      </c>
      <c r="AR648">
        <v>0</v>
      </c>
      <c r="AS648" t="s">
        <v>59</v>
      </c>
      <c r="AT648">
        <v>1</v>
      </c>
      <c r="AU648" t="s">
        <v>64</v>
      </c>
      <c r="AV648" t="s">
        <v>61</v>
      </c>
      <c r="AW648">
        <v>1</v>
      </c>
      <c r="AX648">
        <v>3</v>
      </c>
      <c r="AY648">
        <v>0</v>
      </c>
      <c r="AZ648">
        <v>11200</v>
      </c>
      <c r="BA648">
        <v>100</v>
      </c>
      <c r="BB648">
        <v>100</v>
      </c>
      <c r="BC648">
        <v>100</v>
      </c>
      <c r="BD648">
        <v>100</v>
      </c>
      <c r="BE648">
        <v>1</v>
      </c>
      <c r="BF648">
        <v>15000</v>
      </c>
      <c r="BG648">
        <v>1000</v>
      </c>
      <c r="BH648" s="7">
        <f>ROUND(Wapato_Inventory[[#This Row],[detatched_value]]*Lookups!$B$22*Lookups!$H$48,-2)</f>
        <v>10000</v>
      </c>
      <c r="BI648" s="7">
        <f>ROUND(((Wapato_Inventory[[#This Row],[land_extract]]*Lookups!$B$3) +(Lookups!$B$2*0.5))*Lookups!$H$48,-2)</f>
        <v>53000</v>
      </c>
      <c r="BJ648" s="7">
        <f>IF(Wapato_Inventory[[#This Row],[bldg_style]]="",0,Lookups!$B$2*0.5)</f>
        <v>53765.27</v>
      </c>
      <c r="BK648" s="7">
        <f>_xlfn.IFNA(VLOOKUP(Wapato_Inventory[[#This Row],[quality]],Lookups!$H$2:$J$14,3,FALSE),0)</f>
        <v>48043</v>
      </c>
      <c r="BL648" s="7">
        <f>_xlfn.IFNA(VLOOKUP(Wapato_Inventory[[#This Row],[condition]],Lookups!$H$17:$J$24,3,FALSE),0)</f>
        <v>52231</v>
      </c>
      <c r="BM648" s="7">
        <f>Wapato_Inventory[[#This Row],[Age]]*Lookups!$B$16</f>
        <v>-40032.975599999998</v>
      </c>
      <c r="BN648" s="7">
        <f>Wapato_Inventory[[#This Row],[Main Floor]]*Lookups!$B$17</f>
        <v>47820.045416000001</v>
      </c>
      <c r="BO648" s="7">
        <f>Wapato_Inventory[[#This Row],[Upper Floor]]*Lookups!$B$18</f>
        <v>0</v>
      </c>
      <c r="BP648" s="7">
        <f>Wapato_Inventory[[#This Row],[Fin BSMT]]*Lookups!$B$19</f>
        <v>0</v>
      </c>
      <c r="BQ648" s="7">
        <f>(Wapato_Inventory[[#This Row],[att_gar]]+Wapato_Inventory[[#This Row],[blt_gar]])*Lookups!$B$20</f>
        <v>0</v>
      </c>
      <c r="BR648" s="7">
        <f>Wapato_Inventory[[#This Row],[Patio]]*Lookups!$B$21</f>
        <v>0</v>
      </c>
      <c r="BS648" s="7">
        <f>SUM(Wapato_Inventory[[#This Row],[intercept]:[patio_value]])*Wapato_Inventory[[#This Row],[res_pct]]</f>
        <v>161826.33981599999</v>
      </c>
      <c r="BT648" s="7">
        <f>Wapato_Inventory[[#This Row],[land_value]]</f>
        <v>53000</v>
      </c>
      <c r="BU648" s="2">
        <f>_xlfn.IFNA(VLOOKUP(Wapato_Inventory[[#This Row],[quality]],Lookups!$A$28:$C$37,3,FALSE),1)</f>
        <v>0.98196844879778955</v>
      </c>
      <c r="BV648" s="2">
        <f>_xlfn.IFNA(VLOOKUP(Wapato_Inventory[[#This Row],[condition]],Lookups!$A$41:$C$48,3,FALSE),1)</f>
        <v>0.9832333997567807</v>
      </c>
      <c r="BW648" s="2">
        <f>IF(Wapato_Inventory[[#This Row],[decade]]="",1,_xlfn.IFNA(VLOOKUP(Wapato_Inventory[[#This Row],[decade]],Lookups!$F$28:$H$45,3,FALSE),1))</f>
        <v>0.93664589651353292</v>
      </c>
      <c r="BX648" s="2">
        <f>_xlfn.IFNA(VLOOKUP(Wapato_Inventory[[#This Row],[living_area_range]],Lookups!$K$28:$M$37,3,FALSE),1)</f>
        <v>1.0061411172456287</v>
      </c>
      <c r="BY648" s="2">
        <f>AVERAGE(Wapato_Inventory[[#This Row],[qual_adj]:[range_adj]])</f>
        <v>0.976997215578433</v>
      </c>
      <c r="BZ648" s="7">
        <f>(Wapato_Inventory[[#This Row],[sum_land]]-IF(Wapato_Inventory[[#This Row],[no_utilities]]=1,12000,0))/IF(Wapato_Inventory[[#This Row],[unbuildable]]=1,2,1)</f>
        <v>53000</v>
      </c>
      <c r="CA648" s="7">
        <f>Wapato_Inventory[[#This Row],[pre_res]]*Wapato_Inventory[[#This Row],[overall_adj]]</f>
        <v>158103.88340748131</v>
      </c>
      <c r="CB64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48" s="3">
        <f>IF(ROUND(Wapato_Inventory[[#This Row],[adj_res]]*Lookups!$H$48,-2)&lt;Wapato_Inventory[[#This Row],[min_res]],Wapato_Inventory[[#This Row],[min_res]],ROUND(Wapato_Inventory[[#This Row],[adj_res]]*Lookups!$H$48,-2))</f>
        <v>150200</v>
      </c>
      <c r="CD648" s="3">
        <f>ROUND(Wapato_Inventory[[#This Row],[det_value]]*Lookups!$H$48,-2)</f>
        <v>9500</v>
      </c>
      <c r="CE648" s="3">
        <f>Wapato_Inventory[[#This Row],[final_res]]+Wapato_Inventory[[#This Row],[final_det]]</f>
        <v>159700</v>
      </c>
      <c r="CF648" s="3">
        <f>Wapato_Inventory[[#This Row],[crop_value]]+Wapato_Inventory[[#This Row],[final_land]]+Wapato_Inventory[[#This Row],[final_imp]]</f>
        <v>210100</v>
      </c>
      <c r="CH648" t="str">
        <f t="shared" si="10"/>
        <v>update valuation set market_land =50400, market_bldg=159700, market_total =210100, market_mdno =405, market_date ='9/10/2023' where link_id = (select link_id from parcel where parcel_year = '2024' and parcel_id = '19111513448');</v>
      </c>
    </row>
    <row r="649" spans="1:86" x14ac:dyDescent="0.25">
      <c r="A649">
        <v>19111513449</v>
      </c>
      <c r="B649">
        <v>0.15</v>
      </c>
      <c r="C649">
        <v>6339</v>
      </c>
      <c r="D649" t="s">
        <v>144</v>
      </c>
      <c r="E649" t="s">
        <v>54</v>
      </c>
      <c r="F649" t="s">
        <v>54</v>
      </c>
      <c r="G649">
        <v>3</v>
      </c>
      <c r="H649" t="s">
        <v>55</v>
      </c>
      <c r="I649">
        <v>127700</v>
      </c>
      <c r="J649">
        <v>32300</v>
      </c>
      <c r="K649">
        <v>0.15</v>
      </c>
      <c r="L649">
        <f>IF(Wapato_Inventory[[#This Row],[parcel_acres]]-Wapato_Inventory[[#This Row],[non_valued_acres]] =0,0,LN(Wapato_Inventory[[#This Row],[parcel_acres]]-Wapato_Inventory[[#This Row],[non_valued_acres]]))</f>
        <v>-1.8971199848858813</v>
      </c>
      <c r="M649">
        <v>0</v>
      </c>
      <c r="N649">
        <v>0</v>
      </c>
      <c r="O649">
        <v>0</v>
      </c>
      <c r="P649">
        <v>27904.037</v>
      </c>
      <c r="Q649">
        <v>74398</v>
      </c>
      <c r="R649" s="3">
        <f>(Wapato_Inventory[[#This Row],[ln_acres]]*Wapato_Inventory[[#This Row],[coeff]])+Wapato_Inventory[[#This Row],[const]]</f>
        <v>21460.693748304926</v>
      </c>
      <c r="S649" t="s">
        <v>66</v>
      </c>
      <c r="T649">
        <v>1</v>
      </c>
      <c r="U649" t="s">
        <v>71</v>
      </c>
      <c r="V649" t="s">
        <v>68</v>
      </c>
      <c r="W649">
        <v>0</v>
      </c>
      <c r="X649">
        <v>0</v>
      </c>
      <c r="Y649">
        <v>51</v>
      </c>
      <c r="Z649">
        <v>77</v>
      </c>
      <c r="AA649">
        <v>80</v>
      </c>
      <c r="AB649">
        <v>1500</v>
      </c>
      <c r="AC649">
        <v>1200</v>
      </c>
      <c r="AD649">
        <v>1200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288</v>
      </c>
      <c r="AL649">
        <v>0</v>
      </c>
      <c r="AM649">
        <v>0</v>
      </c>
      <c r="AN649">
        <v>0</v>
      </c>
      <c r="AO649">
        <v>0</v>
      </c>
      <c r="AP649">
        <v>7</v>
      </c>
      <c r="AQ649">
        <v>0</v>
      </c>
      <c r="AR649">
        <v>0</v>
      </c>
      <c r="AS649" t="s">
        <v>59</v>
      </c>
      <c r="AT649">
        <v>1</v>
      </c>
      <c r="AU649" t="s">
        <v>76</v>
      </c>
      <c r="AV649" t="s">
        <v>61</v>
      </c>
      <c r="AW649">
        <v>0</v>
      </c>
      <c r="AX649">
        <v>4</v>
      </c>
      <c r="AY649">
        <v>0</v>
      </c>
      <c r="AZ649">
        <v>5300</v>
      </c>
      <c r="BA649">
        <v>100</v>
      </c>
      <c r="BB649">
        <v>100</v>
      </c>
      <c r="BC649">
        <v>100</v>
      </c>
      <c r="BD649">
        <v>100</v>
      </c>
      <c r="BE649">
        <v>1</v>
      </c>
      <c r="BF649">
        <v>15000</v>
      </c>
      <c r="BG649">
        <v>1000</v>
      </c>
      <c r="BH649" s="7">
        <f>ROUND(Wapato_Inventory[[#This Row],[detatched_value]]*Lookups!$B$22*Lookups!$H$48,-2)</f>
        <v>4700</v>
      </c>
      <c r="BI649" s="7">
        <f>ROUND(((Wapato_Inventory[[#This Row],[land_extract]]*Lookups!$B$3) +(Lookups!$B$2*0.5))*Lookups!$H$48,-2)</f>
        <v>53100</v>
      </c>
      <c r="BJ649" s="7">
        <f>IF(Wapato_Inventory[[#This Row],[bldg_style]]="",0,Lookups!$B$2*0.5)</f>
        <v>53765.27</v>
      </c>
      <c r="BK649" s="7">
        <f>_xlfn.IFNA(VLOOKUP(Wapato_Inventory[[#This Row],[quality]],Lookups!$H$2:$J$14,3,FALSE),0)</f>
        <v>28034</v>
      </c>
      <c r="BL649" s="7">
        <f>_xlfn.IFNA(VLOOKUP(Wapato_Inventory[[#This Row],[condition]],Lookups!$H$17:$J$24,3,FALSE),0)</f>
        <v>52231</v>
      </c>
      <c r="BM649" s="7">
        <f>Wapato_Inventory[[#This Row],[Age]]*Lookups!$B$16</f>
        <v>-28542.028900000001</v>
      </c>
      <c r="BN649" s="7">
        <f>Wapato_Inventory[[#This Row],[Main Floor]]*Lookups!$B$17</f>
        <v>50160.8868</v>
      </c>
      <c r="BO649" s="7">
        <f>Wapato_Inventory[[#This Row],[Upper Floor]]*Lookups!$B$18</f>
        <v>0</v>
      </c>
      <c r="BP649" s="7">
        <f>Wapato_Inventory[[#This Row],[Fin BSMT]]*Lookups!$B$19</f>
        <v>0</v>
      </c>
      <c r="BQ649" s="7">
        <f>(Wapato_Inventory[[#This Row],[att_gar]]+Wapato_Inventory[[#This Row],[blt_gar]])*Lookups!$B$20</f>
        <v>0</v>
      </c>
      <c r="BR649" s="7">
        <f>Wapato_Inventory[[#This Row],[Patio]]*Lookups!$B$21</f>
        <v>0</v>
      </c>
      <c r="BS649" s="7">
        <f>SUM(Wapato_Inventory[[#This Row],[intercept]:[patio_value]])*Wapato_Inventory[[#This Row],[res_pct]]</f>
        <v>155649.12789999999</v>
      </c>
      <c r="BT649" s="7">
        <f>Wapato_Inventory[[#This Row],[land_value]]</f>
        <v>53100</v>
      </c>
      <c r="BU649" s="2">
        <f>_xlfn.IFNA(VLOOKUP(Wapato_Inventory[[#This Row],[quality]],Lookups!$A$28:$C$37,3,FALSE),1)</f>
        <v>0.96265813922927435</v>
      </c>
      <c r="BV649" s="2">
        <f>_xlfn.IFNA(VLOOKUP(Wapato_Inventory[[#This Row],[condition]],Lookups!$A$41:$C$48,3,FALSE),1)</f>
        <v>0.9832333997567807</v>
      </c>
      <c r="BW649" s="2">
        <f>IF(Wapato_Inventory[[#This Row],[decade]]="",1,_xlfn.IFNA(VLOOKUP(Wapato_Inventory[[#This Row],[decade]],Lookups!$F$28:$H$45,3,FALSE),1))</f>
        <v>0.8438929209510081</v>
      </c>
      <c r="BX649" s="2">
        <f>_xlfn.IFNA(VLOOKUP(Wapato_Inventory[[#This Row],[living_area_range]],Lookups!$K$28:$M$37,3,FALSE),1)</f>
        <v>1.0061411172456287</v>
      </c>
      <c r="BY649" s="2">
        <f>AVERAGE(Wapato_Inventory[[#This Row],[qual_adj]:[range_adj]])</f>
        <v>0.94898139429567296</v>
      </c>
      <c r="BZ649" s="7">
        <f>(Wapato_Inventory[[#This Row],[sum_land]]-IF(Wapato_Inventory[[#This Row],[no_utilities]]=1,12000,0))/IF(Wapato_Inventory[[#This Row],[unbuildable]]=1,2,1)</f>
        <v>53100</v>
      </c>
      <c r="CA649" s="7">
        <f>Wapato_Inventory[[#This Row],[pre_res]]*Wapato_Inventory[[#This Row],[overall_adj]]</f>
        <v>147708.12641544754</v>
      </c>
      <c r="CB64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49" s="3">
        <f>IF(ROUND(Wapato_Inventory[[#This Row],[adj_res]]*Lookups!$H$48,-2)&lt;Wapato_Inventory[[#This Row],[min_res]],Wapato_Inventory[[#This Row],[min_res]],ROUND(Wapato_Inventory[[#This Row],[adj_res]]*Lookups!$H$48,-2))</f>
        <v>140300</v>
      </c>
      <c r="CD649" s="3">
        <f>ROUND(Wapato_Inventory[[#This Row],[det_value]]*Lookups!$H$48,-2)</f>
        <v>4500</v>
      </c>
      <c r="CE649" s="3">
        <f>Wapato_Inventory[[#This Row],[final_res]]+Wapato_Inventory[[#This Row],[final_det]]</f>
        <v>144800</v>
      </c>
      <c r="CF649" s="3">
        <f>Wapato_Inventory[[#This Row],[crop_value]]+Wapato_Inventory[[#This Row],[final_land]]+Wapato_Inventory[[#This Row],[final_imp]]</f>
        <v>195200</v>
      </c>
      <c r="CH649" t="str">
        <f t="shared" si="10"/>
        <v>update valuation set market_land =50400, market_bldg=144800, market_total =195200, market_mdno =405, market_date ='9/10/2023' where link_id = (select link_id from parcel where parcel_year = '2024' and parcel_id = '19111513449');</v>
      </c>
    </row>
    <row r="650" spans="1:86" x14ac:dyDescent="0.25">
      <c r="A650">
        <v>19111513450</v>
      </c>
      <c r="B650">
        <v>0.13</v>
      </c>
      <c r="C650">
        <v>5462</v>
      </c>
      <c r="D650" t="s">
        <v>144</v>
      </c>
      <c r="E650" t="s">
        <v>54</v>
      </c>
      <c r="F650" t="s">
        <v>54</v>
      </c>
      <c r="G650">
        <v>3</v>
      </c>
      <c r="H650" t="s">
        <v>55</v>
      </c>
      <c r="I650">
        <v>160200</v>
      </c>
      <c r="J650">
        <v>31400</v>
      </c>
      <c r="K650">
        <v>0.13</v>
      </c>
      <c r="L650">
        <f>IF(Wapato_Inventory[[#This Row],[parcel_acres]]-Wapato_Inventory[[#This Row],[non_valued_acres]] =0,0,LN(Wapato_Inventory[[#This Row],[parcel_acres]]-Wapato_Inventory[[#This Row],[non_valued_acres]]))</f>
        <v>-2.0402208285265546</v>
      </c>
      <c r="M650">
        <v>0</v>
      </c>
      <c r="N650">
        <v>0</v>
      </c>
      <c r="O650">
        <v>0</v>
      </c>
      <c r="P650">
        <v>27904.037</v>
      </c>
      <c r="Q650">
        <v>74398</v>
      </c>
      <c r="R650" s="3">
        <f>(Wapato_Inventory[[#This Row],[ln_acres]]*Wapato_Inventory[[#This Row],[coeff]])+Wapato_Inventory[[#This Row],[const]]</f>
        <v>17467.602512624362</v>
      </c>
      <c r="S650" t="s">
        <v>66</v>
      </c>
      <c r="T650">
        <v>1</v>
      </c>
      <c r="U650" t="s">
        <v>67</v>
      </c>
      <c r="V650" t="s">
        <v>68</v>
      </c>
      <c r="W650">
        <v>0</v>
      </c>
      <c r="X650">
        <v>0</v>
      </c>
      <c r="Y650">
        <v>52</v>
      </c>
      <c r="Z650">
        <v>88</v>
      </c>
      <c r="AA650">
        <v>90</v>
      </c>
      <c r="AB650">
        <v>1500</v>
      </c>
      <c r="AC650">
        <v>1405</v>
      </c>
      <c r="AD650">
        <v>1405</v>
      </c>
      <c r="AE650">
        <v>0</v>
      </c>
      <c r="AF650">
        <v>0</v>
      </c>
      <c r="AG650">
        <v>0</v>
      </c>
      <c r="AH650">
        <v>936</v>
      </c>
      <c r="AI650">
        <v>0</v>
      </c>
      <c r="AJ650">
        <v>0</v>
      </c>
      <c r="AK650">
        <v>0</v>
      </c>
      <c r="AL650">
        <v>0</v>
      </c>
      <c r="AM650">
        <v>254</v>
      </c>
      <c r="AN650">
        <v>16</v>
      </c>
      <c r="AO650">
        <v>48</v>
      </c>
      <c r="AP650">
        <v>7</v>
      </c>
      <c r="AQ650">
        <v>0</v>
      </c>
      <c r="AR650">
        <v>0</v>
      </c>
      <c r="AS650" t="s">
        <v>59</v>
      </c>
      <c r="AT650">
        <v>1</v>
      </c>
      <c r="AU650" t="s">
        <v>64</v>
      </c>
      <c r="AV650" t="s">
        <v>65</v>
      </c>
      <c r="AW650">
        <v>1</v>
      </c>
      <c r="AX650">
        <v>3</v>
      </c>
      <c r="AY650">
        <v>0</v>
      </c>
      <c r="AZ650">
        <v>4900</v>
      </c>
      <c r="BA650">
        <v>100</v>
      </c>
      <c r="BB650">
        <v>100</v>
      </c>
      <c r="BC650">
        <v>100</v>
      </c>
      <c r="BD650">
        <v>100</v>
      </c>
      <c r="BE650">
        <v>1</v>
      </c>
      <c r="BF650">
        <v>15000</v>
      </c>
      <c r="BG650">
        <v>1000</v>
      </c>
      <c r="BH650" s="7">
        <f>ROUND(Wapato_Inventory[[#This Row],[detatched_value]]*Lookups!$B$22*Lookups!$H$48,-2)</f>
        <v>4400</v>
      </c>
      <c r="BI650" s="7">
        <f>ROUND(((Wapato_Inventory[[#This Row],[land_extract]]*Lookups!$B$3) +(Lookups!$B$2*0.5))*Lookups!$H$48,-2)</f>
        <v>52800</v>
      </c>
      <c r="BJ650" s="7">
        <f>IF(Wapato_Inventory[[#This Row],[bldg_style]]="",0,Lookups!$B$2*0.5)</f>
        <v>53765.27</v>
      </c>
      <c r="BK650" s="7">
        <f>_xlfn.IFNA(VLOOKUP(Wapato_Inventory[[#This Row],[quality]],Lookups!$H$2:$J$14,3,FALSE),0)</f>
        <v>50405</v>
      </c>
      <c r="BL650" s="7">
        <f>_xlfn.IFNA(VLOOKUP(Wapato_Inventory[[#This Row],[condition]],Lookups!$H$17:$J$24,3,FALSE),0)</f>
        <v>52231</v>
      </c>
      <c r="BM650" s="7">
        <f>Wapato_Inventory[[#This Row],[Age]]*Lookups!$B$16</f>
        <v>-32619.461600000002</v>
      </c>
      <c r="BN650" s="7">
        <f>Wapato_Inventory[[#This Row],[Main Floor]]*Lookups!$B$17</f>
        <v>58730.038294999998</v>
      </c>
      <c r="BO650" s="7">
        <f>Wapato_Inventory[[#This Row],[Upper Floor]]*Lookups!$B$18</f>
        <v>0</v>
      </c>
      <c r="BP650" s="7">
        <f>Wapato_Inventory[[#This Row],[Fin BSMT]]*Lookups!$B$19</f>
        <v>0</v>
      </c>
      <c r="BQ650" s="7">
        <f>(Wapato_Inventory[[#This Row],[att_gar]]+Wapato_Inventory[[#This Row],[blt_gar]])*Lookups!$B$20</f>
        <v>0</v>
      </c>
      <c r="BR650" s="7">
        <f>Wapato_Inventory[[#This Row],[Patio]]*Lookups!$B$21</f>
        <v>11004.290666000001</v>
      </c>
      <c r="BS650" s="7">
        <f>SUM(Wapato_Inventory[[#This Row],[intercept]:[patio_value]])*Wapato_Inventory[[#This Row],[res_pct]]</f>
        <v>193516.137361</v>
      </c>
      <c r="BT650" s="7">
        <f>Wapato_Inventory[[#This Row],[land_value]]</f>
        <v>52800</v>
      </c>
      <c r="BU650" s="2">
        <f>_xlfn.IFNA(VLOOKUP(Wapato_Inventory[[#This Row],[quality]],Lookups!$A$28:$C$37,3,FALSE),1)</f>
        <v>0.97993206410140754</v>
      </c>
      <c r="BV650" s="2">
        <f>_xlfn.IFNA(VLOOKUP(Wapato_Inventory[[#This Row],[condition]],Lookups!$A$41:$C$48,3,FALSE),1)</f>
        <v>0.9832333997567807</v>
      </c>
      <c r="BW650" s="2">
        <f>IF(Wapato_Inventory[[#This Row],[decade]]="",1,_xlfn.IFNA(VLOOKUP(Wapato_Inventory[[#This Row],[decade]],Lookups!$F$28:$H$45,3,FALSE),1))</f>
        <v>0.94742695999815718</v>
      </c>
      <c r="BX650" s="2">
        <f>_xlfn.IFNA(VLOOKUP(Wapato_Inventory[[#This Row],[living_area_range]],Lookups!$K$28:$M$37,3,FALSE),1)</f>
        <v>1.0061411172456287</v>
      </c>
      <c r="BY650" s="2">
        <f>AVERAGE(Wapato_Inventory[[#This Row],[qual_adj]:[range_adj]])</f>
        <v>0.97918338527549353</v>
      </c>
      <c r="BZ650" s="7">
        <f>(Wapato_Inventory[[#This Row],[sum_land]]-IF(Wapato_Inventory[[#This Row],[no_utilities]]=1,12000,0))/IF(Wapato_Inventory[[#This Row],[unbuildable]]=1,2,1)</f>
        <v>52800</v>
      </c>
      <c r="CA650" s="7">
        <f>Wapato_Inventory[[#This Row],[pre_res]]*Wapato_Inventory[[#This Row],[overall_adj]]</f>
        <v>189487.7864865814</v>
      </c>
      <c r="CB650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50" s="3">
        <f>IF(ROUND(Wapato_Inventory[[#This Row],[adj_res]]*Lookups!$H$48,-2)&lt;Wapato_Inventory[[#This Row],[min_res]],Wapato_Inventory[[#This Row],[min_res]],ROUND(Wapato_Inventory[[#This Row],[adj_res]]*Lookups!$H$48,-2))</f>
        <v>180000</v>
      </c>
      <c r="CD650" s="3">
        <f>ROUND(Wapato_Inventory[[#This Row],[det_value]]*Lookups!$H$48,-2)</f>
        <v>4200</v>
      </c>
      <c r="CE650" s="3">
        <f>Wapato_Inventory[[#This Row],[final_res]]+Wapato_Inventory[[#This Row],[final_det]]</f>
        <v>184200</v>
      </c>
      <c r="CF650" s="3">
        <f>Wapato_Inventory[[#This Row],[crop_value]]+Wapato_Inventory[[#This Row],[final_land]]+Wapato_Inventory[[#This Row],[final_imp]]</f>
        <v>234400</v>
      </c>
      <c r="CH650" t="str">
        <f t="shared" si="10"/>
        <v>update valuation set market_land =50200, market_bldg=184200, market_total =234400, market_mdno =405, market_date ='9/10/2023' where link_id = (select link_id from parcel where parcel_year = '2024' and parcel_id = '19111513450');</v>
      </c>
    </row>
    <row r="651" spans="1:86" x14ac:dyDescent="0.25">
      <c r="A651">
        <v>19111513451</v>
      </c>
      <c r="B651">
        <v>0.14000000000000001</v>
      </c>
      <c r="C651">
        <v>5939</v>
      </c>
      <c r="D651" t="s">
        <v>144</v>
      </c>
      <c r="E651" t="s">
        <v>54</v>
      </c>
      <c r="F651" t="s">
        <v>54</v>
      </c>
      <c r="G651">
        <v>3</v>
      </c>
      <c r="H651" t="s">
        <v>55</v>
      </c>
      <c r="I651">
        <v>200700</v>
      </c>
      <c r="J651">
        <v>31900</v>
      </c>
      <c r="K651">
        <v>0.14000000000000001</v>
      </c>
      <c r="L651">
        <f>IF(Wapato_Inventory[[#This Row],[parcel_acres]]-Wapato_Inventory[[#This Row],[non_valued_acres]] =0,0,LN(Wapato_Inventory[[#This Row],[parcel_acres]]-Wapato_Inventory[[#This Row],[non_valued_acres]]))</f>
        <v>-1.9661128563728327</v>
      </c>
      <c r="M651">
        <v>0</v>
      </c>
      <c r="N651">
        <v>0</v>
      </c>
      <c r="O651">
        <v>0</v>
      </c>
      <c r="P651">
        <v>27904.037</v>
      </c>
      <c r="Q651">
        <v>74398</v>
      </c>
      <c r="R651" s="3">
        <f>(Wapato_Inventory[[#This Row],[ln_acres]]*Wapato_Inventory[[#This Row],[coeff]])+Wapato_Inventory[[#This Row],[const]]</f>
        <v>19535.514109596792</v>
      </c>
      <c r="S651" t="s">
        <v>145</v>
      </c>
      <c r="T651">
        <v>1</v>
      </c>
      <c r="U651" t="s">
        <v>75</v>
      </c>
      <c r="V651" t="s">
        <v>68</v>
      </c>
      <c r="W651">
        <v>0</v>
      </c>
      <c r="X651">
        <v>0</v>
      </c>
      <c r="Y651">
        <v>51</v>
      </c>
      <c r="Z651">
        <v>83</v>
      </c>
      <c r="AA651">
        <v>90</v>
      </c>
      <c r="AB651">
        <v>2000</v>
      </c>
      <c r="AC651">
        <v>1872</v>
      </c>
      <c r="AD651">
        <v>1158</v>
      </c>
      <c r="AE651">
        <v>0</v>
      </c>
      <c r="AF651">
        <v>0</v>
      </c>
      <c r="AG651">
        <v>714</v>
      </c>
      <c r="AH651">
        <v>238</v>
      </c>
      <c r="AI651">
        <v>0</v>
      </c>
      <c r="AJ651">
        <v>0</v>
      </c>
      <c r="AK651">
        <v>489</v>
      </c>
      <c r="AL651">
        <v>0</v>
      </c>
      <c r="AM651">
        <v>0</v>
      </c>
      <c r="AN651">
        <v>144</v>
      </c>
      <c r="AO651">
        <v>36</v>
      </c>
      <c r="AP651">
        <v>5</v>
      </c>
      <c r="AQ651">
        <v>0</v>
      </c>
      <c r="AR651">
        <v>1</v>
      </c>
      <c r="AS651" t="s">
        <v>79</v>
      </c>
      <c r="AT651">
        <v>1</v>
      </c>
      <c r="AU651" t="s">
        <v>64</v>
      </c>
      <c r="AV651" t="s">
        <v>77</v>
      </c>
      <c r="AW651">
        <v>0</v>
      </c>
      <c r="AX651">
        <v>3</v>
      </c>
      <c r="AY651">
        <v>0</v>
      </c>
      <c r="AZ651">
        <v>4700</v>
      </c>
      <c r="BA651">
        <v>100</v>
      </c>
      <c r="BB651">
        <v>100</v>
      </c>
      <c r="BC651">
        <v>100</v>
      </c>
      <c r="BD651">
        <v>100</v>
      </c>
      <c r="BE651">
        <v>1</v>
      </c>
      <c r="BF651">
        <v>15000</v>
      </c>
      <c r="BG651">
        <v>1000</v>
      </c>
      <c r="BH651" s="7">
        <f>ROUND(Wapato_Inventory[[#This Row],[detatched_value]]*Lookups!$B$22*Lookups!$H$48,-2)</f>
        <v>4200</v>
      </c>
      <c r="BI651" s="7">
        <f>ROUND(((Wapato_Inventory[[#This Row],[land_extract]]*Lookups!$B$3) +(Lookups!$B$2*0.5))*Lookups!$H$48,-2)</f>
        <v>53000</v>
      </c>
      <c r="BJ651" s="7">
        <f>IF(Wapato_Inventory[[#This Row],[bldg_style]]="",0,Lookups!$B$2*0.5)</f>
        <v>53765.27</v>
      </c>
      <c r="BK651" s="7">
        <f>_xlfn.IFNA(VLOOKUP(Wapato_Inventory[[#This Row],[quality]],Lookups!$H$2:$J$14,3,FALSE),0)</f>
        <v>48043</v>
      </c>
      <c r="BL651" s="7">
        <f>_xlfn.IFNA(VLOOKUP(Wapato_Inventory[[#This Row],[condition]],Lookups!$H$17:$J$24,3,FALSE),0)</f>
        <v>52231</v>
      </c>
      <c r="BM651" s="7">
        <f>Wapato_Inventory[[#This Row],[Age]]*Lookups!$B$16</f>
        <v>-30766.0831</v>
      </c>
      <c r="BN651" s="7">
        <f>Wapato_Inventory[[#This Row],[Main Floor]]*Lookups!$B$17</f>
        <v>48405.255762000001</v>
      </c>
      <c r="BO651" s="7">
        <f>Wapato_Inventory[[#This Row],[Upper Floor]]*Lookups!$B$18</f>
        <v>0</v>
      </c>
      <c r="BP651" s="7">
        <f>Wapato_Inventory[[#This Row],[Fin BSMT]]*Lookups!$B$19</f>
        <v>17397.852360000001</v>
      </c>
      <c r="BQ651" s="7">
        <f>(Wapato_Inventory[[#This Row],[att_gar]]+Wapato_Inventory[[#This Row],[blt_gar]])*Lookups!$B$20</f>
        <v>0</v>
      </c>
      <c r="BR651" s="7">
        <f>Wapato_Inventory[[#This Row],[Patio]]*Lookups!$B$21</f>
        <v>0</v>
      </c>
      <c r="BS651" s="7">
        <f>SUM(Wapato_Inventory[[#This Row],[intercept]:[patio_value]])*Wapato_Inventory[[#This Row],[res_pct]]</f>
        <v>189076.29502199998</v>
      </c>
      <c r="BT651" s="7">
        <f>Wapato_Inventory[[#This Row],[land_value]]</f>
        <v>53000</v>
      </c>
      <c r="BU651" s="2">
        <f>_xlfn.IFNA(VLOOKUP(Wapato_Inventory[[#This Row],[quality]],Lookups!$A$28:$C$37,3,FALSE),1)</f>
        <v>0.98196844879778955</v>
      </c>
      <c r="BV651" s="2">
        <f>_xlfn.IFNA(VLOOKUP(Wapato_Inventory[[#This Row],[condition]],Lookups!$A$41:$C$48,3,FALSE),1)</f>
        <v>0.9832333997567807</v>
      </c>
      <c r="BW651" s="2">
        <f>IF(Wapato_Inventory[[#This Row],[decade]]="",1,_xlfn.IFNA(VLOOKUP(Wapato_Inventory[[#This Row],[decade]],Lookups!$F$28:$H$45,3,FALSE),1))</f>
        <v>0.94742695999815718</v>
      </c>
      <c r="BX651" s="2">
        <f>_xlfn.IFNA(VLOOKUP(Wapato_Inventory[[#This Row],[living_area_range]],Lookups!$K$28:$M$37,3,FALSE),1)</f>
        <v>0.99330894324714125</v>
      </c>
      <c r="BY651" s="2">
        <f>AVERAGE(Wapato_Inventory[[#This Row],[qual_adj]:[range_adj]])</f>
        <v>0.97648443794996709</v>
      </c>
      <c r="BZ651" s="7">
        <f>(Wapato_Inventory[[#This Row],[sum_land]]-IF(Wapato_Inventory[[#This Row],[no_utilities]]=1,12000,0))/IF(Wapato_Inventory[[#This Row],[unbuildable]]=1,2,1)</f>
        <v>53000</v>
      </c>
      <c r="CA651" s="7">
        <f>Wapato_Inventory[[#This Row],[pre_res]]*Wapato_Inventory[[#This Row],[overall_adj]]</f>
        <v>184630.05967421981</v>
      </c>
      <c r="CB65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51" s="3">
        <f>IF(ROUND(Wapato_Inventory[[#This Row],[adj_res]]*Lookups!$H$48,-2)&lt;Wapato_Inventory[[#This Row],[min_res]],Wapato_Inventory[[#This Row],[min_res]],ROUND(Wapato_Inventory[[#This Row],[adj_res]]*Lookups!$H$48,-2))</f>
        <v>175400</v>
      </c>
      <c r="CD651" s="3">
        <f>ROUND(Wapato_Inventory[[#This Row],[det_value]]*Lookups!$H$48,-2)</f>
        <v>4000</v>
      </c>
      <c r="CE651" s="3">
        <f>Wapato_Inventory[[#This Row],[final_res]]+Wapato_Inventory[[#This Row],[final_det]]</f>
        <v>179400</v>
      </c>
      <c r="CF651" s="3">
        <f>Wapato_Inventory[[#This Row],[crop_value]]+Wapato_Inventory[[#This Row],[final_land]]+Wapato_Inventory[[#This Row],[final_imp]]</f>
        <v>229800</v>
      </c>
      <c r="CH651" t="str">
        <f t="shared" si="10"/>
        <v>update valuation set market_land =50400, market_bldg=179400, market_total =229800, market_mdno =405, market_date ='9/10/2023' where link_id = (select link_id from parcel where parcel_year = '2024' and parcel_id = '19111513451');</v>
      </c>
    </row>
    <row r="652" spans="1:86" x14ac:dyDescent="0.25">
      <c r="A652">
        <v>19111513452</v>
      </c>
      <c r="B652">
        <v>0.13</v>
      </c>
      <c r="C652">
        <v>5710</v>
      </c>
      <c r="D652" t="s">
        <v>144</v>
      </c>
      <c r="E652" t="s">
        <v>54</v>
      </c>
      <c r="F652" t="s">
        <v>54</v>
      </c>
      <c r="G652">
        <v>3</v>
      </c>
      <c r="H652" t="s">
        <v>55</v>
      </c>
      <c r="I652">
        <v>154600</v>
      </c>
      <c r="J652">
        <v>31400</v>
      </c>
      <c r="K652">
        <v>0.13</v>
      </c>
      <c r="L652">
        <f>IF(Wapato_Inventory[[#This Row],[parcel_acres]]-Wapato_Inventory[[#This Row],[non_valued_acres]] =0,0,LN(Wapato_Inventory[[#This Row],[parcel_acres]]-Wapato_Inventory[[#This Row],[non_valued_acres]]))</f>
        <v>-2.0402208285265546</v>
      </c>
      <c r="M652">
        <v>0</v>
      </c>
      <c r="N652">
        <v>0</v>
      </c>
      <c r="O652">
        <v>0</v>
      </c>
      <c r="P652">
        <v>27904.037</v>
      </c>
      <c r="Q652">
        <v>74398</v>
      </c>
      <c r="R652" s="3">
        <f>(Wapato_Inventory[[#This Row],[ln_acres]]*Wapato_Inventory[[#This Row],[coeff]])+Wapato_Inventory[[#This Row],[const]]</f>
        <v>17467.602512624362</v>
      </c>
      <c r="S652" t="s">
        <v>66</v>
      </c>
      <c r="T652">
        <v>1</v>
      </c>
      <c r="U652" t="s">
        <v>75</v>
      </c>
      <c r="V652" t="s">
        <v>68</v>
      </c>
      <c r="W652">
        <v>0</v>
      </c>
      <c r="X652">
        <v>0</v>
      </c>
      <c r="Y652">
        <v>53</v>
      </c>
      <c r="Z652">
        <v>93</v>
      </c>
      <c r="AA652">
        <v>100</v>
      </c>
      <c r="AB652">
        <v>1500</v>
      </c>
      <c r="AC652">
        <v>1239</v>
      </c>
      <c r="AD652">
        <v>1239</v>
      </c>
      <c r="AE652">
        <v>0</v>
      </c>
      <c r="AF652">
        <v>0</v>
      </c>
      <c r="AG652">
        <v>0</v>
      </c>
      <c r="AH652">
        <v>681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32</v>
      </c>
      <c r="AP652">
        <v>5</v>
      </c>
      <c r="AQ652">
        <v>0</v>
      </c>
      <c r="AR652">
        <v>0</v>
      </c>
      <c r="AS652" t="s">
        <v>59</v>
      </c>
      <c r="AT652">
        <v>1</v>
      </c>
      <c r="AU652" t="s">
        <v>64</v>
      </c>
      <c r="AV652" t="s">
        <v>65</v>
      </c>
      <c r="AW652">
        <v>0</v>
      </c>
      <c r="AX652">
        <v>3</v>
      </c>
      <c r="AY652">
        <v>0</v>
      </c>
      <c r="AZ652">
        <v>5800</v>
      </c>
      <c r="BA652">
        <v>100</v>
      </c>
      <c r="BB652">
        <v>100</v>
      </c>
      <c r="BC652">
        <v>100</v>
      </c>
      <c r="BD652">
        <v>100</v>
      </c>
      <c r="BE652">
        <v>1</v>
      </c>
      <c r="BF652">
        <v>15000</v>
      </c>
      <c r="BG652">
        <v>1000</v>
      </c>
      <c r="BH652" s="7">
        <f>ROUND(Wapato_Inventory[[#This Row],[detatched_value]]*Lookups!$B$22*Lookups!$H$48,-2)</f>
        <v>5200</v>
      </c>
      <c r="BI652" s="7">
        <f>ROUND(((Wapato_Inventory[[#This Row],[land_extract]]*Lookups!$B$3) +(Lookups!$B$2*0.5))*Lookups!$H$48,-2)</f>
        <v>52800</v>
      </c>
      <c r="BJ652" s="7">
        <f>IF(Wapato_Inventory[[#This Row],[bldg_style]]="",0,Lookups!$B$2*0.5)</f>
        <v>53765.27</v>
      </c>
      <c r="BK652" s="7">
        <f>_xlfn.IFNA(VLOOKUP(Wapato_Inventory[[#This Row],[quality]],Lookups!$H$2:$J$14,3,FALSE),0)</f>
        <v>48043</v>
      </c>
      <c r="BL652" s="7">
        <f>_xlfn.IFNA(VLOOKUP(Wapato_Inventory[[#This Row],[condition]],Lookups!$H$17:$J$24,3,FALSE),0)</f>
        <v>52231</v>
      </c>
      <c r="BM652" s="7">
        <f>Wapato_Inventory[[#This Row],[Age]]*Lookups!$B$16</f>
        <v>-34472.840100000001</v>
      </c>
      <c r="BN652" s="7">
        <f>Wapato_Inventory[[#This Row],[Main Floor]]*Lookups!$B$17</f>
        <v>51791.115620999997</v>
      </c>
      <c r="BO652" s="7">
        <f>Wapato_Inventory[[#This Row],[Upper Floor]]*Lookups!$B$18</f>
        <v>0</v>
      </c>
      <c r="BP652" s="7">
        <f>Wapato_Inventory[[#This Row],[Fin BSMT]]*Lookups!$B$19</f>
        <v>0</v>
      </c>
      <c r="BQ652" s="7">
        <f>(Wapato_Inventory[[#This Row],[att_gar]]+Wapato_Inventory[[#This Row],[blt_gar]])*Lookups!$B$20</f>
        <v>0</v>
      </c>
      <c r="BR652" s="7">
        <f>Wapato_Inventory[[#This Row],[Patio]]*Lookups!$B$21</f>
        <v>0</v>
      </c>
      <c r="BS652" s="7">
        <f>SUM(Wapato_Inventory[[#This Row],[intercept]:[patio_value]])*Wapato_Inventory[[#This Row],[res_pct]]</f>
        <v>171357.54552099999</v>
      </c>
      <c r="BT652" s="7">
        <f>Wapato_Inventory[[#This Row],[land_value]]</f>
        <v>52800</v>
      </c>
      <c r="BU652" s="2">
        <f>_xlfn.IFNA(VLOOKUP(Wapato_Inventory[[#This Row],[quality]],Lookups!$A$28:$C$37,3,FALSE),1)</f>
        <v>0.98196844879778955</v>
      </c>
      <c r="BV652" s="2">
        <f>_xlfn.IFNA(VLOOKUP(Wapato_Inventory[[#This Row],[condition]],Lookups!$A$41:$C$48,3,FALSE),1)</f>
        <v>0.9832333997567807</v>
      </c>
      <c r="BW652" s="2">
        <f>IF(Wapato_Inventory[[#This Row],[decade]]="",1,_xlfn.IFNA(VLOOKUP(Wapato_Inventory[[#This Row],[decade]],Lookups!$F$28:$H$45,3,FALSE),1))</f>
        <v>1.0114203040664467</v>
      </c>
      <c r="BX652" s="2">
        <f>_xlfn.IFNA(VLOOKUP(Wapato_Inventory[[#This Row],[living_area_range]],Lookups!$K$28:$M$37,3,FALSE),1)</f>
        <v>1.0061411172456287</v>
      </c>
      <c r="BY652" s="2">
        <f>AVERAGE(Wapato_Inventory[[#This Row],[qual_adj]:[range_adj]])</f>
        <v>0.99569081746666144</v>
      </c>
      <c r="BZ652" s="7">
        <f>(Wapato_Inventory[[#This Row],[sum_land]]-IF(Wapato_Inventory[[#This Row],[no_utilities]]=1,12000,0))/IF(Wapato_Inventory[[#This Row],[unbuildable]]=1,2,1)</f>
        <v>52800</v>
      </c>
      <c r="CA652" s="7">
        <f>Wapato_Inventory[[#This Row],[pre_res]]*Wapato_Inventory[[#This Row],[overall_adj]]</f>
        <v>170619.13457888513</v>
      </c>
      <c r="CB652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52" s="3">
        <f>IF(ROUND(Wapato_Inventory[[#This Row],[adj_res]]*Lookups!$H$48,-2)&lt;Wapato_Inventory[[#This Row],[min_res]],Wapato_Inventory[[#This Row],[min_res]],ROUND(Wapato_Inventory[[#This Row],[adj_res]]*Lookups!$H$48,-2))</f>
        <v>162100</v>
      </c>
      <c r="CD652" s="3">
        <f>ROUND(Wapato_Inventory[[#This Row],[det_value]]*Lookups!$H$48,-2)</f>
        <v>4900</v>
      </c>
      <c r="CE652" s="3">
        <f>Wapato_Inventory[[#This Row],[final_res]]+Wapato_Inventory[[#This Row],[final_det]]</f>
        <v>167000</v>
      </c>
      <c r="CF652" s="3">
        <f>Wapato_Inventory[[#This Row],[crop_value]]+Wapato_Inventory[[#This Row],[final_land]]+Wapato_Inventory[[#This Row],[final_imp]]</f>
        <v>217200</v>
      </c>
      <c r="CH652" t="str">
        <f t="shared" si="10"/>
        <v>update valuation set market_land =50200, market_bldg=167000, market_total =217200, market_mdno =405, market_date ='9/10/2023' where link_id = (select link_id from parcel where parcel_year = '2024' and parcel_id = '19111513452');</v>
      </c>
    </row>
    <row r="653" spans="1:86" x14ac:dyDescent="0.25">
      <c r="A653">
        <v>19111513453</v>
      </c>
      <c r="B653">
        <v>0.15</v>
      </c>
      <c r="C653">
        <v>6341</v>
      </c>
      <c r="D653" t="s">
        <v>144</v>
      </c>
      <c r="E653" t="s">
        <v>54</v>
      </c>
      <c r="F653" t="s">
        <v>54</v>
      </c>
      <c r="G653">
        <v>3</v>
      </c>
      <c r="H653" t="s">
        <v>55</v>
      </c>
      <c r="I653">
        <v>134700</v>
      </c>
      <c r="J653">
        <v>32300</v>
      </c>
      <c r="K653">
        <v>0.15</v>
      </c>
      <c r="L653">
        <f>IF(Wapato_Inventory[[#This Row],[parcel_acres]]-Wapato_Inventory[[#This Row],[non_valued_acres]] =0,0,LN(Wapato_Inventory[[#This Row],[parcel_acres]]-Wapato_Inventory[[#This Row],[non_valued_acres]]))</f>
        <v>-1.8971199848858813</v>
      </c>
      <c r="M653">
        <v>0</v>
      </c>
      <c r="N653">
        <v>0</v>
      </c>
      <c r="O653">
        <v>0</v>
      </c>
      <c r="P653">
        <v>27904.037</v>
      </c>
      <c r="Q653">
        <v>74398</v>
      </c>
      <c r="R653" s="3">
        <f>(Wapato_Inventory[[#This Row],[ln_acres]]*Wapato_Inventory[[#This Row],[coeff]])+Wapato_Inventory[[#This Row],[const]]</f>
        <v>21460.693748304926</v>
      </c>
      <c r="S653" t="s">
        <v>66</v>
      </c>
      <c r="T653">
        <v>1</v>
      </c>
      <c r="U653" t="s">
        <v>71</v>
      </c>
      <c r="V653" t="s">
        <v>68</v>
      </c>
      <c r="W653">
        <v>0</v>
      </c>
      <c r="X653">
        <v>0</v>
      </c>
      <c r="Y653">
        <v>52</v>
      </c>
      <c r="Z653">
        <v>88</v>
      </c>
      <c r="AA653">
        <v>90</v>
      </c>
      <c r="AB653">
        <v>1000</v>
      </c>
      <c r="AC653">
        <v>928</v>
      </c>
      <c r="AD653">
        <v>928</v>
      </c>
      <c r="AE653">
        <v>0</v>
      </c>
      <c r="AF653">
        <v>0</v>
      </c>
      <c r="AG653">
        <v>0</v>
      </c>
      <c r="AH653">
        <v>0</v>
      </c>
      <c r="AI653">
        <v>464</v>
      </c>
      <c r="AJ653">
        <v>0</v>
      </c>
      <c r="AK653">
        <v>192</v>
      </c>
      <c r="AL653">
        <v>0</v>
      </c>
      <c r="AM653">
        <v>0</v>
      </c>
      <c r="AN653">
        <v>56</v>
      </c>
      <c r="AO653">
        <v>0</v>
      </c>
      <c r="AP653">
        <v>5</v>
      </c>
      <c r="AQ653">
        <v>1</v>
      </c>
      <c r="AR653">
        <v>0</v>
      </c>
      <c r="AS653" t="s">
        <v>59</v>
      </c>
      <c r="AT653">
        <v>1</v>
      </c>
      <c r="AU653" t="s">
        <v>72</v>
      </c>
      <c r="AV653" t="s">
        <v>61</v>
      </c>
      <c r="AW653">
        <v>0</v>
      </c>
      <c r="AX653">
        <v>2</v>
      </c>
      <c r="AY653">
        <v>0</v>
      </c>
      <c r="AZ653">
        <v>0</v>
      </c>
      <c r="BA653">
        <v>100</v>
      </c>
      <c r="BB653">
        <v>100</v>
      </c>
      <c r="BC653">
        <v>100</v>
      </c>
      <c r="BD653">
        <v>100</v>
      </c>
      <c r="BE653">
        <v>1</v>
      </c>
      <c r="BF653">
        <v>15000</v>
      </c>
      <c r="BG653">
        <v>1000</v>
      </c>
      <c r="BH653" s="7">
        <f>ROUND(Wapato_Inventory[[#This Row],[detatched_value]]*Lookups!$B$22*Lookups!$H$48,-2)</f>
        <v>0</v>
      </c>
      <c r="BI653" s="7">
        <f>ROUND(((Wapato_Inventory[[#This Row],[land_extract]]*Lookups!$B$3) +(Lookups!$B$2*0.5))*Lookups!$H$48,-2)</f>
        <v>53100</v>
      </c>
      <c r="BJ653" s="7">
        <f>IF(Wapato_Inventory[[#This Row],[bldg_style]]="",0,Lookups!$B$2*0.5)</f>
        <v>53765.27</v>
      </c>
      <c r="BK653" s="7">
        <f>_xlfn.IFNA(VLOOKUP(Wapato_Inventory[[#This Row],[quality]],Lookups!$H$2:$J$14,3,FALSE),0)</f>
        <v>28034</v>
      </c>
      <c r="BL653" s="7">
        <f>_xlfn.IFNA(VLOOKUP(Wapato_Inventory[[#This Row],[condition]],Lookups!$H$17:$J$24,3,FALSE),0)</f>
        <v>52231</v>
      </c>
      <c r="BM653" s="7">
        <f>Wapato_Inventory[[#This Row],[Age]]*Lookups!$B$16</f>
        <v>-32619.461600000002</v>
      </c>
      <c r="BN653" s="7">
        <f>Wapato_Inventory[[#This Row],[Main Floor]]*Lookups!$B$17</f>
        <v>38791.085791999998</v>
      </c>
      <c r="BO653" s="7">
        <f>Wapato_Inventory[[#This Row],[Upper Floor]]*Lookups!$B$18</f>
        <v>0</v>
      </c>
      <c r="BP653" s="7">
        <f>Wapato_Inventory[[#This Row],[Fin BSMT]]*Lookups!$B$19</f>
        <v>0</v>
      </c>
      <c r="BQ653" s="7">
        <f>(Wapato_Inventory[[#This Row],[att_gar]]+Wapato_Inventory[[#This Row],[blt_gar]])*Lookups!$B$20</f>
        <v>17172.060927999999</v>
      </c>
      <c r="BR653" s="7">
        <f>Wapato_Inventory[[#This Row],[Patio]]*Lookups!$B$21</f>
        <v>0</v>
      </c>
      <c r="BS653" s="7">
        <f>SUM(Wapato_Inventory[[#This Row],[intercept]:[patio_value]])*Wapato_Inventory[[#This Row],[res_pct]]</f>
        <v>157373.95511999997</v>
      </c>
      <c r="BT653" s="7">
        <f>Wapato_Inventory[[#This Row],[land_value]]</f>
        <v>53100</v>
      </c>
      <c r="BU653" s="2">
        <f>_xlfn.IFNA(VLOOKUP(Wapato_Inventory[[#This Row],[quality]],Lookups!$A$28:$C$37,3,FALSE),1)</f>
        <v>0.96265813922927435</v>
      </c>
      <c r="BV653" s="2">
        <f>_xlfn.IFNA(VLOOKUP(Wapato_Inventory[[#This Row],[condition]],Lookups!$A$41:$C$48,3,FALSE),1)</f>
        <v>0.9832333997567807</v>
      </c>
      <c r="BW653" s="2">
        <f>IF(Wapato_Inventory[[#This Row],[decade]]="",1,_xlfn.IFNA(VLOOKUP(Wapato_Inventory[[#This Row],[decade]],Lookups!$F$28:$H$45,3,FALSE),1))</f>
        <v>0.94742695999815718</v>
      </c>
      <c r="BX653" s="2">
        <f>_xlfn.IFNA(VLOOKUP(Wapato_Inventory[[#This Row],[living_area_range]],Lookups!$K$28:$M$37,3,FALSE),1)</f>
        <v>0.99022994770196116</v>
      </c>
      <c r="BY653" s="2">
        <f>AVERAGE(Wapato_Inventory[[#This Row],[qual_adj]:[range_adj]])</f>
        <v>0.97088711167154329</v>
      </c>
      <c r="BZ653" s="7">
        <f>(Wapato_Inventory[[#This Row],[sum_land]]-IF(Wapato_Inventory[[#This Row],[no_utilities]]=1,12000,0))/IF(Wapato_Inventory[[#This Row],[unbuildable]]=1,2,1)</f>
        <v>53100</v>
      </c>
      <c r="CA653" s="7">
        <f>Wapato_Inventory[[#This Row],[pre_res]]*Wapato_Inventory[[#This Row],[overall_adj]]</f>
        <v>152792.34473878384</v>
      </c>
      <c r="CB65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53" s="3">
        <f>IF(ROUND(Wapato_Inventory[[#This Row],[adj_res]]*Lookups!$H$48,-2)&lt;Wapato_Inventory[[#This Row],[min_res]],Wapato_Inventory[[#This Row],[min_res]],ROUND(Wapato_Inventory[[#This Row],[adj_res]]*Lookups!$H$48,-2))</f>
        <v>145200</v>
      </c>
      <c r="CD653" s="3">
        <f>ROUND(Wapato_Inventory[[#This Row],[det_value]]*Lookups!$H$48,-2)</f>
        <v>0</v>
      </c>
      <c r="CE653" s="3">
        <f>Wapato_Inventory[[#This Row],[final_res]]+Wapato_Inventory[[#This Row],[final_det]]</f>
        <v>145200</v>
      </c>
      <c r="CF653" s="3">
        <f>Wapato_Inventory[[#This Row],[crop_value]]+Wapato_Inventory[[#This Row],[final_land]]+Wapato_Inventory[[#This Row],[final_imp]]</f>
        <v>195600</v>
      </c>
      <c r="CH653" t="str">
        <f t="shared" si="10"/>
        <v>update valuation set market_land =50400, market_bldg=145200, market_total =195600, market_mdno =405, market_date ='9/10/2023' where link_id = (select link_id from parcel where parcel_year = '2024' and parcel_id = '19111513453');</v>
      </c>
    </row>
    <row r="654" spans="1:86" x14ac:dyDescent="0.25">
      <c r="A654">
        <v>19111513454</v>
      </c>
      <c r="B654">
        <v>0.15</v>
      </c>
      <c r="C654">
        <v>6529</v>
      </c>
      <c r="D654" t="s">
        <v>144</v>
      </c>
      <c r="E654" t="s">
        <v>54</v>
      </c>
      <c r="F654" t="s">
        <v>54</v>
      </c>
      <c r="G654">
        <v>3</v>
      </c>
      <c r="H654" t="s">
        <v>55</v>
      </c>
      <c r="I654">
        <v>213100</v>
      </c>
      <c r="J654">
        <v>32300</v>
      </c>
      <c r="K654">
        <v>0.15</v>
      </c>
      <c r="L654">
        <f>IF(Wapato_Inventory[[#This Row],[parcel_acres]]-Wapato_Inventory[[#This Row],[non_valued_acres]] =0,0,LN(Wapato_Inventory[[#This Row],[parcel_acres]]-Wapato_Inventory[[#This Row],[non_valued_acres]]))</f>
        <v>-1.8971199848858813</v>
      </c>
      <c r="M654">
        <v>0</v>
      </c>
      <c r="N654">
        <v>0</v>
      </c>
      <c r="O654">
        <v>0</v>
      </c>
      <c r="P654">
        <v>27904.037</v>
      </c>
      <c r="Q654">
        <v>74398</v>
      </c>
      <c r="R654" s="3">
        <f>(Wapato_Inventory[[#This Row],[ln_acres]]*Wapato_Inventory[[#This Row],[coeff]])+Wapato_Inventory[[#This Row],[const]]</f>
        <v>21460.693748304926</v>
      </c>
      <c r="S654" t="s">
        <v>56</v>
      </c>
      <c r="T654">
        <v>2</v>
      </c>
      <c r="U654" t="s">
        <v>67</v>
      </c>
      <c r="V654" t="s">
        <v>69</v>
      </c>
      <c r="W654">
        <v>0</v>
      </c>
      <c r="X654">
        <v>0</v>
      </c>
      <c r="Y654">
        <v>52</v>
      </c>
      <c r="Z654">
        <v>88</v>
      </c>
      <c r="AA654">
        <v>90</v>
      </c>
      <c r="AB654">
        <v>2000</v>
      </c>
      <c r="AC654">
        <v>1708</v>
      </c>
      <c r="AD654">
        <v>1148</v>
      </c>
      <c r="AE654">
        <v>560</v>
      </c>
      <c r="AF654">
        <v>0</v>
      </c>
      <c r="AG654">
        <v>0</v>
      </c>
      <c r="AH654">
        <v>990</v>
      </c>
      <c r="AI654">
        <v>0</v>
      </c>
      <c r="AJ654">
        <v>0</v>
      </c>
      <c r="AK654">
        <v>240</v>
      </c>
      <c r="AL654">
        <v>0</v>
      </c>
      <c r="AM654">
        <v>300</v>
      </c>
      <c r="AN654">
        <v>0</v>
      </c>
      <c r="AO654">
        <v>0</v>
      </c>
      <c r="AP654">
        <v>8</v>
      </c>
      <c r="AQ654">
        <v>0</v>
      </c>
      <c r="AR654">
        <v>1</v>
      </c>
      <c r="AS654" t="s">
        <v>59</v>
      </c>
      <c r="AT654">
        <v>1</v>
      </c>
      <c r="AU654" t="s">
        <v>64</v>
      </c>
      <c r="AV654" t="s">
        <v>65</v>
      </c>
      <c r="AW654">
        <v>0</v>
      </c>
      <c r="AX654">
        <v>6</v>
      </c>
      <c r="AY654">
        <v>0</v>
      </c>
      <c r="AZ654">
        <v>0</v>
      </c>
      <c r="BA654">
        <v>100</v>
      </c>
      <c r="BB654">
        <v>100</v>
      </c>
      <c r="BC654">
        <v>100</v>
      </c>
      <c r="BD654">
        <v>100</v>
      </c>
      <c r="BE654">
        <v>1</v>
      </c>
      <c r="BF654">
        <v>15000</v>
      </c>
      <c r="BG654">
        <v>1000</v>
      </c>
      <c r="BH654" s="7">
        <f>ROUND(Wapato_Inventory[[#This Row],[detatched_value]]*Lookups!$B$22*Lookups!$H$48,-2)</f>
        <v>0</v>
      </c>
      <c r="BI654" s="7">
        <f>ROUND(((Wapato_Inventory[[#This Row],[land_extract]]*Lookups!$B$3) +(Lookups!$B$2*0.5))*Lookups!$H$48,-2)</f>
        <v>53100</v>
      </c>
      <c r="BJ654" s="7">
        <f>IF(Wapato_Inventory[[#This Row],[bldg_style]]="",0,Lookups!$B$2*0.5)</f>
        <v>53765.27</v>
      </c>
      <c r="BK654" s="7">
        <f>_xlfn.IFNA(VLOOKUP(Wapato_Inventory[[#This Row],[quality]],Lookups!$H$2:$J$14,3,FALSE),0)</f>
        <v>50405</v>
      </c>
      <c r="BL654" s="7">
        <f>_xlfn.IFNA(VLOOKUP(Wapato_Inventory[[#This Row],[condition]],Lookups!$H$17:$J$24,3,FALSE),0)</f>
        <v>74543</v>
      </c>
      <c r="BM654" s="7">
        <f>Wapato_Inventory[[#This Row],[Age]]*Lookups!$B$16</f>
        <v>-32619.461600000002</v>
      </c>
      <c r="BN654" s="7">
        <f>Wapato_Inventory[[#This Row],[Main Floor]]*Lookups!$B$17</f>
        <v>47987.248372000002</v>
      </c>
      <c r="BO654" s="7">
        <f>Wapato_Inventory[[#This Row],[Upper Floor]]*Lookups!$B$18</f>
        <v>27776.637840000003</v>
      </c>
      <c r="BP654" s="7">
        <f>Wapato_Inventory[[#This Row],[Fin BSMT]]*Lookups!$B$19</f>
        <v>0</v>
      </c>
      <c r="BQ654" s="7">
        <f>(Wapato_Inventory[[#This Row],[att_gar]]+Wapato_Inventory[[#This Row],[blt_gar]])*Lookups!$B$20</f>
        <v>0</v>
      </c>
      <c r="BR654" s="7">
        <f>Wapato_Inventory[[#This Row],[Patio]]*Lookups!$B$21</f>
        <v>12997.1937</v>
      </c>
      <c r="BS654" s="7">
        <f>SUM(Wapato_Inventory[[#This Row],[intercept]:[patio_value]])*Wapato_Inventory[[#This Row],[res_pct]]</f>
        <v>234854.888312</v>
      </c>
      <c r="BT654" s="7">
        <f>Wapato_Inventory[[#This Row],[land_value]]</f>
        <v>53100</v>
      </c>
      <c r="BU654" s="2">
        <f>_xlfn.IFNA(VLOOKUP(Wapato_Inventory[[#This Row],[quality]],Lookups!$A$28:$C$37,3,FALSE),1)</f>
        <v>0.97993206410140754</v>
      </c>
      <c r="BV654" s="2">
        <f>_xlfn.IFNA(VLOOKUP(Wapato_Inventory[[#This Row],[condition]],Lookups!$A$41:$C$48,3,FALSE),1)</f>
        <v>0.98442438223270734</v>
      </c>
      <c r="BW654" s="2">
        <f>IF(Wapato_Inventory[[#This Row],[decade]]="",1,_xlfn.IFNA(VLOOKUP(Wapato_Inventory[[#This Row],[decade]],Lookups!$F$28:$H$45,3,FALSE),1))</f>
        <v>0.94742695999815718</v>
      </c>
      <c r="BX654" s="2">
        <f>_xlfn.IFNA(VLOOKUP(Wapato_Inventory[[#This Row],[living_area_range]],Lookups!$K$28:$M$37,3,FALSE),1)</f>
        <v>0.99330894324714125</v>
      </c>
      <c r="BY654" s="2">
        <f>AVERAGE(Wapato_Inventory[[#This Row],[qual_adj]:[range_adj]])</f>
        <v>0.9762730873948533</v>
      </c>
      <c r="BZ654" s="7">
        <f>(Wapato_Inventory[[#This Row],[sum_land]]-IF(Wapato_Inventory[[#This Row],[no_utilities]]=1,12000,0))/IF(Wapato_Inventory[[#This Row],[unbuildable]]=1,2,1)</f>
        <v>53100</v>
      </c>
      <c r="CA654" s="7">
        <f>Wapato_Inventory[[#This Row],[pre_res]]*Wapato_Inventory[[#This Row],[overall_adj]]</f>
        <v>229282.50690212968</v>
      </c>
      <c r="CB65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54" s="3">
        <f>IF(ROUND(Wapato_Inventory[[#This Row],[adj_res]]*Lookups!$H$48,-2)&lt;Wapato_Inventory[[#This Row],[min_res]],Wapato_Inventory[[#This Row],[min_res]],ROUND(Wapato_Inventory[[#This Row],[adj_res]]*Lookups!$H$48,-2))</f>
        <v>217800</v>
      </c>
      <c r="CD654" s="3">
        <f>ROUND(Wapato_Inventory[[#This Row],[det_value]]*Lookups!$H$48,-2)</f>
        <v>0</v>
      </c>
      <c r="CE654" s="3">
        <f>Wapato_Inventory[[#This Row],[final_res]]+Wapato_Inventory[[#This Row],[final_det]]</f>
        <v>217800</v>
      </c>
      <c r="CF654" s="3">
        <f>Wapato_Inventory[[#This Row],[crop_value]]+Wapato_Inventory[[#This Row],[final_land]]+Wapato_Inventory[[#This Row],[final_imp]]</f>
        <v>268200</v>
      </c>
      <c r="CH654" t="str">
        <f t="shared" si="10"/>
        <v>update valuation set market_land =50400, market_bldg=217800, market_total =268200, market_mdno =405, market_date ='9/10/2023' where link_id = (select link_id from parcel where parcel_year = '2024' and parcel_id = '19111513454');</v>
      </c>
    </row>
    <row r="655" spans="1:86" x14ac:dyDescent="0.25">
      <c r="A655">
        <v>19111513455</v>
      </c>
      <c r="B655">
        <v>0.14000000000000001</v>
      </c>
      <c r="C655">
        <v>5982</v>
      </c>
      <c r="D655" t="s">
        <v>144</v>
      </c>
      <c r="E655" t="s">
        <v>54</v>
      </c>
      <c r="F655" t="s">
        <v>54</v>
      </c>
      <c r="G655">
        <v>3</v>
      </c>
      <c r="H655" t="s">
        <v>55</v>
      </c>
      <c r="I655">
        <v>133800</v>
      </c>
      <c r="J655">
        <v>31900</v>
      </c>
      <c r="K655">
        <v>0.14000000000000001</v>
      </c>
      <c r="L655">
        <f>IF(Wapato_Inventory[[#This Row],[parcel_acres]]-Wapato_Inventory[[#This Row],[non_valued_acres]] =0,0,LN(Wapato_Inventory[[#This Row],[parcel_acres]]-Wapato_Inventory[[#This Row],[non_valued_acres]]))</f>
        <v>-1.9661128563728327</v>
      </c>
      <c r="M655">
        <v>0</v>
      </c>
      <c r="N655">
        <v>0</v>
      </c>
      <c r="O655">
        <v>0</v>
      </c>
      <c r="P655">
        <v>27904.037</v>
      </c>
      <c r="Q655">
        <v>74398</v>
      </c>
      <c r="R655" s="3">
        <f>(Wapato_Inventory[[#This Row],[ln_acres]]*Wapato_Inventory[[#This Row],[coeff]])+Wapato_Inventory[[#This Row],[const]]</f>
        <v>19535.514109596792</v>
      </c>
      <c r="S655" t="s">
        <v>66</v>
      </c>
      <c r="T655">
        <v>1</v>
      </c>
      <c r="U655" t="s">
        <v>71</v>
      </c>
      <c r="V655" t="s">
        <v>69</v>
      </c>
      <c r="W655">
        <v>0</v>
      </c>
      <c r="X655">
        <v>0</v>
      </c>
      <c r="Y655">
        <v>52</v>
      </c>
      <c r="Z655">
        <v>88</v>
      </c>
      <c r="AA655">
        <v>90</v>
      </c>
      <c r="AB655">
        <v>1000</v>
      </c>
      <c r="AC655">
        <v>960</v>
      </c>
      <c r="AD655">
        <v>960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288</v>
      </c>
      <c r="AL655">
        <v>0</v>
      </c>
      <c r="AM655">
        <v>72</v>
      </c>
      <c r="AN655">
        <v>84</v>
      </c>
      <c r="AO655">
        <v>72</v>
      </c>
      <c r="AP655">
        <v>5</v>
      </c>
      <c r="AQ655">
        <v>0</v>
      </c>
      <c r="AR655">
        <v>0</v>
      </c>
      <c r="AS655" t="s">
        <v>59</v>
      </c>
      <c r="AT655">
        <v>1</v>
      </c>
      <c r="AU655" t="s">
        <v>72</v>
      </c>
      <c r="AV655" t="s">
        <v>65</v>
      </c>
      <c r="AW655">
        <v>0</v>
      </c>
      <c r="AX655">
        <v>1</v>
      </c>
      <c r="AY655">
        <v>0</v>
      </c>
      <c r="AZ655">
        <v>1100</v>
      </c>
      <c r="BA655">
        <v>100</v>
      </c>
      <c r="BB655">
        <v>100</v>
      </c>
      <c r="BC655">
        <v>100</v>
      </c>
      <c r="BD655">
        <v>100</v>
      </c>
      <c r="BE655">
        <v>1</v>
      </c>
      <c r="BF655">
        <v>15000</v>
      </c>
      <c r="BG655">
        <v>1000</v>
      </c>
      <c r="BH655" s="7">
        <f>ROUND(Wapato_Inventory[[#This Row],[detatched_value]]*Lookups!$B$22*Lookups!$H$48,-2)</f>
        <v>1000</v>
      </c>
      <c r="BI655" s="7">
        <f>ROUND(((Wapato_Inventory[[#This Row],[land_extract]]*Lookups!$B$3) +(Lookups!$B$2*0.5))*Lookups!$H$48,-2)</f>
        <v>53000</v>
      </c>
      <c r="BJ655" s="7">
        <f>IF(Wapato_Inventory[[#This Row],[bldg_style]]="",0,Lookups!$B$2*0.5)</f>
        <v>53765.27</v>
      </c>
      <c r="BK655" s="7">
        <f>_xlfn.IFNA(VLOOKUP(Wapato_Inventory[[#This Row],[quality]],Lookups!$H$2:$J$14,3,FALSE),0)</f>
        <v>28034</v>
      </c>
      <c r="BL655" s="7">
        <f>_xlfn.IFNA(VLOOKUP(Wapato_Inventory[[#This Row],[condition]],Lookups!$H$17:$J$24,3,FALSE),0)</f>
        <v>74543</v>
      </c>
      <c r="BM655" s="7">
        <f>Wapato_Inventory[[#This Row],[Age]]*Lookups!$B$16</f>
        <v>-32619.461600000002</v>
      </c>
      <c r="BN655" s="7">
        <f>Wapato_Inventory[[#This Row],[Main Floor]]*Lookups!$B$17</f>
        <v>40128.709439999999</v>
      </c>
      <c r="BO655" s="7">
        <f>Wapato_Inventory[[#This Row],[Upper Floor]]*Lookups!$B$18</f>
        <v>0</v>
      </c>
      <c r="BP655" s="7">
        <f>Wapato_Inventory[[#This Row],[Fin BSMT]]*Lookups!$B$19</f>
        <v>0</v>
      </c>
      <c r="BQ655" s="7">
        <f>(Wapato_Inventory[[#This Row],[att_gar]]+Wapato_Inventory[[#This Row],[blt_gar]])*Lookups!$B$20</f>
        <v>0</v>
      </c>
      <c r="BR655" s="7">
        <f>Wapato_Inventory[[#This Row],[Patio]]*Lookups!$B$21</f>
        <v>3119.3264880000002</v>
      </c>
      <c r="BS655" s="7">
        <f>SUM(Wapato_Inventory[[#This Row],[intercept]:[patio_value]])*Wapato_Inventory[[#This Row],[res_pct]]</f>
        <v>166970.84432799998</v>
      </c>
      <c r="BT655" s="7">
        <f>Wapato_Inventory[[#This Row],[land_value]]</f>
        <v>53000</v>
      </c>
      <c r="BU655" s="2">
        <f>_xlfn.IFNA(VLOOKUP(Wapato_Inventory[[#This Row],[quality]],Lookups!$A$28:$C$37,3,FALSE),1)</f>
        <v>0.96265813922927435</v>
      </c>
      <c r="BV655" s="2">
        <f>_xlfn.IFNA(VLOOKUP(Wapato_Inventory[[#This Row],[condition]],Lookups!$A$41:$C$48,3,FALSE),1)</f>
        <v>0.98442438223270734</v>
      </c>
      <c r="BW655" s="2">
        <f>IF(Wapato_Inventory[[#This Row],[decade]]="",1,_xlfn.IFNA(VLOOKUP(Wapato_Inventory[[#This Row],[decade]],Lookups!$F$28:$H$45,3,FALSE),1))</f>
        <v>0.94742695999815718</v>
      </c>
      <c r="BX655" s="2">
        <f>_xlfn.IFNA(VLOOKUP(Wapato_Inventory[[#This Row],[living_area_range]],Lookups!$K$28:$M$37,3,FALSE),1)</f>
        <v>0.99022994770196116</v>
      </c>
      <c r="BY655" s="2">
        <f>AVERAGE(Wapato_Inventory[[#This Row],[qual_adj]:[range_adj]])</f>
        <v>0.97118485729052495</v>
      </c>
      <c r="BZ655" s="7">
        <f>(Wapato_Inventory[[#This Row],[sum_land]]-IF(Wapato_Inventory[[#This Row],[no_utilities]]=1,12000,0))/IF(Wapato_Inventory[[#This Row],[unbuildable]]=1,2,1)</f>
        <v>53000</v>
      </c>
      <c r="CA655" s="7">
        <f>Wapato_Inventory[[#This Row],[pre_res]]*Wapato_Inventory[[#This Row],[overall_adj]]</f>
        <v>162159.55562036711</v>
      </c>
      <c r="CB65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55" s="3">
        <f>IF(ROUND(Wapato_Inventory[[#This Row],[adj_res]]*Lookups!$H$48,-2)&lt;Wapato_Inventory[[#This Row],[min_res]],Wapato_Inventory[[#This Row],[min_res]],ROUND(Wapato_Inventory[[#This Row],[adj_res]]*Lookups!$H$48,-2))</f>
        <v>154100</v>
      </c>
      <c r="CD655" s="3">
        <f>ROUND(Wapato_Inventory[[#This Row],[det_value]]*Lookups!$H$48,-2)</f>
        <v>1000</v>
      </c>
      <c r="CE655" s="3">
        <f>Wapato_Inventory[[#This Row],[final_res]]+Wapato_Inventory[[#This Row],[final_det]]</f>
        <v>155100</v>
      </c>
      <c r="CF655" s="3">
        <f>Wapato_Inventory[[#This Row],[crop_value]]+Wapato_Inventory[[#This Row],[final_land]]+Wapato_Inventory[[#This Row],[final_imp]]</f>
        <v>205500</v>
      </c>
      <c r="CH655" t="str">
        <f t="shared" si="10"/>
        <v>update valuation set market_land =50400, market_bldg=155100, market_total =205500, market_mdno =405, market_date ='9/10/2023' where link_id = (select link_id from parcel where parcel_year = '2024' and parcel_id = '19111513455');</v>
      </c>
    </row>
    <row r="656" spans="1:86" x14ac:dyDescent="0.25">
      <c r="A656">
        <v>19111513456</v>
      </c>
      <c r="B656">
        <v>0.15</v>
      </c>
      <c r="C656">
        <v>6422</v>
      </c>
      <c r="D656" t="s">
        <v>144</v>
      </c>
      <c r="E656" t="s">
        <v>54</v>
      </c>
      <c r="F656" t="s">
        <v>54</v>
      </c>
      <c r="G656">
        <v>3</v>
      </c>
      <c r="H656" t="s">
        <v>55</v>
      </c>
      <c r="I656">
        <v>267900</v>
      </c>
      <c r="J656">
        <v>32300</v>
      </c>
      <c r="K656">
        <v>0.15</v>
      </c>
      <c r="L656">
        <f>IF(Wapato_Inventory[[#This Row],[parcel_acres]]-Wapato_Inventory[[#This Row],[non_valued_acres]] =0,0,LN(Wapato_Inventory[[#This Row],[parcel_acres]]-Wapato_Inventory[[#This Row],[non_valued_acres]]))</f>
        <v>-1.8971199848858813</v>
      </c>
      <c r="M656">
        <v>0</v>
      </c>
      <c r="N656">
        <v>0</v>
      </c>
      <c r="O656">
        <v>0</v>
      </c>
      <c r="P656">
        <v>27904.037</v>
      </c>
      <c r="Q656">
        <v>74398</v>
      </c>
      <c r="R656" s="3">
        <f>(Wapato_Inventory[[#This Row],[ln_acres]]*Wapato_Inventory[[#This Row],[coeff]])+Wapato_Inventory[[#This Row],[const]]</f>
        <v>21460.693748304926</v>
      </c>
      <c r="S656" t="s">
        <v>62</v>
      </c>
      <c r="T656">
        <v>1</v>
      </c>
      <c r="U656" t="s">
        <v>75</v>
      </c>
      <c r="V656" t="s">
        <v>69</v>
      </c>
      <c r="W656">
        <v>0</v>
      </c>
      <c r="X656">
        <v>0</v>
      </c>
      <c r="Y656">
        <v>45</v>
      </c>
      <c r="Z656">
        <v>50</v>
      </c>
      <c r="AA656">
        <v>50</v>
      </c>
      <c r="AB656">
        <v>2000</v>
      </c>
      <c r="AC656">
        <v>1690</v>
      </c>
      <c r="AD656">
        <v>1690</v>
      </c>
      <c r="AE656">
        <v>0</v>
      </c>
      <c r="AF656">
        <v>0</v>
      </c>
      <c r="AG656">
        <v>0</v>
      </c>
      <c r="AH656">
        <v>0</v>
      </c>
      <c r="AI656">
        <v>660</v>
      </c>
      <c r="AJ656">
        <v>0</v>
      </c>
      <c r="AK656">
        <v>0</v>
      </c>
      <c r="AL656">
        <v>0</v>
      </c>
      <c r="AM656">
        <v>510</v>
      </c>
      <c r="AN656">
        <v>36</v>
      </c>
      <c r="AO656">
        <v>0</v>
      </c>
      <c r="AP656">
        <v>8</v>
      </c>
      <c r="AQ656">
        <v>0</v>
      </c>
      <c r="AR656">
        <v>0</v>
      </c>
      <c r="AS656" t="s">
        <v>59</v>
      </c>
      <c r="AT656">
        <v>1</v>
      </c>
      <c r="AU656" t="s">
        <v>72</v>
      </c>
      <c r="AV656" t="s">
        <v>61</v>
      </c>
      <c r="AW656">
        <v>0</v>
      </c>
      <c r="AX656">
        <v>3</v>
      </c>
      <c r="AY656">
        <v>0</v>
      </c>
      <c r="AZ656">
        <v>0</v>
      </c>
      <c r="BA656">
        <v>100</v>
      </c>
      <c r="BB656">
        <v>100</v>
      </c>
      <c r="BC656">
        <v>100</v>
      </c>
      <c r="BD656">
        <v>100</v>
      </c>
      <c r="BE656">
        <v>1</v>
      </c>
      <c r="BF656">
        <v>15000</v>
      </c>
      <c r="BG656">
        <v>1000</v>
      </c>
      <c r="BH656" s="7">
        <f>ROUND(Wapato_Inventory[[#This Row],[detatched_value]]*Lookups!$B$22*Lookups!$H$48,-2)</f>
        <v>0</v>
      </c>
      <c r="BI656" s="7">
        <f>ROUND(((Wapato_Inventory[[#This Row],[land_extract]]*Lookups!$B$3) +(Lookups!$B$2*0.5))*Lookups!$H$48,-2)</f>
        <v>53100</v>
      </c>
      <c r="BJ656" s="7">
        <f>IF(Wapato_Inventory[[#This Row],[bldg_style]]="",0,Lookups!$B$2*0.5)</f>
        <v>53765.27</v>
      </c>
      <c r="BK656" s="7">
        <f>_xlfn.IFNA(VLOOKUP(Wapato_Inventory[[#This Row],[quality]],Lookups!$H$2:$J$14,3,FALSE),0)</f>
        <v>48043</v>
      </c>
      <c r="BL656" s="7">
        <f>_xlfn.IFNA(VLOOKUP(Wapato_Inventory[[#This Row],[condition]],Lookups!$H$17:$J$24,3,FALSE),0)</f>
        <v>74543</v>
      </c>
      <c r="BM656" s="7">
        <f>Wapato_Inventory[[#This Row],[Age]]*Lookups!$B$16</f>
        <v>-18533.785</v>
      </c>
      <c r="BN656" s="7">
        <f>Wapato_Inventory[[#This Row],[Main Floor]]*Lookups!$B$17</f>
        <v>70643.248909999995</v>
      </c>
      <c r="BO656" s="7">
        <f>Wapato_Inventory[[#This Row],[Upper Floor]]*Lookups!$B$18</f>
        <v>0</v>
      </c>
      <c r="BP656" s="7">
        <f>Wapato_Inventory[[#This Row],[Fin BSMT]]*Lookups!$B$19</f>
        <v>0</v>
      </c>
      <c r="BQ656" s="7">
        <f>(Wapato_Inventory[[#This Row],[att_gar]]+Wapato_Inventory[[#This Row],[blt_gar]])*Lookups!$B$20</f>
        <v>24425.776320000001</v>
      </c>
      <c r="BR656" s="7">
        <f>Wapato_Inventory[[#This Row],[Patio]]*Lookups!$B$21</f>
        <v>22095.229289999999</v>
      </c>
      <c r="BS656" s="7">
        <f>SUM(Wapato_Inventory[[#This Row],[intercept]:[patio_value]])*Wapato_Inventory[[#This Row],[res_pct]]</f>
        <v>274981.73952</v>
      </c>
      <c r="BT656" s="7">
        <f>Wapato_Inventory[[#This Row],[land_value]]</f>
        <v>53100</v>
      </c>
      <c r="BU656" s="2">
        <f>_xlfn.IFNA(VLOOKUP(Wapato_Inventory[[#This Row],[quality]],Lookups!$A$28:$C$37,3,FALSE),1)</f>
        <v>0.98196844879778955</v>
      </c>
      <c r="BV656" s="2">
        <f>_xlfn.IFNA(VLOOKUP(Wapato_Inventory[[#This Row],[condition]],Lookups!$A$41:$C$48,3,FALSE),1)</f>
        <v>0.98442438223270734</v>
      </c>
      <c r="BW656" s="2">
        <f>IF(Wapato_Inventory[[#This Row],[decade]]="",1,_xlfn.IFNA(VLOOKUP(Wapato_Inventory[[#This Row],[decade]],Lookups!$F$28:$H$45,3,FALSE),1))</f>
        <v>0.96240333884358298</v>
      </c>
      <c r="BX656" s="2">
        <f>_xlfn.IFNA(VLOOKUP(Wapato_Inventory[[#This Row],[living_area_range]],Lookups!$K$28:$M$37,3,FALSE),1)</f>
        <v>0.99330894324714125</v>
      </c>
      <c r="BY656" s="2">
        <f>AVERAGE(Wapato_Inventory[[#This Row],[qual_adj]:[range_adj]])</f>
        <v>0.98052627828030525</v>
      </c>
      <c r="BZ656" s="7">
        <f>(Wapato_Inventory[[#This Row],[sum_land]]-IF(Wapato_Inventory[[#This Row],[no_utilities]]=1,12000,0))/IF(Wapato_Inventory[[#This Row],[unbuildable]]=1,2,1)</f>
        <v>53100</v>
      </c>
      <c r="CA656" s="7">
        <f>Wapato_Inventory[[#This Row],[pre_res]]*Wapato_Inventory[[#This Row],[overall_adj]]</f>
        <v>269626.82164658996</v>
      </c>
      <c r="CB65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56" s="3">
        <f>IF(ROUND(Wapato_Inventory[[#This Row],[adj_res]]*Lookups!$H$48,-2)&lt;Wapato_Inventory[[#This Row],[min_res]],Wapato_Inventory[[#This Row],[min_res]],ROUND(Wapato_Inventory[[#This Row],[adj_res]]*Lookups!$H$48,-2))</f>
        <v>256100</v>
      </c>
      <c r="CD656" s="3">
        <f>ROUND(Wapato_Inventory[[#This Row],[det_value]]*Lookups!$H$48,-2)</f>
        <v>0</v>
      </c>
      <c r="CE656" s="3">
        <f>Wapato_Inventory[[#This Row],[final_res]]+Wapato_Inventory[[#This Row],[final_det]]</f>
        <v>256100</v>
      </c>
      <c r="CF656" s="3">
        <f>Wapato_Inventory[[#This Row],[crop_value]]+Wapato_Inventory[[#This Row],[final_land]]+Wapato_Inventory[[#This Row],[final_imp]]</f>
        <v>306500</v>
      </c>
      <c r="CH656" t="str">
        <f t="shared" si="10"/>
        <v>update valuation set market_land =50400, market_bldg=256100, market_total =306500, market_mdno =405, market_date ='9/10/2023' where link_id = (select link_id from parcel where parcel_year = '2024' and parcel_id = '19111513456');</v>
      </c>
    </row>
    <row r="657" spans="1:86" x14ac:dyDescent="0.25">
      <c r="A657">
        <v>19111513457</v>
      </c>
      <c r="B657">
        <v>0.13</v>
      </c>
      <c r="C657">
        <v>5735</v>
      </c>
      <c r="D657" t="s">
        <v>144</v>
      </c>
      <c r="E657" t="s">
        <v>54</v>
      </c>
      <c r="F657" t="s">
        <v>54</v>
      </c>
      <c r="G657">
        <v>3</v>
      </c>
      <c r="H657" t="s">
        <v>55</v>
      </c>
      <c r="I657">
        <v>146700</v>
      </c>
      <c r="J657">
        <v>31400</v>
      </c>
      <c r="K657">
        <v>0.13</v>
      </c>
      <c r="L657">
        <f>IF(Wapato_Inventory[[#This Row],[parcel_acres]]-Wapato_Inventory[[#This Row],[non_valued_acres]] =0,0,LN(Wapato_Inventory[[#This Row],[parcel_acres]]-Wapato_Inventory[[#This Row],[non_valued_acres]]))</f>
        <v>-2.0402208285265546</v>
      </c>
      <c r="M657">
        <v>0</v>
      </c>
      <c r="N657">
        <v>0</v>
      </c>
      <c r="O657">
        <v>0</v>
      </c>
      <c r="P657">
        <v>27904.037</v>
      </c>
      <c r="Q657">
        <v>74398</v>
      </c>
      <c r="R657" s="3">
        <f>(Wapato_Inventory[[#This Row],[ln_acres]]*Wapato_Inventory[[#This Row],[coeff]])+Wapato_Inventory[[#This Row],[const]]</f>
        <v>17467.602512624362</v>
      </c>
      <c r="S657" t="s">
        <v>62</v>
      </c>
      <c r="T657">
        <v>1</v>
      </c>
      <c r="U657" t="s">
        <v>71</v>
      </c>
      <c r="V657" t="s">
        <v>68</v>
      </c>
      <c r="W657">
        <v>0</v>
      </c>
      <c r="X657">
        <v>0</v>
      </c>
      <c r="Y657">
        <v>45</v>
      </c>
      <c r="Z657">
        <v>50</v>
      </c>
      <c r="AA657">
        <v>50</v>
      </c>
      <c r="AB657">
        <v>1500</v>
      </c>
      <c r="AC657">
        <v>1248</v>
      </c>
      <c r="AD657">
        <v>1248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411</v>
      </c>
      <c r="AN657">
        <v>0</v>
      </c>
      <c r="AO657">
        <v>288</v>
      </c>
      <c r="AP657">
        <v>5</v>
      </c>
      <c r="AQ657">
        <v>1</v>
      </c>
      <c r="AR657">
        <v>0</v>
      </c>
      <c r="AS657" t="s">
        <v>59</v>
      </c>
      <c r="AT657">
        <v>1</v>
      </c>
      <c r="AU657" t="s">
        <v>72</v>
      </c>
      <c r="AV657" t="s">
        <v>61</v>
      </c>
      <c r="AW657">
        <v>0</v>
      </c>
      <c r="AX657">
        <v>3</v>
      </c>
      <c r="AY657">
        <v>0</v>
      </c>
      <c r="AZ657">
        <v>0</v>
      </c>
      <c r="BA657">
        <v>100</v>
      </c>
      <c r="BB657">
        <v>100</v>
      </c>
      <c r="BC657">
        <v>100</v>
      </c>
      <c r="BD657">
        <v>100</v>
      </c>
      <c r="BE657">
        <v>1</v>
      </c>
      <c r="BF657">
        <v>15000</v>
      </c>
      <c r="BG657">
        <v>1000</v>
      </c>
      <c r="BH657" s="7">
        <f>ROUND(Wapato_Inventory[[#This Row],[detatched_value]]*Lookups!$B$22*Lookups!$H$48,-2)</f>
        <v>0</v>
      </c>
      <c r="BI657" s="7">
        <f>ROUND(((Wapato_Inventory[[#This Row],[land_extract]]*Lookups!$B$3) +(Lookups!$B$2*0.5))*Lookups!$H$48,-2)</f>
        <v>52800</v>
      </c>
      <c r="BJ657" s="7">
        <f>IF(Wapato_Inventory[[#This Row],[bldg_style]]="",0,Lookups!$B$2*0.5)</f>
        <v>53765.27</v>
      </c>
      <c r="BK657" s="7">
        <f>_xlfn.IFNA(VLOOKUP(Wapato_Inventory[[#This Row],[quality]],Lookups!$H$2:$J$14,3,FALSE),0)</f>
        <v>28034</v>
      </c>
      <c r="BL657" s="7">
        <f>_xlfn.IFNA(VLOOKUP(Wapato_Inventory[[#This Row],[condition]],Lookups!$H$17:$J$24,3,FALSE),0)</f>
        <v>52231</v>
      </c>
      <c r="BM657" s="7">
        <f>Wapato_Inventory[[#This Row],[Age]]*Lookups!$B$16</f>
        <v>-18533.785</v>
      </c>
      <c r="BN657" s="7">
        <f>Wapato_Inventory[[#This Row],[Main Floor]]*Lookups!$B$17</f>
        <v>52167.322271999998</v>
      </c>
      <c r="BO657" s="7">
        <f>Wapato_Inventory[[#This Row],[Upper Floor]]*Lookups!$B$18</f>
        <v>0</v>
      </c>
      <c r="BP657" s="7">
        <f>Wapato_Inventory[[#This Row],[Fin BSMT]]*Lookups!$B$19</f>
        <v>0</v>
      </c>
      <c r="BQ657" s="7">
        <f>(Wapato_Inventory[[#This Row],[att_gar]]+Wapato_Inventory[[#This Row],[blt_gar]])*Lookups!$B$20</f>
        <v>0</v>
      </c>
      <c r="BR657" s="7">
        <f>Wapato_Inventory[[#This Row],[Patio]]*Lookups!$B$21</f>
        <v>17806.155369</v>
      </c>
      <c r="BS657" s="7">
        <f>SUM(Wapato_Inventory[[#This Row],[intercept]:[patio_value]])*Wapato_Inventory[[#This Row],[res_pct]]</f>
        <v>185469.96264099999</v>
      </c>
      <c r="BT657" s="7">
        <f>Wapato_Inventory[[#This Row],[land_value]]</f>
        <v>52800</v>
      </c>
      <c r="BU657" s="2">
        <f>_xlfn.IFNA(VLOOKUP(Wapato_Inventory[[#This Row],[quality]],Lookups!$A$28:$C$37,3,FALSE),1)</f>
        <v>0.96265813922927435</v>
      </c>
      <c r="BV657" s="2">
        <f>_xlfn.IFNA(VLOOKUP(Wapato_Inventory[[#This Row],[condition]],Lookups!$A$41:$C$48,3,FALSE),1)</f>
        <v>0.9832333997567807</v>
      </c>
      <c r="BW657" s="2">
        <f>IF(Wapato_Inventory[[#This Row],[decade]]="",1,_xlfn.IFNA(VLOOKUP(Wapato_Inventory[[#This Row],[decade]],Lookups!$F$28:$H$45,3,FALSE),1))</f>
        <v>0.96240333884358298</v>
      </c>
      <c r="BX657" s="2">
        <f>_xlfn.IFNA(VLOOKUP(Wapato_Inventory[[#This Row],[living_area_range]],Lookups!$K$28:$M$37,3,FALSE),1)</f>
        <v>1.0061411172456287</v>
      </c>
      <c r="BY657" s="2">
        <f>AVERAGE(Wapato_Inventory[[#This Row],[qual_adj]:[range_adj]])</f>
        <v>0.97860899876881668</v>
      </c>
      <c r="BZ657" s="7">
        <f>(Wapato_Inventory[[#This Row],[sum_land]]-IF(Wapato_Inventory[[#This Row],[no_utilities]]=1,12000,0))/IF(Wapato_Inventory[[#This Row],[unbuildable]]=1,2,1)</f>
        <v>52800</v>
      </c>
      <c r="CA657" s="7">
        <f>Wapato_Inventory[[#This Row],[pre_res]]*Wapato_Inventory[[#This Row],[overall_adj]]</f>
        <v>181502.57444179885</v>
      </c>
      <c r="CB65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57" s="3">
        <f>IF(ROUND(Wapato_Inventory[[#This Row],[adj_res]]*Lookups!$H$48,-2)&lt;Wapato_Inventory[[#This Row],[min_res]],Wapato_Inventory[[#This Row],[min_res]],ROUND(Wapato_Inventory[[#This Row],[adj_res]]*Lookups!$H$48,-2))</f>
        <v>172400</v>
      </c>
      <c r="CD657" s="3">
        <f>ROUND(Wapato_Inventory[[#This Row],[det_value]]*Lookups!$H$48,-2)</f>
        <v>0</v>
      </c>
      <c r="CE657" s="3">
        <f>Wapato_Inventory[[#This Row],[final_res]]+Wapato_Inventory[[#This Row],[final_det]]</f>
        <v>172400</v>
      </c>
      <c r="CF657" s="3">
        <f>Wapato_Inventory[[#This Row],[crop_value]]+Wapato_Inventory[[#This Row],[final_land]]+Wapato_Inventory[[#This Row],[final_imp]]</f>
        <v>222600</v>
      </c>
      <c r="CH657" t="str">
        <f t="shared" si="10"/>
        <v>update valuation set market_land =50200, market_bldg=172400, market_total =222600, market_mdno =405, market_date ='9/10/2023' where link_id = (select link_id from parcel where parcel_year = '2024' and parcel_id = '19111513457');</v>
      </c>
    </row>
    <row r="658" spans="1:86" x14ac:dyDescent="0.25">
      <c r="A658">
        <v>19111513458</v>
      </c>
      <c r="B658">
        <v>0.15</v>
      </c>
      <c r="C658">
        <v>6718</v>
      </c>
      <c r="D658" t="s">
        <v>144</v>
      </c>
      <c r="E658" t="s">
        <v>54</v>
      </c>
      <c r="F658" t="s">
        <v>54</v>
      </c>
      <c r="G658">
        <v>3</v>
      </c>
      <c r="H658" t="s">
        <v>55</v>
      </c>
      <c r="I658">
        <v>120900</v>
      </c>
      <c r="J658">
        <v>32300</v>
      </c>
      <c r="K658">
        <v>0.15</v>
      </c>
      <c r="L658">
        <f>IF(Wapato_Inventory[[#This Row],[parcel_acres]]-Wapato_Inventory[[#This Row],[non_valued_acres]] =0,0,LN(Wapato_Inventory[[#This Row],[parcel_acres]]-Wapato_Inventory[[#This Row],[non_valued_acres]]))</f>
        <v>-1.8971199848858813</v>
      </c>
      <c r="M658">
        <v>0</v>
      </c>
      <c r="N658">
        <v>0</v>
      </c>
      <c r="O658">
        <v>0</v>
      </c>
      <c r="P658">
        <v>27904.037</v>
      </c>
      <c r="Q658">
        <v>74398</v>
      </c>
      <c r="R658" s="3">
        <f>(Wapato_Inventory[[#This Row],[ln_acres]]*Wapato_Inventory[[#This Row],[coeff]])+Wapato_Inventory[[#This Row],[const]]</f>
        <v>21460.693748304926</v>
      </c>
      <c r="S658" t="s">
        <v>66</v>
      </c>
      <c r="T658">
        <v>1</v>
      </c>
      <c r="U658" t="s">
        <v>71</v>
      </c>
      <c r="V658" t="s">
        <v>68</v>
      </c>
      <c r="W658">
        <v>0</v>
      </c>
      <c r="X658">
        <v>0</v>
      </c>
      <c r="Y658">
        <v>51</v>
      </c>
      <c r="Z658">
        <v>83</v>
      </c>
      <c r="AA658">
        <v>90</v>
      </c>
      <c r="AB658">
        <v>1500</v>
      </c>
      <c r="AC658">
        <v>1378</v>
      </c>
      <c r="AD658">
        <v>972</v>
      </c>
      <c r="AE658">
        <v>0</v>
      </c>
      <c r="AF658">
        <v>0</v>
      </c>
      <c r="AG658">
        <v>406</v>
      </c>
      <c r="AH658">
        <v>270</v>
      </c>
      <c r="AI658">
        <v>0</v>
      </c>
      <c r="AJ658">
        <v>0</v>
      </c>
      <c r="AK658">
        <v>0</v>
      </c>
      <c r="AL658">
        <v>0</v>
      </c>
      <c r="AM658">
        <v>192</v>
      </c>
      <c r="AN658">
        <v>30</v>
      </c>
      <c r="AO658">
        <v>0</v>
      </c>
      <c r="AP658">
        <v>5</v>
      </c>
      <c r="AQ658">
        <v>0</v>
      </c>
      <c r="AR658">
        <v>0</v>
      </c>
      <c r="AS658" t="s">
        <v>59</v>
      </c>
      <c r="AT658">
        <v>1</v>
      </c>
      <c r="AU658" t="s">
        <v>64</v>
      </c>
      <c r="AV658" t="s">
        <v>65</v>
      </c>
      <c r="AW658">
        <v>1</v>
      </c>
      <c r="AX658">
        <v>2</v>
      </c>
      <c r="AY658">
        <v>0</v>
      </c>
      <c r="AZ658">
        <v>7200</v>
      </c>
      <c r="BA658">
        <v>100</v>
      </c>
      <c r="BB658">
        <v>100</v>
      </c>
      <c r="BC658">
        <v>100</v>
      </c>
      <c r="BD658">
        <v>100</v>
      </c>
      <c r="BE658">
        <v>1</v>
      </c>
      <c r="BF658">
        <v>15000</v>
      </c>
      <c r="BG658">
        <v>1000</v>
      </c>
      <c r="BH658" s="7">
        <f>ROUND(Wapato_Inventory[[#This Row],[detatched_value]]*Lookups!$B$22*Lookups!$H$48,-2)</f>
        <v>6400</v>
      </c>
      <c r="BI658" s="7">
        <f>ROUND(((Wapato_Inventory[[#This Row],[land_extract]]*Lookups!$B$3) +(Lookups!$B$2*0.5))*Lookups!$H$48,-2)</f>
        <v>53100</v>
      </c>
      <c r="BJ658" s="7">
        <f>IF(Wapato_Inventory[[#This Row],[bldg_style]]="",0,Lookups!$B$2*0.5)</f>
        <v>53765.27</v>
      </c>
      <c r="BK658" s="7">
        <f>_xlfn.IFNA(VLOOKUP(Wapato_Inventory[[#This Row],[quality]],Lookups!$H$2:$J$14,3,FALSE),0)</f>
        <v>28034</v>
      </c>
      <c r="BL658" s="7">
        <f>_xlfn.IFNA(VLOOKUP(Wapato_Inventory[[#This Row],[condition]],Lookups!$H$17:$J$24,3,FALSE),0)</f>
        <v>52231</v>
      </c>
      <c r="BM658" s="7">
        <f>Wapato_Inventory[[#This Row],[Age]]*Lookups!$B$16</f>
        <v>-30766.0831</v>
      </c>
      <c r="BN658" s="7">
        <f>Wapato_Inventory[[#This Row],[Main Floor]]*Lookups!$B$17</f>
        <v>40630.318308000002</v>
      </c>
      <c r="BO658" s="7">
        <f>Wapato_Inventory[[#This Row],[Upper Floor]]*Lookups!$B$18</f>
        <v>0</v>
      </c>
      <c r="BP658" s="7">
        <f>Wapato_Inventory[[#This Row],[Fin BSMT]]*Lookups!$B$19</f>
        <v>9892.8964400000004</v>
      </c>
      <c r="BQ658" s="7">
        <f>(Wapato_Inventory[[#This Row],[att_gar]]+Wapato_Inventory[[#This Row],[blt_gar]])*Lookups!$B$20</f>
        <v>0</v>
      </c>
      <c r="BR658" s="7">
        <f>Wapato_Inventory[[#This Row],[Patio]]*Lookups!$B$21</f>
        <v>8318.2039679999998</v>
      </c>
      <c r="BS658" s="7">
        <f>SUM(Wapato_Inventory[[#This Row],[intercept]:[patio_value]])*Wapato_Inventory[[#This Row],[res_pct]]</f>
        <v>162105.60561599999</v>
      </c>
      <c r="BT658" s="7">
        <f>Wapato_Inventory[[#This Row],[land_value]]</f>
        <v>53100</v>
      </c>
      <c r="BU658" s="2">
        <f>_xlfn.IFNA(VLOOKUP(Wapato_Inventory[[#This Row],[quality]],Lookups!$A$28:$C$37,3,FALSE),1)</f>
        <v>0.96265813922927435</v>
      </c>
      <c r="BV658" s="2">
        <f>_xlfn.IFNA(VLOOKUP(Wapato_Inventory[[#This Row],[condition]],Lookups!$A$41:$C$48,3,FALSE),1)</f>
        <v>0.9832333997567807</v>
      </c>
      <c r="BW658" s="2">
        <f>IF(Wapato_Inventory[[#This Row],[decade]]="",1,_xlfn.IFNA(VLOOKUP(Wapato_Inventory[[#This Row],[decade]],Lookups!$F$28:$H$45,3,FALSE),1))</f>
        <v>0.94742695999815718</v>
      </c>
      <c r="BX658" s="2">
        <f>_xlfn.IFNA(VLOOKUP(Wapato_Inventory[[#This Row],[living_area_range]],Lookups!$K$28:$M$37,3,FALSE),1)</f>
        <v>1.0061411172456287</v>
      </c>
      <c r="BY658" s="2">
        <f>AVERAGE(Wapato_Inventory[[#This Row],[qual_adj]:[range_adj]])</f>
        <v>0.97486490405746018</v>
      </c>
      <c r="BZ658" s="7">
        <f>(Wapato_Inventory[[#This Row],[sum_land]]-IF(Wapato_Inventory[[#This Row],[no_utilities]]=1,12000,0))/IF(Wapato_Inventory[[#This Row],[unbuildable]]=1,2,1)</f>
        <v>53100</v>
      </c>
      <c r="CA658" s="7">
        <f>Wapato_Inventory[[#This Row],[pre_res]]*Wapato_Inventory[[#This Row],[overall_adj]]</f>
        <v>158031.06566601832</v>
      </c>
      <c r="CB65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58" s="3">
        <f>IF(ROUND(Wapato_Inventory[[#This Row],[adj_res]]*Lookups!$H$48,-2)&lt;Wapato_Inventory[[#This Row],[min_res]],Wapato_Inventory[[#This Row],[min_res]],ROUND(Wapato_Inventory[[#This Row],[adj_res]]*Lookups!$H$48,-2))</f>
        <v>150100</v>
      </c>
      <c r="CD658" s="3">
        <f>ROUND(Wapato_Inventory[[#This Row],[det_value]]*Lookups!$H$48,-2)</f>
        <v>6100</v>
      </c>
      <c r="CE658" s="3">
        <f>Wapato_Inventory[[#This Row],[final_res]]+Wapato_Inventory[[#This Row],[final_det]]</f>
        <v>156200</v>
      </c>
      <c r="CF658" s="3">
        <f>Wapato_Inventory[[#This Row],[crop_value]]+Wapato_Inventory[[#This Row],[final_land]]+Wapato_Inventory[[#This Row],[final_imp]]</f>
        <v>206600</v>
      </c>
      <c r="CH658" t="str">
        <f t="shared" si="10"/>
        <v>update valuation set market_land =50400, market_bldg=156200, market_total =206600, market_mdno =405, market_date ='9/10/2023' where link_id = (select link_id from parcel where parcel_year = '2024' and parcel_id = '19111513458');</v>
      </c>
    </row>
    <row r="659" spans="1:86" x14ac:dyDescent="0.25">
      <c r="A659">
        <v>19111513459</v>
      </c>
      <c r="B659">
        <v>0.14000000000000001</v>
      </c>
      <c r="C659">
        <v>5934</v>
      </c>
      <c r="D659" t="s">
        <v>144</v>
      </c>
      <c r="E659" t="s">
        <v>54</v>
      </c>
      <c r="F659" t="s">
        <v>54</v>
      </c>
      <c r="G659">
        <v>3</v>
      </c>
      <c r="H659" t="s">
        <v>55</v>
      </c>
      <c r="I659">
        <v>139600</v>
      </c>
      <c r="J659">
        <v>31900</v>
      </c>
      <c r="K659">
        <v>0.14000000000000001</v>
      </c>
      <c r="L659">
        <f>IF(Wapato_Inventory[[#This Row],[parcel_acres]]-Wapato_Inventory[[#This Row],[non_valued_acres]] =0,0,LN(Wapato_Inventory[[#This Row],[parcel_acres]]-Wapato_Inventory[[#This Row],[non_valued_acres]]))</f>
        <v>-1.9661128563728327</v>
      </c>
      <c r="M659">
        <v>0</v>
      </c>
      <c r="N659">
        <v>0</v>
      </c>
      <c r="O659">
        <v>0</v>
      </c>
      <c r="P659">
        <v>27904.037</v>
      </c>
      <c r="Q659">
        <v>74398</v>
      </c>
      <c r="R659" s="3">
        <f>(Wapato_Inventory[[#This Row],[ln_acres]]*Wapato_Inventory[[#This Row],[coeff]])+Wapato_Inventory[[#This Row],[const]]</f>
        <v>19535.514109596792</v>
      </c>
      <c r="S659" t="s">
        <v>66</v>
      </c>
      <c r="T659">
        <v>1</v>
      </c>
      <c r="U659" t="s">
        <v>71</v>
      </c>
      <c r="V659" t="s">
        <v>69</v>
      </c>
      <c r="W659">
        <v>0</v>
      </c>
      <c r="X659">
        <v>0</v>
      </c>
      <c r="Y659">
        <v>50</v>
      </c>
      <c r="Z659">
        <v>73</v>
      </c>
      <c r="AA659">
        <v>80</v>
      </c>
      <c r="AB659">
        <v>1000</v>
      </c>
      <c r="AC659">
        <v>768</v>
      </c>
      <c r="AD659">
        <v>768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80</v>
      </c>
      <c r="AM659">
        <v>0</v>
      </c>
      <c r="AN659">
        <v>0</v>
      </c>
      <c r="AO659">
        <v>0</v>
      </c>
      <c r="AP659">
        <v>5</v>
      </c>
      <c r="AQ659">
        <v>0</v>
      </c>
      <c r="AR659">
        <v>0</v>
      </c>
      <c r="AS659" t="s">
        <v>59</v>
      </c>
      <c r="AT659">
        <v>0</v>
      </c>
      <c r="AU659" t="s">
        <v>80</v>
      </c>
      <c r="AV659" t="s">
        <v>65</v>
      </c>
      <c r="AW659">
        <v>0</v>
      </c>
      <c r="AX659">
        <v>2</v>
      </c>
      <c r="AY659">
        <v>0</v>
      </c>
      <c r="AZ659">
        <v>0</v>
      </c>
      <c r="BA659">
        <v>100</v>
      </c>
      <c r="BB659">
        <v>100</v>
      </c>
      <c r="BC659">
        <v>100</v>
      </c>
      <c r="BD659">
        <v>100</v>
      </c>
      <c r="BE659">
        <v>1</v>
      </c>
      <c r="BF659">
        <v>15000</v>
      </c>
      <c r="BG659">
        <v>1000</v>
      </c>
      <c r="BH659" s="7">
        <f>ROUND(Wapato_Inventory[[#This Row],[detatched_value]]*Lookups!$B$22*Lookups!$H$48,-2)</f>
        <v>0</v>
      </c>
      <c r="BI659" s="7">
        <f>ROUND(((Wapato_Inventory[[#This Row],[land_extract]]*Lookups!$B$3) +(Lookups!$B$2*0.5))*Lookups!$H$48,-2)</f>
        <v>53000</v>
      </c>
      <c r="BJ659" s="7">
        <f>IF(Wapato_Inventory[[#This Row],[bldg_style]]="",0,Lookups!$B$2*0.5)</f>
        <v>53765.27</v>
      </c>
      <c r="BK659" s="7">
        <f>_xlfn.IFNA(VLOOKUP(Wapato_Inventory[[#This Row],[quality]],Lookups!$H$2:$J$14,3,FALSE),0)</f>
        <v>28034</v>
      </c>
      <c r="BL659" s="7">
        <f>_xlfn.IFNA(VLOOKUP(Wapato_Inventory[[#This Row],[condition]],Lookups!$H$17:$J$24,3,FALSE),0)</f>
        <v>74543</v>
      </c>
      <c r="BM659" s="7">
        <f>Wapato_Inventory[[#This Row],[Age]]*Lookups!$B$16</f>
        <v>-27059.326100000002</v>
      </c>
      <c r="BN659" s="7">
        <f>Wapato_Inventory[[#This Row],[Main Floor]]*Lookups!$B$17</f>
        <v>32102.967552000002</v>
      </c>
      <c r="BO659" s="7">
        <f>Wapato_Inventory[[#This Row],[Upper Floor]]*Lookups!$B$18</f>
        <v>0</v>
      </c>
      <c r="BP659" s="7">
        <f>Wapato_Inventory[[#This Row],[Fin BSMT]]*Lookups!$B$19</f>
        <v>0</v>
      </c>
      <c r="BQ659" s="7">
        <f>(Wapato_Inventory[[#This Row],[att_gar]]+Wapato_Inventory[[#This Row],[blt_gar]])*Lookups!$B$20</f>
        <v>0</v>
      </c>
      <c r="BR659" s="7">
        <f>Wapato_Inventory[[#This Row],[Patio]]*Lookups!$B$21</f>
        <v>0</v>
      </c>
      <c r="BS659" s="7">
        <f>SUM(Wapato_Inventory[[#This Row],[intercept]:[patio_value]])*Wapato_Inventory[[#This Row],[res_pct]]</f>
        <v>161385.91145199997</v>
      </c>
      <c r="BT659" s="7">
        <f>Wapato_Inventory[[#This Row],[land_value]]</f>
        <v>53000</v>
      </c>
      <c r="BU659" s="2">
        <f>_xlfn.IFNA(VLOOKUP(Wapato_Inventory[[#This Row],[quality]],Lookups!$A$28:$C$37,3,FALSE),1)</f>
        <v>0.96265813922927435</v>
      </c>
      <c r="BV659" s="2">
        <f>_xlfn.IFNA(VLOOKUP(Wapato_Inventory[[#This Row],[condition]],Lookups!$A$41:$C$48,3,FALSE),1)</f>
        <v>0.98442438223270734</v>
      </c>
      <c r="BW659" s="2">
        <f>IF(Wapato_Inventory[[#This Row],[decade]]="",1,_xlfn.IFNA(VLOOKUP(Wapato_Inventory[[#This Row],[decade]],Lookups!$F$28:$H$45,3,FALSE),1))</f>
        <v>0.8438929209510081</v>
      </c>
      <c r="BX659" s="2">
        <f>_xlfn.IFNA(VLOOKUP(Wapato_Inventory[[#This Row],[living_area_range]],Lookups!$K$28:$M$37,3,FALSE),1)</f>
        <v>0.99022994770196116</v>
      </c>
      <c r="BY659" s="2">
        <f>AVERAGE(Wapato_Inventory[[#This Row],[qual_adj]:[range_adj]])</f>
        <v>0.94530134752873773</v>
      </c>
      <c r="BZ659" s="7">
        <f>(Wapato_Inventory[[#This Row],[sum_land]]-IF(Wapato_Inventory[[#This Row],[no_utilities]]=1,12000,0))/IF(Wapato_Inventory[[#This Row],[unbuildable]]=1,2,1)</f>
        <v>53000</v>
      </c>
      <c r="CA659" s="7">
        <f>Wapato_Inventory[[#This Row],[pre_res]]*Wapato_Inventory[[#This Row],[overall_adj]]</f>
        <v>152558.31956772911</v>
      </c>
      <c r="CB65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59" s="3">
        <f>IF(ROUND(Wapato_Inventory[[#This Row],[adj_res]]*Lookups!$H$48,-2)&lt;Wapato_Inventory[[#This Row],[min_res]],Wapato_Inventory[[#This Row],[min_res]],ROUND(Wapato_Inventory[[#This Row],[adj_res]]*Lookups!$H$48,-2))</f>
        <v>144900</v>
      </c>
      <c r="CD659" s="3">
        <f>ROUND(Wapato_Inventory[[#This Row],[det_value]]*Lookups!$H$48,-2)</f>
        <v>0</v>
      </c>
      <c r="CE659" s="3">
        <f>Wapato_Inventory[[#This Row],[final_res]]+Wapato_Inventory[[#This Row],[final_det]]</f>
        <v>144900</v>
      </c>
      <c r="CF659" s="3">
        <f>Wapato_Inventory[[#This Row],[crop_value]]+Wapato_Inventory[[#This Row],[final_land]]+Wapato_Inventory[[#This Row],[final_imp]]</f>
        <v>195300</v>
      </c>
      <c r="CH659" t="str">
        <f t="shared" si="10"/>
        <v>update valuation set market_land =50400, market_bldg=144900, market_total =195300, market_mdno =405, market_date ='9/10/2023' where link_id = (select link_id from parcel where parcel_year = '2024' and parcel_id = '19111513459');</v>
      </c>
    </row>
    <row r="660" spans="1:86" x14ac:dyDescent="0.25">
      <c r="A660">
        <v>19111513462</v>
      </c>
      <c r="B660">
        <v>0.14000000000000001</v>
      </c>
      <c r="C660">
        <v>6245</v>
      </c>
      <c r="D660" t="s">
        <v>144</v>
      </c>
      <c r="E660" t="s">
        <v>54</v>
      </c>
      <c r="F660" t="s">
        <v>54</v>
      </c>
      <c r="G660">
        <v>3</v>
      </c>
      <c r="H660" t="s">
        <v>55</v>
      </c>
      <c r="I660">
        <v>178100</v>
      </c>
      <c r="J660">
        <v>31900</v>
      </c>
      <c r="K660">
        <v>0.14000000000000001</v>
      </c>
      <c r="L660">
        <f>IF(Wapato_Inventory[[#This Row],[parcel_acres]]-Wapato_Inventory[[#This Row],[non_valued_acres]] =0,0,LN(Wapato_Inventory[[#This Row],[parcel_acres]]-Wapato_Inventory[[#This Row],[non_valued_acres]]))</f>
        <v>-1.9661128563728327</v>
      </c>
      <c r="M660">
        <v>0</v>
      </c>
      <c r="N660">
        <v>0</v>
      </c>
      <c r="O660">
        <v>0</v>
      </c>
      <c r="P660">
        <v>27904.037</v>
      </c>
      <c r="Q660">
        <v>74398</v>
      </c>
      <c r="R660" s="3">
        <f>(Wapato_Inventory[[#This Row],[ln_acres]]*Wapato_Inventory[[#This Row],[coeff]])+Wapato_Inventory[[#This Row],[const]]</f>
        <v>19535.514109596792</v>
      </c>
      <c r="S660" t="s">
        <v>66</v>
      </c>
      <c r="T660">
        <v>1</v>
      </c>
      <c r="U660" t="s">
        <v>71</v>
      </c>
      <c r="V660" t="s">
        <v>68</v>
      </c>
      <c r="W660">
        <v>0</v>
      </c>
      <c r="X660">
        <v>0</v>
      </c>
      <c r="Y660">
        <v>53</v>
      </c>
      <c r="Z660">
        <v>93</v>
      </c>
      <c r="AA660">
        <v>100</v>
      </c>
      <c r="AB660">
        <v>1000</v>
      </c>
      <c r="AC660">
        <v>888</v>
      </c>
      <c r="AD660">
        <v>888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670</v>
      </c>
      <c r="AL660">
        <v>0</v>
      </c>
      <c r="AM660">
        <v>0</v>
      </c>
      <c r="AN660">
        <v>0</v>
      </c>
      <c r="AO660">
        <v>0</v>
      </c>
      <c r="AP660">
        <v>5</v>
      </c>
      <c r="AQ660">
        <v>0</v>
      </c>
      <c r="AR660">
        <v>0</v>
      </c>
      <c r="AS660" t="s">
        <v>59</v>
      </c>
      <c r="AT660">
        <v>1</v>
      </c>
      <c r="AU660" t="s">
        <v>72</v>
      </c>
      <c r="AV660" t="s">
        <v>65</v>
      </c>
      <c r="AW660">
        <v>0</v>
      </c>
      <c r="AX660">
        <v>3</v>
      </c>
      <c r="AY660">
        <v>0</v>
      </c>
      <c r="AZ660">
        <v>40500</v>
      </c>
      <c r="BA660">
        <v>100</v>
      </c>
      <c r="BB660">
        <v>100</v>
      </c>
      <c r="BC660">
        <v>100</v>
      </c>
      <c r="BD660">
        <v>100</v>
      </c>
      <c r="BE660">
        <v>1</v>
      </c>
      <c r="BF660">
        <v>15000</v>
      </c>
      <c r="BG660">
        <v>1000</v>
      </c>
      <c r="BH660" s="7">
        <f>ROUND(Wapato_Inventory[[#This Row],[detatched_value]]*Lookups!$B$22*Lookups!$H$48,-2)</f>
        <v>36200</v>
      </c>
      <c r="BI660" s="7">
        <f>ROUND(((Wapato_Inventory[[#This Row],[land_extract]]*Lookups!$B$3) +(Lookups!$B$2*0.5))*Lookups!$H$48,-2)</f>
        <v>53000</v>
      </c>
      <c r="BJ660" s="7">
        <f>IF(Wapato_Inventory[[#This Row],[bldg_style]]="",0,Lookups!$B$2*0.5)</f>
        <v>53765.27</v>
      </c>
      <c r="BK660" s="7">
        <f>_xlfn.IFNA(VLOOKUP(Wapato_Inventory[[#This Row],[quality]],Lookups!$H$2:$J$14,3,FALSE),0)</f>
        <v>28034</v>
      </c>
      <c r="BL660" s="7">
        <f>_xlfn.IFNA(VLOOKUP(Wapato_Inventory[[#This Row],[condition]],Lookups!$H$17:$J$24,3,FALSE),0)</f>
        <v>52231</v>
      </c>
      <c r="BM660" s="7">
        <f>Wapato_Inventory[[#This Row],[Age]]*Lookups!$B$16</f>
        <v>-34472.840100000001</v>
      </c>
      <c r="BN660" s="7">
        <f>Wapato_Inventory[[#This Row],[Main Floor]]*Lookups!$B$17</f>
        <v>37119.056232000003</v>
      </c>
      <c r="BO660" s="7">
        <f>Wapato_Inventory[[#This Row],[Upper Floor]]*Lookups!$B$18</f>
        <v>0</v>
      </c>
      <c r="BP660" s="7">
        <f>Wapato_Inventory[[#This Row],[Fin BSMT]]*Lookups!$B$19</f>
        <v>0</v>
      </c>
      <c r="BQ660" s="7">
        <f>(Wapato_Inventory[[#This Row],[att_gar]]+Wapato_Inventory[[#This Row],[blt_gar]])*Lookups!$B$20</f>
        <v>0</v>
      </c>
      <c r="BR660" s="7">
        <f>Wapato_Inventory[[#This Row],[Patio]]*Lookups!$B$21</f>
        <v>0</v>
      </c>
      <c r="BS660" s="7">
        <f>SUM(Wapato_Inventory[[#This Row],[intercept]:[patio_value]])*Wapato_Inventory[[#This Row],[res_pct]]</f>
        <v>136676.48613199999</v>
      </c>
      <c r="BT660" s="7">
        <f>Wapato_Inventory[[#This Row],[land_value]]</f>
        <v>53000</v>
      </c>
      <c r="BU660" s="2">
        <f>_xlfn.IFNA(VLOOKUP(Wapato_Inventory[[#This Row],[quality]],Lookups!$A$28:$C$37,3,FALSE),1)</f>
        <v>0.96265813922927435</v>
      </c>
      <c r="BV660" s="2">
        <f>_xlfn.IFNA(VLOOKUP(Wapato_Inventory[[#This Row],[condition]],Lookups!$A$41:$C$48,3,FALSE),1)</f>
        <v>0.9832333997567807</v>
      </c>
      <c r="BW660" s="2">
        <f>IF(Wapato_Inventory[[#This Row],[decade]]="",1,_xlfn.IFNA(VLOOKUP(Wapato_Inventory[[#This Row],[decade]],Lookups!$F$28:$H$45,3,FALSE),1))</f>
        <v>1.0114203040664467</v>
      </c>
      <c r="BX660" s="2">
        <f>_xlfn.IFNA(VLOOKUP(Wapato_Inventory[[#This Row],[living_area_range]],Lookups!$K$28:$M$37,3,FALSE),1)</f>
        <v>0.99022994770196116</v>
      </c>
      <c r="BY660" s="2">
        <f>AVERAGE(Wapato_Inventory[[#This Row],[qual_adj]:[range_adj]])</f>
        <v>0.98688544768861564</v>
      </c>
      <c r="BZ660" s="7">
        <f>(Wapato_Inventory[[#This Row],[sum_land]]-IF(Wapato_Inventory[[#This Row],[no_utilities]]=1,12000,0))/IF(Wapato_Inventory[[#This Row],[unbuildable]]=1,2,1)</f>
        <v>53000</v>
      </c>
      <c r="CA660" s="7">
        <f>Wapato_Inventory[[#This Row],[pre_res]]*Wapato_Inventory[[#This Row],[overall_adj]]</f>
        <v>134884.03520488567</v>
      </c>
      <c r="CB66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60" s="3">
        <f>IF(ROUND(Wapato_Inventory[[#This Row],[adj_res]]*Lookups!$H$48,-2)&lt;Wapato_Inventory[[#This Row],[min_res]],Wapato_Inventory[[#This Row],[min_res]],ROUND(Wapato_Inventory[[#This Row],[adj_res]]*Lookups!$H$48,-2))</f>
        <v>128100</v>
      </c>
      <c r="CD660" s="3">
        <f>ROUND(Wapato_Inventory[[#This Row],[det_value]]*Lookups!$H$48,-2)</f>
        <v>34400</v>
      </c>
      <c r="CE660" s="3">
        <f>Wapato_Inventory[[#This Row],[final_res]]+Wapato_Inventory[[#This Row],[final_det]]</f>
        <v>162500</v>
      </c>
      <c r="CF660" s="3">
        <f>Wapato_Inventory[[#This Row],[crop_value]]+Wapato_Inventory[[#This Row],[final_land]]+Wapato_Inventory[[#This Row],[final_imp]]</f>
        <v>212900</v>
      </c>
      <c r="CH660" t="str">
        <f t="shared" si="10"/>
        <v>update valuation set market_land =50400, market_bldg=162500, market_total =212900, market_mdno =405, market_date ='9/10/2023' where link_id = (select link_id from parcel where parcel_year = '2024' and parcel_id = '19111513462');</v>
      </c>
    </row>
    <row r="661" spans="1:86" x14ac:dyDescent="0.25">
      <c r="A661">
        <v>19111513463</v>
      </c>
      <c r="B661">
        <v>0.12</v>
      </c>
      <c r="C661">
        <v>5341</v>
      </c>
      <c r="D661" t="s">
        <v>144</v>
      </c>
      <c r="E661" t="s">
        <v>54</v>
      </c>
      <c r="F661" t="s">
        <v>54</v>
      </c>
      <c r="G661">
        <v>3</v>
      </c>
      <c r="H661" t="s">
        <v>55</v>
      </c>
      <c r="I661">
        <v>177000</v>
      </c>
      <c r="J661">
        <v>30800</v>
      </c>
      <c r="K661">
        <v>0.12</v>
      </c>
      <c r="L661">
        <f>IF(Wapato_Inventory[[#This Row],[parcel_acres]]-Wapato_Inventory[[#This Row],[non_valued_acres]] =0,0,LN(Wapato_Inventory[[#This Row],[parcel_acres]]-Wapato_Inventory[[#This Row],[non_valued_acres]]))</f>
        <v>-2.120263536200091</v>
      </c>
      <c r="M661">
        <v>0</v>
      </c>
      <c r="N661">
        <v>0</v>
      </c>
      <c r="O661">
        <v>0</v>
      </c>
      <c r="P661">
        <v>27904.037</v>
      </c>
      <c r="Q661">
        <v>74398</v>
      </c>
      <c r="R661" s="3">
        <f>(Wapato_Inventory[[#This Row],[ln_acres]]*Wapato_Inventory[[#This Row],[coeff]])+Wapato_Inventory[[#This Row],[const]]</f>
        <v>15234.08783612182</v>
      </c>
      <c r="S661" t="s">
        <v>66</v>
      </c>
      <c r="T661">
        <v>1</v>
      </c>
      <c r="U661" t="s">
        <v>67</v>
      </c>
      <c r="V661" t="s">
        <v>68</v>
      </c>
      <c r="W661">
        <v>0</v>
      </c>
      <c r="X661">
        <v>0</v>
      </c>
      <c r="Y661">
        <v>50</v>
      </c>
      <c r="Z661">
        <v>73</v>
      </c>
      <c r="AA661">
        <v>80</v>
      </c>
      <c r="AB661">
        <v>1500</v>
      </c>
      <c r="AC661">
        <v>1436</v>
      </c>
      <c r="AD661">
        <v>1436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36</v>
      </c>
      <c r="AO661">
        <v>0</v>
      </c>
      <c r="AP661">
        <v>8</v>
      </c>
      <c r="AQ661">
        <v>0</v>
      </c>
      <c r="AR661">
        <v>0</v>
      </c>
      <c r="AS661" t="s">
        <v>59</v>
      </c>
      <c r="AT661">
        <v>1</v>
      </c>
      <c r="AU661" t="s">
        <v>64</v>
      </c>
      <c r="AV661" t="s">
        <v>61</v>
      </c>
      <c r="AW661">
        <v>0</v>
      </c>
      <c r="AX661">
        <v>2</v>
      </c>
      <c r="AY661">
        <v>0</v>
      </c>
      <c r="AZ661">
        <v>4900</v>
      </c>
      <c r="BA661">
        <v>100</v>
      </c>
      <c r="BB661">
        <v>100</v>
      </c>
      <c r="BC661">
        <v>100</v>
      </c>
      <c r="BD661">
        <v>100</v>
      </c>
      <c r="BE661">
        <v>1</v>
      </c>
      <c r="BF661">
        <v>15000</v>
      </c>
      <c r="BG661">
        <v>1000</v>
      </c>
      <c r="BH661" s="7">
        <f>ROUND(Wapato_Inventory[[#This Row],[detatched_value]]*Lookups!$B$22*Lookups!$H$48,-2)</f>
        <v>4400</v>
      </c>
      <c r="BI661" s="7">
        <f>ROUND(((Wapato_Inventory[[#This Row],[land_extract]]*Lookups!$B$3) +(Lookups!$B$2*0.5))*Lookups!$H$48,-2)</f>
        <v>52500</v>
      </c>
      <c r="BJ661" s="7">
        <f>IF(Wapato_Inventory[[#This Row],[bldg_style]]="",0,Lookups!$B$2*0.5)</f>
        <v>53765.27</v>
      </c>
      <c r="BK661" s="7">
        <f>_xlfn.IFNA(VLOOKUP(Wapato_Inventory[[#This Row],[quality]],Lookups!$H$2:$J$14,3,FALSE),0)</f>
        <v>50405</v>
      </c>
      <c r="BL661" s="7">
        <f>_xlfn.IFNA(VLOOKUP(Wapato_Inventory[[#This Row],[condition]],Lookups!$H$17:$J$24,3,FALSE),0)</f>
        <v>52231</v>
      </c>
      <c r="BM661" s="7">
        <f>Wapato_Inventory[[#This Row],[Age]]*Lookups!$B$16</f>
        <v>-27059.326100000002</v>
      </c>
      <c r="BN661" s="7">
        <f>Wapato_Inventory[[#This Row],[Main Floor]]*Lookups!$B$17</f>
        <v>60025.861204000001</v>
      </c>
      <c r="BO661" s="7">
        <f>Wapato_Inventory[[#This Row],[Upper Floor]]*Lookups!$B$18</f>
        <v>0</v>
      </c>
      <c r="BP661" s="7">
        <f>Wapato_Inventory[[#This Row],[Fin BSMT]]*Lookups!$B$19</f>
        <v>0</v>
      </c>
      <c r="BQ661" s="7">
        <f>(Wapato_Inventory[[#This Row],[att_gar]]+Wapato_Inventory[[#This Row],[blt_gar]])*Lookups!$B$20</f>
        <v>0</v>
      </c>
      <c r="BR661" s="7">
        <f>Wapato_Inventory[[#This Row],[Patio]]*Lookups!$B$21</f>
        <v>0</v>
      </c>
      <c r="BS661" s="7">
        <f>SUM(Wapato_Inventory[[#This Row],[intercept]:[patio_value]])*Wapato_Inventory[[#This Row],[res_pct]]</f>
        <v>189367.80510399997</v>
      </c>
      <c r="BT661" s="7">
        <f>Wapato_Inventory[[#This Row],[land_value]]</f>
        <v>52500</v>
      </c>
      <c r="BU661" s="2">
        <f>_xlfn.IFNA(VLOOKUP(Wapato_Inventory[[#This Row],[quality]],Lookups!$A$28:$C$37,3,FALSE),1)</f>
        <v>0.97993206410140754</v>
      </c>
      <c r="BV661" s="2">
        <f>_xlfn.IFNA(VLOOKUP(Wapato_Inventory[[#This Row],[condition]],Lookups!$A$41:$C$48,3,FALSE),1)</f>
        <v>0.9832333997567807</v>
      </c>
      <c r="BW661" s="2">
        <f>IF(Wapato_Inventory[[#This Row],[decade]]="",1,_xlfn.IFNA(VLOOKUP(Wapato_Inventory[[#This Row],[decade]],Lookups!$F$28:$H$45,3,FALSE),1))</f>
        <v>0.8438929209510081</v>
      </c>
      <c r="BX661" s="2">
        <f>_xlfn.IFNA(VLOOKUP(Wapato_Inventory[[#This Row],[living_area_range]],Lookups!$K$28:$M$37,3,FALSE),1)</f>
        <v>1.0061411172456287</v>
      </c>
      <c r="BY661" s="2">
        <f>AVERAGE(Wapato_Inventory[[#This Row],[qual_adj]:[range_adj]])</f>
        <v>0.95329987551370632</v>
      </c>
      <c r="BZ661" s="7">
        <f>(Wapato_Inventory[[#This Row],[sum_land]]-IF(Wapato_Inventory[[#This Row],[no_utilities]]=1,12000,0))/IF(Wapato_Inventory[[#This Row],[unbuildable]]=1,2,1)</f>
        <v>52500</v>
      </c>
      <c r="CA661" s="7">
        <f>Wapato_Inventory[[#This Row],[pre_res]]*Wapato_Inventory[[#This Row],[overall_adj]]</f>
        <v>180524.30503194698</v>
      </c>
      <c r="CB661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661" s="3">
        <f>IF(ROUND(Wapato_Inventory[[#This Row],[adj_res]]*Lookups!$H$48,-2)&lt;Wapato_Inventory[[#This Row],[min_res]],Wapato_Inventory[[#This Row],[min_res]],ROUND(Wapato_Inventory[[#This Row],[adj_res]]*Lookups!$H$48,-2))</f>
        <v>171500</v>
      </c>
      <c r="CD661" s="3">
        <f>ROUND(Wapato_Inventory[[#This Row],[det_value]]*Lookups!$H$48,-2)</f>
        <v>4200</v>
      </c>
      <c r="CE661" s="3">
        <f>Wapato_Inventory[[#This Row],[final_res]]+Wapato_Inventory[[#This Row],[final_det]]</f>
        <v>175700</v>
      </c>
      <c r="CF661" s="3">
        <f>Wapato_Inventory[[#This Row],[crop_value]]+Wapato_Inventory[[#This Row],[final_land]]+Wapato_Inventory[[#This Row],[final_imp]]</f>
        <v>225600</v>
      </c>
      <c r="CH661" t="str">
        <f t="shared" si="10"/>
        <v>update valuation set market_land =49900, market_bldg=175700, market_total =225600, market_mdno =405, market_date ='9/10/2023' where link_id = (select link_id from parcel where parcel_year = '2024' and parcel_id = '19111513463');</v>
      </c>
    </row>
    <row r="662" spans="1:86" x14ac:dyDescent="0.25">
      <c r="A662">
        <v>19111513464</v>
      </c>
      <c r="B662">
        <v>0.14000000000000001</v>
      </c>
      <c r="C662">
        <v>5920</v>
      </c>
      <c r="D662" t="s">
        <v>144</v>
      </c>
      <c r="E662" t="s">
        <v>54</v>
      </c>
      <c r="F662" t="s">
        <v>54</v>
      </c>
      <c r="G662">
        <v>3</v>
      </c>
      <c r="H662" t="s">
        <v>55</v>
      </c>
      <c r="I662">
        <v>93000</v>
      </c>
      <c r="J662">
        <v>31900</v>
      </c>
      <c r="K662">
        <v>0.14000000000000001</v>
      </c>
      <c r="L662">
        <f>IF(Wapato_Inventory[[#This Row],[parcel_acres]]-Wapato_Inventory[[#This Row],[non_valued_acres]] =0,0,LN(Wapato_Inventory[[#This Row],[parcel_acres]]-Wapato_Inventory[[#This Row],[non_valued_acres]]))</f>
        <v>-1.9661128563728327</v>
      </c>
      <c r="M662">
        <v>0</v>
      </c>
      <c r="N662">
        <v>0</v>
      </c>
      <c r="O662">
        <v>0</v>
      </c>
      <c r="P662">
        <v>27904.037</v>
      </c>
      <c r="Q662">
        <v>74398</v>
      </c>
      <c r="R662" s="3">
        <f>(Wapato_Inventory[[#This Row],[ln_acres]]*Wapato_Inventory[[#This Row],[coeff]])+Wapato_Inventory[[#This Row],[const]]</f>
        <v>19535.514109596792</v>
      </c>
      <c r="S662" t="s">
        <v>66</v>
      </c>
      <c r="T662">
        <v>1</v>
      </c>
      <c r="U662" t="s">
        <v>71</v>
      </c>
      <c r="V662" t="s">
        <v>84</v>
      </c>
      <c r="W662">
        <v>0</v>
      </c>
      <c r="X662">
        <v>0</v>
      </c>
      <c r="Y662">
        <v>57</v>
      </c>
      <c r="Z662">
        <v>103</v>
      </c>
      <c r="AA662">
        <v>110</v>
      </c>
      <c r="AB662">
        <v>2000</v>
      </c>
      <c r="AC662">
        <v>1652</v>
      </c>
      <c r="AD662">
        <v>1652</v>
      </c>
      <c r="AE662">
        <v>0</v>
      </c>
      <c r="AF662">
        <v>0</v>
      </c>
      <c r="AG662">
        <v>0</v>
      </c>
      <c r="AH662">
        <v>100</v>
      </c>
      <c r="AI662">
        <v>0</v>
      </c>
      <c r="AJ662">
        <v>0</v>
      </c>
      <c r="AK662">
        <v>384</v>
      </c>
      <c r="AL662">
        <v>0</v>
      </c>
      <c r="AM662">
        <v>0</v>
      </c>
      <c r="AN662">
        <v>36</v>
      </c>
      <c r="AO662">
        <v>0</v>
      </c>
      <c r="AP662">
        <v>8</v>
      </c>
      <c r="AQ662">
        <v>0</v>
      </c>
      <c r="AR662">
        <v>0</v>
      </c>
      <c r="AS662" t="s">
        <v>59</v>
      </c>
      <c r="AT662">
        <v>1</v>
      </c>
      <c r="AU662" t="s">
        <v>72</v>
      </c>
      <c r="AV662" t="s">
        <v>61</v>
      </c>
      <c r="AW662">
        <v>0</v>
      </c>
      <c r="AX662">
        <v>3</v>
      </c>
      <c r="AY662">
        <v>0</v>
      </c>
      <c r="AZ662">
        <v>0</v>
      </c>
      <c r="BA662">
        <v>100</v>
      </c>
      <c r="BB662">
        <v>100</v>
      </c>
      <c r="BC662">
        <v>100</v>
      </c>
      <c r="BD662">
        <v>100</v>
      </c>
      <c r="BE662">
        <v>1</v>
      </c>
      <c r="BF662">
        <v>15000</v>
      </c>
      <c r="BG662">
        <v>1000</v>
      </c>
      <c r="BH662" s="7">
        <f>ROUND(Wapato_Inventory[[#This Row],[detatched_value]]*Lookups!$B$22*Lookups!$H$48,-2)</f>
        <v>0</v>
      </c>
      <c r="BI662" s="7">
        <f>ROUND(((Wapato_Inventory[[#This Row],[land_extract]]*Lookups!$B$3) +(Lookups!$B$2*0.5))*Lookups!$H$48,-2)</f>
        <v>53000</v>
      </c>
      <c r="BJ662" s="7">
        <f>IF(Wapato_Inventory[[#This Row],[bldg_style]]="",0,Lookups!$B$2*0.5)</f>
        <v>53765.27</v>
      </c>
      <c r="BK662" s="7">
        <f>_xlfn.IFNA(VLOOKUP(Wapato_Inventory[[#This Row],[quality]],Lookups!$H$2:$J$14,3,FALSE),0)</f>
        <v>28034</v>
      </c>
      <c r="BL662" s="7">
        <f>_xlfn.IFNA(VLOOKUP(Wapato_Inventory[[#This Row],[condition]],Lookups!$H$17:$J$24,3,FALSE),0)</f>
        <v>0</v>
      </c>
      <c r="BM662" s="7">
        <f>Wapato_Inventory[[#This Row],[Age]]*Lookups!$B$16</f>
        <v>-38179.597099999999</v>
      </c>
      <c r="BN662" s="7">
        <f>Wapato_Inventory[[#This Row],[Main Floor]]*Lookups!$B$17</f>
        <v>69054.820827999996</v>
      </c>
      <c r="BO662" s="7">
        <f>Wapato_Inventory[[#This Row],[Upper Floor]]*Lookups!$B$18</f>
        <v>0</v>
      </c>
      <c r="BP662" s="7">
        <f>Wapato_Inventory[[#This Row],[Fin BSMT]]*Lookups!$B$19</f>
        <v>0</v>
      </c>
      <c r="BQ662" s="7">
        <f>(Wapato_Inventory[[#This Row],[att_gar]]+Wapato_Inventory[[#This Row],[blt_gar]])*Lookups!$B$20</f>
        <v>0</v>
      </c>
      <c r="BR662" s="7">
        <f>Wapato_Inventory[[#This Row],[Patio]]*Lookups!$B$21</f>
        <v>0</v>
      </c>
      <c r="BS662" s="7">
        <f>SUM(Wapato_Inventory[[#This Row],[intercept]:[patio_value]])*Wapato_Inventory[[#This Row],[res_pct]]</f>
        <v>112674.49372799999</v>
      </c>
      <c r="BT662" s="7">
        <f>Wapato_Inventory[[#This Row],[land_value]]</f>
        <v>53000</v>
      </c>
      <c r="BU662" s="2">
        <f>_xlfn.IFNA(VLOOKUP(Wapato_Inventory[[#This Row],[quality]],Lookups!$A$28:$C$37,3,FALSE),1)</f>
        <v>0.96265813922927435</v>
      </c>
      <c r="BV662" s="2">
        <f>_xlfn.IFNA(VLOOKUP(Wapato_Inventory[[#This Row],[condition]],Lookups!$A$41:$C$48,3,FALSE),1)</f>
        <v>1.0000035546274355</v>
      </c>
      <c r="BW662" s="2">
        <f>IF(Wapato_Inventory[[#This Row],[decade]]="",1,_xlfn.IFNA(VLOOKUP(Wapato_Inventory[[#This Row],[decade]],Lookups!$F$28:$H$45,3,FALSE),1))</f>
        <v>0.93664589651353292</v>
      </c>
      <c r="BX662" s="2">
        <f>_xlfn.IFNA(VLOOKUP(Wapato_Inventory[[#This Row],[living_area_range]],Lookups!$K$28:$M$37,3,FALSE),1)</f>
        <v>0.99330894324714125</v>
      </c>
      <c r="BY662" s="2">
        <f>AVERAGE(Wapato_Inventory[[#This Row],[qual_adj]:[range_adj]])</f>
        <v>0.97315413340434598</v>
      </c>
      <c r="BZ662" s="7">
        <f>(Wapato_Inventory[[#This Row],[sum_land]]-IF(Wapato_Inventory[[#This Row],[no_utilities]]=1,12000,0))/IF(Wapato_Inventory[[#This Row],[unbuildable]]=1,2,1)</f>
        <v>53000</v>
      </c>
      <c r="CA662" s="7">
        <f>Wapato_Inventory[[#This Row],[pre_res]]*Wapato_Inventory[[#This Row],[overall_adj]]</f>
        <v>109649.64930064524</v>
      </c>
      <c r="CB66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62" s="3">
        <f>IF(ROUND(Wapato_Inventory[[#This Row],[adj_res]]*Lookups!$H$48,-2)&lt;Wapato_Inventory[[#This Row],[min_res]],Wapato_Inventory[[#This Row],[min_res]],ROUND(Wapato_Inventory[[#This Row],[adj_res]]*Lookups!$H$48,-2))</f>
        <v>104200</v>
      </c>
      <c r="CD662" s="3">
        <f>ROUND(Wapato_Inventory[[#This Row],[det_value]]*Lookups!$H$48,-2)</f>
        <v>0</v>
      </c>
      <c r="CE662" s="3">
        <f>Wapato_Inventory[[#This Row],[final_res]]+Wapato_Inventory[[#This Row],[final_det]]</f>
        <v>104200</v>
      </c>
      <c r="CF662" s="3">
        <f>Wapato_Inventory[[#This Row],[crop_value]]+Wapato_Inventory[[#This Row],[final_land]]+Wapato_Inventory[[#This Row],[final_imp]]</f>
        <v>154600</v>
      </c>
      <c r="CH662" t="str">
        <f t="shared" si="10"/>
        <v>update valuation set market_land =50400, market_bldg=104200, market_total =154600, market_mdno =405, market_date ='9/10/2023' where link_id = (select link_id from parcel where parcel_year = '2024' and parcel_id = '19111513464');</v>
      </c>
    </row>
    <row r="663" spans="1:86" x14ac:dyDescent="0.25">
      <c r="A663">
        <v>19111513465</v>
      </c>
      <c r="B663">
        <v>0.13</v>
      </c>
      <c r="C663">
        <v>5569</v>
      </c>
      <c r="D663" t="s">
        <v>144</v>
      </c>
      <c r="E663" t="s">
        <v>54</v>
      </c>
      <c r="F663" t="s">
        <v>54</v>
      </c>
      <c r="G663">
        <v>3</v>
      </c>
      <c r="H663" t="s">
        <v>55</v>
      </c>
      <c r="I663">
        <v>98700</v>
      </c>
      <c r="J663">
        <v>31400</v>
      </c>
      <c r="K663">
        <v>0.13</v>
      </c>
      <c r="L663">
        <f>IF(Wapato_Inventory[[#This Row],[parcel_acres]]-Wapato_Inventory[[#This Row],[non_valued_acres]] =0,0,LN(Wapato_Inventory[[#This Row],[parcel_acres]]-Wapato_Inventory[[#This Row],[non_valued_acres]]))</f>
        <v>-2.0402208285265546</v>
      </c>
      <c r="M663">
        <v>0</v>
      </c>
      <c r="N663">
        <v>0</v>
      </c>
      <c r="O663">
        <v>0</v>
      </c>
      <c r="P663">
        <v>27904.037</v>
      </c>
      <c r="Q663">
        <v>74398</v>
      </c>
      <c r="R663" s="3">
        <f>(Wapato_Inventory[[#This Row],[ln_acres]]*Wapato_Inventory[[#This Row],[coeff]])+Wapato_Inventory[[#This Row],[const]]</f>
        <v>17467.602512624362</v>
      </c>
      <c r="S663" t="s">
        <v>66</v>
      </c>
      <c r="T663">
        <v>1</v>
      </c>
      <c r="U663" t="s">
        <v>71</v>
      </c>
      <c r="V663" t="s">
        <v>68</v>
      </c>
      <c r="W663">
        <v>0</v>
      </c>
      <c r="X663">
        <v>0</v>
      </c>
      <c r="Y663">
        <v>55</v>
      </c>
      <c r="Z663">
        <v>98</v>
      </c>
      <c r="AA663">
        <v>100</v>
      </c>
      <c r="AB663">
        <v>1000</v>
      </c>
      <c r="AC663">
        <v>924</v>
      </c>
      <c r="AD663">
        <v>924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264</v>
      </c>
      <c r="AN663">
        <v>0</v>
      </c>
      <c r="AO663">
        <v>264</v>
      </c>
      <c r="AP663">
        <v>5</v>
      </c>
      <c r="AQ663">
        <v>0</v>
      </c>
      <c r="AR663">
        <v>0</v>
      </c>
      <c r="AS663" t="s">
        <v>59</v>
      </c>
      <c r="AT663">
        <v>1</v>
      </c>
      <c r="AU663" t="s">
        <v>76</v>
      </c>
      <c r="AV663" t="s">
        <v>61</v>
      </c>
      <c r="AW663">
        <v>0</v>
      </c>
      <c r="AX663">
        <v>3</v>
      </c>
      <c r="AY663">
        <v>0</v>
      </c>
      <c r="AZ663">
        <v>0</v>
      </c>
      <c r="BA663">
        <v>100</v>
      </c>
      <c r="BB663">
        <v>100</v>
      </c>
      <c r="BC663">
        <v>100</v>
      </c>
      <c r="BD663">
        <v>100</v>
      </c>
      <c r="BE663">
        <v>1</v>
      </c>
      <c r="BF663">
        <v>15000</v>
      </c>
      <c r="BG663">
        <v>1000</v>
      </c>
      <c r="BH663" s="7">
        <f>ROUND(Wapato_Inventory[[#This Row],[detatched_value]]*Lookups!$B$22*Lookups!$H$48,-2)</f>
        <v>0</v>
      </c>
      <c r="BI663" s="7">
        <f>ROUND(((Wapato_Inventory[[#This Row],[land_extract]]*Lookups!$B$3) +(Lookups!$B$2*0.5))*Lookups!$H$48,-2)</f>
        <v>52800</v>
      </c>
      <c r="BJ663" s="7">
        <f>IF(Wapato_Inventory[[#This Row],[bldg_style]]="",0,Lookups!$B$2*0.5)</f>
        <v>53765.27</v>
      </c>
      <c r="BK663" s="7">
        <f>_xlfn.IFNA(VLOOKUP(Wapato_Inventory[[#This Row],[quality]],Lookups!$H$2:$J$14,3,FALSE),0)</f>
        <v>28034</v>
      </c>
      <c r="BL663" s="7">
        <f>_xlfn.IFNA(VLOOKUP(Wapato_Inventory[[#This Row],[condition]],Lookups!$H$17:$J$24,3,FALSE),0)</f>
        <v>52231</v>
      </c>
      <c r="BM663" s="7">
        <f>Wapato_Inventory[[#This Row],[Age]]*Lookups!$B$16</f>
        <v>-36326.2186</v>
      </c>
      <c r="BN663" s="7">
        <f>Wapato_Inventory[[#This Row],[Main Floor]]*Lookups!$B$17</f>
        <v>38623.882835999997</v>
      </c>
      <c r="BO663" s="7">
        <f>Wapato_Inventory[[#This Row],[Upper Floor]]*Lookups!$B$18</f>
        <v>0</v>
      </c>
      <c r="BP663" s="7">
        <f>Wapato_Inventory[[#This Row],[Fin BSMT]]*Lookups!$B$19</f>
        <v>0</v>
      </c>
      <c r="BQ663" s="7">
        <f>(Wapato_Inventory[[#This Row],[att_gar]]+Wapato_Inventory[[#This Row],[blt_gar]])*Lookups!$B$20</f>
        <v>0</v>
      </c>
      <c r="BR663" s="7">
        <f>Wapato_Inventory[[#This Row],[Patio]]*Lookups!$B$21</f>
        <v>11437.530456</v>
      </c>
      <c r="BS663" s="7">
        <f>SUM(Wapato_Inventory[[#This Row],[intercept]:[patio_value]])*Wapato_Inventory[[#This Row],[res_pct]]</f>
        <v>147765.46469200001</v>
      </c>
      <c r="BT663" s="7">
        <f>Wapato_Inventory[[#This Row],[land_value]]</f>
        <v>52800</v>
      </c>
      <c r="BU663" s="2">
        <f>_xlfn.IFNA(VLOOKUP(Wapato_Inventory[[#This Row],[quality]],Lookups!$A$28:$C$37,3,FALSE),1)</f>
        <v>0.96265813922927435</v>
      </c>
      <c r="BV663" s="2">
        <f>_xlfn.IFNA(VLOOKUP(Wapato_Inventory[[#This Row],[condition]],Lookups!$A$41:$C$48,3,FALSE),1)</f>
        <v>0.9832333997567807</v>
      </c>
      <c r="BW663" s="2">
        <f>IF(Wapato_Inventory[[#This Row],[decade]]="",1,_xlfn.IFNA(VLOOKUP(Wapato_Inventory[[#This Row],[decade]],Lookups!$F$28:$H$45,3,FALSE),1))</f>
        <v>1.0114203040664467</v>
      </c>
      <c r="BX663" s="2">
        <f>_xlfn.IFNA(VLOOKUP(Wapato_Inventory[[#This Row],[living_area_range]],Lookups!$K$28:$M$37,3,FALSE),1)</f>
        <v>0.99022994770196116</v>
      </c>
      <c r="BY663" s="2">
        <f>AVERAGE(Wapato_Inventory[[#This Row],[qual_adj]:[range_adj]])</f>
        <v>0.98688544768861564</v>
      </c>
      <c r="BZ663" s="7">
        <f>(Wapato_Inventory[[#This Row],[sum_land]]-IF(Wapato_Inventory[[#This Row],[no_utilities]]=1,12000,0))/IF(Wapato_Inventory[[#This Row],[unbuildable]]=1,2,1)</f>
        <v>52800</v>
      </c>
      <c r="CA663" s="7">
        <f>Wapato_Inventory[[#This Row],[pre_res]]*Wapato_Inventory[[#This Row],[overall_adj]]</f>
        <v>145827.58677548077</v>
      </c>
      <c r="CB663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63" s="3">
        <f>IF(ROUND(Wapato_Inventory[[#This Row],[adj_res]]*Lookups!$H$48,-2)&lt;Wapato_Inventory[[#This Row],[min_res]],Wapato_Inventory[[#This Row],[min_res]],ROUND(Wapato_Inventory[[#This Row],[adj_res]]*Lookups!$H$48,-2))</f>
        <v>138500</v>
      </c>
      <c r="CD663" s="3">
        <f>ROUND(Wapato_Inventory[[#This Row],[det_value]]*Lookups!$H$48,-2)</f>
        <v>0</v>
      </c>
      <c r="CE663" s="3">
        <f>Wapato_Inventory[[#This Row],[final_res]]+Wapato_Inventory[[#This Row],[final_det]]</f>
        <v>138500</v>
      </c>
      <c r="CF663" s="3">
        <f>Wapato_Inventory[[#This Row],[crop_value]]+Wapato_Inventory[[#This Row],[final_land]]+Wapato_Inventory[[#This Row],[final_imp]]</f>
        <v>188700</v>
      </c>
      <c r="CH663" t="str">
        <f t="shared" si="10"/>
        <v>update valuation set market_land =50200, market_bldg=138500, market_total =188700, market_mdno =405, market_date ='9/10/2023' where link_id = (select link_id from parcel where parcel_year = '2024' and parcel_id = '19111513465');</v>
      </c>
    </row>
    <row r="664" spans="1:86" x14ac:dyDescent="0.25">
      <c r="A664">
        <v>19111513467</v>
      </c>
      <c r="B664">
        <v>0.14000000000000001</v>
      </c>
      <c r="C664">
        <v>6158</v>
      </c>
      <c r="D664" t="s">
        <v>144</v>
      </c>
      <c r="E664" t="s">
        <v>54</v>
      </c>
      <c r="F664" t="s">
        <v>54</v>
      </c>
      <c r="G664">
        <v>3</v>
      </c>
      <c r="H664" t="s">
        <v>55</v>
      </c>
      <c r="I664">
        <v>0</v>
      </c>
      <c r="J664">
        <v>31900</v>
      </c>
      <c r="K664">
        <v>0.14000000000000001</v>
      </c>
      <c r="L664">
        <f>IF(Wapato_Inventory[[#This Row],[parcel_acres]]-Wapato_Inventory[[#This Row],[non_valued_acres]] =0,0,LN(Wapato_Inventory[[#This Row],[parcel_acres]]-Wapato_Inventory[[#This Row],[non_valued_acres]]))</f>
        <v>-1.9661128563728327</v>
      </c>
      <c r="M664">
        <v>0</v>
      </c>
      <c r="N664">
        <v>0</v>
      </c>
      <c r="O664">
        <v>0</v>
      </c>
      <c r="P664">
        <v>27904.037</v>
      </c>
      <c r="Q664">
        <v>74398</v>
      </c>
      <c r="R664" s="3">
        <f>(Wapato_Inventory[[#This Row],[ln_acres]]*Wapato_Inventory[[#This Row],[coeff]])+Wapato_Inventory[[#This Row],[const]]</f>
        <v>19535.514109596792</v>
      </c>
      <c r="S664" t="s">
        <v>56</v>
      </c>
      <c r="T664">
        <v>2</v>
      </c>
      <c r="U664" t="s">
        <v>86</v>
      </c>
      <c r="V664" t="s">
        <v>110</v>
      </c>
      <c r="W664">
        <v>0</v>
      </c>
      <c r="X664">
        <v>0</v>
      </c>
      <c r="Y664">
        <v>57</v>
      </c>
      <c r="Z664">
        <v>103</v>
      </c>
      <c r="AA664">
        <v>110</v>
      </c>
      <c r="AB664">
        <v>1000</v>
      </c>
      <c r="AC664">
        <v>780</v>
      </c>
      <c r="AD664">
        <v>520</v>
      </c>
      <c r="AE664">
        <v>260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5</v>
      </c>
      <c r="AQ664">
        <v>0</v>
      </c>
      <c r="AR664">
        <v>0</v>
      </c>
      <c r="AS664" t="s">
        <v>59</v>
      </c>
      <c r="AT664">
        <v>1</v>
      </c>
      <c r="AU664" t="s">
        <v>72</v>
      </c>
      <c r="AV664" t="s">
        <v>65</v>
      </c>
      <c r="AW664">
        <v>0</v>
      </c>
      <c r="AX664">
        <v>3</v>
      </c>
      <c r="AY664">
        <v>0</v>
      </c>
      <c r="AZ664">
        <v>0</v>
      </c>
      <c r="BA664">
        <v>100</v>
      </c>
      <c r="BB664">
        <v>100</v>
      </c>
      <c r="BC664">
        <v>100</v>
      </c>
      <c r="BD664">
        <v>100</v>
      </c>
      <c r="BE664">
        <v>0</v>
      </c>
      <c r="BF664">
        <v>15000</v>
      </c>
      <c r="BG664">
        <v>0</v>
      </c>
      <c r="BH664" s="7">
        <f>ROUND(Wapato_Inventory[[#This Row],[detatched_value]]*Lookups!$B$22*Lookups!$H$48,-2)</f>
        <v>0</v>
      </c>
      <c r="BI664" s="7">
        <f>ROUND(((Wapato_Inventory[[#This Row],[land_extract]]*Lookups!$B$3) +(Lookups!$B$2*0.5))*Lookups!$H$48,-2)</f>
        <v>53000</v>
      </c>
      <c r="BJ664" s="7">
        <f>IF(Wapato_Inventory[[#This Row],[bldg_style]]="",0,Lookups!$B$2*0.5)</f>
        <v>53765.27</v>
      </c>
      <c r="BK664" s="7">
        <f>_xlfn.IFNA(VLOOKUP(Wapato_Inventory[[#This Row],[quality]],Lookups!$H$2:$J$14,3,FALSE),0)</f>
        <v>0</v>
      </c>
      <c r="BL664" s="7">
        <f>_xlfn.IFNA(VLOOKUP(Wapato_Inventory[[#This Row],[condition]],Lookups!$H$17:$J$24,3,FALSE),0)</f>
        <v>-49363</v>
      </c>
      <c r="BM664" s="7">
        <f>Wapato_Inventory[[#This Row],[Age]]*Lookups!$B$16</f>
        <v>-38179.597099999999</v>
      </c>
      <c r="BN664" s="7">
        <f>Wapato_Inventory[[#This Row],[Main Floor]]*Lookups!$B$17</f>
        <v>21736.384279999998</v>
      </c>
      <c r="BO664" s="7">
        <f>Wapato_Inventory[[#This Row],[Upper Floor]]*Lookups!$B$18</f>
        <v>12896.29614</v>
      </c>
      <c r="BP664" s="7">
        <f>Wapato_Inventory[[#This Row],[Fin BSMT]]*Lookups!$B$19</f>
        <v>0</v>
      </c>
      <c r="BQ664" s="7">
        <f>(Wapato_Inventory[[#This Row],[att_gar]]+Wapato_Inventory[[#This Row],[blt_gar]])*Lookups!$B$20</f>
        <v>0</v>
      </c>
      <c r="BR664" s="7">
        <f>Wapato_Inventory[[#This Row],[Patio]]*Lookups!$B$21</f>
        <v>0</v>
      </c>
      <c r="BS664" s="7">
        <f>SUM(Wapato_Inventory[[#This Row],[intercept]:[patio_value]])*Wapato_Inventory[[#This Row],[res_pct]]</f>
        <v>0</v>
      </c>
      <c r="BT664" s="7">
        <f>Wapato_Inventory[[#This Row],[land_value]]</f>
        <v>53000</v>
      </c>
      <c r="BU664" s="2">
        <f>_xlfn.IFNA(VLOOKUP(Wapato_Inventory[[#This Row],[quality]],Lookups!$A$28:$C$37,3,FALSE),1)</f>
        <v>1.0000010866511106</v>
      </c>
      <c r="BV664" s="2">
        <f>_xlfn.IFNA(VLOOKUP(Wapato_Inventory[[#This Row],[condition]],Lookups!$A$41:$C$48,3,FALSE),1)</f>
        <v>0</v>
      </c>
      <c r="BW664" s="2">
        <f>IF(Wapato_Inventory[[#This Row],[decade]]="",1,_xlfn.IFNA(VLOOKUP(Wapato_Inventory[[#This Row],[decade]],Lookups!$F$28:$H$45,3,FALSE),1))</f>
        <v>0.93664589651353292</v>
      </c>
      <c r="BX664" s="2">
        <f>_xlfn.IFNA(VLOOKUP(Wapato_Inventory[[#This Row],[living_area_range]],Lookups!$K$28:$M$37,3,FALSE),1)</f>
        <v>0.99022994770196116</v>
      </c>
      <c r="BY664" s="2">
        <f>AVERAGE(Wapato_Inventory[[#This Row],[qual_adj]:[range_adj]])</f>
        <v>0.73171923271665118</v>
      </c>
      <c r="BZ664" s="7">
        <f>(Wapato_Inventory[[#This Row],[sum_land]]-IF(Wapato_Inventory[[#This Row],[no_utilities]]=1,12000,0))/IF(Wapato_Inventory[[#This Row],[unbuildable]]=1,2,1)</f>
        <v>53000</v>
      </c>
      <c r="CA664" s="7">
        <f>Wapato_Inventory[[#This Row],[pre_res]]*Wapato_Inventory[[#This Row],[overall_adj]]</f>
        <v>0</v>
      </c>
      <c r="CB66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6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664" s="3">
        <f>ROUND(Wapato_Inventory[[#This Row],[det_value]]*Lookups!$H$48,-2)</f>
        <v>0</v>
      </c>
      <c r="CE664" s="3">
        <f>Wapato_Inventory[[#This Row],[final_res]]+Wapato_Inventory[[#This Row],[final_det]]</f>
        <v>0</v>
      </c>
      <c r="CF664" s="3">
        <f>Wapato_Inventory[[#This Row],[crop_value]]+Wapato_Inventory[[#This Row],[final_land]]+Wapato_Inventory[[#This Row],[final_imp]]</f>
        <v>50400</v>
      </c>
      <c r="CH664" t="str">
        <f t="shared" si="10"/>
        <v>update valuation set market_land =50400, market_bldg=0, market_total =50400, market_mdno =405, market_date ='9/10/2023' where link_id = (select link_id from parcel where parcel_year = '2024' and parcel_id = '19111513467');</v>
      </c>
    </row>
    <row r="665" spans="1:86" x14ac:dyDescent="0.25">
      <c r="A665">
        <v>19111513468</v>
      </c>
      <c r="B665">
        <v>0.14000000000000001</v>
      </c>
      <c r="C665">
        <v>6016</v>
      </c>
      <c r="D665" t="s">
        <v>144</v>
      </c>
      <c r="E665" t="s">
        <v>54</v>
      </c>
      <c r="F665" t="s">
        <v>54</v>
      </c>
      <c r="G665">
        <v>3</v>
      </c>
      <c r="H665" t="s">
        <v>55</v>
      </c>
      <c r="I665">
        <v>370900</v>
      </c>
      <c r="J665">
        <v>31900</v>
      </c>
      <c r="K665">
        <v>0.14000000000000001</v>
      </c>
      <c r="L665">
        <f>IF(Wapato_Inventory[[#This Row],[parcel_acres]]-Wapato_Inventory[[#This Row],[non_valued_acres]] =0,0,LN(Wapato_Inventory[[#This Row],[parcel_acres]]-Wapato_Inventory[[#This Row],[non_valued_acres]]))</f>
        <v>-1.9661128563728327</v>
      </c>
      <c r="M665">
        <v>0</v>
      </c>
      <c r="N665">
        <v>0</v>
      </c>
      <c r="O665">
        <v>0</v>
      </c>
      <c r="P665">
        <v>27904.037</v>
      </c>
      <c r="Q665">
        <v>74398</v>
      </c>
      <c r="R665" s="3">
        <f>(Wapato_Inventory[[#This Row],[ln_acres]]*Wapato_Inventory[[#This Row],[coeff]])+Wapato_Inventory[[#This Row],[const]]</f>
        <v>19535.514109596792</v>
      </c>
      <c r="S665" t="s">
        <v>56</v>
      </c>
      <c r="T665">
        <v>2</v>
      </c>
      <c r="U665" t="s">
        <v>67</v>
      </c>
      <c r="V665" t="s">
        <v>58</v>
      </c>
      <c r="W665">
        <v>0</v>
      </c>
      <c r="X665">
        <v>0</v>
      </c>
      <c r="Y665">
        <v>13</v>
      </c>
      <c r="Z665">
        <v>13</v>
      </c>
      <c r="AA665">
        <v>20</v>
      </c>
      <c r="AB665">
        <v>3500</v>
      </c>
      <c r="AC665">
        <v>3047</v>
      </c>
      <c r="AD665">
        <v>1366</v>
      </c>
      <c r="AE665">
        <v>1681</v>
      </c>
      <c r="AF665">
        <v>0</v>
      </c>
      <c r="AG665">
        <v>0</v>
      </c>
      <c r="AH665">
        <v>0</v>
      </c>
      <c r="AI665">
        <v>0</v>
      </c>
      <c r="AJ665">
        <v>420</v>
      </c>
      <c r="AK665">
        <v>0</v>
      </c>
      <c r="AL665">
        <v>0</v>
      </c>
      <c r="AM665">
        <v>0</v>
      </c>
      <c r="AN665">
        <v>100</v>
      </c>
      <c r="AO665">
        <v>0</v>
      </c>
      <c r="AP665">
        <v>11</v>
      </c>
      <c r="AQ665">
        <v>0</v>
      </c>
      <c r="AR665">
        <v>0</v>
      </c>
      <c r="AS665" t="s">
        <v>59</v>
      </c>
      <c r="AT665">
        <v>1</v>
      </c>
      <c r="AU665" t="s">
        <v>60</v>
      </c>
      <c r="AV665" t="s">
        <v>61</v>
      </c>
      <c r="AW665">
        <v>1</v>
      </c>
      <c r="AX665">
        <v>4</v>
      </c>
      <c r="AY665">
        <v>0</v>
      </c>
      <c r="AZ665">
        <v>0</v>
      </c>
      <c r="BA665">
        <v>100</v>
      </c>
      <c r="BB665">
        <v>100</v>
      </c>
      <c r="BC665">
        <v>100</v>
      </c>
      <c r="BD665">
        <v>100</v>
      </c>
      <c r="BE665">
        <v>1</v>
      </c>
      <c r="BF665">
        <v>15000</v>
      </c>
      <c r="BG665">
        <v>1000</v>
      </c>
      <c r="BH665" s="7">
        <f>ROUND(Wapato_Inventory[[#This Row],[detatched_value]]*Lookups!$B$22*Lookups!$H$48,-2)</f>
        <v>0</v>
      </c>
      <c r="BI665" s="7">
        <f>ROUND(((Wapato_Inventory[[#This Row],[land_extract]]*Lookups!$B$3) +(Lookups!$B$2*0.5))*Lookups!$H$48,-2)</f>
        <v>53000</v>
      </c>
      <c r="BJ665" s="7">
        <f>IF(Wapato_Inventory[[#This Row],[bldg_style]]="",0,Lookups!$B$2*0.5)</f>
        <v>53765.27</v>
      </c>
      <c r="BK665" s="7">
        <f>_xlfn.IFNA(VLOOKUP(Wapato_Inventory[[#This Row],[quality]],Lookups!$H$2:$J$14,3,FALSE),0)</f>
        <v>50405</v>
      </c>
      <c r="BL665" s="7">
        <f>_xlfn.IFNA(VLOOKUP(Wapato_Inventory[[#This Row],[condition]],Lookups!$H$17:$J$24,3,FALSE),0)</f>
        <v>122095</v>
      </c>
      <c r="BM665" s="7">
        <f>Wapato_Inventory[[#This Row],[Age]]*Lookups!$B$16</f>
        <v>-4818.7840999999999</v>
      </c>
      <c r="BN665" s="7">
        <f>Wapato_Inventory[[#This Row],[Main Floor]]*Lookups!$B$17</f>
        <v>57099.809474000002</v>
      </c>
      <c r="BO665" s="7">
        <f>Wapato_Inventory[[#This Row],[Upper Floor]]*Lookups!$B$18</f>
        <v>83379.514659000008</v>
      </c>
      <c r="BP665" s="7">
        <f>Wapato_Inventory[[#This Row],[Fin BSMT]]*Lookups!$B$19</f>
        <v>0</v>
      </c>
      <c r="BQ665" s="7">
        <f>(Wapato_Inventory[[#This Row],[att_gar]]+Wapato_Inventory[[#This Row],[blt_gar]])*Lookups!$B$20</f>
        <v>15543.67584</v>
      </c>
      <c r="BR665" s="7">
        <f>Wapato_Inventory[[#This Row],[Patio]]*Lookups!$B$21</f>
        <v>0</v>
      </c>
      <c r="BS665" s="7">
        <f>SUM(Wapato_Inventory[[#This Row],[intercept]:[patio_value]])*Wapato_Inventory[[#This Row],[res_pct]]</f>
        <v>377469.48587299994</v>
      </c>
      <c r="BT665" s="7">
        <f>Wapato_Inventory[[#This Row],[land_value]]</f>
        <v>53000</v>
      </c>
      <c r="BU665" s="2">
        <f>_xlfn.IFNA(VLOOKUP(Wapato_Inventory[[#This Row],[quality]],Lookups!$A$28:$C$37,3,FALSE),1)</f>
        <v>0.97993206410140754</v>
      </c>
      <c r="BV665" s="2">
        <f>_xlfn.IFNA(VLOOKUP(Wapato_Inventory[[#This Row],[condition]],Lookups!$A$41:$C$48,3,FALSE),1)</f>
        <v>1.00041560026225</v>
      </c>
      <c r="BW665" s="2">
        <f>IF(Wapato_Inventory[[#This Row],[decade]]="",1,_xlfn.IFNA(VLOOKUP(Wapato_Inventory[[#This Row],[decade]],Lookups!$F$28:$H$45,3,FALSE),1))</f>
        <v>1.0658609603367226</v>
      </c>
      <c r="BX665" s="2">
        <f>_xlfn.IFNA(VLOOKUP(Wapato_Inventory[[#This Row],[living_area_range]],Lookups!$K$28:$M$37,3,FALSE),1)</f>
        <v>1.0155869662067822</v>
      </c>
      <c r="BY665" s="2">
        <f>AVERAGE(Wapato_Inventory[[#This Row],[qual_adj]:[range_adj]])</f>
        <v>1.0154488977267906</v>
      </c>
      <c r="BZ665" s="7">
        <f>(Wapato_Inventory[[#This Row],[sum_land]]-IF(Wapato_Inventory[[#This Row],[no_utilities]]=1,12000,0))/IF(Wapato_Inventory[[#This Row],[unbuildable]]=1,2,1)</f>
        <v>53000</v>
      </c>
      <c r="CA665" s="7">
        <f>Wapato_Inventory[[#This Row],[pre_res]]*Wapato_Inventory[[#This Row],[overall_adj]]</f>
        <v>383300.97335523611</v>
      </c>
      <c r="CB66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65" s="3">
        <f>IF(ROUND(Wapato_Inventory[[#This Row],[adj_res]]*Lookups!$H$48,-2)&lt;Wapato_Inventory[[#This Row],[min_res]],Wapato_Inventory[[#This Row],[min_res]],ROUND(Wapato_Inventory[[#This Row],[adj_res]]*Lookups!$H$48,-2))</f>
        <v>364100</v>
      </c>
      <c r="CD665" s="3">
        <f>ROUND(Wapato_Inventory[[#This Row],[det_value]]*Lookups!$H$48,-2)</f>
        <v>0</v>
      </c>
      <c r="CE665" s="3">
        <f>Wapato_Inventory[[#This Row],[final_res]]+Wapato_Inventory[[#This Row],[final_det]]</f>
        <v>364100</v>
      </c>
      <c r="CF665" s="3">
        <f>Wapato_Inventory[[#This Row],[crop_value]]+Wapato_Inventory[[#This Row],[final_land]]+Wapato_Inventory[[#This Row],[final_imp]]</f>
        <v>414500</v>
      </c>
      <c r="CH665" t="str">
        <f t="shared" si="10"/>
        <v>update valuation set market_land =50400, market_bldg=364100, market_total =414500, market_mdno =405, market_date ='9/10/2023' where link_id = (select link_id from parcel where parcel_year = '2024' and parcel_id = '19111513468');</v>
      </c>
    </row>
    <row r="666" spans="1:86" x14ac:dyDescent="0.25">
      <c r="A666">
        <v>19111513469</v>
      </c>
      <c r="B666">
        <v>0.15</v>
      </c>
      <c r="C666">
        <v>6619</v>
      </c>
      <c r="D666" t="s">
        <v>144</v>
      </c>
      <c r="E666" t="s">
        <v>54</v>
      </c>
      <c r="F666" t="s">
        <v>54</v>
      </c>
      <c r="G666">
        <v>3</v>
      </c>
      <c r="H666" t="s">
        <v>55</v>
      </c>
      <c r="I666">
        <v>197400</v>
      </c>
      <c r="J666">
        <v>32300</v>
      </c>
      <c r="K666">
        <v>0.15</v>
      </c>
      <c r="L666">
        <f>IF(Wapato_Inventory[[#This Row],[parcel_acres]]-Wapato_Inventory[[#This Row],[non_valued_acres]] =0,0,LN(Wapato_Inventory[[#This Row],[parcel_acres]]-Wapato_Inventory[[#This Row],[non_valued_acres]]))</f>
        <v>-1.8971199848858813</v>
      </c>
      <c r="M666">
        <v>0</v>
      </c>
      <c r="N666">
        <v>0</v>
      </c>
      <c r="O666">
        <v>0</v>
      </c>
      <c r="P666">
        <v>27904.037</v>
      </c>
      <c r="Q666">
        <v>74398</v>
      </c>
      <c r="R666" s="3">
        <f>(Wapato_Inventory[[#This Row],[ln_acres]]*Wapato_Inventory[[#This Row],[coeff]])+Wapato_Inventory[[#This Row],[const]]</f>
        <v>21460.693748304926</v>
      </c>
      <c r="S666" t="s">
        <v>56</v>
      </c>
      <c r="T666">
        <v>2</v>
      </c>
      <c r="U666" t="s">
        <v>75</v>
      </c>
      <c r="V666" t="s">
        <v>68</v>
      </c>
      <c r="W666">
        <v>0</v>
      </c>
      <c r="X666">
        <v>0</v>
      </c>
      <c r="Y666">
        <v>57</v>
      </c>
      <c r="Z666">
        <v>103</v>
      </c>
      <c r="AA666">
        <v>110</v>
      </c>
      <c r="AB666">
        <v>2500</v>
      </c>
      <c r="AC666">
        <v>2186</v>
      </c>
      <c r="AD666">
        <v>1496</v>
      </c>
      <c r="AE666">
        <v>690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368</v>
      </c>
      <c r="AL666">
        <v>0</v>
      </c>
      <c r="AM666">
        <v>0</v>
      </c>
      <c r="AN666">
        <v>0</v>
      </c>
      <c r="AO666">
        <v>0</v>
      </c>
      <c r="AP666">
        <v>8</v>
      </c>
      <c r="AQ666">
        <v>0</v>
      </c>
      <c r="AR666">
        <v>0</v>
      </c>
      <c r="AS666" t="s">
        <v>59</v>
      </c>
      <c r="AT666">
        <v>1</v>
      </c>
      <c r="AU666" t="s">
        <v>64</v>
      </c>
      <c r="AV666" t="s">
        <v>65</v>
      </c>
      <c r="AW666">
        <v>0</v>
      </c>
      <c r="AX666">
        <v>3</v>
      </c>
      <c r="AY666">
        <v>0</v>
      </c>
      <c r="AZ666">
        <v>8800</v>
      </c>
      <c r="BA666">
        <v>100</v>
      </c>
      <c r="BB666">
        <v>100</v>
      </c>
      <c r="BC666">
        <v>100</v>
      </c>
      <c r="BD666">
        <v>100</v>
      </c>
      <c r="BE666">
        <v>1</v>
      </c>
      <c r="BF666">
        <v>15000</v>
      </c>
      <c r="BG666">
        <v>1000</v>
      </c>
      <c r="BH666" s="7">
        <f>ROUND(Wapato_Inventory[[#This Row],[detatched_value]]*Lookups!$B$22*Lookups!$H$48,-2)</f>
        <v>7900</v>
      </c>
      <c r="BI666" s="7">
        <f>ROUND(((Wapato_Inventory[[#This Row],[land_extract]]*Lookups!$B$3) +(Lookups!$B$2*0.5))*Lookups!$H$48,-2)</f>
        <v>53100</v>
      </c>
      <c r="BJ666" s="7">
        <f>IF(Wapato_Inventory[[#This Row],[bldg_style]]="",0,Lookups!$B$2*0.5)</f>
        <v>53765.27</v>
      </c>
      <c r="BK666" s="7">
        <f>_xlfn.IFNA(VLOOKUP(Wapato_Inventory[[#This Row],[quality]],Lookups!$H$2:$J$14,3,FALSE),0)</f>
        <v>48043</v>
      </c>
      <c r="BL666" s="7">
        <f>_xlfn.IFNA(VLOOKUP(Wapato_Inventory[[#This Row],[condition]],Lookups!$H$17:$J$24,3,FALSE),0)</f>
        <v>52231</v>
      </c>
      <c r="BM666" s="7">
        <f>Wapato_Inventory[[#This Row],[Age]]*Lookups!$B$16</f>
        <v>-38179.597099999999</v>
      </c>
      <c r="BN666" s="7">
        <f>Wapato_Inventory[[#This Row],[Main Floor]]*Lookups!$B$17</f>
        <v>62533.905544000001</v>
      </c>
      <c r="BO666" s="7">
        <f>Wapato_Inventory[[#This Row],[Upper Floor]]*Lookups!$B$18</f>
        <v>34224.785910000006</v>
      </c>
      <c r="BP666" s="7">
        <f>Wapato_Inventory[[#This Row],[Fin BSMT]]*Lookups!$B$19</f>
        <v>0</v>
      </c>
      <c r="BQ666" s="7">
        <f>(Wapato_Inventory[[#This Row],[att_gar]]+Wapato_Inventory[[#This Row],[blt_gar]])*Lookups!$B$20</f>
        <v>0</v>
      </c>
      <c r="BR666" s="7">
        <f>Wapato_Inventory[[#This Row],[Patio]]*Lookups!$B$21</f>
        <v>0</v>
      </c>
      <c r="BS666" s="7">
        <f>SUM(Wapato_Inventory[[#This Row],[intercept]:[patio_value]])*Wapato_Inventory[[#This Row],[res_pct]]</f>
        <v>212618.36435399999</v>
      </c>
      <c r="BT666" s="7">
        <f>Wapato_Inventory[[#This Row],[land_value]]</f>
        <v>53100</v>
      </c>
      <c r="BU666" s="2">
        <f>_xlfn.IFNA(VLOOKUP(Wapato_Inventory[[#This Row],[quality]],Lookups!$A$28:$C$37,3,FALSE),1)</f>
        <v>0.98196844879778955</v>
      </c>
      <c r="BV666" s="2">
        <f>_xlfn.IFNA(VLOOKUP(Wapato_Inventory[[#This Row],[condition]],Lookups!$A$41:$C$48,3,FALSE),1)</f>
        <v>0.9832333997567807</v>
      </c>
      <c r="BW666" s="2">
        <f>IF(Wapato_Inventory[[#This Row],[decade]]="",1,_xlfn.IFNA(VLOOKUP(Wapato_Inventory[[#This Row],[decade]],Lookups!$F$28:$H$45,3,FALSE),1))</f>
        <v>0.93664589651353292</v>
      </c>
      <c r="BX666" s="2">
        <f>_xlfn.IFNA(VLOOKUP(Wapato_Inventory[[#This Row],[living_area_range]],Lookups!$K$28:$M$37,3,FALSE),1)</f>
        <v>0.90813907160181651</v>
      </c>
      <c r="BY666" s="2">
        <f>AVERAGE(Wapato_Inventory[[#This Row],[qual_adj]:[range_adj]])</f>
        <v>0.95249670416747989</v>
      </c>
      <c r="BZ666" s="7">
        <f>(Wapato_Inventory[[#This Row],[sum_land]]-IF(Wapato_Inventory[[#This Row],[no_utilities]]=1,12000,0))/IF(Wapato_Inventory[[#This Row],[unbuildable]]=1,2,1)</f>
        <v>53100</v>
      </c>
      <c r="CA666" s="7">
        <f>Wapato_Inventory[[#This Row],[pre_res]]*Wapato_Inventory[[#This Row],[overall_adj]]</f>
        <v>202518.29129266538</v>
      </c>
      <c r="CB66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66" s="3">
        <f>IF(ROUND(Wapato_Inventory[[#This Row],[adj_res]]*Lookups!$H$48,-2)&lt;Wapato_Inventory[[#This Row],[min_res]],Wapato_Inventory[[#This Row],[min_res]],ROUND(Wapato_Inventory[[#This Row],[adj_res]]*Lookups!$H$48,-2))</f>
        <v>192400</v>
      </c>
      <c r="CD666" s="3">
        <f>ROUND(Wapato_Inventory[[#This Row],[det_value]]*Lookups!$H$48,-2)</f>
        <v>7500</v>
      </c>
      <c r="CE666" s="3">
        <f>Wapato_Inventory[[#This Row],[final_res]]+Wapato_Inventory[[#This Row],[final_det]]</f>
        <v>199900</v>
      </c>
      <c r="CF666" s="3">
        <f>Wapato_Inventory[[#This Row],[crop_value]]+Wapato_Inventory[[#This Row],[final_land]]+Wapato_Inventory[[#This Row],[final_imp]]</f>
        <v>250300</v>
      </c>
      <c r="CH666" t="str">
        <f t="shared" si="10"/>
        <v>update valuation set market_land =50400, market_bldg=199900, market_total =250300, market_mdno =405, market_date ='9/10/2023' where link_id = (select link_id from parcel where parcel_year = '2024' and parcel_id = '19111513469');</v>
      </c>
    </row>
    <row r="667" spans="1:86" x14ac:dyDescent="0.25">
      <c r="A667">
        <v>19111513470</v>
      </c>
      <c r="B667">
        <v>0.13</v>
      </c>
      <c r="C667">
        <v>5783</v>
      </c>
      <c r="D667" t="s">
        <v>144</v>
      </c>
      <c r="E667" t="s">
        <v>54</v>
      </c>
      <c r="F667" t="s">
        <v>54</v>
      </c>
      <c r="G667">
        <v>3</v>
      </c>
      <c r="H667" t="s">
        <v>55</v>
      </c>
      <c r="I667">
        <v>134500</v>
      </c>
      <c r="J667">
        <v>31400</v>
      </c>
      <c r="K667">
        <v>0.13</v>
      </c>
      <c r="L667">
        <f>IF(Wapato_Inventory[[#This Row],[parcel_acres]]-Wapato_Inventory[[#This Row],[non_valued_acres]] =0,0,LN(Wapato_Inventory[[#This Row],[parcel_acres]]-Wapato_Inventory[[#This Row],[non_valued_acres]]))</f>
        <v>-2.0402208285265546</v>
      </c>
      <c r="M667">
        <v>0</v>
      </c>
      <c r="N667">
        <v>0</v>
      </c>
      <c r="O667">
        <v>0</v>
      </c>
      <c r="P667">
        <v>27904.037</v>
      </c>
      <c r="Q667">
        <v>74398</v>
      </c>
      <c r="R667" s="3">
        <f>(Wapato_Inventory[[#This Row],[ln_acres]]*Wapato_Inventory[[#This Row],[coeff]])+Wapato_Inventory[[#This Row],[const]]</f>
        <v>17467.602512624362</v>
      </c>
      <c r="S667" t="s">
        <v>66</v>
      </c>
      <c r="T667">
        <v>1</v>
      </c>
      <c r="U667" t="s">
        <v>67</v>
      </c>
      <c r="V667" t="s">
        <v>73</v>
      </c>
      <c r="W667">
        <v>0</v>
      </c>
      <c r="X667">
        <v>0</v>
      </c>
      <c r="Y667">
        <v>50</v>
      </c>
      <c r="Z667">
        <v>73</v>
      </c>
      <c r="AA667">
        <v>80</v>
      </c>
      <c r="AB667">
        <v>1500</v>
      </c>
      <c r="AC667">
        <v>1233</v>
      </c>
      <c r="AD667">
        <v>1233</v>
      </c>
      <c r="AE667">
        <v>0</v>
      </c>
      <c r="AF667">
        <v>0</v>
      </c>
      <c r="AG667">
        <v>0</v>
      </c>
      <c r="AH667">
        <v>0</v>
      </c>
      <c r="AI667">
        <v>240</v>
      </c>
      <c r="AJ667">
        <v>0</v>
      </c>
      <c r="AK667">
        <v>0</v>
      </c>
      <c r="AL667">
        <v>0</v>
      </c>
      <c r="AM667">
        <v>330</v>
      </c>
      <c r="AN667">
        <v>0</v>
      </c>
      <c r="AO667">
        <v>330</v>
      </c>
      <c r="AP667">
        <v>5</v>
      </c>
      <c r="AQ667">
        <v>0</v>
      </c>
      <c r="AR667">
        <v>1</v>
      </c>
      <c r="AS667" t="s">
        <v>59</v>
      </c>
      <c r="AT667">
        <v>1</v>
      </c>
      <c r="AU667" t="s">
        <v>64</v>
      </c>
      <c r="AV667" t="s">
        <v>77</v>
      </c>
      <c r="AW667">
        <v>0</v>
      </c>
      <c r="AX667">
        <v>3</v>
      </c>
      <c r="AY667">
        <v>0</v>
      </c>
      <c r="AZ667">
        <v>0</v>
      </c>
      <c r="BA667">
        <v>100</v>
      </c>
      <c r="BB667">
        <v>100</v>
      </c>
      <c r="BC667">
        <v>100</v>
      </c>
      <c r="BD667">
        <v>100</v>
      </c>
      <c r="BE667">
        <v>1</v>
      </c>
      <c r="BF667">
        <v>15000</v>
      </c>
      <c r="BG667">
        <v>1000</v>
      </c>
      <c r="BH667" s="7">
        <f>ROUND(Wapato_Inventory[[#This Row],[detatched_value]]*Lookups!$B$22*Lookups!$H$48,-2)</f>
        <v>0</v>
      </c>
      <c r="BI667" s="7">
        <f>ROUND(((Wapato_Inventory[[#This Row],[land_extract]]*Lookups!$B$3) +(Lookups!$B$2*0.5))*Lookups!$H$48,-2)</f>
        <v>52800</v>
      </c>
      <c r="BJ667" s="7">
        <f>IF(Wapato_Inventory[[#This Row],[bldg_style]]="",0,Lookups!$B$2*0.5)</f>
        <v>53765.27</v>
      </c>
      <c r="BK667" s="7">
        <f>_xlfn.IFNA(VLOOKUP(Wapato_Inventory[[#This Row],[quality]],Lookups!$H$2:$J$14,3,FALSE),0)</f>
        <v>50405</v>
      </c>
      <c r="BL667" s="7">
        <f>_xlfn.IFNA(VLOOKUP(Wapato_Inventory[[#This Row],[condition]],Lookups!$H$17:$J$24,3,FALSE),0)</f>
        <v>16276</v>
      </c>
      <c r="BM667" s="7">
        <f>Wapato_Inventory[[#This Row],[Age]]*Lookups!$B$16</f>
        <v>-27059.326100000002</v>
      </c>
      <c r="BN667" s="7">
        <f>Wapato_Inventory[[#This Row],[Main Floor]]*Lookups!$B$17</f>
        <v>51540.311186999999</v>
      </c>
      <c r="BO667" s="7">
        <f>Wapato_Inventory[[#This Row],[Upper Floor]]*Lookups!$B$18</f>
        <v>0</v>
      </c>
      <c r="BP667" s="7">
        <f>Wapato_Inventory[[#This Row],[Fin BSMT]]*Lookups!$B$19</f>
        <v>0</v>
      </c>
      <c r="BQ667" s="7">
        <f>(Wapato_Inventory[[#This Row],[att_gar]]+Wapato_Inventory[[#This Row],[blt_gar]])*Lookups!$B$20</f>
        <v>8882.100480000001</v>
      </c>
      <c r="BR667" s="7">
        <f>Wapato_Inventory[[#This Row],[Patio]]*Lookups!$B$21</f>
        <v>14296.913070000001</v>
      </c>
      <c r="BS667" s="7">
        <f>SUM(Wapato_Inventory[[#This Row],[intercept]:[patio_value]])*Wapato_Inventory[[#This Row],[res_pct]]</f>
        <v>168106.26863699997</v>
      </c>
      <c r="BT667" s="7">
        <f>Wapato_Inventory[[#This Row],[land_value]]</f>
        <v>52800</v>
      </c>
      <c r="BU667" s="2">
        <f>_xlfn.IFNA(VLOOKUP(Wapato_Inventory[[#This Row],[quality]],Lookups!$A$28:$C$37,3,FALSE),1)</f>
        <v>0.97993206410140754</v>
      </c>
      <c r="BV667" s="2">
        <f>_xlfn.IFNA(VLOOKUP(Wapato_Inventory[[#This Row],[condition]],Lookups!$A$41:$C$48,3,FALSE),1)</f>
        <v>0.93399385491337139</v>
      </c>
      <c r="BW667" s="2">
        <f>IF(Wapato_Inventory[[#This Row],[decade]]="",1,_xlfn.IFNA(VLOOKUP(Wapato_Inventory[[#This Row],[decade]],Lookups!$F$28:$H$45,3,FALSE),1))</f>
        <v>0.8438929209510081</v>
      </c>
      <c r="BX667" s="2">
        <f>_xlfn.IFNA(VLOOKUP(Wapato_Inventory[[#This Row],[living_area_range]],Lookups!$K$28:$M$37,3,FALSE),1)</f>
        <v>1.0061411172456287</v>
      </c>
      <c r="BY667" s="2">
        <f>AVERAGE(Wapato_Inventory[[#This Row],[qual_adj]:[range_adj]])</f>
        <v>0.94098998930285394</v>
      </c>
      <c r="BZ667" s="7">
        <f>(Wapato_Inventory[[#This Row],[sum_land]]-IF(Wapato_Inventory[[#This Row],[no_utilities]]=1,12000,0))/IF(Wapato_Inventory[[#This Row],[unbuildable]]=1,2,1)</f>
        <v>52800</v>
      </c>
      <c r="CA667" s="7">
        <f>Wapato_Inventory[[#This Row],[pre_res]]*Wapato_Inventory[[#This Row],[overall_adj]]</f>
        <v>158186.3159264733</v>
      </c>
      <c r="CB66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67" s="3">
        <f>IF(ROUND(Wapato_Inventory[[#This Row],[adj_res]]*Lookups!$H$48,-2)&lt;Wapato_Inventory[[#This Row],[min_res]],Wapato_Inventory[[#This Row],[min_res]],ROUND(Wapato_Inventory[[#This Row],[adj_res]]*Lookups!$H$48,-2))</f>
        <v>150300</v>
      </c>
      <c r="CD667" s="3">
        <f>ROUND(Wapato_Inventory[[#This Row],[det_value]]*Lookups!$H$48,-2)</f>
        <v>0</v>
      </c>
      <c r="CE667" s="3">
        <f>Wapato_Inventory[[#This Row],[final_res]]+Wapato_Inventory[[#This Row],[final_det]]</f>
        <v>150300</v>
      </c>
      <c r="CF667" s="3">
        <f>Wapato_Inventory[[#This Row],[crop_value]]+Wapato_Inventory[[#This Row],[final_land]]+Wapato_Inventory[[#This Row],[final_imp]]</f>
        <v>200500</v>
      </c>
      <c r="CH667" t="str">
        <f t="shared" si="10"/>
        <v>update valuation set market_land =50200, market_bldg=150300, market_total =200500, market_mdno =405, market_date ='9/10/2023' where link_id = (select link_id from parcel where parcel_year = '2024' and parcel_id = '19111513470');</v>
      </c>
    </row>
    <row r="668" spans="1:86" x14ac:dyDescent="0.25">
      <c r="A668">
        <v>19111513471</v>
      </c>
      <c r="B668">
        <v>0.15</v>
      </c>
      <c r="C668">
        <v>6624</v>
      </c>
      <c r="D668" t="s">
        <v>144</v>
      </c>
      <c r="E668" t="s">
        <v>54</v>
      </c>
      <c r="F668" t="s">
        <v>54</v>
      </c>
      <c r="G668">
        <v>3</v>
      </c>
      <c r="H668" t="s">
        <v>55</v>
      </c>
      <c r="I668">
        <v>110300</v>
      </c>
      <c r="J668">
        <v>32300</v>
      </c>
      <c r="K668">
        <v>0.15</v>
      </c>
      <c r="L668">
        <f>IF(Wapato_Inventory[[#This Row],[parcel_acres]]-Wapato_Inventory[[#This Row],[non_valued_acres]] =0,0,LN(Wapato_Inventory[[#This Row],[parcel_acres]]-Wapato_Inventory[[#This Row],[non_valued_acres]]))</f>
        <v>-1.8971199848858813</v>
      </c>
      <c r="M668">
        <v>0</v>
      </c>
      <c r="N668">
        <v>0</v>
      </c>
      <c r="O668">
        <v>0</v>
      </c>
      <c r="P668">
        <v>27904.037</v>
      </c>
      <c r="Q668">
        <v>74398</v>
      </c>
      <c r="R668" s="3">
        <f>(Wapato_Inventory[[#This Row],[ln_acres]]*Wapato_Inventory[[#This Row],[coeff]])+Wapato_Inventory[[#This Row],[const]]</f>
        <v>21460.693748304926</v>
      </c>
      <c r="S668" t="s">
        <v>66</v>
      </c>
      <c r="T668">
        <v>1</v>
      </c>
      <c r="U668" t="s">
        <v>71</v>
      </c>
      <c r="V668" t="s">
        <v>68</v>
      </c>
      <c r="W668">
        <v>0</v>
      </c>
      <c r="X668">
        <v>0</v>
      </c>
      <c r="Y668">
        <v>57</v>
      </c>
      <c r="Z668">
        <v>103</v>
      </c>
      <c r="AA668">
        <v>110</v>
      </c>
      <c r="AB668">
        <v>1000</v>
      </c>
      <c r="AC668">
        <v>864</v>
      </c>
      <c r="AD668">
        <v>864</v>
      </c>
      <c r="AE668">
        <v>0</v>
      </c>
      <c r="AF668">
        <v>0</v>
      </c>
      <c r="AG668">
        <v>0</v>
      </c>
      <c r="AH668">
        <v>864</v>
      </c>
      <c r="AI668">
        <v>0</v>
      </c>
      <c r="AJ668">
        <v>0</v>
      </c>
      <c r="AK668">
        <v>504</v>
      </c>
      <c r="AL668">
        <v>0</v>
      </c>
      <c r="AM668">
        <v>0</v>
      </c>
      <c r="AN668">
        <v>112</v>
      </c>
      <c r="AO668">
        <v>0</v>
      </c>
      <c r="AP668">
        <v>5</v>
      </c>
      <c r="AQ668">
        <v>1</v>
      </c>
      <c r="AR668">
        <v>0</v>
      </c>
      <c r="AS668" t="s">
        <v>59</v>
      </c>
      <c r="AT668">
        <v>1</v>
      </c>
      <c r="AU668" t="s">
        <v>72</v>
      </c>
      <c r="AV668" t="s">
        <v>61</v>
      </c>
      <c r="AW668">
        <v>0</v>
      </c>
      <c r="AX668">
        <v>2</v>
      </c>
      <c r="AY668">
        <v>0</v>
      </c>
      <c r="AZ668">
        <v>4900</v>
      </c>
      <c r="BA668">
        <v>100</v>
      </c>
      <c r="BB668">
        <v>100</v>
      </c>
      <c r="BC668">
        <v>100</v>
      </c>
      <c r="BD668">
        <v>100</v>
      </c>
      <c r="BE668">
        <v>1</v>
      </c>
      <c r="BF668">
        <v>15000</v>
      </c>
      <c r="BG668">
        <v>1000</v>
      </c>
      <c r="BH668" s="7">
        <f>ROUND(Wapato_Inventory[[#This Row],[detatched_value]]*Lookups!$B$22*Lookups!$H$48,-2)</f>
        <v>4400</v>
      </c>
      <c r="BI668" s="7">
        <f>ROUND(((Wapato_Inventory[[#This Row],[land_extract]]*Lookups!$B$3) +(Lookups!$B$2*0.5))*Lookups!$H$48,-2)</f>
        <v>53100</v>
      </c>
      <c r="BJ668" s="7">
        <f>IF(Wapato_Inventory[[#This Row],[bldg_style]]="",0,Lookups!$B$2*0.5)</f>
        <v>53765.27</v>
      </c>
      <c r="BK668" s="7">
        <f>_xlfn.IFNA(VLOOKUP(Wapato_Inventory[[#This Row],[quality]],Lookups!$H$2:$J$14,3,FALSE),0)</f>
        <v>28034</v>
      </c>
      <c r="BL668" s="7">
        <f>_xlfn.IFNA(VLOOKUP(Wapato_Inventory[[#This Row],[condition]],Lookups!$H$17:$J$24,3,FALSE),0)</f>
        <v>52231</v>
      </c>
      <c r="BM668" s="7">
        <f>Wapato_Inventory[[#This Row],[Age]]*Lookups!$B$16</f>
        <v>-38179.597099999999</v>
      </c>
      <c r="BN668" s="7">
        <f>Wapato_Inventory[[#This Row],[Main Floor]]*Lookups!$B$17</f>
        <v>36115.838495999997</v>
      </c>
      <c r="BO668" s="7">
        <f>Wapato_Inventory[[#This Row],[Upper Floor]]*Lookups!$B$18</f>
        <v>0</v>
      </c>
      <c r="BP668" s="7">
        <f>Wapato_Inventory[[#This Row],[Fin BSMT]]*Lookups!$B$19</f>
        <v>0</v>
      </c>
      <c r="BQ668" s="7">
        <f>(Wapato_Inventory[[#This Row],[att_gar]]+Wapato_Inventory[[#This Row],[blt_gar]])*Lookups!$B$20</f>
        <v>0</v>
      </c>
      <c r="BR668" s="7">
        <f>Wapato_Inventory[[#This Row],[Patio]]*Lookups!$B$21</f>
        <v>0</v>
      </c>
      <c r="BS668" s="7">
        <f>SUM(Wapato_Inventory[[#This Row],[intercept]:[patio_value]])*Wapato_Inventory[[#This Row],[res_pct]]</f>
        <v>131966.51139599999</v>
      </c>
      <c r="BT668" s="7">
        <f>Wapato_Inventory[[#This Row],[land_value]]</f>
        <v>53100</v>
      </c>
      <c r="BU668" s="2">
        <f>_xlfn.IFNA(VLOOKUP(Wapato_Inventory[[#This Row],[quality]],Lookups!$A$28:$C$37,3,FALSE),1)</f>
        <v>0.96265813922927435</v>
      </c>
      <c r="BV668" s="2">
        <f>_xlfn.IFNA(VLOOKUP(Wapato_Inventory[[#This Row],[condition]],Lookups!$A$41:$C$48,3,FALSE),1)</f>
        <v>0.9832333997567807</v>
      </c>
      <c r="BW668" s="2">
        <f>IF(Wapato_Inventory[[#This Row],[decade]]="",1,_xlfn.IFNA(VLOOKUP(Wapato_Inventory[[#This Row],[decade]],Lookups!$F$28:$H$45,3,FALSE),1))</f>
        <v>0.93664589651353292</v>
      </c>
      <c r="BX668" s="2">
        <f>_xlfn.IFNA(VLOOKUP(Wapato_Inventory[[#This Row],[living_area_range]],Lookups!$K$28:$M$37,3,FALSE),1)</f>
        <v>0.99022994770196116</v>
      </c>
      <c r="BY668" s="2">
        <f>AVERAGE(Wapato_Inventory[[#This Row],[qual_adj]:[range_adj]])</f>
        <v>0.9681918458003872</v>
      </c>
      <c r="BZ668" s="7">
        <f>(Wapato_Inventory[[#This Row],[sum_land]]-IF(Wapato_Inventory[[#This Row],[no_utilities]]=1,12000,0))/IF(Wapato_Inventory[[#This Row],[unbuildable]]=1,2,1)</f>
        <v>53100</v>
      </c>
      <c r="CA668" s="7">
        <f>Wapato_Inventory[[#This Row],[pre_res]]*Wapato_Inventory[[#This Row],[overall_adj]]</f>
        <v>127768.90025233106</v>
      </c>
      <c r="CB66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68" s="3">
        <f>IF(ROUND(Wapato_Inventory[[#This Row],[adj_res]]*Lookups!$H$48,-2)&lt;Wapato_Inventory[[#This Row],[min_res]],Wapato_Inventory[[#This Row],[min_res]],ROUND(Wapato_Inventory[[#This Row],[adj_res]]*Lookups!$H$48,-2))</f>
        <v>121400</v>
      </c>
      <c r="CD668" s="3">
        <f>ROUND(Wapato_Inventory[[#This Row],[det_value]]*Lookups!$H$48,-2)</f>
        <v>4200</v>
      </c>
      <c r="CE668" s="3">
        <f>Wapato_Inventory[[#This Row],[final_res]]+Wapato_Inventory[[#This Row],[final_det]]</f>
        <v>125600</v>
      </c>
      <c r="CF668" s="3">
        <f>Wapato_Inventory[[#This Row],[crop_value]]+Wapato_Inventory[[#This Row],[final_land]]+Wapato_Inventory[[#This Row],[final_imp]]</f>
        <v>176000</v>
      </c>
      <c r="CH668" t="str">
        <f t="shared" si="10"/>
        <v>update valuation set market_land =50400, market_bldg=125600, market_total =176000, market_mdno =405, market_date ='9/10/2023' where link_id = (select link_id from parcel where parcel_year = '2024' and parcel_id = '19111513471');</v>
      </c>
    </row>
    <row r="669" spans="1:86" x14ac:dyDescent="0.25">
      <c r="A669">
        <v>19111513474</v>
      </c>
      <c r="B669">
        <v>0.08</v>
      </c>
      <c r="C669">
        <v>3589</v>
      </c>
      <c r="D669" t="s">
        <v>144</v>
      </c>
      <c r="E669" t="s">
        <v>54</v>
      </c>
      <c r="F669" t="s">
        <v>54</v>
      </c>
      <c r="G669">
        <v>3</v>
      </c>
      <c r="H669" t="s">
        <v>55</v>
      </c>
      <c r="I669">
        <v>173300</v>
      </c>
      <c r="J669">
        <v>27900</v>
      </c>
      <c r="K669">
        <v>0.08</v>
      </c>
      <c r="L669">
        <f>IF(Wapato_Inventory[[#This Row],[parcel_acres]]-Wapato_Inventory[[#This Row],[non_valued_acres]] =0,0,LN(Wapato_Inventory[[#This Row],[parcel_acres]]-Wapato_Inventory[[#This Row],[non_valued_acres]]))</f>
        <v>-2.5257286443082556</v>
      </c>
      <c r="M669">
        <v>0</v>
      </c>
      <c r="N669">
        <v>0</v>
      </c>
      <c r="O669">
        <v>0</v>
      </c>
      <c r="P669">
        <v>27904.037</v>
      </c>
      <c r="Q669">
        <v>74398</v>
      </c>
      <c r="R669" s="3">
        <f>(Wapato_Inventory[[#This Row],[ln_acres]]*Wapato_Inventory[[#This Row],[coeff]])+Wapato_Inventory[[#This Row],[const]]</f>
        <v>3919.9744572625932</v>
      </c>
      <c r="S669" t="s">
        <v>145</v>
      </c>
      <c r="T669">
        <v>2</v>
      </c>
      <c r="U669" t="s">
        <v>75</v>
      </c>
      <c r="V669" t="s">
        <v>69</v>
      </c>
      <c r="W669">
        <v>0</v>
      </c>
      <c r="X669">
        <v>0</v>
      </c>
      <c r="Y669">
        <v>57</v>
      </c>
      <c r="Z669">
        <v>103</v>
      </c>
      <c r="AA669">
        <v>110</v>
      </c>
      <c r="AB669">
        <v>1500</v>
      </c>
      <c r="AC669">
        <v>1352</v>
      </c>
      <c r="AD669">
        <v>952</v>
      </c>
      <c r="AE669">
        <v>400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60</v>
      </c>
      <c r="AM669">
        <v>0</v>
      </c>
      <c r="AN669">
        <v>60</v>
      </c>
      <c r="AO669">
        <v>0</v>
      </c>
      <c r="AP669">
        <v>5</v>
      </c>
      <c r="AQ669">
        <v>0</v>
      </c>
      <c r="AR669">
        <v>0</v>
      </c>
      <c r="AS669" t="s">
        <v>59</v>
      </c>
      <c r="AT669">
        <v>1</v>
      </c>
      <c r="AU669" t="s">
        <v>72</v>
      </c>
      <c r="AV669" t="s">
        <v>65</v>
      </c>
      <c r="AW669">
        <v>0</v>
      </c>
      <c r="AX669">
        <v>4</v>
      </c>
      <c r="AY669">
        <v>0</v>
      </c>
      <c r="AZ669">
        <v>0</v>
      </c>
      <c r="BA669">
        <v>100</v>
      </c>
      <c r="BB669">
        <v>100</v>
      </c>
      <c r="BC669">
        <v>100</v>
      </c>
      <c r="BD669">
        <v>100</v>
      </c>
      <c r="BE669">
        <v>1</v>
      </c>
      <c r="BF669">
        <v>15000</v>
      </c>
      <c r="BG669">
        <v>1000</v>
      </c>
      <c r="BH669" s="7">
        <f>ROUND(Wapato_Inventory[[#This Row],[detatched_value]]*Lookups!$B$22*Lookups!$H$48,-2)</f>
        <v>0</v>
      </c>
      <c r="BI669" s="7">
        <f>ROUND(((Wapato_Inventory[[#This Row],[land_extract]]*Lookups!$B$3) +(Lookups!$B$2*0.5))*Lookups!$H$48,-2)</f>
        <v>51500</v>
      </c>
      <c r="BJ669" s="7">
        <f>IF(Wapato_Inventory[[#This Row],[bldg_style]]="",0,Lookups!$B$2*0.5)</f>
        <v>53765.27</v>
      </c>
      <c r="BK669" s="7">
        <f>_xlfn.IFNA(VLOOKUP(Wapato_Inventory[[#This Row],[quality]],Lookups!$H$2:$J$14,3,FALSE),0)</f>
        <v>48043</v>
      </c>
      <c r="BL669" s="7">
        <f>_xlfn.IFNA(VLOOKUP(Wapato_Inventory[[#This Row],[condition]],Lookups!$H$17:$J$24,3,FALSE),0)</f>
        <v>74543</v>
      </c>
      <c r="BM669" s="7">
        <f>Wapato_Inventory[[#This Row],[Age]]*Lookups!$B$16</f>
        <v>-38179.597099999999</v>
      </c>
      <c r="BN669" s="7">
        <f>Wapato_Inventory[[#This Row],[Main Floor]]*Lookups!$B$17</f>
        <v>39794.303527999997</v>
      </c>
      <c r="BO669" s="7">
        <f>Wapato_Inventory[[#This Row],[Upper Floor]]*Lookups!$B$18</f>
        <v>19840.455600000001</v>
      </c>
      <c r="BP669" s="7">
        <f>Wapato_Inventory[[#This Row],[Fin BSMT]]*Lookups!$B$19</f>
        <v>0</v>
      </c>
      <c r="BQ669" s="7">
        <f>(Wapato_Inventory[[#This Row],[att_gar]]+Wapato_Inventory[[#This Row],[blt_gar]])*Lookups!$B$20</f>
        <v>0</v>
      </c>
      <c r="BR669" s="7">
        <f>Wapato_Inventory[[#This Row],[Patio]]*Lookups!$B$21</f>
        <v>0</v>
      </c>
      <c r="BS669" s="7">
        <f>SUM(Wapato_Inventory[[#This Row],[intercept]:[patio_value]])*Wapato_Inventory[[#This Row],[res_pct]]</f>
        <v>197806.43202800001</v>
      </c>
      <c r="BT669" s="7">
        <f>Wapato_Inventory[[#This Row],[land_value]]</f>
        <v>51500</v>
      </c>
      <c r="BU669" s="2">
        <f>_xlfn.IFNA(VLOOKUP(Wapato_Inventory[[#This Row],[quality]],Lookups!$A$28:$C$37,3,FALSE),1)</f>
        <v>0.98196844879778955</v>
      </c>
      <c r="BV669" s="2">
        <f>_xlfn.IFNA(VLOOKUP(Wapato_Inventory[[#This Row],[condition]],Lookups!$A$41:$C$48,3,FALSE),1)</f>
        <v>0.98442438223270734</v>
      </c>
      <c r="BW669" s="2">
        <f>IF(Wapato_Inventory[[#This Row],[decade]]="",1,_xlfn.IFNA(VLOOKUP(Wapato_Inventory[[#This Row],[decade]],Lookups!$F$28:$H$45,3,FALSE),1))</f>
        <v>0.93664589651353292</v>
      </c>
      <c r="BX669" s="2">
        <f>_xlfn.IFNA(VLOOKUP(Wapato_Inventory[[#This Row],[living_area_range]],Lookups!$K$28:$M$37,3,FALSE),1)</f>
        <v>1.0061411172456287</v>
      </c>
      <c r="BY669" s="2">
        <f>AVERAGE(Wapato_Inventory[[#This Row],[qual_adj]:[range_adj]])</f>
        <v>0.97729496119741466</v>
      </c>
      <c r="BZ669" s="7">
        <f>(Wapato_Inventory[[#This Row],[sum_land]]-IF(Wapato_Inventory[[#This Row],[no_utilities]]=1,12000,0))/IF(Wapato_Inventory[[#This Row],[unbuildable]]=1,2,1)</f>
        <v>51500</v>
      </c>
      <c r="CA669" s="7">
        <f>Wapato_Inventory[[#This Row],[pre_res]]*Wapato_Inventory[[#This Row],[overall_adj]]</f>
        <v>193315.22931340331</v>
      </c>
      <c r="CB669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669" s="3">
        <f>IF(ROUND(Wapato_Inventory[[#This Row],[adj_res]]*Lookups!$H$48,-2)&lt;Wapato_Inventory[[#This Row],[min_res]],Wapato_Inventory[[#This Row],[min_res]],ROUND(Wapato_Inventory[[#This Row],[adj_res]]*Lookups!$H$48,-2))</f>
        <v>183600</v>
      </c>
      <c r="CD669" s="3">
        <f>ROUND(Wapato_Inventory[[#This Row],[det_value]]*Lookups!$H$48,-2)</f>
        <v>0</v>
      </c>
      <c r="CE669" s="3">
        <f>Wapato_Inventory[[#This Row],[final_res]]+Wapato_Inventory[[#This Row],[final_det]]</f>
        <v>183600</v>
      </c>
      <c r="CF669" s="3">
        <f>Wapato_Inventory[[#This Row],[crop_value]]+Wapato_Inventory[[#This Row],[final_land]]+Wapato_Inventory[[#This Row],[final_imp]]</f>
        <v>232500</v>
      </c>
      <c r="CH669" t="str">
        <f t="shared" si="10"/>
        <v>update valuation set market_land =48900, market_bldg=183600, market_total =232500, market_mdno =405, market_date ='9/10/2023' where link_id = (select link_id from parcel where parcel_year = '2024' and parcel_id = '19111513474');</v>
      </c>
    </row>
    <row r="670" spans="1:86" x14ac:dyDescent="0.25">
      <c r="A670">
        <v>19111513476</v>
      </c>
      <c r="B670">
        <v>0.13</v>
      </c>
      <c r="C670">
        <v>5721</v>
      </c>
      <c r="D670" t="s">
        <v>144</v>
      </c>
      <c r="E670" t="s">
        <v>54</v>
      </c>
      <c r="F670" t="s">
        <v>54</v>
      </c>
      <c r="G670">
        <v>3</v>
      </c>
      <c r="H670" t="s">
        <v>55</v>
      </c>
      <c r="I670">
        <v>148000</v>
      </c>
      <c r="J670">
        <v>31400</v>
      </c>
      <c r="K670">
        <v>0.13</v>
      </c>
      <c r="L670">
        <f>IF(Wapato_Inventory[[#This Row],[parcel_acres]]-Wapato_Inventory[[#This Row],[non_valued_acres]] =0,0,LN(Wapato_Inventory[[#This Row],[parcel_acres]]-Wapato_Inventory[[#This Row],[non_valued_acres]]))</f>
        <v>-2.0402208285265546</v>
      </c>
      <c r="M670">
        <v>0</v>
      </c>
      <c r="N670">
        <v>0</v>
      </c>
      <c r="O670">
        <v>0</v>
      </c>
      <c r="P670">
        <v>27904.037</v>
      </c>
      <c r="Q670">
        <v>74398</v>
      </c>
      <c r="R670" s="3">
        <f>(Wapato_Inventory[[#This Row],[ln_acres]]*Wapato_Inventory[[#This Row],[coeff]])+Wapato_Inventory[[#This Row],[const]]</f>
        <v>17467.602512624362</v>
      </c>
      <c r="S670" t="s">
        <v>66</v>
      </c>
      <c r="T670">
        <v>1</v>
      </c>
      <c r="U670" t="s">
        <v>71</v>
      </c>
      <c r="V670" t="s">
        <v>69</v>
      </c>
      <c r="W670">
        <v>0</v>
      </c>
      <c r="X670">
        <v>0</v>
      </c>
      <c r="Y670">
        <v>55</v>
      </c>
      <c r="Z670">
        <v>98</v>
      </c>
      <c r="AA670">
        <v>100</v>
      </c>
      <c r="AB670">
        <v>1500</v>
      </c>
      <c r="AC670">
        <v>1160</v>
      </c>
      <c r="AD670">
        <v>1160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56</v>
      </c>
      <c r="AN670">
        <v>40</v>
      </c>
      <c r="AO670">
        <v>56</v>
      </c>
      <c r="AP670">
        <v>5</v>
      </c>
      <c r="AQ670">
        <v>0</v>
      </c>
      <c r="AR670">
        <v>0</v>
      </c>
      <c r="AS670" t="s">
        <v>59</v>
      </c>
      <c r="AT670">
        <v>1</v>
      </c>
      <c r="AU670" t="s">
        <v>76</v>
      </c>
      <c r="AV670" t="s">
        <v>61</v>
      </c>
      <c r="AW670">
        <v>0</v>
      </c>
      <c r="AX670">
        <v>3</v>
      </c>
      <c r="AY670">
        <v>0</v>
      </c>
      <c r="AZ670">
        <v>0</v>
      </c>
      <c r="BA670">
        <v>100</v>
      </c>
      <c r="BB670">
        <v>100</v>
      </c>
      <c r="BC670">
        <v>100</v>
      </c>
      <c r="BD670">
        <v>100</v>
      </c>
      <c r="BE670">
        <v>1</v>
      </c>
      <c r="BF670">
        <v>15000</v>
      </c>
      <c r="BG670">
        <v>1000</v>
      </c>
      <c r="BH670" s="7">
        <f>ROUND(Wapato_Inventory[[#This Row],[detatched_value]]*Lookups!$B$22*Lookups!$H$48,-2)</f>
        <v>0</v>
      </c>
      <c r="BI670" s="7">
        <f>ROUND(((Wapato_Inventory[[#This Row],[land_extract]]*Lookups!$B$3) +(Lookups!$B$2*0.5))*Lookups!$H$48,-2)</f>
        <v>52800</v>
      </c>
      <c r="BJ670" s="7">
        <f>IF(Wapato_Inventory[[#This Row],[bldg_style]]="",0,Lookups!$B$2*0.5)</f>
        <v>53765.27</v>
      </c>
      <c r="BK670" s="7">
        <f>_xlfn.IFNA(VLOOKUP(Wapato_Inventory[[#This Row],[quality]],Lookups!$H$2:$J$14,3,FALSE),0)</f>
        <v>28034</v>
      </c>
      <c r="BL670" s="7">
        <f>_xlfn.IFNA(VLOOKUP(Wapato_Inventory[[#This Row],[condition]],Lookups!$H$17:$J$24,3,FALSE),0)</f>
        <v>74543</v>
      </c>
      <c r="BM670" s="7">
        <f>Wapato_Inventory[[#This Row],[Age]]*Lookups!$B$16</f>
        <v>-36326.2186</v>
      </c>
      <c r="BN670" s="7">
        <f>Wapato_Inventory[[#This Row],[Main Floor]]*Lookups!$B$17</f>
        <v>48488.857239999998</v>
      </c>
      <c r="BO670" s="7">
        <f>Wapato_Inventory[[#This Row],[Upper Floor]]*Lookups!$B$18</f>
        <v>0</v>
      </c>
      <c r="BP670" s="7">
        <f>Wapato_Inventory[[#This Row],[Fin BSMT]]*Lookups!$B$19</f>
        <v>0</v>
      </c>
      <c r="BQ670" s="7">
        <f>(Wapato_Inventory[[#This Row],[att_gar]]+Wapato_Inventory[[#This Row],[blt_gar]])*Lookups!$B$20</f>
        <v>0</v>
      </c>
      <c r="BR670" s="7">
        <f>Wapato_Inventory[[#This Row],[Patio]]*Lookups!$B$21</f>
        <v>2426.142824</v>
      </c>
      <c r="BS670" s="7">
        <f>SUM(Wapato_Inventory[[#This Row],[intercept]:[patio_value]])*Wapato_Inventory[[#This Row],[res_pct]]</f>
        <v>170931.05146399999</v>
      </c>
      <c r="BT670" s="7">
        <f>Wapato_Inventory[[#This Row],[land_value]]</f>
        <v>52800</v>
      </c>
      <c r="BU670" s="2">
        <f>_xlfn.IFNA(VLOOKUP(Wapato_Inventory[[#This Row],[quality]],Lookups!$A$28:$C$37,3,FALSE),1)</f>
        <v>0.96265813922927435</v>
      </c>
      <c r="BV670" s="2">
        <f>_xlfn.IFNA(VLOOKUP(Wapato_Inventory[[#This Row],[condition]],Lookups!$A$41:$C$48,3,FALSE),1)</f>
        <v>0.98442438223270734</v>
      </c>
      <c r="BW670" s="2">
        <f>IF(Wapato_Inventory[[#This Row],[decade]]="",1,_xlfn.IFNA(VLOOKUP(Wapato_Inventory[[#This Row],[decade]],Lookups!$F$28:$H$45,3,FALSE),1))</f>
        <v>1.0114203040664467</v>
      </c>
      <c r="BX670" s="2">
        <f>_xlfn.IFNA(VLOOKUP(Wapato_Inventory[[#This Row],[living_area_range]],Lookups!$K$28:$M$37,3,FALSE),1)</f>
        <v>1.0061411172456287</v>
      </c>
      <c r="BY670" s="2">
        <f>AVERAGE(Wapato_Inventory[[#This Row],[qual_adj]:[range_adj]])</f>
        <v>0.99116098569351418</v>
      </c>
      <c r="BZ670" s="7">
        <f>(Wapato_Inventory[[#This Row],[sum_land]]-IF(Wapato_Inventory[[#This Row],[no_utilities]]=1,12000,0))/IF(Wapato_Inventory[[#This Row],[unbuildable]]=1,2,1)</f>
        <v>52800</v>
      </c>
      <c r="CA670" s="7">
        <f>Wapato_Inventory[[#This Row],[pre_res]]*Wapato_Inventory[[#This Row],[overall_adj]]</f>
        <v>169420.18945468703</v>
      </c>
      <c r="CB670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70" s="3">
        <f>IF(ROUND(Wapato_Inventory[[#This Row],[adj_res]]*Lookups!$H$48,-2)&lt;Wapato_Inventory[[#This Row],[min_res]],Wapato_Inventory[[#This Row],[min_res]],ROUND(Wapato_Inventory[[#This Row],[adj_res]]*Lookups!$H$48,-2))</f>
        <v>160900</v>
      </c>
      <c r="CD670" s="3">
        <f>ROUND(Wapato_Inventory[[#This Row],[det_value]]*Lookups!$H$48,-2)</f>
        <v>0</v>
      </c>
      <c r="CE670" s="3">
        <f>Wapato_Inventory[[#This Row],[final_res]]+Wapato_Inventory[[#This Row],[final_det]]</f>
        <v>160900</v>
      </c>
      <c r="CF670" s="3">
        <f>Wapato_Inventory[[#This Row],[crop_value]]+Wapato_Inventory[[#This Row],[final_land]]+Wapato_Inventory[[#This Row],[final_imp]]</f>
        <v>211100</v>
      </c>
      <c r="CH670" t="str">
        <f t="shared" si="10"/>
        <v>update valuation set market_land =50200, market_bldg=160900, market_total =211100, market_mdno =405, market_date ='9/10/2023' where link_id = (select link_id from parcel where parcel_year = '2024' and parcel_id = '19111513476');</v>
      </c>
    </row>
    <row r="671" spans="1:86" x14ac:dyDescent="0.25">
      <c r="A671">
        <v>19111513477</v>
      </c>
      <c r="B671">
        <v>0.15</v>
      </c>
      <c r="C671">
        <v>6486</v>
      </c>
      <c r="D671" t="s">
        <v>144</v>
      </c>
      <c r="E671" t="s">
        <v>54</v>
      </c>
      <c r="F671" t="s">
        <v>54</v>
      </c>
      <c r="G671">
        <v>3</v>
      </c>
      <c r="H671" t="s">
        <v>55</v>
      </c>
      <c r="I671">
        <v>145100</v>
      </c>
      <c r="J671">
        <v>32300</v>
      </c>
      <c r="K671">
        <v>0.15</v>
      </c>
      <c r="L671">
        <f>IF(Wapato_Inventory[[#This Row],[parcel_acres]]-Wapato_Inventory[[#This Row],[non_valued_acres]] =0,0,LN(Wapato_Inventory[[#This Row],[parcel_acres]]-Wapato_Inventory[[#This Row],[non_valued_acres]]))</f>
        <v>-1.8971199848858813</v>
      </c>
      <c r="M671">
        <v>0</v>
      </c>
      <c r="N671">
        <v>0</v>
      </c>
      <c r="O671">
        <v>0</v>
      </c>
      <c r="P671">
        <v>27904.037</v>
      </c>
      <c r="Q671">
        <v>74398</v>
      </c>
      <c r="R671" s="3">
        <f>(Wapato_Inventory[[#This Row],[ln_acres]]*Wapato_Inventory[[#This Row],[coeff]])+Wapato_Inventory[[#This Row],[const]]</f>
        <v>21460.693748304926</v>
      </c>
      <c r="S671" t="s">
        <v>56</v>
      </c>
      <c r="T671">
        <v>2</v>
      </c>
      <c r="U671" t="s">
        <v>78</v>
      </c>
      <c r="V671" t="s">
        <v>68</v>
      </c>
      <c r="W671">
        <v>0</v>
      </c>
      <c r="X671">
        <v>0</v>
      </c>
      <c r="Y671">
        <v>60</v>
      </c>
      <c r="Z671">
        <v>108</v>
      </c>
      <c r="AA671">
        <v>110</v>
      </c>
      <c r="AB671">
        <v>2000</v>
      </c>
      <c r="AC671">
        <v>1604</v>
      </c>
      <c r="AD671">
        <v>1296</v>
      </c>
      <c r="AE671">
        <v>308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5</v>
      </c>
      <c r="AQ671">
        <v>0</v>
      </c>
      <c r="AR671">
        <v>0</v>
      </c>
      <c r="AS671" t="s">
        <v>59</v>
      </c>
      <c r="AT671">
        <v>1</v>
      </c>
      <c r="AU671" t="s">
        <v>72</v>
      </c>
      <c r="AV671" t="s">
        <v>61</v>
      </c>
      <c r="AW671">
        <v>0</v>
      </c>
      <c r="AX671">
        <v>3</v>
      </c>
      <c r="AY671">
        <v>0</v>
      </c>
      <c r="AZ671">
        <v>0</v>
      </c>
      <c r="BA671">
        <v>100</v>
      </c>
      <c r="BB671">
        <v>100</v>
      </c>
      <c r="BC671">
        <v>100</v>
      </c>
      <c r="BD671">
        <v>100</v>
      </c>
      <c r="BE671">
        <v>1</v>
      </c>
      <c r="BF671">
        <v>15000</v>
      </c>
      <c r="BG671">
        <v>1000</v>
      </c>
      <c r="BH671" s="7">
        <f>ROUND(Wapato_Inventory[[#This Row],[detatched_value]]*Lookups!$B$22*Lookups!$H$48,-2)</f>
        <v>0</v>
      </c>
      <c r="BI671" s="7">
        <f>ROUND(((Wapato_Inventory[[#This Row],[land_extract]]*Lookups!$B$3) +(Lookups!$B$2*0.5))*Lookups!$H$48,-2)</f>
        <v>53100</v>
      </c>
      <c r="BJ671" s="7">
        <f>IF(Wapato_Inventory[[#This Row],[bldg_style]]="",0,Lookups!$B$2*0.5)</f>
        <v>53765.27</v>
      </c>
      <c r="BK671" s="7">
        <f>_xlfn.IFNA(VLOOKUP(Wapato_Inventory[[#This Row],[quality]],Lookups!$H$2:$J$14,3,FALSE),0)</f>
        <v>23424</v>
      </c>
      <c r="BL671" s="7">
        <f>_xlfn.IFNA(VLOOKUP(Wapato_Inventory[[#This Row],[condition]],Lookups!$H$17:$J$24,3,FALSE),0)</f>
        <v>52231</v>
      </c>
      <c r="BM671" s="7">
        <f>Wapato_Inventory[[#This Row],[Age]]*Lookups!$B$16</f>
        <v>-40032.975599999998</v>
      </c>
      <c r="BN671" s="7">
        <f>Wapato_Inventory[[#This Row],[Main Floor]]*Lookups!$B$17</f>
        <v>54173.757744000002</v>
      </c>
      <c r="BO671" s="7">
        <f>Wapato_Inventory[[#This Row],[Upper Floor]]*Lookups!$B$18</f>
        <v>15277.150812000002</v>
      </c>
      <c r="BP671" s="7">
        <f>Wapato_Inventory[[#This Row],[Fin BSMT]]*Lookups!$B$19</f>
        <v>0</v>
      </c>
      <c r="BQ671" s="7">
        <f>(Wapato_Inventory[[#This Row],[att_gar]]+Wapato_Inventory[[#This Row],[blt_gar]])*Lookups!$B$20</f>
        <v>0</v>
      </c>
      <c r="BR671" s="7">
        <f>Wapato_Inventory[[#This Row],[Patio]]*Lookups!$B$21</f>
        <v>0</v>
      </c>
      <c r="BS671" s="7">
        <f>SUM(Wapato_Inventory[[#This Row],[intercept]:[patio_value]])*Wapato_Inventory[[#This Row],[res_pct]]</f>
        <v>158838.20295599999</v>
      </c>
      <c r="BT671" s="7">
        <f>Wapato_Inventory[[#This Row],[land_value]]</f>
        <v>53100</v>
      </c>
      <c r="BU671" s="2">
        <f>_xlfn.IFNA(VLOOKUP(Wapato_Inventory[[#This Row],[quality]],Lookups!$A$28:$C$37,3,FALSE),1)</f>
        <v>1.0091195562373767</v>
      </c>
      <c r="BV671" s="2">
        <f>_xlfn.IFNA(VLOOKUP(Wapato_Inventory[[#This Row],[condition]],Lookups!$A$41:$C$48,3,FALSE),1)</f>
        <v>0.9832333997567807</v>
      </c>
      <c r="BW671" s="2">
        <f>IF(Wapato_Inventory[[#This Row],[decade]]="",1,_xlfn.IFNA(VLOOKUP(Wapato_Inventory[[#This Row],[decade]],Lookups!$F$28:$H$45,3,FALSE),1))</f>
        <v>0.93664589651353292</v>
      </c>
      <c r="BX671" s="2">
        <f>_xlfn.IFNA(VLOOKUP(Wapato_Inventory[[#This Row],[living_area_range]],Lookups!$K$28:$M$37,3,FALSE),1)</f>
        <v>0.99330894324714125</v>
      </c>
      <c r="BY671" s="2">
        <f>AVERAGE(Wapato_Inventory[[#This Row],[qual_adj]:[range_adj]])</f>
        <v>0.98057694893870784</v>
      </c>
      <c r="BZ671" s="7">
        <f>(Wapato_Inventory[[#This Row],[sum_land]]-IF(Wapato_Inventory[[#This Row],[no_utilities]]=1,12000,0))/IF(Wapato_Inventory[[#This Row],[unbuildable]]=1,2,1)</f>
        <v>53100</v>
      </c>
      <c r="CA671" s="7">
        <f>Wapato_Inventory[[#This Row],[pre_res]]*Wapato_Inventory[[#This Row],[overall_adj]]</f>
        <v>155753.08042950172</v>
      </c>
      <c r="CB67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71" s="3">
        <f>IF(ROUND(Wapato_Inventory[[#This Row],[adj_res]]*Lookups!$H$48,-2)&lt;Wapato_Inventory[[#This Row],[min_res]],Wapato_Inventory[[#This Row],[min_res]],ROUND(Wapato_Inventory[[#This Row],[adj_res]]*Lookups!$H$48,-2))</f>
        <v>148000</v>
      </c>
      <c r="CD671" s="3">
        <f>ROUND(Wapato_Inventory[[#This Row],[det_value]]*Lookups!$H$48,-2)</f>
        <v>0</v>
      </c>
      <c r="CE671" s="3">
        <f>Wapato_Inventory[[#This Row],[final_res]]+Wapato_Inventory[[#This Row],[final_det]]</f>
        <v>148000</v>
      </c>
      <c r="CF671" s="3">
        <f>Wapato_Inventory[[#This Row],[crop_value]]+Wapato_Inventory[[#This Row],[final_land]]+Wapato_Inventory[[#This Row],[final_imp]]</f>
        <v>198400</v>
      </c>
      <c r="CH671" t="str">
        <f t="shared" si="10"/>
        <v>update valuation set market_land =50400, market_bldg=148000, market_total =198400, market_mdno =405, market_date ='9/10/2023' where link_id = (select link_id from parcel where parcel_year = '2024' and parcel_id = '19111513477');</v>
      </c>
    </row>
    <row r="672" spans="1:86" x14ac:dyDescent="0.25">
      <c r="A672">
        <v>19111513478</v>
      </c>
      <c r="B672">
        <v>0.14000000000000001</v>
      </c>
      <c r="C672">
        <v>5960</v>
      </c>
      <c r="D672" t="s">
        <v>144</v>
      </c>
      <c r="E672" t="s">
        <v>54</v>
      </c>
      <c r="F672" t="s">
        <v>54</v>
      </c>
      <c r="G672">
        <v>3</v>
      </c>
      <c r="H672" t="s">
        <v>55</v>
      </c>
      <c r="I672">
        <v>176700</v>
      </c>
      <c r="J672">
        <v>31900</v>
      </c>
      <c r="K672">
        <v>0.14000000000000001</v>
      </c>
      <c r="L672">
        <f>IF(Wapato_Inventory[[#This Row],[parcel_acres]]-Wapato_Inventory[[#This Row],[non_valued_acres]] =0,0,LN(Wapato_Inventory[[#This Row],[parcel_acres]]-Wapato_Inventory[[#This Row],[non_valued_acres]]))</f>
        <v>-1.9661128563728327</v>
      </c>
      <c r="M672">
        <v>0</v>
      </c>
      <c r="N672">
        <v>0</v>
      </c>
      <c r="O672">
        <v>0</v>
      </c>
      <c r="P672">
        <v>27904.037</v>
      </c>
      <c r="Q672">
        <v>74398</v>
      </c>
      <c r="R672" s="3">
        <f>(Wapato_Inventory[[#This Row],[ln_acres]]*Wapato_Inventory[[#This Row],[coeff]])+Wapato_Inventory[[#This Row],[const]]</f>
        <v>19535.514109596792</v>
      </c>
      <c r="S672" t="s">
        <v>56</v>
      </c>
      <c r="T672">
        <v>2</v>
      </c>
      <c r="U672" t="s">
        <v>75</v>
      </c>
      <c r="V672" t="s">
        <v>69</v>
      </c>
      <c r="W672">
        <v>0</v>
      </c>
      <c r="X672">
        <v>0</v>
      </c>
      <c r="Y672">
        <v>74</v>
      </c>
      <c r="Z672">
        <v>122</v>
      </c>
      <c r="AA672">
        <v>130</v>
      </c>
      <c r="AB672">
        <v>1500</v>
      </c>
      <c r="AC672">
        <v>1416</v>
      </c>
      <c r="AD672">
        <v>916</v>
      </c>
      <c r="AE672">
        <v>500</v>
      </c>
      <c r="AF672">
        <v>0</v>
      </c>
      <c r="AG672">
        <v>0</v>
      </c>
      <c r="AH672">
        <v>144</v>
      </c>
      <c r="AI672">
        <v>0</v>
      </c>
      <c r="AJ672">
        <v>0</v>
      </c>
      <c r="AK672">
        <v>0</v>
      </c>
      <c r="AL672">
        <v>0</v>
      </c>
      <c r="AM672">
        <v>0</v>
      </c>
      <c r="AN672">
        <v>16</v>
      </c>
      <c r="AO672">
        <v>0</v>
      </c>
      <c r="AP672">
        <v>8</v>
      </c>
      <c r="AQ672">
        <v>0</v>
      </c>
      <c r="AR672">
        <v>0</v>
      </c>
      <c r="AS672" t="s">
        <v>59</v>
      </c>
      <c r="AT672">
        <v>1</v>
      </c>
      <c r="AU672" t="s">
        <v>64</v>
      </c>
      <c r="AV672" t="s">
        <v>65</v>
      </c>
      <c r="AW672">
        <v>0</v>
      </c>
      <c r="AX672">
        <v>4</v>
      </c>
      <c r="AY672">
        <v>0</v>
      </c>
      <c r="AZ672">
        <v>0</v>
      </c>
      <c r="BA672">
        <v>100</v>
      </c>
      <c r="BB672">
        <v>100</v>
      </c>
      <c r="BC672">
        <v>100</v>
      </c>
      <c r="BD672">
        <v>100</v>
      </c>
      <c r="BE672">
        <v>1</v>
      </c>
      <c r="BF672">
        <v>15000</v>
      </c>
      <c r="BG672">
        <v>1000</v>
      </c>
      <c r="BH672" s="7">
        <f>ROUND(Wapato_Inventory[[#This Row],[detatched_value]]*Lookups!$B$22*Lookups!$H$48,-2)</f>
        <v>0</v>
      </c>
      <c r="BI672" s="7">
        <f>ROUND(((Wapato_Inventory[[#This Row],[land_extract]]*Lookups!$B$3) +(Lookups!$B$2*0.5))*Lookups!$H$48,-2)</f>
        <v>53000</v>
      </c>
      <c r="BJ672" s="7">
        <f>IF(Wapato_Inventory[[#This Row],[bldg_style]]="",0,Lookups!$B$2*0.5)</f>
        <v>53765.27</v>
      </c>
      <c r="BK672" s="7">
        <f>_xlfn.IFNA(VLOOKUP(Wapato_Inventory[[#This Row],[quality]],Lookups!$H$2:$J$14,3,FALSE),0)</f>
        <v>48043</v>
      </c>
      <c r="BL672" s="7">
        <f>_xlfn.IFNA(VLOOKUP(Wapato_Inventory[[#This Row],[condition]],Lookups!$H$17:$J$24,3,FALSE),0)</f>
        <v>74543</v>
      </c>
      <c r="BM672" s="7">
        <f>Wapato_Inventory[[#This Row],[Age]]*Lookups!$B$16</f>
        <v>-45222.435400000002</v>
      </c>
      <c r="BN672" s="7">
        <f>Wapato_Inventory[[#This Row],[Main Floor]]*Lookups!$B$17</f>
        <v>38289.476924000002</v>
      </c>
      <c r="BO672" s="7">
        <f>Wapato_Inventory[[#This Row],[Upper Floor]]*Lookups!$B$18</f>
        <v>24800.569500000001</v>
      </c>
      <c r="BP672" s="7">
        <f>Wapato_Inventory[[#This Row],[Fin BSMT]]*Lookups!$B$19</f>
        <v>0</v>
      </c>
      <c r="BQ672" s="7">
        <f>(Wapato_Inventory[[#This Row],[att_gar]]+Wapato_Inventory[[#This Row],[blt_gar]])*Lookups!$B$20</f>
        <v>0</v>
      </c>
      <c r="BR672" s="7">
        <f>Wapato_Inventory[[#This Row],[Patio]]*Lookups!$B$21</f>
        <v>0</v>
      </c>
      <c r="BS672" s="7">
        <f>SUM(Wapato_Inventory[[#This Row],[intercept]:[patio_value]])*Wapato_Inventory[[#This Row],[res_pct]]</f>
        <v>194218.88102400003</v>
      </c>
      <c r="BT672" s="7">
        <f>Wapato_Inventory[[#This Row],[land_value]]</f>
        <v>53000</v>
      </c>
      <c r="BU672" s="2">
        <f>_xlfn.IFNA(VLOOKUP(Wapato_Inventory[[#This Row],[quality]],Lookups!$A$28:$C$37,3,FALSE),1)</f>
        <v>0.98196844879778955</v>
      </c>
      <c r="BV672" s="2">
        <f>_xlfn.IFNA(VLOOKUP(Wapato_Inventory[[#This Row],[condition]],Lookups!$A$41:$C$48,3,FALSE),1)</f>
        <v>0.98442438223270734</v>
      </c>
      <c r="BW672" s="2">
        <f>IF(Wapato_Inventory[[#This Row],[decade]]="",1,_xlfn.IFNA(VLOOKUP(Wapato_Inventory[[#This Row],[decade]],Lookups!$F$28:$H$45,3,FALSE),1))</f>
        <v>0.93664589651353292</v>
      </c>
      <c r="BX672" s="2">
        <f>_xlfn.IFNA(VLOOKUP(Wapato_Inventory[[#This Row],[living_area_range]],Lookups!$K$28:$M$37,3,FALSE),1)</f>
        <v>1.0061411172456287</v>
      </c>
      <c r="BY672" s="2">
        <f>AVERAGE(Wapato_Inventory[[#This Row],[qual_adj]:[range_adj]])</f>
        <v>0.97729496119741466</v>
      </c>
      <c r="BZ672" s="7">
        <f>(Wapato_Inventory[[#This Row],[sum_land]]-IF(Wapato_Inventory[[#This Row],[no_utilities]]=1,12000,0))/IF(Wapato_Inventory[[#This Row],[unbuildable]]=1,2,1)</f>
        <v>53000</v>
      </c>
      <c r="CA672" s="7">
        <f>Wapato_Inventory[[#This Row],[pre_res]]*Wapato_Inventory[[#This Row],[overall_adj]]</f>
        <v>189809.13379415541</v>
      </c>
      <c r="CB67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72" s="3">
        <f>IF(ROUND(Wapato_Inventory[[#This Row],[adj_res]]*Lookups!$H$48,-2)&lt;Wapato_Inventory[[#This Row],[min_res]],Wapato_Inventory[[#This Row],[min_res]],ROUND(Wapato_Inventory[[#This Row],[adj_res]]*Lookups!$H$48,-2))</f>
        <v>180300</v>
      </c>
      <c r="CD672" s="3">
        <f>ROUND(Wapato_Inventory[[#This Row],[det_value]]*Lookups!$H$48,-2)</f>
        <v>0</v>
      </c>
      <c r="CE672" s="3">
        <f>Wapato_Inventory[[#This Row],[final_res]]+Wapato_Inventory[[#This Row],[final_det]]</f>
        <v>180300</v>
      </c>
      <c r="CF672" s="3">
        <f>Wapato_Inventory[[#This Row],[crop_value]]+Wapato_Inventory[[#This Row],[final_land]]+Wapato_Inventory[[#This Row],[final_imp]]</f>
        <v>230700</v>
      </c>
      <c r="CH672" t="str">
        <f t="shared" si="10"/>
        <v>update valuation set market_land =50400, market_bldg=180300, market_total =230700, market_mdno =405, market_date ='9/10/2023' where link_id = (select link_id from parcel where parcel_year = '2024' and parcel_id = '19111513478');</v>
      </c>
    </row>
    <row r="673" spans="1:86" x14ac:dyDescent="0.25">
      <c r="A673">
        <v>19111513479</v>
      </c>
      <c r="B673">
        <v>0.15</v>
      </c>
      <c r="C673">
        <v>6459</v>
      </c>
      <c r="D673" t="s">
        <v>144</v>
      </c>
      <c r="E673" t="s">
        <v>54</v>
      </c>
      <c r="F673" t="s">
        <v>54</v>
      </c>
      <c r="G673">
        <v>3</v>
      </c>
      <c r="H673" t="s">
        <v>55</v>
      </c>
      <c r="I673">
        <v>213300</v>
      </c>
      <c r="J673">
        <v>32300</v>
      </c>
      <c r="K673">
        <v>0.15</v>
      </c>
      <c r="L673">
        <f>IF(Wapato_Inventory[[#This Row],[parcel_acres]]-Wapato_Inventory[[#This Row],[non_valued_acres]] =0,0,LN(Wapato_Inventory[[#This Row],[parcel_acres]]-Wapato_Inventory[[#This Row],[non_valued_acres]]))</f>
        <v>-1.8971199848858813</v>
      </c>
      <c r="M673">
        <v>0</v>
      </c>
      <c r="N673">
        <v>0</v>
      </c>
      <c r="O673">
        <v>0</v>
      </c>
      <c r="P673">
        <v>27904.037</v>
      </c>
      <c r="Q673">
        <v>74398</v>
      </c>
      <c r="R673" s="3">
        <f>(Wapato_Inventory[[#This Row],[ln_acres]]*Wapato_Inventory[[#This Row],[coeff]])+Wapato_Inventory[[#This Row],[const]]</f>
        <v>21460.693748304926</v>
      </c>
      <c r="S673" t="s">
        <v>62</v>
      </c>
      <c r="T673">
        <v>1</v>
      </c>
      <c r="U673" t="s">
        <v>75</v>
      </c>
      <c r="V673" t="s">
        <v>69</v>
      </c>
      <c r="W673">
        <v>0</v>
      </c>
      <c r="X673">
        <v>0</v>
      </c>
      <c r="Y673">
        <v>44</v>
      </c>
      <c r="Z673">
        <v>49</v>
      </c>
      <c r="AA673">
        <v>50</v>
      </c>
      <c r="AB673">
        <v>1500</v>
      </c>
      <c r="AC673">
        <v>1100</v>
      </c>
      <c r="AD673">
        <v>1100</v>
      </c>
      <c r="AE673">
        <v>0</v>
      </c>
      <c r="AF673">
        <v>0</v>
      </c>
      <c r="AG673">
        <v>0</v>
      </c>
      <c r="AH673">
        <v>0</v>
      </c>
      <c r="AI673">
        <v>300</v>
      </c>
      <c r="AJ673">
        <v>0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7</v>
      </c>
      <c r="AQ673">
        <v>0</v>
      </c>
      <c r="AR673">
        <v>0</v>
      </c>
      <c r="AS673" t="s">
        <v>59</v>
      </c>
      <c r="AT673">
        <v>1</v>
      </c>
      <c r="AU673" t="s">
        <v>72</v>
      </c>
      <c r="AV673" t="s">
        <v>61</v>
      </c>
      <c r="AW673">
        <v>0</v>
      </c>
      <c r="AX673">
        <v>3</v>
      </c>
      <c r="AY673">
        <v>0</v>
      </c>
      <c r="AZ673">
        <v>0</v>
      </c>
      <c r="BA673">
        <v>100</v>
      </c>
      <c r="BB673">
        <v>100</v>
      </c>
      <c r="BC673">
        <v>100</v>
      </c>
      <c r="BD673">
        <v>100</v>
      </c>
      <c r="BE673">
        <v>1</v>
      </c>
      <c r="BF673">
        <v>15000</v>
      </c>
      <c r="BG673">
        <v>1000</v>
      </c>
      <c r="BH673" s="7">
        <f>ROUND(Wapato_Inventory[[#This Row],[detatched_value]]*Lookups!$B$22*Lookups!$H$48,-2)</f>
        <v>0</v>
      </c>
      <c r="BI673" s="7">
        <f>ROUND(((Wapato_Inventory[[#This Row],[land_extract]]*Lookups!$B$3) +(Lookups!$B$2*0.5))*Lookups!$H$48,-2)</f>
        <v>53100</v>
      </c>
      <c r="BJ673" s="7">
        <f>IF(Wapato_Inventory[[#This Row],[bldg_style]]="",0,Lookups!$B$2*0.5)</f>
        <v>53765.27</v>
      </c>
      <c r="BK673" s="7">
        <f>_xlfn.IFNA(VLOOKUP(Wapato_Inventory[[#This Row],[quality]],Lookups!$H$2:$J$14,3,FALSE),0)</f>
        <v>48043</v>
      </c>
      <c r="BL673" s="7">
        <f>_xlfn.IFNA(VLOOKUP(Wapato_Inventory[[#This Row],[condition]],Lookups!$H$17:$J$24,3,FALSE),0)</f>
        <v>74543</v>
      </c>
      <c r="BM673" s="7">
        <f>Wapato_Inventory[[#This Row],[Age]]*Lookups!$B$16</f>
        <v>-18163.1093</v>
      </c>
      <c r="BN673" s="7">
        <f>Wapato_Inventory[[#This Row],[Main Floor]]*Lookups!$B$17</f>
        <v>45980.812899999997</v>
      </c>
      <c r="BO673" s="7">
        <f>Wapato_Inventory[[#This Row],[Upper Floor]]*Lookups!$B$18</f>
        <v>0</v>
      </c>
      <c r="BP673" s="7">
        <f>Wapato_Inventory[[#This Row],[Fin BSMT]]*Lookups!$B$19</f>
        <v>0</v>
      </c>
      <c r="BQ673" s="7">
        <f>(Wapato_Inventory[[#This Row],[att_gar]]+Wapato_Inventory[[#This Row],[blt_gar]])*Lookups!$B$20</f>
        <v>11102.625600000001</v>
      </c>
      <c r="BR673" s="7">
        <f>Wapato_Inventory[[#This Row],[Patio]]*Lookups!$B$21</f>
        <v>0</v>
      </c>
      <c r="BS673" s="7">
        <f>SUM(Wapato_Inventory[[#This Row],[intercept]:[patio_value]])*Wapato_Inventory[[#This Row],[res_pct]]</f>
        <v>215271.59919999997</v>
      </c>
      <c r="BT673" s="7">
        <f>Wapato_Inventory[[#This Row],[land_value]]</f>
        <v>53100</v>
      </c>
      <c r="BU673" s="2">
        <f>_xlfn.IFNA(VLOOKUP(Wapato_Inventory[[#This Row],[quality]],Lookups!$A$28:$C$37,3,FALSE),1)</f>
        <v>0.98196844879778955</v>
      </c>
      <c r="BV673" s="2">
        <f>_xlfn.IFNA(VLOOKUP(Wapato_Inventory[[#This Row],[condition]],Lookups!$A$41:$C$48,3,FALSE),1)</f>
        <v>0.98442438223270734</v>
      </c>
      <c r="BW673" s="2">
        <f>IF(Wapato_Inventory[[#This Row],[decade]]="",1,_xlfn.IFNA(VLOOKUP(Wapato_Inventory[[#This Row],[decade]],Lookups!$F$28:$H$45,3,FALSE),1))</f>
        <v>0.96240333884358298</v>
      </c>
      <c r="BX673" s="2">
        <f>_xlfn.IFNA(VLOOKUP(Wapato_Inventory[[#This Row],[living_area_range]],Lookups!$K$28:$M$37,3,FALSE),1)</f>
        <v>1.0061411172456287</v>
      </c>
      <c r="BY673" s="2">
        <f>AVERAGE(Wapato_Inventory[[#This Row],[qual_adj]:[range_adj]])</f>
        <v>0.98373432177992715</v>
      </c>
      <c r="BZ673" s="7">
        <f>(Wapato_Inventory[[#This Row],[sum_land]]-IF(Wapato_Inventory[[#This Row],[no_utilities]]=1,12000,0))/IF(Wapato_Inventory[[#This Row],[unbuildable]]=1,2,1)</f>
        <v>53100</v>
      </c>
      <c r="CA673" s="7">
        <f>Wapato_Inventory[[#This Row],[pre_res]]*Wapato_Inventory[[#This Row],[overall_adj]]</f>
        <v>211770.06063749228</v>
      </c>
      <c r="CB67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73" s="3">
        <f>IF(ROUND(Wapato_Inventory[[#This Row],[adj_res]]*Lookups!$H$48,-2)&lt;Wapato_Inventory[[#This Row],[min_res]],Wapato_Inventory[[#This Row],[min_res]],ROUND(Wapato_Inventory[[#This Row],[adj_res]]*Lookups!$H$48,-2))</f>
        <v>201200</v>
      </c>
      <c r="CD673" s="3">
        <f>ROUND(Wapato_Inventory[[#This Row],[det_value]]*Lookups!$H$48,-2)</f>
        <v>0</v>
      </c>
      <c r="CE673" s="3">
        <f>Wapato_Inventory[[#This Row],[final_res]]+Wapato_Inventory[[#This Row],[final_det]]</f>
        <v>201200</v>
      </c>
      <c r="CF673" s="3">
        <f>Wapato_Inventory[[#This Row],[crop_value]]+Wapato_Inventory[[#This Row],[final_land]]+Wapato_Inventory[[#This Row],[final_imp]]</f>
        <v>251600</v>
      </c>
      <c r="CH673" t="str">
        <f t="shared" si="10"/>
        <v>update valuation set market_land =50400, market_bldg=201200, market_total =251600, market_mdno =405, market_date ='9/10/2023' where link_id = (select link_id from parcel where parcel_year = '2024' and parcel_id = '19111513479');</v>
      </c>
    </row>
    <row r="674" spans="1:86" x14ac:dyDescent="0.25">
      <c r="A674">
        <v>19111513480</v>
      </c>
      <c r="B674">
        <v>0.16</v>
      </c>
      <c r="C674">
        <v>6993</v>
      </c>
      <c r="D674" t="s">
        <v>144</v>
      </c>
      <c r="E674" t="s">
        <v>54</v>
      </c>
      <c r="F674" t="s">
        <v>54</v>
      </c>
      <c r="G674">
        <v>3</v>
      </c>
      <c r="H674" t="s">
        <v>55</v>
      </c>
      <c r="I674">
        <v>176800</v>
      </c>
      <c r="J674">
        <v>32800</v>
      </c>
      <c r="K674">
        <v>0.16</v>
      </c>
      <c r="L674">
        <f>IF(Wapato_Inventory[[#This Row],[parcel_acres]]-Wapato_Inventory[[#This Row],[non_valued_acres]] =0,0,LN(Wapato_Inventory[[#This Row],[parcel_acres]]-Wapato_Inventory[[#This Row],[non_valued_acres]]))</f>
        <v>-1.8325814637483102</v>
      </c>
      <c r="M674">
        <v>0</v>
      </c>
      <c r="N674">
        <v>0</v>
      </c>
      <c r="O674">
        <v>0</v>
      </c>
      <c r="P674">
        <v>27904.037</v>
      </c>
      <c r="Q674">
        <v>74398</v>
      </c>
      <c r="R674" s="3">
        <f>(Wapato_Inventory[[#This Row],[ln_acres]]*Wapato_Inventory[[#This Row],[coeff]])+Wapato_Inventory[[#This Row],[const]]</f>
        <v>23261.579030052992</v>
      </c>
      <c r="S674" t="s">
        <v>66</v>
      </c>
      <c r="T674">
        <v>1</v>
      </c>
      <c r="U674" t="s">
        <v>75</v>
      </c>
      <c r="V674" t="s">
        <v>69</v>
      </c>
      <c r="W674">
        <v>0</v>
      </c>
      <c r="X674">
        <v>0</v>
      </c>
      <c r="Y674">
        <v>65</v>
      </c>
      <c r="Z674">
        <v>113</v>
      </c>
      <c r="AA674">
        <v>120</v>
      </c>
      <c r="AB674">
        <v>1500</v>
      </c>
      <c r="AC674">
        <v>1224</v>
      </c>
      <c r="AD674">
        <v>1224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70</v>
      </c>
      <c r="AN674">
        <v>0</v>
      </c>
      <c r="AO674">
        <v>70</v>
      </c>
      <c r="AP674">
        <v>5</v>
      </c>
      <c r="AQ674">
        <v>1</v>
      </c>
      <c r="AR674">
        <v>0</v>
      </c>
      <c r="AS674" t="s">
        <v>59</v>
      </c>
      <c r="AT674">
        <v>1</v>
      </c>
      <c r="AU674" t="s">
        <v>72</v>
      </c>
      <c r="AV674" t="s">
        <v>65</v>
      </c>
      <c r="AW674">
        <v>0</v>
      </c>
      <c r="AX674">
        <v>2</v>
      </c>
      <c r="AY674">
        <v>0</v>
      </c>
      <c r="AZ674">
        <v>6500</v>
      </c>
      <c r="BA674">
        <v>100</v>
      </c>
      <c r="BB674">
        <v>100</v>
      </c>
      <c r="BC674">
        <v>100</v>
      </c>
      <c r="BD674">
        <v>100</v>
      </c>
      <c r="BE674">
        <v>1</v>
      </c>
      <c r="BF674">
        <v>15000</v>
      </c>
      <c r="BG674">
        <v>1000</v>
      </c>
      <c r="BH674" s="7">
        <f>ROUND(Wapato_Inventory[[#This Row],[detatched_value]]*Lookups!$B$22*Lookups!$H$48,-2)</f>
        <v>5800</v>
      </c>
      <c r="BI674" s="7">
        <f>ROUND(((Wapato_Inventory[[#This Row],[land_extract]]*Lookups!$B$3) +(Lookups!$B$2*0.5))*Lookups!$H$48,-2)</f>
        <v>53300</v>
      </c>
      <c r="BJ674" s="7">
        <f>IF(Wapato_Inventory[[#This Row],[bldg_style]]="",0,Lookups!$B$2*0.5)</f>
        <v>53765.27</v>
      </c>
      <c r="BK674" s="7">
        <f>_xlfn.IFNA(VLOOKUP(Wapato_Inventory[[#This Row],[quality]],Lookups!$H$2:$J$14,3,FALSE),0)</f>
        <v>48043</v>
      </c>
      <c r="BL674" s="7">
        <f>_xlfn.IFNA(VLOOKUP(Wapato_Inventory[[#This Row],[condition]],Lookups!$H$17:$J$24,3,FALSE),0)</f>
        <v>74543</v>
      </c>
      <c r="BM674" s="7">
        <f>Wapato_Inventory[[#This Row],[Age]]*Lookups!$B$16</f>
        <v>-41886.354100000004</v>
      </c>
      <c r="BN674" s="7">
        <f>Wapato_Inventory[[#This Row],[Main Floor]]*Lookups!$B$17</f>
        <v>51164.104535999999</v>
      </c>
      <c r="BO674" s="7">
        <f>Wapato_Inventory[[#This Row],[Upper Floor]]*Lookups!$B$18</f>
        <v>0</v>
      </c>
      <c r="BP674" s="7">
        <f>Wapato_Inventory[[#This Row],[Fin BSMT]]*Lookups!$B$19</f>
        <v>0</v>
      </c>
      <c r="BQ674" s="7">
        <f>(Wapato_Inventory[[#This Row],[att_gar]]+Wapato_Inventory[[#This Row],[blt_gar]])*Lookups!$B$20</f>
        <v>0</v>
      </c>
      <c r="BR674" s="7">
        <f>Wapato_Inventory[[#This Row],[Patio]]*Lookups!$B$21</f>
        <v>3032.6785300000001</v>
      </c>
      <c r="BS674" s="7">
        <f>SUM(Wapato_Inventory[[#This Row],[intercept]:[patio_value]])*Wapato_Inventory[[#This Row],[res_pct]]</f>
        <v>188661.698966</v>
      </c>
      <c r="BT674" s="7">
        <f>Wapato_Inventory[[#This Row],[land_value]]</f>
        <v>53300</v>
      </c>
      <c r="BU674" s="2">
        <f>_xlfn.IFNA(VLOOKUP(Wapato_Inventory[[#This Row],[quality]],Lookups!$A$28:$C$37,3,FALSE),1)</f>
        <v>0.98196844879778955</v>
      </c>
      <c r="BV674" s="2">
        <f>_xlfn.IFNA(VLOOKUP(Wapato_Inventory[[#This Row],[condition]],Lookups!$A$41:$C$48,3,FALSE),1)</f>
        <v>0.98442438223270734</v>
      </c>
      <c r="BW674" s="2">
        <f>IF(Wapato_Inventory[[#This Row],[decade]]="",1,_xlfn.IFNA(VLOOKUP(Wapato_Inventory[[#This Row],[decade]],Lookups!$F$28:$H$45,3,FALSE),1))</f>
        <v>0.93664589651353292</v>
      </c>
      <c r="BX674" s="2">
        <f>_xlfn.IFNA(VLOOKUP(Wapato_Inventory[[#This Row],[living_area_range]],Lookups!$K$28:$M$37,3,FALSE),1)</f>
        <v>1.0061411172456287</v>
      </c>
      <c r="BY674" s="2">
        <f>AVERAGE(Wapato_Inventory[[#This Row],[qual_adj]:[range_adj]])</f>
        <v>0.97729496119741466</v>
      </c>
      <c r="BZ674" s="7">
        <f>(Wapato_Inventory[[#This Row],[sum_land]]-IF(Wapato_Inventory[[#This Row],[no_utilities]]=1,12000,0))/IF(Wapato_Inventory[[#This Row],[unbuildable]]=1,2,1)</f>
        <v>53300</v>
      </c>
      <c r="CA674" s="7">
        <f>Wapato_Inventory[[#This Row],[pre_res]]*Wapato_Inventory[[#This Row],[overall_adj]]</f>
        <v>184378.1277704153</v>
      </c>
      <c r="CB674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674" s="3">
        <f>IF(ROUND(Wapato_Inventory[[#This Row],[adj_res]]*Lookups!$H$48,-2)&lt;Wapato_Inventory[[#This Row],[min_res]],Wapato_Inventory[[#This Row],[min_res]],ROUND(Wapato_Inventory[[#This Row],[adj_res]]*Lookups!$H$48,-2))</f>
        <v>175200</v>
      </c>
      <c r="CD674" s="3">
        <f>ROUND(Wapato_Inventory[[#This Row],[det_value]]*Lookups!$H$48,-2)</f>
        <v>5500</v>
      </c>
      <c r="CE674" s="3">
        <f>Wapato_Inventory[[#This Row],[final_res]]+Wapato_Inventory[[#This Row],[final_det]]</f>
        <v>180700</v>
      </c>
      <c r="CF674" s="3">
        <f>Wapato_Inventory[[#This Row],[crop_value]]+Wapato_Inventory[[#This Row],[final_land]]+Wapato_Inventory[[#This Row],[final_imp]]</f>
        <v>231300</v>
      </c>
      <c r="CH674" t="str">
        <f t="shared" si="10"/>
        <v>update valuation set market_land =50600, market_bldg=180700, market_total =231300, market_mdno =405, market_date ='9/10/2023' where link_id = (select link_id from parcel where parcel_year = '2024' and parcel_id = '19111513480');</v>
      </c>
    </row>
    <row r="675" spans="1:86" x14ac:dyDescent="0.25">
      <c r="A675">
        <v>19111513481</v>
      </c>
      <c r="B675">
        <v>0.1</v>
      </c>
      <c r="C675">
        <v>4483</v>
      </c>
      <c r="D675" t="s">
        <v>144</v>
      </c>
      <c r="E675" t="s">
        <v>54</v>
      </c>
      <c r="F675" t="s">
        <v>54</v>
      </c>
      <c r="G675">
        <v>3</v>
      </c>
      <c r="H675" t="s">
        <v>55</v>
      </c>
      <c r="I675">
        <v>98900</v>
      </c>
      <c r="J675">
        <v>29500</v>
      </c>
      <c r="K675">
        <v>0.1</v>
      </c>
      <c r="L675">
        <f>IF(Wapato_Inventory[[#This Row],[parcel_acres]]-Wapato_Inventory[[#This Row],[non_valued_acres]] =0,0,LN(Wapato_Inventory[[#This Row],[parcel_acres]]-Wapato_Inventory[[#This Row],[non_valued_acres]]))</f>
        <v>-2.3025850929940455</v>
      </c>
      <c r="M675">
        <v>0</v>
      </c>
      <c r="N675">
        <v>0</v>
      </c>
      <c r="O675">
        <v>0</v>
      </c>
      <c r="P675">
        <v>27904.037</v>
      </c>
      <c r="Q675">
        <v>74398</v>
      </c>
      <c r="R675" s="3">
        <f>(Wapato_Inventory[[#This Row],[ln_acres]]*Wapato_Inventory[[#This Row],[coeff]])+Wapato_Inventory[[#This Row],[const]]</f>
        <v>10146.580369445714</v>
      </c>
      <c r="S675" t="s">
        <v>66</v>
      </c>
      <c r="T675">
        <v>1</v>
      </c>
      <c r="U675" t="s">
        <v>71</v>
      </c>
      <c r="V675" t="s">
        <v>68</v>
      </c>
      <c r="W675">
        <v>0</v>
      </c>
      <c r="X675">
        <v>0</v>
      </c>
      <c r="Y675">
        <v>65</v>
      </c>
      <c r="Z675">
        <v>113</v>
      </c>
      <c r="AA675">
        <v>120</v>
      </c>
      <c r="AB675">
        <v>1000</v>
      </c>
      <c r="AC675">
        <v>682</v>
      </c>
      <c r="AD675">
        <v>682</v>
      </c>
      <c r="AE675">
        <v>0</v>
      </c>
      <c r="AF675">
        <v>0</v>
      </c>
      <c r="AG675">
        <v>0</v>
      </c>
      <c r="AH675">
        <v>278</v>
      </c>
      <c r="AI675">
        <v>0</v>
      </c>
      <c r="AJ675">
        <v>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5</v>
      </c>
      <c r="AQ675">
        <v>1</v>
      </c>
      <c r="AR675">
        <v>0</v>
      </c>
      <c r="AS675" t="s">
        <v>59</v>
      </c>
      <c r="AT675">
        <v>1</v>
      </c>
      <c r="AU675" t="s">
        <v>64</v>
      </c>
      <c r="AV675" t="s">
        <v>61</v>
      </c>
      <c r="AW675">
        <v>1</v>
      </c>
      <c r="AX675">
        <v>2</v>
      </c>
      <c r="AY675">
        <v>0</v>
      </c>
      <c r="AZ675">
        <v>0</v>
      </c>
      <c r="BA675">
        <v>100</v>
      </c>
      <c r="BB675">
        <v>100</v>
      </c>
      <c r="BC675">
        <v>100</v>
      </c>
      <c r="BD675">
        <v>100</v>
      </c>
      <c r="BE675">
        <v>1</v>
      </c>
      <c r="BF675">
        <v>15000</v>
      </c>
      <c r="BG675">
        <v>1000</v>
      </c>
      <c r="BH675" s="7">
        <f>ROUND(Wapato_Inventory[[#This Row],[detatched_value]]*Lookups!$B$22*Lookups!$H$48,-2)</f>
        <v>0</v>
      </c>
      <c r="BI675" s="7">
        <f>ROUND(((Wapato_Inventory[[#This Row],[land_extract]]*Lookups!$B$3) +(Lookups!$B$2*0.5))*Lookups!$H$48,-2)</f>
        <v>52100</v>
      </c>
      <c r="BJ675" s="7">
        <f>IF(Wapato_Inventory[[#This Row],[bldg_style]]="",0,Lookups!$B$2*0.5)</f>
        <v>53765.27</v>
      </c>
      <c r="BK675" s="7">
        <f>_xlfn.IFNA(VLOOKUP(Wapato_Inventory[[#This Row],[quality]],Lookups!$H$2:$J$14,3,FALSE),0)</f>
        <v>28034</v>
      </c>
      <c r="BL675" s="7">
        <f>_xlfn.IFNA(VLOOKUP(Wapato_Inventory[[#This Row],[condition]],Lookups!$H$17:$J$24,3,FALSE),0)</f>
        <v>52231</v>
      </c>
      <c r="BM675" s="7">
        <f>Wapato_Inventory[[#This Row],[Age]]*Lookups!$B$16</f>
        <v>-41886.354100000004</v>
      </c>
      <c r="BN675" s="7">
        <f>Wapato_Inventory[[#This Row],[Main Floor]]*Lookups!$B$17</f>
        <v>28508.103997999999</v>
      </c>
      <c r="BO675" s="7">
        <f>Wapato_Inventory[[#This Row],[Upper Floor]]*Lookups!$B$18</f>
        <v>0</v>
      </c>
      <c r="BP675" s="7">
        <f>Wapato_Inventory[[#This Row],[Fin BSMT]]*Lookups!$B$19</f>
        <v>0</v>
      </c>
      <c r="BQ675" s="7">
        <f>(Wapato_Inventory[[#This Row],[att_gar]]+Wapato_Inventory[[#This Row],[blt_gar]])*Lookups!$B$20</f>
        <v>0</v>
      </c>
      <c r="BR675" s="7">
        <f>Wapato_Inventory[[#This Row],[Patio]]*Lookups!$B$21</f>
        <v>0</v>
      </c>
      <c r="BS675" s="7">
        <f>SUM(Wapato_Inventory[[#This Row],[intercept]:[patio_value]])*Wapato_Inventory[[#This Row],[res_pct]]</f>
        <v>120652.019898</v>
      </c>
      <c r="BT675" s="7">
        <f>Wapato_Inventory[[#This Row],[land_value]]</f>
        <v>52100</v>
      </c>
      <c r="BU675" s="2">
        <f>_xlfn.IFNA(VLOOKUP(Wapato_Inventory[[#This Row],[quality]],Lookups!$A$28:$C$37,3,FALSE),1)</f>
        <v>0.96265813922927435</v>
      </c>
      <c r="BV675" s="2">
        <f>_xlfn.IFNA(VLOOKUP(Wapato_Inventory[[#This Row],[condition]],Lookups!$A$41:$C$48,3,FALSE),1)</f>
        <v>0.9832333997567807</v>
      </c>
      <c r="BW675" s="2">
        <f>IF(Wapato_Inventory[[#This Row],[decade]]="",1,_xlfn.IFNA(VLOOKUP(Wapato_Inventory[[#This Row],[decade]],Lookups!$F$28:$H$45,3,FALSE),1))</f>
        <v>0.93664589651353292</v>
      </c>
      <c r="BX675" s="2">
        <f>_xlfn.IFNA(VLOOKUP(Wapato_Inventory[[#This Row],[living_area_range]],Lookups!$K$28:$M$37,3,FALSE),1)</f>
        <v>0.99022994770196116</v>
      </c>
      <c r="BY675" s="2">
        <f>AVERAGE(Wapato_Inventory[[#This Row],[qual_adj]:[range_adj]])</f>
        <v>0.9681918458003872</v>
      </c>
      <c r="BZ675" s="7">
        <f>(Wapato_Inventory[[#This Row],[sum_land]]-IF(Wapato_Inventory[[#This Row],[no_utilities]]=1,12000,0))/IF(Wapato_Inventory[[#This Row],[unbuildable]]=1,2,1)</f>
        <v>52100</v>
      </c>
      <c r="CA675" s="7">
        <f>Wapato_Inventory[[#This Row],[pre_res]]*Wapato_Inventory[[#This Row],[overall_adj]]</f>
        <v>116814.30184458966</v>
      </c>
      <c r="CB675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675" s="3">
        <f>IF(ROUND(Wapato_Inventory[[#This Row],[adj_res]]*Lookups!$H$48,-2)&lt;Wapato_Inventory[[#This Row],[min_res]],Wapato_Inventory[[#This Row],[min_res]],ROUND(Wapato_Inventory[[#This Row],[adj_res]]*Lookups!$H$48,-2))</f>
        <v>111000</v>
      </c>
      <c r="CD675" s="3">
        <f>ROUND(Wapato_Inventory[[#This Row],[det_value]]*Lookups!$H$48,-2)</f>
        <v>0</v>
      </c>
      <c r="CE675" s="3">
        <f>Wapato_Inventory[[#This Row],[final_res]]+Wapato_Inventory[[#This Row],[final_det]]</f>
        <v>111000</v>
      </c>
      <c r="CF675" s="3">
        <f>Wapato_Inventory[[#This Row],[crop_value]]+Wapato_Inventory[[#This Row],[final_land]]+Wapato_Inventory[[#This Row],[final_imp]]</f>
        <v>160500</v>
      </c>
      <c r="CH675" t="str">
        <f t="shared" si="10"/>
        <v>update valuation set market_land =49500, market_bldg=111000, market_total =160500, market_mdno =405, market_date ='9/10/2023' where link_id = (select link_id from parcel where parcel_year = '2024' and parcel_id = '19111513481');</v>
      </c>
    </row>
    <row r="676" spans="1:86" x14ac:dyDescent="0.25">
      <c r="A676">
        <v>19111513482</v>
      </c>
      <c r="B676">
        <v>0.15</v>
      </c>
      <c r="C676">
        <v>6487</v>
      </c>
      <c r="D676" t="s">
        <v>144</v>
      </c>
      <c r="E676" t="s">
        <v>54</v>
      </c>
      <c r="F676" t="s">
        <v>54</v>
      </c>
      <c r="G676">
        <v>3</v>
      </c>
      <c r="H676" t="s">
        <v>55</v>
      </c>
      <c r="I676">
        <v>161100</v>
      </c>
      <c r="J676">
        <v>32300</v>
      </c>
      <c r="K676">
        <v>0.15</v>
      </c>
      <c r="L676">
        <f>IF(Wapato_Inventory[[#This Row],[parcel_acres]]-Wapato_Inventory[[#This Row],[non_valued_acres]] =0,0,LN(Wapato_Inventory[[#This Row],[parcel_acres]]-Wapato_Inventory[[#This Row],[non_valued_acres]]))</f>
        <v>-1.8971199848858813</v>
      </c>
      <c r="M676">
        <v>0</v>
      </c>
      <c r="N676">
        <v>0</v>
      </c>
      <c r="O676">
        <v>0</v>
      </c>
      <c r="P676">
        <v>27904.037</v>
      </c>
      <c r="Q676">
        <v>74398</v>
      </c>
      <c r="R676" s="3">
        <f>(Wapato_Inventory[[#This Row],[ln_acres]]*Wapato_Inventory[[#This Row],[coeff]])+Wapato_Inventory[[#This Row],[const]]</f>
        <v>21460.693748304926</v>
      </c>
      <c r="S676" t="s">
        <v>62</v>
      </c>
      <c r="T676">
        <v>1</v>
      </c>
      <c r="U676" t="s">
        <v>67</v>
      </c>
      <c r="V676" t="s">
        <v>68</v>
      </c>
      <c r="W676">
        <v>0</v>
      </c>
      <c r="X676">
        <v>0</v>
      </c>
      <c r="Y676">
        <v>33</v>
      </c>
      <c r="Z676">
        <v>33</v>
      </c>
      <c r="AA676">
        <v>40</v>
      </c>
      <c r="AB676">
        <v>1500</v>
      </c>
      <c r="AC676">
        <v>1126</v>
      </c>
      <c r="AD676">
        <v>1126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60</v>
      </c>
      <c r="AN676">
        <v>40</v>
      </c>
      <c r="AO676">
        <v>0</v>
      </c>
      <c r="AP676">
        <v>5</v>
      </c>
      <c r="AQ676">
        <v>0</v>
      </c>
      <c r="AR676">
        <v>0</v>
      </c>
      <c r="AS676" t="s">
        <v>59</v>
      </c>
      <c r="AT676">
        <v>1</v>
      </c>
      <c r="AU676" t="s">
        <v>72</v>
      </c>
      <c r="AV676" t="s">
        <v>61</v>
      </c>
      <c r="AW676">
        <v>0</v>
      </c>
      <c r="AX676">
        <v>4</v>
      </c>
      <c r="AY676">
        <v>0</v>
      </c>
      <c r="AZ676">
        <v>0</v>
      </c>
      <c r="BA676">
        <v>100</v>
      </c>
      <c r="BB676">
        <v>100</v>
      </c>
      <c r="BC676">
        <v>100</v>
      </c>
      <c r="BD676">
        <v>100</v>
      </c>
      <c r="BE676">
        <v>1</v>
      </c>
      <c r="BF676">
        <v>15000</v>
      </c>
      <c r="BG676">
        <v>1000</v>
      </c>
      <c r="BH676" s="7">
        <f>ROUND(Wapato_Inventory[[#This Row],[detatched_value]]*Lookups!$B$22*Lookups!$H$48,-2)</f>
        <v>0</v>
      </c>
      <c r="BI676" s="7">
        <f>ROUND(((Wapato_Inventory[[#This Row],[land_extract]]*Lookups!$B$3) +(Lookups!$B$2*0.5))*Lookups!$H$48,-2)</f>
        <v>53100</v>
      </c>
      <c r="BJ676" s="7">
        <f>IF(Wapato_Inventory[[#This Row],[bldg_style]]="",0,Lookups!$B$2*0.5)</f>
        <v>53765.27</v>
      </c>
      <c r="BK676" s="7">
        <f>_xlfn.IFNA(VLOOKUP(Wapato_Inventory[[#This Row],[quality]],Lookups!$H$2:$J$14,3,FALSE),0)</f>
        <v>50405</v>
      </c>
      <c r="BL676" s="7">
        <f>_xlfn.IFNA(VLOOKUP(Wapato_Inventory[[#This Row],[condition]],Lookups!$H$17:$J$24,3,FALSE),0)</f>
        <v>52231</v>
      </c>
      <c r="BM676" s="7">
        <f>Wapato_Inventory[[#This Row],[Age]]*Lookups!$B$16</f>
        <v>-12232.2981</v>
      </c>
      <c r="BN676" s="7">
        <f>Wapato_Inventory[[#This Row],[Main Floor]]*Lookups!$B$17</f>
        <v>47067.632114</v>
      </c>
      <c r="BO676" s="7">
        <f>Wapato_Inventory[[#This Row],[Upper Floor]]*Lookups!$B$18</f>
        <v>0</v>
      </c>
      <c r="BP676" s="7">
        <f>Wapato_Inventory[[#This Row],[Fin BSMT]]*Lookups!$B$19</f>
        <v>0</v>
      </c>
      <c r="BQ676" s="7">
        <f>(Wapato_Inventory[[#This Row],[att_gar]]+Wapato_Inventory[[#This Row],[blt_gar]])*Lookups!$B$20</f>
        <v>0</v>
      </c>
      <c r="BR676" s="7">
        <f>Wapato_Inventory[[#This Row],[Patio]]*Lookups!$B$21</f>
        <v>2599.4387400000001</v>
      </c>
      <c r="BS676" s="7">
        <f>SUM(Wapato_Inventory[[#This Row],[intercept]:[patio_value]])*Wapato_Inventory[[#This Row],[res_pct]]</f>
        <v>193836.04275400002</v>
      </c>
      <c r="BT676" s="7">
        <f>Wapato_Inventory[[#This Row],[land_value]]</f>
        <v>53100</v>
      </c>
      <c r="BU676" s="2">
        <f>_xlfn.IFNA(VLOOKUP(Wapato_Inventory[[#This Row],[quality]],Lookups!$A$28:$C$37,3,FALSE),1)</f>
        <v>0.97993206410140754</v>
      </c>
      <c r="BV676" s="2">
        <f>_xlfn.IFNA(VLOOKUP(Wapato_Inventory[[#This Row],[condition]],Lookups!$A$41:$C$48,3,FALSE),1)</f>
        <v>0.9832333997567807</v>
      </c>
      <c r="BW676" s="2">
        <f>IF(Wapato_Inventory[[#This Row],[decade]]="",1,_xlfn.IFNA(VLOOKUP(Wapato_Inventory[[#This Row],[decade]],Lookups!$F$28:$H$45,3,FALSE),1))</f>
        <v>1.0327621624630683</v>
      </c>
      <c r="BX676" s="2">
        <f>_xlfn.IFNA(VLOOKUP(Wapato_Inventory[[#This Row],[living_area_range]],Lookups!$K$28:$M$37,3,FALSE),1)</f>
        <v>1.0061411172456287</v>
      </c>
      <c r="BY676" s="2">
        <f>AVERAGE(Wapato_Inventory[[#This Row],[qual_adj]:[range_adj]])</f>
        <v>1.0005171858917215</v>
      </c>
      <c r="BZ676" s="7">
        <f>(Wapato_Inventory[[#This Row],[sum_land]]-IF(Wapato_Inventory[[#This Row],[no_utilities]]=1,12000,0))/IF(Wapato_Inventory[[#This Row],[unbuildable]]=1,2,1)</f>
        <v>53100</v>
      </c>
      <c r="CA676" s="7">
        <f>Wapato_Inventory[[#This Row],[pre_res]]*Wapato_Inventory[[#This Row],[overall_adj]]</f>
        <v>193936.2920206195</v>
      </c>
      <c r="CB67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76" s="3">
        <f>IF(ROUND(Wapato_Inventory[[#This Row],[adj_res]]*Lookups!$H$48,-2)&lt;Wapato_Inventory[[#This Row],[min_res]],Wapato_Inventory[[#This Row],[min_res]],ROUND(Wapato_Inventory[[#This Row],[adj_res]]*Lookups!$H$48,-2))</f>
        <v>184200</v>
      </c>
      <c r="CD676" s="3">
        <f>ROUND(Wapato_Inventory[[#This Row],[det_value]]*Lookups!$H$48,-2)</f>
        <v>0</v>
      </c>
      <c r="CE676" s="3">
        <f>Wapato_Inventory[[#This Row],[final_res]]+Wapato_Inventory[[#This Row],[final_det]]</f>
        <v>184200</v>
      </c>
      <c r="CF676" s="3">
        <f>Wapato_Inventory[[#This Row],[crop_value]]+Wapato_Inventory[[#This Row],[final_land]]+Wapato_Inventory[[#This Row],[final_imp]]</f>
        <v>234600</v>
      </c>
      <c r="CH676" t="str">
        <f t="shared" si="10"/>
        <v>update valuation set market_land =50400, market_bldg=184200, market_total =234600, market_mdno =405, market_date ='9/10/2023' where link_id = (select link_id from parcel where parcel_year = '2024' and parcel_id = '19111513482');</v>
      </c>
    </row>
    <row r="677" spans="1:86" x14ac:dyDescent="0.25">
      <c r="A677">
        <v>19111513483</v>
      </c>
      <c r="B677">
        <v>0.15</v>
      </c>
      <c r="C677">
        <v>6584</v>
      </c>
      <c r="D677" t="s">
        <v>144</v>
      </c>
      <c r="E677" t="s">
        <v>54</v>
      </c>
      <c r="F677" t="s">
        <v>54</v>
      </c>
      <c r="G677">
        <v>3</v>
      </c>
      <c r="H677" t="s">
        <v>55</v>
      </c>
      <c r="I677">
        <v>176200</v>
      </c>
      <c r="J677">
        <v>32300</v>
      </c>
      <c r="K677">
        <v>0.15</v>
      </c>
      <c r="L677">
        <f>IF(Wapato_Inventory[[#This Row],[parcel_acres]]-Wapato_Inventory[[#This Row],[non_valued_acres]] =0,0,LN(Wapato_Inventory[[#This Row],[parcel_acres]]-Wapato_Inventory[[#This Row],[non_valued_acres]]))</f>
        <v>-1.8971199848858813</v>
      </c>
      <c r="M677">
        <v>0</v>
      </c>
      <c r="N677">
        <v>0</v>
      </c>
      <c r="O677">
        <v>0</v>
      </c>
      <c r="P677">
        <v>27904.037</v>
      </c>
      <c r="Q677">
        <v>74398</v>
      </c>
      <c r="R677" s="3">
        <f>(Wapato_Inventory[[#This Row],[ln_acres]]*Wapato_Inventory[[#This Row],[coeff]])+Wapato_Inventory[[#This Row],[const]]</f>
        <v>21460.693748304926</v>
      </c>
      <c r="S677" t="s">
        <v>62</v>
      </c>
      <c r="T677">
        <v>1</v>
      </c>
      <c r="U677" t="s">
        <v>75</v>
      </c>
      <c r="V677" t="s">
        <v>68</v>
      </c>
      <c r="W677">
        <v>0</v>
      </c>
      <c r="X677">
        <v>0</v>
      </c>
      <c r="Y677">
        <v>38</v>
      </c>
      <c r="Z677">
        <v>38</v>
      </c>
      <c r="AA677">
        <v>40</v>
      </c>
      <c r="AB677">
        <v>1500</v>
      </c>
      <c r="AC677">
        <v>1300</v>
      </c>
      <c r="AD677">
        <v>1300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8</v>
      </c>
      <c r="AQ677">
        <v>0</v>
      </c>
      <c r="AR677">
        <v>0</v>
      </c>
      <c r="AS677" t="s">
        <v>59</v>
      </c>
      <c r="AT677">
        <v>1</v>
      </c>
      <c r="AU677" t="s">
        <v>72</v>
      </c>
      <c r="AV677" t="s">
        <v>61</v>
      </c>
      <c r="AW677">
        <v>0</v>
      </c>
      <c r="AX677">
        <v>3</v>
      </c>
      <c r="AY677">
        <v>0</v>
      </c>
      <c r="AZ677">
        <v>0</v>
      </c>
      <c r="BA677">
        <v>100</v>
      </c>
      <c r="BB677">
        <v>100</v>
      </c>
      <c r="BC677">
        <v>100</v>
      </c>
      <c r="BD677">
        <v>100</v>
      </c>
      <c r="BE677">
        <v>1</v>
      </c>
      <c r="BF677">
        <v>15000</v>
      </c>
      <c r="BG677">
        <v>1000</v>
      </c>
      <c r="BH677" s="7">
        <f>ROUND(Wapato_Inventory[[#This Row],[detatched_value]]*Lookups!$B$22*Lookups!$H$48,-2)</f>
        <v>0</v>
      </c>
      <c r="BI677" s="7">
        <f>ROUND(((Wapato_Inventory[[#This Row],[land_extract]]*Lookups!$B$3) +(Lookups!$B$2*0.5))*Lookups!$H$48,-2)</f>
        <v>53100</v>
      </c>
      <c r="BJ677" s="7">
        <f>IF(Wapato_Inventory[[#This Row],[bldg_style]]="",0,Lookups!$B$2*0.5)</f>
        <v>53765.27</v>
      </c>
      <c r="BK677" s="7">
        <f>_xlfn.IFNA(VLOOKUP(Wapato_Inventory[[#This Row],[quality]],Lookups!$H$2:$J$14,3,FALSE),0)</f>
        <v>48043</v>
      </c>
      <c r="BL677" s="7">
        <f>_xlfn.IFNA(VLOOKUP(Wapato_Inventory[[#This Row],[condition]],Lookups!$H$17:$J$24,3,FALSE),0)</f>
        <v>52231</v>
      </c>
      <c r="BM677" s="7">
        <f>Wapato_Inventory[[#This Row],[Age]]*Lookups!$B$16</f>
        <v>-14085.676600000001</v>
      </c>
      <c r="BN677" s="7">
        <f>Wapato_Inventory[[#This Row],[Main Floor]]*Lookups!$B$17</f>
        <v>54340.960700000003</v>
      </c>
      <c r="BO677" s="7">
        <f>Wapato_Inventory[[#This Row],[Upper Floor]]*Lookups!$B$18</f>
        <v>0</v>
      </c>
      <c r="BP677" s="7">
        <f>Wapato_Inventory[[#This Row],[Fin BSMT]]*Lookups!$B$19</f>
        <v>0</v>
      </c>
      <c r="BQ677" s="7">
        <f>(Wapato_Inventory[[#This Row],[att_gar]]+Wapato_Inventory[[#This Row],[blt_gar]])*Lookups!$B$20</f>
        <v>0</v>
      </c>
      <c r="BR677" s="7">
        <f>Wapato_Inventory[[#This Row],[Patio]]*Lookups!$B$21</f>
        <v>0</v>
      </c>
      <c r="BS677" s="7">
        <f>SUM(Wapato_Inventory[[#This Row],[intercept]:[patio_value]])*Wapato_Inventory[[#This Row],[res_pct]]</f>
        <v>194294.55409999998</v>
      </c>
      <c r="BT677" s="7">
        <f>Wapato_Inventory[[#This Row],[land_value]]</f>
        <v>53100</v>
      </c>
      <c r="BU677" s="2">
        <f>_xlfn.IFNA(VLOOKUP(Wapato_Inventory[[#This Row],[quality]],Lookups!$A$28:$C$37,3,FALSE),1)</f>
        <v>0.98196844879778955</v>
      </c>
      <c r="BV677" s="2">
        <f>_xlfn.IFNA(VLOOKUP(Wapato_Inventory[[#This Row],[condition]],Lookups!$A$41:$C$48,3,FALSE),1)</f>
        <v>0.9832333997567807</v>
      </c>
      <c r="BW677" s="2">
        <f>IF(Wapato_Inventory[[#This Row],[decade]]="",1,_xlfn.IFNA(VLOOKUP(Wapato_Inventory[[#This Row],[decade]],Lookups!$F$28:$H$45,3,FALSE),1))</f>
        <v>1.0327621624630683</v>
      </c>
      <c r="BX677" s="2">
        <f>_xlfn.IFNA(VLOOKUP(Wapato_Inventory[[#This Row],[living_area_range]],Lookups!$K$28:$M$37,3,FALSE),1)</f>
        <v>1.0061411172456287</v>
      </c>
      <c r="BY677" s="2">
        <f>AVERAGE(Wapato_Inventory[[#This Row],[qual_adj]:[range_adj]])</f>
        <v>1.0010262820658169</v>
      </c>
      <c r="BZ677" s="7">
        <f>(Wapato_Inventory[[#This Row],[sum_land]]-IF(Wapato_Inventory[[#This Row],[no_utilities]]=1,12000,0))/IF(Wapato_Inventory[[#This Row],[unbuildable]]=1,2,1)</f>
        <v>53100</v>
      </c>
      <c r="CA677" s="7">
        <f>Wapato_Inventory[[#This Row],[pre_res]]*Wapato_Inventory[[#This Row],[overall_adj]]</f>
        <v>194493.9551163587</v>
      </c>
      <c r="CB67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77" s="3">
        <f>IF(ROUND(Wapato_Inventory[[#This Row],[adj_res]]*Lookups!$H$48,-2)&lt;Wapato_Inventory[[#This Row],[min_res]],Wapato_Inventory[[#This Row],[min_res]],ROUND(Wapato_Inventory[[#This Row],[adj_res]]*Lookups!$H$48,-2))</f>
        <v>184800</v>
      </c>
      <c r="CD677" s="3">
        <f>ROUND(Wapato_Inventory[[#This Row],[det_value]]*Lookups!$H$48,-2)</f>
        <v>0</v>
      </c>
      <c r="CE677" s="3">
        <f>Wapato_Inventory[[#This Row],[final_res]]+Wapato_Inventory[[#This Row],[final_det]]</f>
        <v>184800</v>
      </c>
      <c r="CF677" s="3">
        <f>Wapato_Inventory[[#This Row],[crop_value]]+Wapato_Inventory[[#This Row],[final_land]]+Wapato_Inventory[[#This Row],[final_imp]]</f>
        <v>235200</v>
      </c>
      <c r="CH677" t="str">
        <f t="shared" si="10"/>
        <v>update valuation set market_land =50400, market_bldg=184800, market_total =235200, market_mdno =405, market_date ='9/10/2023' where link_id = (select link_id from parcel where parcel_year = '2024' and parcel_id = '19111513483');</v>
      </c>
    </row>
    <row r="678" spans="1:86" x14ac:dyDescent="0.25">
      <c r="A678">
        <v>19111513484</v>
      </c>
      <c r="B678">
        <v>0.12</v>
      </c>
      <c r="C678">
        <v>5010</v>
      </c>
      <c r="D678" t="s">
        <v>144</v>
      </c>
      <c r="E678" t="s">
        <v>54</v>
      </c>
      <c r="F678" t="s">
        <v>54</v>
      </c>
      <c r="G678">
        <v>3</v>
      </c>
      <c r="H678" t="s">
        <v>55</v>
      </c>
      <c r="I678">
        <v>119600</v>
      </c>
      <c r="J678">
        <v>30800</v>
      </c>
      <c r="K678">
        <v>0.12</v>
      </c>
      <c r="L678">
        <f>IF(Wapato_Inventory[[#This Row],[parcel_acres]]-Wapato_Inventory[[#This Row],[non_valued_acres]] =0,0,LN(Wapato_Inventory[[#This Row],[parcel_acres]]-Wapato_Inventory[[#This Row],[non_valued_acres]]))</f>
        <v>-2.120263536200091</v>
      </c>
      <c r="M678">
        <v>0</v>
      </c>
      <c r="N678">
        <v>0</v>
      </c>
      <c r="O678">
        <v>0</v>
      </c>
      <c r="P678">
        <v>27904.037</v>
      </c>
      <c r="Q678">
        <v>74398</v>
      </c>
      <c r="R678" s="3">
        <f>(Wapato_Inventory[[#This Row],[ln_acres]]*Wapato_Inventory[[#This Row],[coeff]])+Wapato_Inventory[[#This Row],[const]]</f>
        <v>15234.08783612182</v>
      </c>
      <c r="S678" t="s">
        <v>145</v>
      </c>
      <c r="T678">
        <v>1</v>
      </c>
      <c r="U678" t="s">
        <v>71</v>
      </c>
      <c r="V678" t="s">
        <v>68</v>
      </c>
      <c r="W678">
        <v>0</v>
      </c>
      <c r="X678">
        <v>0</v>
      </c>
      <c r="Y678">
        <v>52</v>
      </c>
      <c r="Z678">
        <v>88</v>
      </c>
      <c r="AA678">
        <v>90</v>
      </c>
      <c r="AB678">
        <v>1500</v>
      </c>
      <c r="AC678">
        <v>1168</v>
      </c>
      <c r="AD678">
        <v>1168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324</v>
      </c>
      <c r="AP678">
        <v>5</v>
      </c>
      <c r="AQ678">
        <v>0</v>
      </c>
      <c r="AR678">
        <v>0</v>
      </c>
      <c r="AS678" t="s">
        <v>59</v>
      </c>
      <c r="AT678">
        <v>0</v>
      </c>
      <c r="AU678" t="s">
        <v>80</v>
      </c>
      <c r="AV678" t="s">
        <v>65</v>
      </c>
      <c r="AW678">
        <v>0</v>
      </c>
      <c r="AX678">
        <v>2</v>
      </c>
      <c r="AY678">
        <v>0</v>
      </c>
      <c r="AZ678">
        <v>0</v>
      </c>
      <c r="BA678">
        <v>100</v>
      </c>
      <c r="BB678">
        <v>100</v>
      </c>
      <c r="BC678">
        <v>100</v>
      </c>
      <c r="BD678">
        <v>100</v>
      </c>
      <c r="BE678">
        <v>1</v>
      </c>
      <c r="BF678">
        <v>15000</v>
      </c>
      <c r="BG678">
        <v>1000</v>
      </c>
      <c r="BH678" s="7">
        <f>ROUND(Wapato_Inventory[[#This Row],[detatched_value]]*Lookups!$B$22*Lookups!$H$48,-2)</f>
        <v>0</v>
      </c>
      <c r="BI678" s="7">
        <f>ROUND(((Wapato_Inventory[[#This Row],[land_extract]]*Lookups!$B$3) +(Lookups!$B$2*0.5))*Lookups!$H$48,-2)</f>
        <v>52500</v>
      </c>
      <c r="BJ678" s="7">
        <f>IF(Wapato_Inventory[[#This Row],[bldg_style]]="",0,Lookups!$B$2*0.5)</f>
        <v>53765.27</v>
      </c>
      <c r="BK678" s="7">
        <f>_xlfn.IFNA(VLOOKUP(Wapato_Inventory[[#This Row],[quality]],Lookups!$H$2:$J$14,3,FALSE),0)</f>
        <v>28034</v>
      </c>
      <c r="BL678" s="7">
        <f>_xlfn.IFNA(VLOOKUP(Wapato_Inventory[[#This Row],[condition]],Lookups!$H$17:$J$24,3,FALSE),0)</f>
        <v>52231</v>
      </c>
      <c r="BM678" s="7">
        <f>Wapato_Inventory[[#This Row],[Age]]*Lookups!$B$16</f>
        <v>-32619.461600000002</v>
      </c>
      <c r="BN678" s="7">
        <f>Wapato_Inventory[[#This Row],[Main Floor]]*Lookups!$B$17</f>
        <v>48823.263152</v>
      </c>
      <c r="BO678" s="7">
        <f>Wapato_Inventory[[#This Row],[Upper Floor]]*Lookups!$B$18</f>
        <v>0</v>
      </c>
      <c r="BP678" s="7">
        <f>Wapato_Inventory[[#This Row],[Fin BSMT]]*Lookups!$B$19</f>
        <v>0</v>
      </c>
      <c r="BQ678" s="7">
        <f>(Wapato_Inventory[[#This Row],[att_gar]]+Wapato_Inventory[[#This Row],[blt_gar]])*Lookups!$B$20</f>
        <v>0</v>
      </c>
      <c r="BR678" s="7">
        <f>Wapato_Inventory[[#This Row],[Patio]]*Lookups!$B$21</f>
        <v>0</v>
      </c>
      <c r="BS678" s="7">
        <f>SUM(Wapato_Inventory[[#This Row],[intercept]:[patio_value]])*Wapato_Inventory[[#This Row],[res_pct]]</f>
        <v>150234.07155199998</v>
      </c>
      <c r="BT678" s="7">
        <f>Wapato_Inventory[[#This Row],[land_value]]</f>
        <v>52500</v>
      </c>
      <c r="BU678" s="2">
        <f>_xlfn.IFNA(VLOOKUP(Wapato_Inventory[[#This Row],[quality]],Lookups!$A$28:$C$37,3,FALSE),1)</f>
        <v>0.96265813922927435</v>
      </c>
      <c r="BV678" s="2">
        <f>_xlfn.IFNA(VLOOKUP(Wapato_Inventory[[#This Row],[condition]],Lookups!$A$41:$C$48,3,FALSE),1)</f>
        <v>0.9832333997567807</v>
      </c>
      <c r="BW678" s="2">
        <f>IF(Wapato_Inventory[[#This Row],[decade]]="",1,_xlfn.IFNA(VLOOKUP(Wapato_Inventory[[#This Row],[decade]],Lookups!$F$28:$H$45,3,FALSE),1))</f>
        <v>0.94742695999815718</v>
      </c>
      <c r="BX678" s="2">
        <f>_xlfn.IFNA(VLOOKUP(Wapato_Inventory[[#This Row],[living_area_range]],Lookups!$K$28:$M$37,3,FALSE),1)</f>
        <v>1.0061411172456287</v>
      </c>
      <c r="BY678" s="2">
        <f>AVERAGE(Wapato_Inventory[[#This Row],[qual_adj]:[range_adj]])</f>
        <v>0.97486490405746018</v>
      </c>
      <c r="BZ678" s="7">
        <f>(Wapato_Inventory[[#This Row],[sum_land]]-IF(Wapato_Inventory[[#This Row],[no_utilities]]=1,12000,0))/IF(Wapato_Inventory[[#This Row],[unbuildable]]=1,2,1)</f>
        <v>52500</v>
      </c>
      <c r="CA678" s="7">
        <f>Wapato_Inventory[[#This Row],[pre_res]]*Wapato_Inventory[[#This Row],[overall_adj]]</f>
        <v>146457.92374970208</v>
      </c>
      <c r="CB678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678" s="3">
        <f>IF(ROUND(Wapato_Inventory[[#This Row],[adj_res]]*Lookups!$H$48,-2)&lt;Wapato_Inventory[[#This Row],[min_res]],Wapato_Inventory[[#This Row],[min_res]],ROUND(Wapato_Inventory[[#This Row],[adj_res]]*Lookups!$H$48,-2))</f>
        <v>139100</v>
      </c>
      <c r="CD678" s="3">
        <f>ROUND(Wapato_Inventory[[#This Row],[det_value]]*Lookups!$H$48,-2)</f>
        <v>0</v>
      </c>
      <c r="CE678" s="3">
        <f>Wapato_Inventory[[#This Row],[final_res]]+Wapato_Inventory[[#This Row],[final_det]]</f>
        <v>139100</v>
      </c>
      <c r="CF678" s="3">
        <f>Wapato_Inventory[[#This Row],[crop_value]]+Wapato_Inventory[[#This Row],[final_land]]+Wapato_Inventory[[#This Row],[final_imp]]</f>
        <v>189000</v>
      </c>
      <c r="CH678" t="str">
        <f t="shared" si="10"/>
        <v>update valuation set market_land =49900, market_bldg=139100, market_total =189000, market_mdno =405, market_date ='9/10/2023' where link_id = (select link_id from parcel where parcel_year = '2024' and parcel_id = '19111513484');</v>
      </c>
    </row>
    <row r="679" spans="1:86" x14ac:dyDescent="0.25">
      <c r="A679">
        <v>19111513485</v>
      </c>
      <c r="B679">
        <v>0.14000000000000001</v>
      </c>
      <c r="C679">
        <v>6180</v>
      </c>
      <c r="D679" t="s">
        <v>144</v>
      </c>
      <c r="E679" t="s">
        <v>54</v>
      </c>
      <c r="F679" t="s">
        <v>54</v>
      </c>
      <c r="G679">
        <v>3</v>
      </c>
      <c r="H679" t="s">
        <v>55</v>
      </c>
      <c r="I679">
        <v>182400</v>
      </c>
      <c r="J679">
        <v>31900</v>
      </c>
      <c r="K679">
        <v>0.14000000000000001</v>
      </c>
      <c r="L679">
        <f>IF(Wapato_Inventory[[#This Row],[parcel_acres]]-Wapato_Inventory[[#This Row],[non_valued_acres]] =0,0,LN(Wapato_Inventory[[#This Row],[parcel_acres]]-Wapato_Inventory[[#This Row],[non_valued_acres]]))</f>
        <v>-1.9661128563728327</v>
      </c>
      <c r="M679">
        <v>0</v>
      </c>
      <c r="N679">
        <v>0</v>
      </c>
      <c r="O679">
        <v>0</v>
      </c>
      <c r="P679">
        <v>27904.037</v>
      </c>
      <c r="Q679">
        <v>74398</v>
      </c>
      <c r="R679" s="3">
        <f>(Wapato_Inventory[[#This Row],[ln_acres]]*Wapato_Inventory[[#This Row],[coeff]])+Wapato_Inventory[[#This Row],[const]]</f>
        <v>19535.514109596792</v>
      </c>
      <c r="S679" t="s">
        <v>62</v>
      </c>
      <c r="T679">
        <v>1</v>
      </c>
      <c r="U679" t="s">
        <v>75</v>
      </c>
      <c r="V679" t="s">
        <v>68</v>
      </c>
      <c r="W679">
        <v>0</v>
      </c>
      <c r="X679">
        <v>0</v>
      </c>
      <c r="Y679">
        <v>41</v>
      </c>
      <c r="Z679">
        <v>41</v>
      </c>
      <c r="AA679">
        <v>50</v>
      </c>
      <c r="AB679">
        <v>1500</v>
      </c>
      <c r="AC679">
        <v>1161</v>
      </c>
      <c r="AD679">
        <v>1161</v>
      </c>
      <c r="AE679">
        <v>0</v>
      </c>
      <c r="AF679">
        <v>0</v>
      </c>
      <c r="AG679">
        <v>0</v>
      </c>
      <c r="AH679">
        <v>0</v>
      </c>
      <c r="AI679">
        <v>324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5</v>
      </c>
      <c r="AQ679">
        <v>0</v>
      </c>
      <c r="AR679">
        <v>0</v>
      </c>
      <c r="AS679" t="s">
        <v>59</v>
      </c>
      <c r="AT679">
        <v>1</v>
      </c>
      <c r="AU679" t="s">
        <v>72</v>
      </c>
      <c r="AV679" t="s">
        <v>61</v>
      </c>
      <c r="AW679">
        <v>0</v>
      </c>
      <c r="AX679">
        <v>3</v>
      </c>
      <c r="AY679">
        <v>0</v>
      </c>
      <c r="AZ679">
        <v>0</v>
      </c>
      <c r="BA679">
        <v>100</v>
      </c>
      <c r="BB679">
        <v>100</v>
      </c>
      <c r="BC679">
        <v>100</v>
      </c>
      <c r="BD679">
        <v>100</v>
      </c>
      <c r="BE679">
        <v>1</v>
      </c>
      <c r="BF679">
        <v>15000</v>
      </c>
      <c r="BG679">
        <v>1000</v>
      </c>
      <c r="BH679" s="7">
        <f>ROUND(Wapato_Inventory[[#This Row],[detatched_value]]*Lookups!$B$22*Lookups!$H$48,-2)</f>
        <v>0</v>
      </c>
      <c r="BI679" s="7">
        <f>ROUND(((Wapato_Inventory[[#This Row],[land_extract]]*Lookups!$B$3) +(Lookups!$B$2*0.5))*Lookups!$H$48,-2)</f>
        <v>53000</v>
      </c>
      <c r="BJ679" s="7">
        <f>IF(Wapato_Inventory[[#This Row],[bldg_style]]="",0,Lookups!$B$2*0.5)</f>
        <v>53765.27</v>
      </c>
      <c r="BK679" s="7">
        <f>_xlfn.IFNA(VLOOKUP(Wapato_Inventory[[#This Row],[quality]],Lookups!$H$2:$J$14,3,FALSE),0)</f>
        <v>48043</v>
      </c>
      <c r="BL679" s="7">
        <f>_xlfn.IFNA(VLOOKUP(Wapato_Inventory[[#This Row],[condition]],Lookups!$H$17:$J$24,3,FALSE),0)</f>
        <v>52231</v>
      </c>
      <c r="BM679" s="7">
        <f>Wapato_Inventory[[#This Row],[Age]]*Lookups!$B$16</f>
        <v>-15197.7037</v>
      </c>
      <c r="BN679" s="7">
        <f>Wapato_Inventory[[#This Row],[Main Floor]]*Lookups!$B$17</f>
        <v>48530.657979000003</v>
      </c>
      <c r="BO679" s="7">
        <f>Wapato_Inventory[[#This Row],[Upper Floor]]*Lookups!$B$18</f>
        <v>0</v>
      </c>
      <c r="BP679" s="7">
        <f>Wapato_Inventory[[#This Row],[Fin BSMT]]*Lookups!$B$19</f>
        <v>0</v>
      </c>
      <c r="BQ679" s="7">
        <f>(Wapato_Inventory[[#This Row],[att_gar]]+Wapato_Inventory[[#This Row],[blt_gar]])*Lookups!$B$20</f>
        <v>11990.835648</v>
      </c>
      <c r="BR679" s="7">
        <f>Wapato_Inventory[[#This Row],[Patio]]*Lookups!$B$21</f>
        <v>0</v>
      </c>
      <c r="BS679" s="7">
        <f>SUM(Wapato_Inventory[[#This Row],[intercept]:[patio_value]])*Wapato_Inventory[[#This Row],[res_pct]]</f>
        <v>199363.05992699999</v>
      </c>
      <c r="BT679" s="7">
        <f>Wapato_Inventory[[#This Row],[land_value]]</f>
        <v>53000</v>
      </c>
      <c r="BU679" s="2">
        <f>_xlfn.IFNA(VLOOKUP(Wapato_Inventory[[#This Row],[quality]],Lookups!$A$28:$C$37,3,FALSE),1)</f>
        <v>0.98196844879778955</v>
      </c>
      <c r="BV679" s="2">
        <f>_xlfn.IFNA(VLOOKUP(Wapato_Inventory[[#This Row],[condition]],Lookups!$A$41:$C$48,3,FALSE),1)</f>
        <v>0.9832333997567807</v>
      </c>
      <c r="BW679" s="2">
        <f>IF(Wapato_Inventory[[#This Row],[decade]]="",1,_xlfn.IFNA(VLOOKUP(Wapato_Inventory[[#This Row],[decade]],Lookups!$F$28:$H$45,3,FALSE),1))</f>
        <v>0.96240333884358298</v>
      </c>
      <c r="BX679" s="2">
        <f>_xlfn.IFNA(VLOOKUP(Wapato_Inventory[[#This Row],[living_area_range]],Lookups!$K$28:$M$37,3,FALSE),1)</f>
        <v>1.0061411172456287</v>
      </c>
      <c r="BY679" s="2">
        <f>AVERAGE(Wapato_Inventory[[#This Row],[qual_adj]:[range_adj]])</f>
        <v>0.98343657616094549</v>
      </c>
      <c r="BZ679" s="7">
        <f>(Wapato_Inventory[[#This Row],[sum_land]]-IF(Wapato_Inventory[[#This Row],[no_utilities]]=1,12000,0))/IF(Wapato_Inventory[[#This Row],[unbuildable]]=1,2,1)</f>
        <v>53000</v>
      </c>
      <c r="CA679" s="7">
        <f>Wapato_Inventory[[#This Row],[pre_res]]*Wapato_Inventory[[#This Row],[overall_adj]]</f>
        <v>196060.92506757827</v>
      </c>
      <c r="CB67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79" s="3">
        <f>IF(ROUND(Wapato_Inventory[[#This Row],[adj_res]]*Lookups!$H$48,-2)&lt;Wapato_Inventory[[#This Row],[min_res]],Wapato_Inventory[[#This Row],[min_res]],ROUND(Wapato_Inventory[[#This Row],[adj_res]]*Lookups!$H$48,-2))</f>
        <v>186300</v>
      </c>
      <c r="CD679" s="3">
        <f>ROUND(Wapato_Inventory[[#This Row],[det_value]]*Lookups!$H$48,-2)</f>
        <v>0</v>
      </c>
      <c r="CE679" s="3">
        <f>Wapato_Inventory[[#This Row],[final_res]]+Wapato_Inventory[[#This Row],[final_det]]</f>
        <v>186300</v>
      </c>
      <c r="CF679" s="3">
        <f>Wapato_Inventory[[#This Row],[crop_value]]+Wapato_Inventory[[#This Row],[final_land]]+Wapato_Inventory[[#This Row],[final_imp]]</f>
        <v>236700</v>
      </c>
      <c r="CH679" t="str">
        <f t="shared" si="10"/>
        <v>update valuation set market_land =50400, market_bldg=186300, market_total =236700, market_mdno =405, market_date ='9/10/2023' where link_id = (select link_id from parcel where parcel_year = '2024' and parcel_id = '19111513485');</v>
      </c>
    </row>
    <row r="680" spans="1:86" x14ac:dyDescent="0.25">
      <c r="A680">
        <v>19111513486</v>
      </c>
      <c r="B680">
        <v>0.14000000000000001</v>
      </c>
      <c r="C680">
        <v>6309</v>
      </c>
      <c r="D680" t="s">
        <v>144</v>
      </c>
      <c r="E680" t="s">
        <v>54</v>
      </c>
      <c r="F680" t="s">
        <v>54</v>
      </c>
      <c r="G680">
        <v>3</v>
      </c>
      <c r="H680" t="s">
        <v>55</v>
      </c>
      <c r="I680">
        <v>227100</v>
      </c>
      <c r="J680">
        <v>31900</v>
      </c>
      <c r="K680">
        <v>0.14000000000000001</v>
      </c>
      <c r="L680">
        <f>IF(Wapato_Inventory[[#This Row],[parcel_acres]]-Wapato_Inventory[[#This Row],[non_valued_acres]] =0,0,LN(Wapato_Inventory[[#This Row],[parcel_acres]]-Wapato_Inventory[[#This Row],[non_valued_acres]]))</f>
        <v>-1.9661128563728327</v>
      </c>
      <c r="M680">
        <v>0</v>
      </c>
      <c r="N680">
        <v>0</v>
      </c>
      <c r="O680">
        <v>0</v>
      </c>
      <c r="P680">
        <v>27904.037</v>
      </c>
      <c r="Q680">
        <v>74398</v>
      </c>
      <c r="R680" s="3">
        <f>(Wapato_Inventory[[#This Row],[ln_acres]]*Wapato_Inventory[[#This Row],[coeff]])+Wapato_Inventory[[#This Row],[const]]</f>
        <v>19535.514109596792</v>
      </c>
      <c r="S680" t="s">
        <v>66</v>
      </c>
      <c r="T680">
        <v>1</v>
      </c>
      <c r="U680" t="s">
        <v>67</v>
      </c>
      <c r="V680" t="s">
        <v>68</v>
      </c>
      <c r="W680">
        <v>0</v>
      </c>
      <c r="X680">
        <v>0</v>
      </c>
      <c r="Y680">
        <v>50</v>
      </c>
      <c r="Z680">
        <v>73</v>
      </c>
      <c r="AA680">
        <v>80</v>
      </c>
      <c r="AB680">
        <v>3000</v>
      </c>
      <c r="AC680">
        <v>2708</v>
      </c>
      <c r="AD680">
        <v>1508</v>
      </c>
      <c r="AE680">
        <v>0</v>
      </c>
      <c r="AF680">
        <v>0</v>
      </c>
      <c r="AG680">
        <v>1200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0</v>
      </c>
      <c r="AN680">
        <v>112</v>
      </c>
      <c r="AO680">
        <v>0</v>
      </c>
      <c r="AP680">
        <v>8</v>
      </c>
      <c r="AQ680">
        <v>0</v>
      </c>
      <c r="AR680">
        <v>1</v>
      </c>
      <c r="AS680" t="s">
        <v>59</v>
      </c>
      <c r="AT680">
        <v>1</v>
      </c>
      <c r="AU680" t="s">
        <v>60</v>
      </c>
      <c r="AV680" t="s">
        <v>61</v>
      </c>
      <c r="AW680">
        <v>1</v>
      </c>
      <c r="AX680">
        <v>3</v>
      </c>
      <c r="AY680">
        <v>0</v>
      </c>
      <c r="AZ680">
        <v>10900</v>
      </c>
      <c r="BA680">
        <v>100</v>
      </c>
      <c r="BB680">
        <v>100</v>
      </c>
      <c r="BC680">
        <v>100</v>
      </c>
      <c r="BD680">
        <v>100</v>
      </c>
      <c r="BE680">
        <v>1</v>
      </c>
      <c r="BF680">
        <v>15000</v>
      </c>
      <c r="BG680">
        <v>1000</v>
      </c>
      <c r="BH680" s="7">
        <f>ROUND(Wapato_Inventory[[#This Row],[detatched_value]]*Lookups!$B$22*Lookups!$H$48,-2)</f>
        <v>9700</v>
      </c>
      <c r="BI680" s="7">
        <f>ROUND(((Wapato_Inventory[[#This Row],[land_extract]]*Lookups!$B$3) +(Lookups!$B$2*0.5))*Lookups!$H$48,-2)</f>
        <v>53000</v>
      </c>
      <c r="BJ680" s="7">
        <f>IF(Wapato_Inventory[[#This Row],[bldg_style]]="",0,Lookups!$B$2*0.5)</f>
        <v>53765.27</v>
      </c>
      <c r="BK680" s="7">
        <f>_xlfn.IFNA(VLOOKUP(Wapato_Inventory[[#This Row],[quality]],Lookups!$H$2:$J$14,3,FALSE),0)</f>
        <v>50405</v>
      </c>
      <c r="BL680" s="7">
        <f>_xlfn.IFNA(VLOOKUP(Wapato_Inventory[[#This Row],[condition]],Lookups!$H$17:$J$24,3,FALSE),0)</f>
        <v>52231</v>
      </c>
      <c r="BM680" s="7">
        <f>Wapato_Inventory[[#This Row],[Age]]*Lookups!$B$16</f>
        <v>-27059.326100000002</v>
      </c>
      <c r="BN680" s="7">
        <f>Wapato_Inventory[[#This Row],[Main Floor]]*Lookups!$B$17</f>
        <v>63035.514411999997</v>
      </c>
      <c r="BO680" s="7">
        <f>Wapato_Inventory[[#This Row],[Upper Floor]]*Lookups!$B$18</f>
        <v>0</v>
      </c>
      <c r="BP680" s="7">
        <f>Wapato_Inventory[[#This Row],[Fin BSMT]]*Lookups!$B$19</f>
        <v>29240.088</v>
      </c>
      <c r="BQ680" s="7">
        <f>(Wapato_Inventory[[#This Row],[att_gar]]+Wapato_Inventory[[#This Row],[blt_gar]])*Lookups!$B$20</f>
        <v>0</v>
      </c>
      <c r="BR680" s="7">
        <f>Wapato_Inventory[[#This Row],[Patio]]*Lookups!$B$21</f>
        <v>0</v>
      </c>
      <c r="BS680" s="7">
        <f>SUM(Wapato_Inventory[[#This Row],[intercept]:[patio_value]])*Wapato_Inventory[[#This Row],[res_pct]]</f>
        <v>221617.54631199996</v>
      </c>
      <c r="BT680" s="7">
        <f>Wapato_Inventory[[#This Row],[land_value]]</f>
        <v>53000</v>
      </c>
      <c r="BU680" s="2">
        <f>_xlfn.IFNA(VLOOKUP(Wapato_Inventory[[#This Row],[quality]],Lookups!$A$28:$C$37,3,FALSE),1)</f>
        <v>0.97993206410140754</v>
      </c>
      <c r="BV680" s="2">
        <f>_xlfn.IFNA(VLOOKUP(Wapato_Inventory[[#This Row],[condition]],Lookups!$A$41:$C$48,3,FALSE),1)</f>
        <v>0.9832333997567807</v>
      </c>
      <c r="BW680" s="2">
        <f>IF(Wapato_Inventory[[#This Row],[decade]]="",1,_xlfn.IFNA(VLOOKUP(Wapato_Inventory[[#This Row],[decade]],Lookups!$F$28:$H$45,3,FALSE),1))</f>
        <v>0.8438929209510081</v>
      </c>
      <c r="BX680" s="2">
        <f>_xlfn.IFNA(VLOOKUP(Wapato_Inventory[[#This Row],[living_area_range]],Lookups!$K$28:$M$37,3,FALSE),1)</f>
        <v>1.0155869662067822</v>
      </c>
      <c r="BY680" s="2">
        <f>AVERAGE(Wapato_Inventory[[#This Row],[qual_adj]:[range_adj]])</f>
        <v>0.95566133775399464</v>
      </c>
      <c r="BZ680" s="7">
        <f>(Wapato_Inventory[[#This Row],[sum_land]]-IF(Wapato_Inventory[[#This Row],[no_utilities]]=1,12000,0))/IF(Wapato_Inventory[[#This Row],[unbuildable]]=1,2,1)</f>
        <v>53000</v>
      </c>
      <c r="CA680" s="7">
        <f>Wapato_Inventory[[#This Row],[pre_res]]*Wapato_Inventory[[#This Row],[overall_adj]]</f>
        <v>211791.32077828376</v>
      </c>
      <c r="CB68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80" s="3">
        <f>IF(ROUND(Wapato_Inventory[[#This Row],[adj_res]]*Lookups!$H$48,-2)&lt;Wapato_Inventory[[#This Row],[min_res]],Wapato_Inventory[[#This Row],[min_res]],ROUND(Wapato_Inventory[[#This Row],[adj_res]]*Lookups!$H$48,-2))</f>
        <v>201200</v>
      </c>
      <c r="CD680" s="3">
        <f>ROUND(Wapato_Inventory[[#This Row],[det_value]]*Lookups!$H$48,-2)</f>
        <v>9200</v>
      </c>
      <c r="CE680" s="3">
        <f>Wapato_Inventory[[#This Row],[final_res]]+Wapato_Inventory[[#This Row],[final_det]]</f>
        <v>210400</v>
      </c>
      <c r="CF680" s="3">
        <f>Wapato_Inventory[[#This Row],[crop_value]]+Wapato_Inventory[[#This Row],[final_land]]+Wapato_Inventory[[#This Row],[final_imp]]</f>
        <v>260800</v>
      </c>
      <c r="CH680" t="str">
        <f t="shared" si="10"/>
        <v>update valuation set market_land =50400, market_bldg=210400, market_total =260800, market_mdno =405, market_date ='9/10/2023' where link_id = (select link_id from parcel where parcel_year = '2024' and parcel_id = '19111513486');</v>
      </c>
    </row>
    <row r="681" spans="1:86" x14ac:dyDescent="0.25">
      <c r="A681">
        <v>19111513488</v>
      </c>
      <c r="B681">
        <v>0.12</v>
      </c>
      <c r="C681">
        <v>5237</v>
      </c>
      <c r="D681" t="s">
        <v>144</v>
      </c>
      <c r="E681" t="s">
        <v>54</v>
      </c>
      <c r="F681" t="s">
        <v>54</v>
      </c>
      <c r="G681">
        <v>3</v>
      </c>
      <c r="H681" t="s">
        <v>55</v>
      </c>
      <c r="I681">
        <v>118600</v>
      </c>
      <c r="J681">
        <v>30800</v>
      </c>
      <c r="K681">
        <v>0.12</v>
      </c>
      <c r="L681">
        <f>IF(Wapato_Inventory[[#This Row],[parcel_acres]]-Wapato_Inventory[[#This Row],[non_valued_acres]] =0,0,LN(Wapato_Inventory[[#This Row],[parcel_acres]]-Wapato_Inventory[[#This Row],[non_valued_acres]]))</f>
        <v>-2.120263536200091</v>
      </c>
      <c r="M681">
        <v>0</v>
      </c>
      <c r="N681">
        <v>0</v>
      </c>
      <c r="O681">
        <v>0</v>
      </c>
      <c r="P681">
        <v>27904.037</v>
      </c>
      <c r="Q681">
        <v>74398</v>
      </c>
      <c r="R681" s="3">
        <f>(Wapato_Inventory[[#This Row],[ln_acres]]*Wapato_Inventory[[#This Row],[coeff]])+Wapato_Inventory[[#This Row],[const]]</f>
        <v>15234.08783612182</v>
      </c>
      <c r="S681" t="s">
        <v>145</v>
      </c>
      <c r="T681">
        <v>2</v>
      </c>
      <c r="U681" t="s">
        <v>75</v>
      </c>
      <c r="V681" t="s">
        <v>73</v>
      </c>
      <c r="W681">
        <v>0</v>
      </c>
      <c r="X681">
        <v>0</v>
      </c>
      <c r="Y681">
        <v>52</v>
      </c>
      <c r="Z681">
        <v>88</v>
      </c>
      <c r="AA681">
        <v>90</v>
      </c>
      <c r="AB681">
        <v>1500</v>
      </c>
      <c r="AC681">
        <v>1318</v>
      </c>
      <c r="AD681">
        <v>982</v>
      </c>
      <c r="AE681">
        <v>336</v>
      </c>
      <c r="AF681">
        <v>0</v>
      </c>
      <c r="AG681">
        <v>0</v>
      </c>
      <c r="AH681">
        <v>862</v>
      </c>
      <c r="AI681">
        <v>0</v>
      </c>
      <c r="AJ681">
        <v>0</v>
      </c>
      <c r="AK681">
        <v>660</v>
      </c>
      <c r="AL681">
        <v>0</v>
      </c>
      <c r="AM681">
        <v>198</v>
      </c>
      <c r="AN681">
        <v>100</v>
      </c>
      <c r="AO681">
        <v>198</v>
      </c>
      <c r="AP681">
        <v>5</v>
      </c>
      <c r="AQ681">
        <v>0</v>
      </c>
      <c r="AR681">
        <v>0</v>
      </c>
      <c r="AS681" t="s">
        <v>59</v>
      </c>
      <c r="AT681">
        <v>1</v>
      </c>
      <c r="AU681" t="s">
        <v>64</v>
      </c>
      <c r="AV681" t="s">
        <v>65</v>
      </c>
      <c r="AW681">
        <v>1</v>
      </c>
      <c r="AX681">
        <v>3</v>
      </c>
      <c r="AY681">
        <v>0</v>
      </c>
      <c r="AZ681">
        <v>0</v>
      </c>
      <c r="BA681">
        <v>100</v>
      </c>
      <c r="BB681">
        <v>100</v>
      </c>
      <c r="BC681">
        <v>100</v>
      </c>
      <c r="BD681">
        <v>100</v>
      </c>
      <c r="BE681">
        <v>1</v>
      </c>
      <c r="BF681">
        <v>15000</v>
      </c>
      <c r="BG681">
        <v>1000</v>
      </c>
      <c r="BH681" s="7">
        <f>ROUND(Wapato_Inventory[[#This Row],[detatched_value]]*Lookups!$B$22*Lookups!$H$48,-2)</f>
        <v>0</v>
      </c>
      <c r="BI681" s="7">
        <f>ROUND(((Wapato_Inventory[[#This Row],[land_extract]]*Lookups!$B$3) +(Lookups!$B$2*0.5))*Lookups!$H$48,-2)</f>
        <v>52500</v>
      </c>
      <c r="BJ681" s="7">
        <f>IF(Wapato_Inventory[[#This Row],[bldg_style]]="",0,Lookups!$B$2*0.5)</f>
        <v>53765.27</v>
      </c>
      <c r="BK681" s="7">
        <f>_xlfn.IFNA(VLOOKUP(Wapato_Inventory[[#This Row],[quality]],Lookups!$H$2:$J$14,3,FALSE),0)</f>
        <v>48043</v>
      </c>
      <c r="BL681" s="7">
        <f>_xlfn.IFNA(VLOOKUP(Wapato_Inventory[[#This Row],[condition]],Lookups!$H$17:$J$24,3,FALSE),0)</f>
        <v>16276</v>
      </c>
      <c r="BM681" s="7">
        <f>Wapato_Inventory[[#This Row],[Age]]*Lookups!$B$16</f>
        <v>-32619.461600000002</v>
      </c>
      <c r="BN681" s="7">
        <f>Wapato_Inventory[[#This Row],[Main Floor]]*Lookups!$B$17</f>
        <v>41048.325698000001</v>
      </c>
      <c r="BO681" s="7">
        <f>Wapato_Inventory[[#This Row],[Upper Floor]]*Lookups!$B$18</f>
        <v>16665.982704000002</v>
      </c>
      <c r="BP681" s="7">
        <f>Wapato_Inventory[[#This Row],[Fin BSMT]]*Lookups!$B$19</f>
        <v>0</v>
      </c>
      <c r="BQ681" s="7">
        <f>(Wapato_Inventory[[#This Row],[att_gar]]+Wapato_Inventory[[#This Row],[blt_gar]])*Lookups!$B$20</f>
        <v>0</v>
      </c>
      <c r="BR681" s="7">
        <f>Wapato_Inventory[[#This Row],[Patio]]*Lookups!$B$21</f>
        <v>8578.1478420000003</v>
      </c>
      <c r="BS681" s="7">
        <f>SUM(Wapato_Inventory[[#This Row],[intercept]:[patio_value]])*Wapato_Inventory[[#This Row],[res_pct]]</f>
        <v>151757.26464399998</v>
      </c>
      <c r="BT681" s="7">
        <f>Wapato_Inventory[[#This Row],[land_value]]</f>
        <v>52500</v>
      </c>
      <c r="BU681" s="2">
        <f>_xlfn.IFNA(VLOOKUP(Wapato_Inventory[[#This Row],[quality]],Lookups!$A$28:$C$37,3,FALSE),1)</f>
        <v>0.98196844879778955</v>
      </c>
      <c r="BV681" s="2">
        <f>_xlfn.IFNA(VLOOKUP(Wapato_Inventory[[#This Row],[condition]],Lookups!$A$41:$C$48,3,FALSE),1)</f>
        <v>0.93399385491337139</v>
      </c>
      <c r="BW681" s="2">
        <f>IF(Wapato_Inventory[[#This Row],[decade]]="",1,_xlfn.IFNA(VLOOKUP(Wapato_Inventory[[#This Row],[decade]],Lookups!$F$28:$H$45,3,FALSE),1))</f>
        <v>0.94742695999815718</v>
      </c>
      <c r="BX681" s="2">
        <f>_xlfn.IFNA(VLOOKUP(Wapato_Inventory[[#This Row],[living_area_range]],Lookups!$K$28:$M$37,3,FALSE),1)</f>
        <v>1.0061411172456287</v>
      </c>
      <c r="BY681" s="2">
        <f>AVERAGE(Wapato_Inventory[[#This Row],[qual_adj]:[range_adj]])</f>
        <v>0.96738259523873671</v>
      </c>
      <c r="BZ681" s="7">
        <f>(Wapato_Inventory[[#This Row],[sum_land]]-IF(Wapato_Inventory[[#This Row],[no_utilities]]=1,12000,0))/IF(Wapato_Inventory[[#This Row],[unbuildable]]=1,2,1)</f>
        <v>52500</v>
      </c>
      <c r="CA681" s="7">
        <f>Wapato_Inventory[[#This Row],[pre_res]]*Wapato_Inventory[[#This Row],[overall_adj]]</f>
        <v>146807.33651764449</v>
      </c>
      <c r="CB681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681" s="3">
        <f>IF(ROUND(Wapato_Inventory[[#This Row],[adj_res]]*Lookups!$H$48,-2)&lt;Wapato_Inventory[[#This Row],[min_res]],Wapato_Inventory[[#This Row],[min_res]],ROUND(Wapato_Inventory[[#This Row],[adj_res]]*Lookups!$H$48,-2))</f>
        <v>139500</v>
      </c>
      <c r="CD681" s="3">
        <f>ROUND(Wapato_Inventory[[#This Row],[det_value]]*Lookups!$H$48,-2)</f>
        <v>0</v>
      </c>
      <c r="CE681" s="3">
        <f>Wapato_Inventory[[#This Row],[final_res]]+Wapato_Inventory[[#This Row],[final_det]]</f>
        <v>139500</v>
      </c>
      <c r="CF681" s="3">
        <f>Wapato_Inventory[[#This Row],[crop_value]]+Wapato_Inventory[[#This Row],[final_land]]+Wapato_Inventory[[#This Row],[final_imp]]</f>
        <v>189400</v>
      </c>
      <c r="CH681" t="str">
        <f t="shared" si="10"/>
        <v>update valuation set market_land =49900, market_bldg=139500, market_total =189400, market_mdno =405, market_date ='9/10/2023' where link_id = (select link_id from parcel where parcel_year = '2024' and parcel_id = '19111513488');</v>
      </c>
    </row>
    <row r="682" spans="1:86" x14ac:dyDescent="0.25">
      <c r="A682">
        <v>19111513489</v>
      </c>
      <c r="B682">
        <v>0.13</v>
      </c>
      <c r="C682">
        <v>5552</v>
      </c>
      <c r="D682" t="s">
        <v>144</v>
      </c>
      <c r="E682" t="s">
        <v>54</v>
      </c>
      <c r="F682" t="s">
        <v>54</v>
      </c>
      <c r="G682">
        <v>3</v>
      </c>
      <c r="H682" t="s">
        <v>55</v>
      </c>
      <c r="I682">
        <v>110800</v>
      </c>
      <c r="J682">
        <v>31400</v>
      </c>
      <c r="K682">
        <v>0.13</v>
      </c>
      <c r="L682">
        <f>IF(Wapato_Inventory[[#This Row],[parcel_acres]]-Wapato_Inventory[[#This Row],[non_valued_acres]] =0,0,LN(Wapato_Inventory[[#This Row],[parcel_acres]]-Wapato_Inventory[[#This Row],[non_valued_acres]]))</f>
        <v>-2.0402208285265546</v>
      </c>
      <c r="M682">
        <v>0</v>
      </c>
      <c r="N682">
        <v>0</v>
      </c>
      <c r="O682">
        <v>0</v>
      </c>
      <c r="P682">
        <v>27904.037</v>
      </c>
      <c r="Q682">
        <v>74398</v>
      </c>
      <c r="R682" s="3">
        <f>(Wapato_Inventory[[#This Row],[ln_acres]]*Wapato_Inventory[[#This Row],[coeff]])+Wapato_Inventory[[#This Row],[const]]</f>
        <v>17467.602512624362</v>
      </c>
      <c r="S682" t="s">
        <v>66</v>
      </c>
      <c r="T682">
        <v>1</v>
      </c>
      <c r="U682" t="s">
        <v>71</v>
      </c>
      <c r="V682" t="s">
        <v>68</v>
      </c>
      <c r="W682">
        <v>0</v>
      </c>
      <c r="X682">
        <v>0</v>
      </c>
      <c r="Y682">
        <v>37</v>
      </c>
      <c r="Z682">
        <v>103</v>
      </c>
      <c r="AA682">
        <v>110</v>
      </c>
      <c r="AB682">
        <v>1500</v>
      </c>
      <c r="AC682">
        <v>1076</v>
      </c>
      <c r="AD682">
        <v>1076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v>0</v>
      </c>
      <c r="AK682">
        <v>476</v>
      </c>
      <c r="AL682">
        <v>0</v>
      </c>
      <c r="AM682">
        <v>0</v>
      </c>
      <c r="AN682">
        <v>16</v>
      </c>
      <c r="AO682">
        <v>0</v>
      </c>
      <c r="AP682">
        <v>5</v>
      </c>
      <c r="AQ682">
        <v>1</v>
      </c>
      <c r="AR682">
        <v>0</v>
      </c>
      <c r="AS682" t="s">
        <v>59</v>
      </c>
      <c r="AT682">
        <v>1</v>
      </c>
      <c r="AU682" t="s">
        <v>76</v>
      </c>
      <c r="AV682" t="s">
        <v>61</v>
      </c>
      <c r="AW682">
        <v>0</v>
      </c>
      <c r="AX682">
        <v>3</v>
      </c>
      <c r="AY682">
        <v>0</v>
      </c>
      <c r="AZ682">
        <v>0</v>
      </c>
      <c r="BA682">
        <v>100</v>
      </c>
      <c r="BB682">
        <v>100</v>
      </c>
      <c r="BC682">
        <v>100</v>
      </c>
      <c r="BD682">
        <v>100</v>
      </c>
      <c r="BE682">
        <v>1</v>
      </c>
      <c r="BF682">
        <v>15000</v>
      </c>
      <c r="BG682">
        <v>1000</v>
      </c>
      <c r="BH682" s="7">
        <f>ROUND(Wapato_Inventory[[#This Row],[detatched_value]]*Lookups!$B$22*Lookups!$H$48,-2)</f>
        <v>0</v>
      </c>
      <c r="BI682" s="7">
        <f>ROUND(((Wapato_Inventory[[#This Row],[land_extract]]*Lookups!$B$3) +(Lookups!$B$2*0.5))*Lookups!$H$48,-2)</f>
        <v>52800</v>
      </c>
      <c r="BJ682" s="7">
        <f>IF(Wapato_Inventory[[#This Row],[bldg_style]]="",0,Lookups!$B$2*0.5)</f>
        <v>53765.27</v>
      </c>
      <c r="BK682" s="7">
        <f>_xlfn.IFNA(VLOOKUP(Wapato_Inventory[[#This Row],[quality]],Lookups!$H$2:$J$14,3,FALSE),0)</f>
        <v>28034</v>
      </c>
      <c r="BL682" s="7">
        <f>_xlfn.IFNA(VLOOKUP(Wapato_Inventory[[#This Row],[condition]],Lookups!$H$17:$J$24,3,FALSE),0)</f>
        <v>52231</v>
      </c>
      <c r="BM682" s="7">
        <f>Wapato_Inventory[[#This Row],[Age]]*Lookups!$B$16</f>
        <v>-38179.597099999999</v>
      </c>
      <c r="BN682" s="7">
        <f>Wapato_Inventory[[#This Row],[Main Floor]]*Lookups!$B$17</f>
        <v>44977.595163999998</v>
      </c>
      <c r="BO682" s="7">
        <f>Wapato_Inventory[[#This Row],[Upper Floor]]*Lookups!$B$18</f>
        <v>0</v>
      </c>
      <c r="BP682" s="7">
        <f>Wapato_Inventory[[#This Row],[Fin BSMT]]*Lookups!$B$19</f>
        <v>0</v>
      </c>
      <c r="BQ682" s="7">
        <f>(Wapato_Inventory[[#This Row],[att_gar]]+Wapato_Inventory[[#This Row],[blt_gar]])*Lookups!$B$20</f>
        <v>0</v>
      </c>
      <c r="BR682" s="7">
        <f>Wapato_Inventory[[#This Row],[Patio]]*Lookups!$B$21</f>
        <v>0</v>
      </c>
      <c r="BS682" s="7">
        <f>SUM(Wapato_Inventory[[#This Row],[intercept]:[patio_value]])*Wapato_Inventory[[#This Row],[res_pct]]</f>
        <v>140828.268064</v>
      </c>
      <c r="BT682" s="7">
        <f>Wapato_Inventory[[#This Row],[land_value]]</f>
        <v>52800</v>
      </c>
      <c r="BU682" s="2">
        <f>_xlfn.IFNA(VLOOKUP(Wapato_Inventory[[#This Row],[quality]],Lookups!$A$28:$C$37,3,FALSE),1)</f>
        <v>0.96265813922927435</v>
      </c>
      <c r="BV682" s="2">
        <f>_xlfn.IFNA(VLOOKUP(Wapato_Inventory[[#This Row],[condition]],Lookups!$A$41:$C$48,3,FALSE),1)</f>
        <v>0.9832333997567807</v>
      </c>
      <c r="BW682" s="2">
        <f>IF(Wapato_Inventory[[#This Row],[decade]]="",1,_xlfn.IFNA(VLOOKUP(Wapato_Inventory[[#This Row],[decade]],Lookups!$F$28:$H$45,3,FALSE),1))</f>
        <v>0.93664589651353292</v>
      </c>
      <c r="BX682" s="2">
        <f>_xlfn.IFNA(VLOOKUP(Wapato_Inventory[[#This Row],[living_area_range]],Lookups!$K$28:$M$37,3,FALSE),1)</f>
        <v>1.0061411172456287</v>
      </c>
      <c r="BY682" s="2">
        <f>AVERAGE(Wapato_Inventory[[#This Row],[qual_adj]:[range_adj]])</f>
        <v>0.97216963818630409</v>
      </c>
      <c r="BZ682" s="7">
        <f>(Wapato_Inventory[[#This Row],[sum_land]]-IF(Wapato_Inventory[[#This Row],[no_utilities]]=1,12000,0))/IF(Wapato_Inventory[[#This Row],[unbuildable]]=1,2,1)</f>
        <v>52800</v>
      </c>
      <c r="CA682" s="7">
        <f>Wapato_Inventory[[#This Row],[pre_res]]*Wapato_Inventory[[#This Row],[overall_adj]]</f>
        <v>136908.96641018274</v>
      </c>
      <c r="CB682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82" s="3">
        <f>IF(ROUND(Wapato_Inventory[[#This Row],[adj_res]]*Lookups!$H$48,-2)&lt;Wapato_Inventory[[#This Row],[min_res]],Wapato_Inventory[[#This Row],[min_res]],ROUND(Wapato_Inventory[[#This Row],[adj_res]]*Lookups!$H$48,-2))</f>
        <v>130100</v>
      </c>
      <c r="CD682" s="3">
        <f>ROUND(Wapato_Inventory[[#This Row],[det_value]]*Lookups!$H$48,-2)</f>
        <v>0</v>
      </c>
      <c r="CE682" s="3">
        <f>Wapato_Inventory[[#This Row],[final_res]]+Wapato_Inventory[[#This Row],[final_det]]</f>
        <v>130100</v>
      </c>
      <c r="CF682" s="3">
        <f>Wapato_Inventory[[#This Row],[crop_value]]+Wapato_Inventory[[#This Row],[final_land]]+Wapato_Inventory[[#This Row],[final_imp]]</f>
        <v>180300</v>
      </c>
      <c r="CH682" t="str">
        <f t="shared" si="10"/>
        <v>update valuation set market_land =50200, market_bldg=130100, market_total =180300, market_mdno =405, market_date ='9/10/2023' where link_id = (select link_id from parcel where parcel_year = '2024' and parcel_id = '19111513489');</v>
      </c>
    </row>
    <row r="683" spans="1:86" x14ac:dyDescent="0.25">
      <c r="A683">
        <v>19111513490</v>
      </c>
      <c r="B683">
        <v>0.14000000000000001</v>
      </c>
      <c r="C683">
        <v>6241</v>
      </c>
      <c r="D683" t="s">
        <v>144</v>
      </c>
      <c r="E683" t="s">
        <v>54</v>
      </c>
      <c r="F683" t="s">
        <v>54</v>
      </c>
      <c r="G683">
        <v>3</v>
      </c>
      <c r="H683" t="s">
        <v>55</v>
      </c>
      <c r="I683">
        <v>175700</v>
      </c>
      <c r="J683">
        <v>31900</v>
      </c>
      <c r="K683">
        <v>0.14000000000000001</v>
      </c>
      <c r="L683">
        <f>IF(Wapato_Inventory[[#This Row],[parcel_acres]]-Wapato_Inventory[[#This Row],[non_valued_acres]] =0,0,LN(Wapato_Inventory[[#This Row],[parcel_acres]]-Wapato_Inventory[[#This Row],[non_valued_acres]]))</f>
        <v>-1.9661128563728327</v>
      </c>
      <c r="M683">
        <v>0</v>
      </c>
      <c r="N683">
        <v>0</v>
      </c>
      <c r="O683">
        <v>0</v>
      </c>
      <c r="P683">
        <v>27904.037</v>
      </c>
      <c r="Q683">
        <v>74398</v>
      </c>
      <c r="R683" s="3">
        <f>(Wapato_Inventory[[#This Row],[ln_acres]]*Wapato_Inventory[[#This Row],[coeff]])+Wapato_Inventory[[#This Row],[const]]</f>
        <v>19535.514109596792</v>
      </c>
      <c r="S683" t="s">
        <v>66</v>
      </c>
      <c r="T683">
        <v>1</v>
      </c>
      <c r="U683" t="s">
        <v>71</v>
      </c>
      <c r="V683" t="s">
        <v>69</v>
      </c>
      <c r="W683">
        <v>0</v>
      </c>
      <c r="X683">
        <v>0</v>
      </c>
      <c r="Y683">
        <v>50</v>
      </c>
      <c r="Z683">
        <v>73</v>
      </c>
      <c r="AA683">
        <v>80</v>
      </c>
      <c r="AB683">
        <v>1500</v>
      </c>
      <c r="AC683">
        <v>1268</v>
      </c>
      <c r="AD683">
        <v>1268</v>
      </c>
      <c r="AE683">
        <v>0</v>
      </c>
      <c r="AF683">
        <v>0</v>
      </c>
      <c r="AG683">
        <v>0</v>
      </c>
      <c r="AH683">
        <v>1008</v>
      </c>
      <c r="AI683">
        <v>0</v>
      </c>
      <c r="AJ683">
        <v>0</v>
      </c>
      <c r="AK683">
        <v>0</v>
      </c>
      <c r="AL683">
        <v>0</v>
      </c>
      <c r="AM683">
        <v>80</v>
      </c>
      <c r="AN683">
        <v>0</v>
      </c>
      <c r="AO683">
        <v>0</v>
      </c>
      <c r="AP683">
        <v>5</v>
      </c>
      <c r="AQ683">
        <v>0</v>
      </c>
      <c r="AR683">
        <v>0</v>
      </c>
      <c r="AS683" t="s">
        <v>59</v>
      </c>
      <c r="AT683">
        <v>1</v>
      </c>
      <c r="AU683" t="s">
        <v>64</v>
      </c>
      <c r="AV683" t="s">
        <v>65</v>
      </c>
      <c r="AW683">
        <v>0</v>
      </c>
      <c r="AX683">
        <v>3</v>
      </c>
      <c r="AY683">
        <v>0</v>
      </c>
      <c r="AZ683">
        <v>5200</v>
      </c>
      <c r="BA683">
        <v>100</v>
      </c>
      <c r="BB683">
        <v>100</v>
      </c>
      <c r="BC683">
        <v>100</v>
      </c>
      <c r="BD683">
        <v>100</v>
      </c>
      <c r="BE683">
        <v>1</v>
      </c>
      <c r="BF683">
        <v>15000</v>
      </c>
      <c r="BG683">
        <v>1000</v>
      </c>
      <c r="BH683" s="7">
        <f>ROUND(Wapato_Inventory[[#This Row],[detatched_value]]*Lookups!$B$22*Lookups!$H$48,-2)</f>
        <v>4600</v>
      </c>
      <c r="BI683" s="7">
        <f>ROUND(((Wapato_Inventory[[#This Row],[land_extract]]*Lookups!$B$3) +(Lookups!$B$2*0.5))*Lookups!$H$48,-2)</f>
        <v>53000</v>
      </c>
      <c r="BJ683" s="7">
        <f>IF(Wapato_Inventory[[#This Row],[bldg_style]]="",0,Lookups!$B$2*0.5)</f>
        <v>53765.27</v>
      </c>
      <c r="BK683" s="7">
        <f>_xlfn.IFNA(VLOOKUP(Wapato_Inventory[[#This Row],[quality]],Lookups!$H$2:$J$14,3,FALSE),0)</f>
        <v>28034</v>
      </c>
      <c r="BL683" s="7">
        <f>_xlfn.IFNA(VLOOKUP(Wapato_Inventory[[#This Row],[condition]],Lookups!$H$17:$J$24,3,FALSE),0)</f>
        <v>74543</v>
      </c>
      <c r="BM683" s="7">
        <f>Wapato_Inventory[[#This Row],[Age]]*Lookups!$B$16</f>
        <v>-27059.326100000002</v>
      </c>
      <c r="BN683" s="7">
        <f>Wapato_Inventory[[#This Row],[Main Floor]]*Lookups!$B$17</f>
        <v>53003.337052000003</v>
      </c>
      <c r="BO683" s="7">
        <f>Wapato_Inventory[[#This Row],[Upper Floor]]*Lookups!$B$18</f>
        <v>0</v>
      </c>
      <c r="BP683" s="7">
        <f>Wapato_Inventory[[#This Row],[Fin BSMT]]*Lookups!$B$19</f>
        <v>0</v>
      </c>
      <c r="BQ683" s="7">
        <f>(Wapato_Inventory[[#This Row],[att_gar]]+Wapato_Inventory[[#This Row],[blt_gar]])*Lookups!$B$20</f>
        <v>0</v>
      </c>
      <c r="BR683" s="7">
        <f>Wapato_Inventory[[#This Row],[Patio]]*Lookups!$B$21</f>
        <v>3465.9183200000002</v>
      </c>
      <c r="BS683" s="7">
        <f>SUM(Wapato_Inventory[[#This Row],[intercept]:[patio_value]])*Wapato_Inventory[[#This Row],[res_pct]]</f>
        <v>185752.199272</v>
      </c>
      <c r="BT683" s="7">
        <f>Wapato_Inventory[[#This Row],[land_value]]</f>
        <v>53000</v>
      </c>
      <c r="BU683" s="2">
        <f>_xlfn.IFNA(VLOOKUP(Wapato_Inventory[[#This Row],[quality]],Lookups!$A$28:$C$37,3,FALSE),1)</f>
        <v>0.96265813922927435</v>
      </c>
      <c r="BV683" s="2">
        <f>_xlfn.IFNA(VLOOKUP(Wapato_Inventory[[#This Row],[condition]],Lookups!$A$41:$C$48,3,FALSE),1)</f>
        <v>0.98442438223270734</v>
      </c>
      <c r="BW683" s="2">
        <f>IF(Wapato_Inventory[[#This Row],[decade]]="",1,_xlfn.IFNA(VLOOKUP(Wapato_Inventory[[#This Row],[decade]],Lookups!$F$28:$H$45,3,FALSE),1))</f>
        <v>0.8438929209510081</v>
      </c>
      <c r="BX683" s="2">
        <f>_xlfn.IFNA(VLOOKUP(Wapato_Inventory[[#This Row],[living_area_range]],Lookups!$K$28:$M$37,3,FALSE),1)</f>
        <v>1.0061411172456287</v>
      </c>
      <c r="BY683" s="2">
        <f>AVERAGE(Wapato_Inventory[[#This Row],[qual_adj]:[range_adj]])</f>
        <v>0.94927913991465462</v>
      </c>
      <c r="BZ683" s="7">
        <f>(Wapato_Inventory[[#This Row],[sum_land]]-IF(Wapato_Inventory[[#This Row],[no_utilities]]=1,12000,0))/IF(Wapato_Inventory[[#This Row],[unbuildable]]=1,2,1)</f>
        <v>53000</v>
      </c>
      <c r="CA683" s="7">
        <f>Wapato_Inventory[[#This Row],[pre_res]]*Wapato_Inventory[[#This Row],[overall_adj]]</f>
        <v>176330.68796217968</v>
      </c>
      <c r="CB68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83" s="3">
        <f>IF(ROUND(Wapato_Inventory[[#This Row],[adj_res]]*Lookups!$H$48,-2)&lt;Wapato_Inventory[[#This Row],[min_res]],Wapato_Inventory[[#This Row],[min_res]],ROUND(Wapato_Inventory[[#This Row],[adj_res]]*Lookups!$H$48,-2))</f>
        <v>167500</v>
      </c>
      <c r="CD683" s="3">
        <f>ROUND(Wapato_Inventory[[#This Row],[det_value]]*Lookups!$H$48,-2)</f>
        <v>4400</v>
      </c>
      <c r="CE683" s="3">
        <f>Wapato_Inventory[[#This Row],[final_res]]+Wapato_Inventory[[#This Row],[final_det]]</f>
        <v>171900</v>
      </c>
      <c r="CF683" s="3">
        <f>Wapato_Inventory[[#This Row],[crop_value]]+Wapato_Inventory[[#This Row],[final_land]]+Wapato_Inventory[[#This Row],[final_imp]]</f>
        <v>222300</v>
      </c>
      <c r="CH683" t="str">
        <f t="shared" si="10"/>
        <v>update valuation set market_land =50400, market_bldg=171900, market_total =222300, market_mdno =405, market_date ='9/10/2023' where link_id = (select link_id from parcel where parcel_year = '2024' and parcel_id = '19111513490');</v>
      </c>
    </row>
    <row r="684" spans="1:86" x14ac:dyDescent="0.25">
      <c r="A684">
        <v>19111513491</v>
      </c>
      <c r="B684">
        <v>0.12</v>
      </c>
      <c r="C684">
        <v>5290</v>
      </c>
      <c r="D684" t="s">
        <v>144</v>
      </c>
      <c r="E684" t="s">
        <v>54</v>
      </c>
      <c r="F684" t="s">
        <v>54</v>
      </c>
      <c r="G684">
        <v>3</v>
      </c>
      <c r="H684" t="s">
        <v>55</v>
      </c>
      <c r="I684">
        <v>104300</v>
      </c>
      <c r="J684">
        <v>30800</v>
      </c>
      <c r="K684">
        <v>0.12</v>
      </c>
      <c r="L684">
        <f>IF(Wapato_Inventory[[#This Row],[parcel_acres]]-Wapato_Inventory[[#This Row],[non_valued_acres]] =0,0,LN(Wapato_Inventory[[#This Row],[parcel_acres]]-Wapato_Inventory[[#This Row],[non_valued_acres]]))</f>
        <v>-2.120263536200091</v>
      </c>
      <c r="M684">
        <v>0</v>
      </c>
      <c r="N684">
        <v>0</v>
      </c>
      <c r="O684">
        <v>0</v>
      </c>
      <c r="P684">
        <v>27904.037</v>
      </c>
      <c r="Q684">
        <v>74398</v>
      </c>
      <c r="R684" s="3">
        <f>(Wapato_Inventory[[#This Row],[ln_acres]]*Wapato_Inventory[[#This Row],[coeff]])+Wapato_Inventory[[#This Row],[const]]</f>
        <v>15234.08783612182</v>
      </c>
      <c r="S684" t="s">
        <v>66</v>
      </c>
      <c r="T684">
        <v>1</v>
      </c>
      <c r="U684" t="s">
        <v>78</v>
      </c>
      <c r="V684" t="s">
        <v>68</v>
      </c>
      <c r="W684">
        <v>0</v>
      </c>
      <c r="X684">
        <v>0</v>
      </c>
      <c r="Y684">
        <v>60</v>
      </c>
      <c r="Z684">
        <v>108</v>
      </c>
      <c r="AA684">
        <v>110</v>
      </c>
      <c r="AB684">
        <v>1000</v>
      </c>
      <c r="AC684">
        <v>964</v>
      </c>
      <c r="AD684">
        <v>964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5</v>
      </c>
      <c r="AQ684">
        <v>0</v>
      </c>
      <c r="AR684">
        <v>0</v>
      </c>
      <c r="AS684" t="s">
        <v>59</v>
      </c>
      <c r="AT684">
        <v>1</v>
      </c>
      <c r="AU684" t="s">
        <v>72</v>
      </c>
      <c r="AV684" t="s">
        <v>65</v>
      </c>
      <c r="AW684">
        <v>0</v>
      </c>
      <c r="AX684">
        <v>2</v>
      </c>
      <c r="AY684">
        <v>0</v>
      </c>
      <c r="AZ684">
        <v>7200</v>
      </c>
      <c r="BA684">
        <v>100</v>
      </c>
      <c r="BB684">
        <v>100</v>
      </c>
      <c r="BC684">
        <v>100</v>
      </c>
      <c r="BD684">
        <v>100</v>
      </c>
      <c r="BE684">
        <v>1</v>
      </c>
      <c r="BF684">
        <v>15000</v>
      </c>
      <c r="BG684">
        <v>1000</v>
      </c>
      <c r="BH684" s="7">
        <f>ROUND(Wapato_Inventory[[#This Row],[detatched_value]]*Lookups!$B$22*Lookups!$H$48,-2)</f>
        <v>6400</v>
      </c>
      <c r="BI684" s="7">
        <f>ROUND(((Wapato_Inventory[[#This Row],[land_extract]]*Lookups!$B$3) +(Lookups!$B$2*0.5))*Lookups!$H$48,-2)</f>
        <v>52500</v>
      </c>
      <c r="BJ684" s="7">
        <f>IF(Wapato_Inventory[[#This Row],[bldg_style]]="",0,Lookups!$B$2*0.5)</f>
        <v>53765.27</v>
      </c>
      <c r="BK684" s="7">
        <f>_xlfn.IFNA(VLOOKUP(Wapato_Inventory[[#This Row],[quality]],Lookups!$H$2:$J$14,3,FALSE),0)</f>
        <v>23424</v>
      </c>
      <c r="BL684" s="7">
        <f>_xlfn.IFNA(VLOOKUP(Wapato_Inventory[[#This Row],[condition]],Lookups!$H$17:$J$24,3,FALSE),0)</f>
        <v>52231</v>
      </c>
      <c r="BM684" s="7">
        <f>Wapato_Inventory[[#This Row],[Age]]*Lookups!$B$16</f>
        <v>-40032.975599999998</v>
      </c>
      <c r="BN684" s="7">
        <f>Wapato_Inventory[[#This Row],[Main Floor]]*Lookups!$B$17</f>
        <v>40295.912396</v>
      </c>
      <c r="BO684" s="7">
        <f>Wapato_Inventory[[#This Row],[Upper Floor]]*Lookups!$B$18</f>
        <v>0</v>
      </c>
      <c r="BP684" s="7">
        <f>Wapato_Inventory[[#This Row],[Fin BSMT]]*Lookups!$B$19</f>
        <v>0</v>
      </c>
      <c r="BQ684" s="7">
        <f>(Wapato_Inventory[[#This Row],[att_gar]]+Wapato_Inventory[[#This Row],[blt_gar]])*Lookups!$B$20</f>
        <v>0</v>
      </c>
      <c r="BR684" s="7">
        <f>Wapato_Inventory[[#This Row],[Patio]]*Lookups!$B$21</f>
        <v>0</v>
      </c>
      <c r="BS684" s="7">
        <f>SUM(Wapato_Inventory[[#This Row],[intercept]:[patio_value]])*Wapato_Inventory[[#This Row],[res_pct]]</f>
        <v>129683.20679599998</v>
      </c>
      <c r="BT684" s="7">
        <f>Wapato_Inventory[[#This Row],[land_value]]</f>
        <v>52500</v>
      </c>
      <c r="BU684" s="2">
        <f>_xlfn.IFNA(VLOOKUP(Wapato_Inventory[[#This Row],[quality]],Lookups!$A$28:$C$37,3,FALSE),1)</f>
        <v>1.0091195562373767</v>
      </c>
      <c r="BV684" s="2">
        <f>_xlfn.IFNA(VLOOKUP(Wapato_Inventory[[#This Row],[condition]],Lookups!$A$41:$C$48,3,FALSE),1)</f>
        <v>0.9832333997567807</v>
      </c>
      <c r="BW684" s="2">
        <f>IF(Wapato_Inventory[[#This Row],[decade]]="",1,_xlfn.IFNA(VLOOKUP(Wapato_Inventory[[#This Row],[decade]],Lookups!$F$28:$H$45,3,FALSE),1))</f>
        <v>0.93664589651353292</v>
      </c>
      <c r="BX684" s="2">
        <f>_xlfn.IFNA(VLOOKUP(Wapato_Inventory[[#This Row],[living_area_range]],Lookups!$K$28:$M$37,3,FALSE),1)</f>
        <v>0.99022994770196116</v>
      </c>
      <c r="BY684" s="2">
        <f>AVERAGE(Wapato_Inventory[[#This Row],[qual_adj]:[range_adj]])</f>
        <v>0.97980720005241284</v>
      </c>
      <c r="BZ684" s="7">
        <f>(Wapato_Inventory[[#This Row],[sum_land]]-IF(Wapato_Inventory[[#This Row],[no_utilities]]=1,12000,0))/IF(Wapato_Inventory[[#This Row],[unbuildable]]=1,2,1)</f>
        <v>52500</v>
      </c>
      <c r="CA684" s="7">
        <f>Wapato_Inventory[[#This Row],[pre_res]]*Wapato_Inventory[[#This Row],[overall_adj]]</f>
        <v>127064.53974460678</v>
      </c>
      <c r="CB684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684" s="3">
        <f>IF(ROUND(Wapato_Inventory[[#This Row],[adj_res]]*Lookups!$H$48,-2)&lt;Wapato_Inventory[[#This Row],[min_res]],Wapato_Inventory[[#This Row],[min_res]],ROUND(Wapato_Inventory[[#This Row],[adj_res]]*Lookups!$H$48,-2))</f>
        <v>120700</v>
      </c>
      <c r="CD684" s="3">
        <f>ROUND(Wapato_Inventory[[#This Row],[det_value]]*Lookups!$H$48,-2)</f>
        <v>6100</v>
      </c>
      <c r="CE684" s="3">
        <f>Wapato_Inventory[[#This Row],[final_res]]+Wapato_Inventory[[#This Row],[final_det]]</f>
        <v>126800</v>
      </c>
      <c r="CF684" s="3">
        <f>Wapato_Inventory[[#This Row],[crop_value]]+Wapato_Inventory[[#This Row],[final_land]]+Wapato_Inventory[[#This Row],[final_imp]]</f>
        <v>176700</v>
      </c>
      <c r="CH684" t="str">
        <f t="shared" si="10"/>
        <v>update valuation set market_land =49900, market_bldg=126800, market_total =176700, market_mdno =405, market_date ='9/10/2023' where link_id = (select link_id from parcel where parcel_year = '2024' and parcel_id = '19111513491');</v>
      </c>
    </row>
    <row r="685" spans="1:86" x14ac:dyDescent="0.25">
      <c r="A685">
        <v>19111513492</v>
      </c>
      <c r="B685">
        <v>0.13</v>
      </c>
      <c r="C685">
        <v>5482</v>
      </c>
      <c r="D685" t="s">
        <v>144</v>
      </c>
      <c r="E685" t="s">
        <v>54</v>
      </c>
      <c r="F685" t="s">
        <v>54</v>
      </c>
      <c r="G685">
        <v>3</v>
      </c>
      <c r="H685" t="s">
        <v>55</v>
      </c>
      <c r="I685">
        <v>179600</v>
      </c>
      <c r="J685">
        <v>31400</v>
      </c>
      <c r="K685">
        <v>0.13</v>
      </c>
      <c r="L685">
        <f>IF(Wapato_Inventory[[#This Row],[parcel_acres]]-Wapato_Inventory[[#This Row],[non_valued_acres]] =0,0,LN(Wapato_Inventory[[#This Row],[parcel_acres]]-Wapato_Inventory[[#This Row],[non_valued_acres]]))</f>
        <v>-2.0402208285265546</v>
      </c>
      <c r="M685">
        <v>0</v>
      </c>
      <c r="N685">
        <v>0</v>
      </c>
      <c r="O685">
        <v>0</v>
      </c>
      <c r="P685">
        <v>27904.037</v>
      </c>
      <c r="Q685">
        <v>74398</v>
      </c>
      <c r="R685" s="3">
        <f>(Wapato_Inventory[[#This Row],[ln_acres]]*Wapato_Inventory[[#This Row],[coeff]])+Wapato_Inventory[[#This Row],[const]]</f>
        <v>17467.602512624362</v>
      </c>
      <c r="S685" t="s">
        <v>56</v>
      </c>
      <c r="T685">
        <v>2</v>
      </c>
      <c r="U685" t="s">
        <v>75</v>
      </c>
      <c r="V685" t="s">
        <v>68</v>
      </c>
      <c r="W685">
        <v>0</v>
      </c>
      <c r="X685">
        <v>0</v>
      </c>
      <c r="Y685">
        <v>60</v>
      </c>
      <c r="Z685">
        <v>108</v>
      </c>
      <c r="AA685">
        <v>110</v>
      </c>
      <c r="AB685">
        <v>2000</v>
      </c>
      <c r="AC685">
        <v>1686</v>
      </c>
      <c r="AD685">
        <v>1536</v>
      </c>
      <c r="AE685">
        <v>150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144</v>
      </c>
      <c r="AM685">
        <v>144</v>
      </c>
      <c r="AN685">
        <v>0</v>
      </c>
      <c r="AO685">
        <v>144</v>
      </c>
      <c r="AP685">
        <v>8</v>
      </c>
      <c r="AQ685">
        <v>1</v>
      </c>
      <c r="AR685">
        <v>0</v>
      </c>
      <c r="AS685" t="s">
        <v>59</v>
      </c>
      <c r="AT685">
        <v>0</v>
      </c>
      <c r="AU685" t="s">
        <v>80</v>
      </c>
      <c r="AV685" t="s">
        <v>65</v>
      </c>
      <c r="AW685">
        <v>0</v>
      </c>
      <c r="AX685">
        <v>3</v>
      </c>
      <c r="AY685">
        <v>0</v>
      </c>
      <c r="AZ685">
        <v>5600</v>
      </c>
      <c r="BA685">
        <v>100</v>
      </c>
      <c r="BB685">
        <v>100</v>
      </c>
      <c r="BC685">
        <v>100</v>
      </c>
      <c r="BD685">
        <v>100</v>
      </c>
      <c r="BE685">
        <v>1</v>
      </c>
      <c r="BF685">
        <v>15000</v>
      </c>
      <c r="BG685">
        <v>1000</v>
      </c>
      <c r="BH685" s="7">
        <f>ROUND(Wapato_Inventory[[#This Row],[detatched_value]]*Lookups!$B$22*Lookups!$H$48,-2)</f>
        <v>5000</v>
      </c>
      <c r="BI685" s="7">
        <f>ROUND(((Wapato_Inventory[[#This Row],[land_extract]]*Lookups!$B$3) +(Lookups!$B$2*0.5))*Lookups!$H$48,-2)</f>
        <v>52800</v>
      </c>
      <c r="BJ685" s="7">
        <f>IF(Wapato_Inventory[[#This Row],[bldg_style]]="",0,Lookups!$B$2*0.5)</f>
        <v>53765.27</v>
      </c>
      <c r="BK685" s="7">
        <f>_xlfn.IFNA(VLOOKUP(Wapato_Inventory[[#This Row],[quality]],Lookups!$H$2:$J$14,3,FALSE),0)</f>
        <v>48043</v>
      </c>
      <c r="BL685" s="7">
        <f>_xlfn.IFNA(VLOOKUP(Wapato_Inventory[[#This Row],[condition]],Lookups!$H$17:$J$24,3,FALSE),0)</f>
        <v>52231</v>
      </c>
      <c r="BM685" s="7">
        <f>Wapato_Inventory[[#This Row],[Age]]*Lookups!$B$16</f>
        <v>-40032.975599999998</v>
      </c>
      <c r="BN685" s="7">
        <f>Wapato_Inventory[[#This Row],[Main Floor]]*Lookups!$B$17</f>
        <v>64205.935104000004</v>
      </c>
      <c r="BO685" s="7">
        <f>Wapato_Inventory[[#This Row],[Upper Floor]]*Lookups!$B$18</f>
        <v>7440.1708500000004</v>
      </c>
      <c r="BP685" s="7">
        <f>Wapato_Inventory[[#This Row],[Fin BSMT]]*Lookups!$B$19</f>
        <v>0</v>
      </c>
      <c r="BQ685" s="7">
        <f>(Wapato_Inventory[[#This Row],[att_gar]]+Wapato_Inventory[[#This Row],[blt_gar]])*Lookups!$B$20</f>
        <v>0</v>
      </c>
      <c r="BR685" s="7">
        <f>Wapato_Inventory[[#This Row],[Patio]]*Lookups!$B$21</f>
        <v>6238.6529760000003</v>
      </c>
      <c r="BS685" s="7">
        <f>SUM(Wapato_Inventory[[#This Row],[intercept]:[patio_value]])*Wapato_Inventory[[#This Row],[res_pct]]</f>
        <v>191891.05333</v>
      </c>
      <c r="BT685" s="7">
        <f>Wapato_Inventory[[#This Row],[land_value]]</f>
        <v>52800</v>
      </c>
      <c r="BU685" s="2">
        <f>_xlfn.IFNA(VLOOKUP(Wapato_Inventory[[#This Row],[quality]],Lookups!$A$28:$C$37,3,FALSE),1)</f>
        <v>0.98196844879778955</v>
      </c>
      <c r="BV685" s="2">
        <f>_xlfn.IFNA(VLOOKUP(Wapato_Inventory[[#This Row],[condition]],Lookups!$A$41:$C$48,3,FALSE),1)</f>
        <v>0.9832333997567807</v>
      </c>
      <c r="BW685" s="2">
        <f>IF(Wapato_Inventory[[#This Row],[decade]]="",1,_xlfn.IFNA(VLOOKUP(Wapato_Inventory[[#This Row],[decade]],Lookups!$F$28:$H$45,3,FALSE),1))</f>
        <v>0.93664589651353292</v>
      </c>
      <c r="BX685" s="2">
        <f>_xlfn.IFNA(VLOOKUP(Wapato_Inventory[[#This Row],[living_area_range]],Lookups!$K$28:$M$37,3,FALSE),1)</f>
        <v>0.99330894324714125</v>
      </c>
      <c r="BY685" s="2">
        <f>AVERAGE(Wapato_Inventory[[#This Row],[qual_adj]:[range_adj]])</f>
        <v>0.9737891720788111</v>
      </c>
      <c r="BZ685" s="7">
        <f>(Wapato_Inventory[[#This Row],[sum_land]]-IF(Wapato_Inventory[[#This Row],[no_utilities]]=1,12000,0))/IF(Wapato_Inventory[[#This Row],[unbuildable]]=1,2,1)</f>
        <v>52800</v>
      </c>
      <c r="CA685" s="7">
        <f>Wapato_Inventory[[#This Row],[pre_res]]*Wapato_Inventory[[#This Row],[overall_adj]]</f>
        <v>186861.42995155169</v>
      </c>
      <c r="CB685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85" s="3">
        <f>IF(ROUND(Wapato_Inventory[[#This Row],[adj_res]]*Lookups!$H$48,-2)&lt;Wapato_Inventory[[#This Row],[min_res]],Wapato_Inventory[[#This Row],[min_res]],ROUND(Wapato_Inventory[[#This Row],[adj_res]]*Lookups!$H$48,-2))</f>
        <v>177500</v>
      </c>
      <c r="CD685" s="3">
        <f>ROUND(Wapato_Inventory[[#This Row],[det_value]]*Lookups!$H$48,-2)</f>
        <v>4800</v>
      </c>
      <c r="CE685" s="3">
        <f>Wapato_Inventory[[#This Row],[final_res]]+Wapato_Inventory[[#This Row],[final_det]]</f>
        <v>182300</v>
      </c>
      <c r="CF685" s="3">
        <f>Wapato_Inventory[[#This Row],[crop_value]]+Wapato_Inventory[[#This Row],[final_land]]+Wapato_Inventory[[#This Row],[final_imp]]</f>
        <v>232500</v>
      </c>
      <c r="CH685" t="str">
        <f t="shared" si="10"/>
        <v>update valuation set market_land =50200, market_bldg=182300, market_total =232500, market_mdno =405, market_date ='9/10/2023' where link_id = (select link_id from parcel where parcel_year = '2024' and parcel_id = '19111513492');</v>
      </c>
    </row>
    <row r="686" spans="1:86" x14ac:dyDescent="0.25">
      <c r="A686">
        <v>19111513496</v>
      </c>
      <c r="B686">
        <v>0.13</v>
      </c>
      <c r="C686">
        <v>5682</v>
      </c>
      <c r="D686" t="s">
        <v>144</v>
      </c>
      <c r="E686" t="s">
        <v>54</v>
      </c>
      <c r="F686" t="s">
        <v>54</v>
      </c>
      <c r="G686">
        <v>3</v>
      </c>
      <c r="H686" t="s">
        <v>55</v>
      </c>
      <c r="I686">
        <v>220200</v>
      </c>
      <c r="J686">
        <v>31400</v>
      </c>
      <c r="K686">
        <v>0.13</v>
      </c>
      <c r="L686">
        <f>IF(Wapato_Inventory[[#This Row],[parcel_acres]]-Wapato_Inventory[[#This Row],[non_valued_acres]] =0,0,LN(Wapato_Inventory[[#This Row],[parcel_acres]]-Wapato_Inventory[[#This Row],[non_valued_acres]]))</f>
        <v>-2.0402208285265546</v>
      </c>
      <c r="M686">
        <v>0</v>
      </c>
      <c r="N686">
        <v>0</v>
      </c>
      <c r="O686">
        <v>0</v>
      </c>
      <c r="P686">
        <v>27904.037</v>
      </c>
      <c r="Q686">
        <v>74398</v>
      </c>
      <c r="R686" s="3">
        <f>(Wapato_Inventory[[#This Row],[ln_acres]]*Wapato_Inventory[[#This Row],[coeff]])+Wapato_Inventory[[#This Row],[const]]</f>
        <v>17467.602512624362</v>
      </c>
      <c r="S686" t="s">
        <v>110</v>
      </c>
      <c r="T686">
        <v>1</v>
      </c>
      <c r="U686" t="s">
        <v>67</v>
      </c>
      <c r="V686" t="s">
        <v>68</v>
      </c>
      <c r="W686">
        <v>0</v>
      </c>
      <c r="X686">
        <v>0</v>
      </c>
      <c r="Y686">
        <v>43</v>
      </c>
      <c r="Z686">
        <v>44</v>
      </c>
      <c r="AA686">
        <v>50</v>
      </c>
      <c r="AB686">
        <v>2000</v>
      </c>
      <c r="AC686">
        <v>1972</v>
      </c>
      <c r="AD686">
        <v>1036</v>
      </c>
      <c r="AE686">
        <v>0</v>
      </c>
      <c r="AF686">
        <v>0</v>
      </c>
      <c r="AG686">
        <v>936</v>
      </c>
      <c r="AH686">
        <v>36</v>
      </c>
      <c r="AI686">
        <v>715</v>
      </c>
      <c r="AJ686">
        <v>0</v>
      </c>
      <c r="AK686">
        <v>0</v>
      </c>
      <c r="AL686">
        <v>704</v>
      </c>
      <c r="AM686">
        <v>0</v>
      </c>
      <c r="AN686">
        <v>0</v>
      </c>
      <c r="AO686">
        <v>0</v>
      </c>
      <c r="AP686">
        <v>8</v>
      </c>
      <c r="AQ686">
        <v>0</v>
      </c>
      <c r="AR686">
        <v>1</v>
      </c>
      <c r="AS686" t="s">
        <v>59</v>
      </c>
      <c r="AT686">
        <v>1</v>
      </c>
      <c r="AU686" t="s">
        <v>72</v>
      </c>
      <c r="AV686" t="s">
        <v>61</v>
      </c>
      <c r="AW686">
        <v>0</v>
      </c>
      <c r="AX686">
        <v>4</v>
      </c>
      <c r="AY686">
        <v>0</v>
      </c>
      <c r="AZ686">
        <v>0</v>
      </c>
      <c r="BA686">
        <v>100</v>
      </c>
      <c r="BB686">
        <v>100</v>
      </c>
      <c r="BC686">
        <v>100</v>
      </c>
      <c r="BD686">
        <v>100</v>
      </c>
      <c r="BE686">
        <v>1</v>
      </c>
      <c r="BF686">
        <v>15000</v>
      </c>
      <c r="BG686">
        <v>1000</v>
      </c>
      <c r="BH686" s="7">
        <f>ROUND(Wapato_Inventory[[#This Row],[detatched_value]]*Lookups!$B$22*Lookups!$H$48,-2)</f>
        <v>0</v>
      </c>
      <c r="BI686" s="7">
        <f>ROUND(((Wapato_Inventory[[#This Row],[land_extract]]*Lookups!$B$3) +(Lookups!$B$2*0.5))*Lookups!$H$48,-2)</f>
        <v>52800</v>
      </c>
      <c r="BJ686" s="7">
        <f>IF(Wapato_Inventory[[#This Row],[bldg_style]]="",0,Lookups!$B$2*0.5)</f>
        <v>53765.27</v>
      </c>
      <c r="BK686" s="7">
        <f>_xlfn.IFNA(VLOOKUP(Wapato_Inventory[[#This Row],[quality]],Lookups!$H$2:$J$14,3,FALSE),0)</f>
        <v>50405</v>
      </c>
      <c r="BL686" s="7">
        <f>_xlfn.IFNA(VLOOKUP(Wapato_Inventory[[#This Row],[condition]],Lookups!$H$17:$J$24,3,FALSE),0)</f>
        <v>52231</v>
      </c>
      <c r="BM686" s="7">
        <f>Wapato_Inventory[[#This Row],[Age]]*Lookups!$B$16</f>
        <v>-16309.730800000001</v>
      </c>
      <c r="BN686" s="7">
        <f>Wapato_Inventory[[#This Row],[Main Floor]]*Lookups!$B$17</f>
        <v>43305.565604000003</v>
      </c>
      <c r="BO686" s="7">
        <f>Wapato_Inventory[[#This Row],[Upper Floor]]*Lookups!$B$18</f>
        <v>0</v>
      </c>
      <c r="BP686" s="7">
        <f>Wapato_Inventory[[#This Row],[Fin BSMT]]*Lookups!$B$19</f>
        <v>22807.268639999998</v>
      </c>
      <c r="BQ686" s="7">
        <f>(Wapato_Inventory[[#This Row],[att_gar]]+Wapato_Inventory[[#This Row],[blt_gar]])*Lookups!$B$20</f>
        <v>26461.257680000002</v>
      </c>
      <c r="BR686" s="7">
        <f>Wapato_Inventory[[#This Row],[Patio]]*Lookups!$B$21</f>
        <v>0</v>
      </c>
      <c r="BS686" s="7">
        <f>SUM(Wapato_Inventory[[#This Row],[intercept]:[patio_value]])*Wapato_Inventory[[#This Row],[res_pct]]</f>
        <v>232665.63112400001</v>
      </c>
      <c r="BT686" s="7">
        <f>Wapato_Inventory[[#This Row],[land_value]]</f>
        <v>52800</v>
      </c>
      <c r="BU686" s="2">
        <f>_xlfn.IFNA(VLOOKUP(Wapato_Inventory[[#This Row],[quality]],Lookups!$A$28:$C$37,3,FALSE),1)</f>
        <v>0.97993206410140754</v>
      </c>
      <c r="BV686" s="2">
        <f>_xlfn.IFNA(VLOOKUP(Wapato_Inventory[[#This Row],[condition]],Lookups!$A$41:$C$48,3,FALSE),1)</f>
        <v>0.9832333997567807</v>
      </c>
      <c r="BW686" s="2">
        <f>IF(Wapato_Inventory[[#This Row],[decade]]="",1,_xlfn.IFNA(VLOOKUP(Wapato_Inventory[[#This Row],[decade]],Lookups!$F$28:$H$45,3,FALSE),1))</f>
        <v>0.96240333884358298</v>
      </c>
      <c r="BX686" s="2">
        <f>_xlfn.IFNA(VLOOKUP(Wapato_Inventory[[#This Row],[living_area_range]],Lookups!$K$28:$M$37,3,FALSE),1)</f>
        <v>0.99330894324714125</v>
      </c>
      <c r="BY686" s="2">
        <f>AVERAGE(Wapato_Inventory[[#This Row],[qual_adj]:[range_adj]])</f>
        <v>0.97971943648722815</v>
      </c>
      <c r="BZ686" s="7">
        <f>(Wapato_Inventory[[#This Row],[sum_land]]-IF(Wapato_Inventory[[#This Row],[no_utilities]]=1,12000,0))/IF(Wapato_Inventory[[#This Row],[unbuildable]]=1,2,1)</f>
        <v>52800</v>
      </c>
      <c r="CA686" s="7">
        <f>Wapato_Inventory[[#This Row],[pre_res]]*Wapato_Inventory[[#This Row],[overall_adj]]</f>
        <v>227947.04101475058</v>
      </c>
      <c r="CB686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86" s="3">
        <f>IF(ROUND(Wapato_Inventory[[#This Row],[adj_res]]*Lookups!$H$48,-2)&lt;Wapato_Inventory[[#This Row],[min_res]],Wapato_Inventory[[#This Row],[min_res]],ROUND(Wapato_Inventory[[#This Row],[adj_res]]*Lookups!$H$48,-2))</f>
        <v>216500</v>
      </c>
      <c r="CD686" s="3">
        <f>ROUND(Wapato_Inventory[[#This Row],[det_value]]*Lookups!$H$48,-2)</f>
        <v>0</v>
      </c>
      <c r="CE686" s="3">
        <f>Wapato_Inventory[[#This Row],[final_res]]+Wapato_Inventory[[#This Row],[final_det]]</f>
        <v>216500</v>
      </c>
      <c r="CF686" s="3">
        <f>Wapato_Inventory[[#This Row],[crop_value]]+Wapato_Inventory[[#This Row],[final_land]]+Wapato_Inventory[[#This Row],[final_imp]]</f>
        <v>266700</v>
      </c>
      <c r="CH686" t="str">
        <f t="shared" si="10"/>
        <v>update valuation set market_land =50200, market_bldg=216500, market_total =266700, market_mdno =405, market_date ='9/10/2023' where link_id = (select link_id from parcel where parcel_year = '2024' and parcel_id = '19111513496');</v>
      </c>
    </row>
    <row r="687" spans="1:86" x14ac:dyDescent="0.25">
      <c r="A687">
        <v>19111513498</v>
      </c>
      <c r="B687">
        <v>0.12</v>
      </c>
      <c r="C687">
        <v>5013</v>
      </c>
      <c r="D687" t="s">
        <v>144</v>
      </c>
      <c r="E687" t="s">
        <v>54</v>
      </c>
      <c r="F687" t="s">
        <v>54</v>
      </c>
      <c r="G687">
        <v>3</v>
      </c>
      <c r="H687" t="s">
        <v>55</v>
      </c>
      <c r="I687">
        <v>112200</v>
      </c>
      <c r="J687">
        <v>30800</v>
      </c>
      <c r="K687">
        <v>0.12</v>
      </c>
      <c r="L687">
        <f>IF(Wapato_Inventory[[#This Row],[parcel_acres]]-Wapato_Inventory[[#This Row],[non_valued_acres]] =0,0,LN(Wapato_Inventory[[#This Row],[parcel_acres]]-Wapato_Inventory[[#This Row],[non_valued_acres]]))</f>
        <v>-2.120263536200091</v>
      </c>
      <c r="M687">
        <v>0</v>
      </c>
      <c r="N687">
        <v>0</v>
      </c>
      <c r="O687">
        <v>0</v>
      </c>
      <c r="P687">
        <v>27904.037</v>
      </c>
      <c r="Q687">
        <v>74398</v>
      </c>
      <c r="R687" s="3">
        <f>(Wapato_Inventory[[#This Row],[ln_acres]]*Wapato_Inventory[[#This Row],[coeff]])+Wapato_Inventory[[#This Row],[const]]</f>
        <v>15234.08783612182</v>
      </c>
      <c r="S687" t="s">
        <v>66</v>
      </c>
      <c r="T687">
        <v>1</v>
      </c>
      <c r="U687" t="s">
        <v>71</v>
      </c>
      <c r="V687" t="s">
        <v>68</v>
      </c>
      <c r="W687">
        <v>0</v>
      </c>
      <c r="X687">
        <v>0</v>
      </c>
      <c r="Y687">
        <v>52</v>
      </c>
      <c r="Z687">
        <v>88</v>
      </c>
      <c r="AA687">
        <v>90</v>
      </c>
      <c r="AB687">
        <v>1000</v>
      </c>
      <c r="AC687">
        <v>960</v>
      </c>
      <c r="AD687">
        <v>960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0</v>
      </c>
      <c r="AN687">
        <v>25</v>
      </c>
      <c r="AO687">
        <v>0</v>
      </c>
      <c r="AP687">
        <v>5</v>
      </c>
      <c r="AQ687">
        <v>0</v>
      </c>
      <c r="AR687">
        <v>0</v>
      </c>
      <c r="AS687" t="s">
        <v>59</v>
      </c>
      <c r="AT687">
        <v>0</v>
      </c>
      <c r="AU687" t="s">
        <v>80</v>
      </c>
      <c r="AV687" t="s">
        <v>77</v>
      </c>
      <c r="AW687">
        <v>0</v>
      </c>
      <c r="AX687">
        <v>2</v>
      </c>
      <c r="AY687">
        <v>0</v>
      </c>
      <c r="AZ687">
        <v>6000</v>
      </c>
      <c r="BA687">
        <v>100</v>
      </c>
      <c r="BB687">
        <v>100</v>
      </c>
      <c r="BC687">
        <v>100</v>
      </c>
      <c r="BD687">
        <v>100</v>
      </c>
      <c r="BE687">
        <v>1</v>
      </c>
      <c r="BF687">
        <v>15000</v>
      </c>
      <c r="BG687">
        <v>1000</v>
      </c>
      <c r="BH687" s="7">
        <f>ROUND(Wapato_Inventory[[#This Row],[detatched_value]]*Lookups!$B$22*Lookups!$H$48,-2)</f>
        <v>5400</v>
      </c>
      <c r="BI687" s="7">
        <f>ROUND(((Wapato_Inventory[[#This Row],[land_extract]]*Lookups!$B$3) +(Lookups!$B$2*0.5))*Lookups!$H$48,-2)</f>
        <v>52500</v>
      </c>
      <c r="BJ687" s="7">
        <f>IF(Wapato_Inventory[[#This Row],[bldg_style]]="",0,Lookups!$B$2*0.5)</f>
        <v>53765.27</v>
      </c>
      <c r="BK687" s="7">
        <f>_xlfn.IFNA(VLOOKUP(Wapato_Inventory[[#This Row],[quality]],Lookups!$H$2:$J$14,3,FALSE),0)</f>
        <v>28034</v>
      </c>
      <c r="BL687" s="7">
        <f>_xlfn.IFNA(VLOOKUP(Wapato_Inventory[[#This Row],[condition]],Lookups!$H$17:$J$24,3,FALSE),0)</f>
        <v>52231</v>
      </c>
      <c r="BM687" s="7">
        <f>Wapato_Inventory[[#This Row],[Age]]*Lookups!$B$16</f>
        <v>-32619.461600000002</v>
      </c>
      <c r="BN687" s="7">
        <f>Wapato_Inventory[[#This Row],[Main Floor]]*Lookups!$B$17</f>
        <v>40128.709439999999</v>
      </c>
      <c r="BO687" s="7">
        <f>Wapato_Inventory[[#This Row],[Upper Floor]]*Lookups!$B$18</f>
        <v>0</v>
      </c>
      <c r="BP687" s="7">
        <f>Wapato_Inventory[[#This Row],[Fin BSMT]]*Lookups!$B$19</f>
        <v>0</v>
      </c>
      <c r="BQ687" s="7">
        <f>(Wapato_Inventory[[#This Row],[att_gar]]+Wapato_Inventory[[#This Row],[blt_gar]])*Lookups!$B$20</f>
        <v>0</v>
      </c>
      <c r="BR687" s="7">
        <f>Wapato_Inventory[[#This Row],[Patio]]*Lookups!$B$21</f>
        <v>0</v>
      </c>
      <c r="BS687" s="7">
        <f>SUM(Wapato_Inventory[[#This Row],[intercept]:[patio_value]])*Wapato_Inventory[[#This Row],[res_pct]]</f>
        <v>141539.51783999999</v>
      </c>
      <c r="BT687" s="7">
        <f>Wapato_Inventory[[#This Row],[land_value]]</f>
        <v>52500</v>
      </c>
      <c r="BU687" s="2">
        <f>_xlfn.IFNA(VLOOKUP(Wapato_Inventory[[#This Row],[quality]],Lookups!$A$28:$C$37,3,FALSE),1)</f>
        <v>0.96265813922927435</v>
      </c>
      <c r="BV687" s="2">
        <f>_xlfn.IFNA(VLOOKUP(Wapato_Inventory[[#This Row],[condition]],Lookups!$A$41:$C$48,3,FALSE),1)</f>
        <v>0.9832333997567807</v>
      </c>
      <c r="BW687" s="2">
        <f>IF(Wapato_Inventory[[#This Row],[decade]]="",1,_xlfn.IFNA(VLOOKUP(Wapato_Inventory[[#This Row],[decade]],Lookups!$F$28:$H$45,3,FALSE),1))</f>
        <v>0.94742695999815718</v>
      </c>
      <c r="BX687" s="2">
        <f>_xlfn.IFNA(VLOOKUP(Wapato_Inventory[[#This Row],[living_area_range]],Lookups!$K$28:$M$37,3,FALSE),1)</f>
        <v>0.99022994770196116</v>
      </c>
      <c r="BY687" s="2">
        <f>AVERAGE(Wapato_Inventory[[#This Row],[qual_adj]:[range_adj]])</f>
        <v>0.97088711167154329</v>
      </c>
      <c r="BZ687" s="7">
        <f>(Wapato_Inventory[[#This Row],[sum_land]]-IF(Wapato_Inventory[[#This Row],[no_utilities]]=1,12000,0))/IF(Wapato_Inventory[[#This Row],[unbuildable]]=1,2,1)</f>
        <v>52500</v>
      </c>
      <c r="CA687" s="7">
        <f>Wapato_Inventory[[#This Row],[pre_res]]*Wapato_Inventory[[#This Row],[overall_adj]]</f>
        <v>137418.89366306047</v>
      </c>
      <c r="CB687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687" s="3">
        <f>IF(ROUND(Wapato_Inventory[[#This Row],[adj_res]]*Lookups!$H$48,-2)&lt;Wapato_Inventory[[#This Row],[min_res]],Wapato_Inventory[[#This Row],[min_res]],ROUND(Wapato_Inventory[[#This Row],[adj_res]]*Lookups!$H$48,-2))</f>
        <v>130500</v>
      </c>
      <c r="CD687" s="3">
        <f>ROUND(Wapato_Inventory[[#This Row],[det_value]]*Lookups!$H$48,-2)</f>
        <v>5100</v>
      </c>
      <c r="CE687" s="3">
        <f>Wapato_Inventory[[#This Row],[final_res]]+Wapato_Inventory[[#This Row],[final_det]]</f>
        <v>135600</v>
      </c>
      <c r="CF687" s="3">
        <f>Wapato_Inventory[[#This Row],[crop_value]]+Wapato_Inventory[[#This Row],[final_land]]+Wapato_Inventory[[#This Row],[final_imp]]</f>
        <v>185500</v>
      </c>
      <c r="CH687" t="str">
        <f t="shared" si="10"/>
        <v>update valuation set market_land =49900, market_bldg=135600, market_total =185500, market_mdno =405, market_date ='9/10/2023' where link_id = (select link_id from parcel where parcel_year = '2024' and parcel_id = '19111513498');</v>
      </c>
    </row>
    <row r="688" spans="1:86" x14ac:dyDescent="0.25">
      <c r="A688">
        <v>19111513499</v>
      </c>
      <c r="B688">
        <v>0.15</v>
      </c>
      <c r="C688">
        <v>6543</v>
      </c>
      <c r="D688" t="s">
        <v>144</v>
      </c>
      <c r="E688" t="s">
        <v>54</v>
      </c>
      <c r="F688" t="s">
        <v>54</v>
      </c>
      <c r="G688">
        <v>3</v>
      </c>
      <c r="H688" t="s">
        <v>55</v>
      </c>
      <c r="I688">
        <v>104200</v>
      </c>
      <c r="J688">
        <v>32300</v>
      </c>
      <c r="K688">
        <v>0.15</v>
      </c>
      <c r="L688">
        <f>IF(Wapato_Inventory[[#This Row],[parcel_acres]]-Wapato_Inventory[[#This Row],[non_valued_acres]] =0,0,LN(Wapato_Inventory[[#This Row],[parcel_acres]]-Wapato_Inventory[[#This Row],[non_valued_acres]]))</f>
        <v>-1.8971199848858813</v>
      </c>
      <c r="M688">
        <v>0</v>
      </c>
      <c r="N688">
        <v>0</v>
      </c>
      <c r="O688">
        <v>0</v>
      </c>
      <c r="P688">
        <v>27904.037</v>
      </c>
      <c r="Q688">
        <v>74398</v>
      </c>
      <c r="R688" s="3">
        <f>(Wapato_Inventory[[#This Row],[ln_acres]]*Wapato_Inventory[[#This Row],[coeff]])+Wapato_Inventory[[#This Row],[const]]</f>
        <v>21460.693748304926</v>
      </c>
      <c r="S688" t="s">
        <v>66</v>
      </c>
      <c r="T688">
        <v>1</v>
      </c>
      <c r="U688" t="s">
        <v>71</v>
      </c>
      <c r="V688" t="s">
        <v>68</v>
      </c>
      <c r="W688">
        <v>0</v>
      </c>
      <c r="X688">
        <v>0</v>
      </c>
      <c r="Y688">
        <v>53</v>
      </c>
      <c r="Z688">
        <v>93</v>
      </c>
      <c r="AA688">
        <v>100</v>
      </c>
      <c r="AB688">
        <v>1000</v>
      </c>
      <c r="AC688">
        <v>920</v>
      </c>
      <c r="AD688">
        <v>920</v>
      </c>
      <c r="AE688">
        <v>0</v>
      </c>
      <c r="AF688">
        <v>0</v>
      </c>
      <c r="AG688">
        <v>0</v>
      </c>
      <c r="AH688">
        <v>400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24</v>
      </c>
      <c r="AO688">
        <v>0</v>
      </c>
      <c r="AP688">
        <v>5</v>
      </c>
      <c r="AQ688">
        <v>0</v>
      </c>
      <c r="AR688">
        <v>0</v>
      </c>
      <c r="AS688" t="s">
        <v>59</v>
      </c>
      <c r="AT688">
        <v>0</v>
      </c>
      <c r="AU688" t="s">
        <v>80</v>
      </c>
      <c r="AV688" t="s">
        <v>77</v>
      </c>
      <c r="AW688">
        <v>0</v>
      </c>
      <c r="AX688">
        <v>2</v>
      </c>
      <c r="AY688">
        <v>0</v>
      </c>
      <c r="AZ688">
        <v>0</v>
      </c>
      <c r="BA688">
        <v>100</v>
      </c>
      <c r="BB688">
        <v>100</v>
      </c>
      <c r="BC688">
        <v>100</v>
      </c>
      <c r="BD688">
        <v>100</v>
      </c>
      <c r="BE688">
        <v>1</v>
      </c>
      <c r="BF688">
        <v>15000</v>
      </c>
      <c r="BG688">
        <v>1000</v>
      </c>
      <c r="BH688" s="7">
        <f>ROUND(Wapato_Inventory[[#This Row],[detatched_value]]*Lookups!$B$22*Lookups!$H$48,-2)</f>
        <v>0</v>
      </c>
      <c r="BI688" s="7">
        <f>ROUND(((Wapato_Inventory[[#This Row],[land_extract]]*Lookups!$B$3) +(Lookups!$B$2*0.5))*Lookups!$H$48,-2)</f>
        <v>53100</v>
      </c>
      <c r="BJ688" s="7">
        <f>IF(Wapato_Inventory[[#This Row],[bldg_style]]="",0,Lookups!$B$2*0.5)</f>
        <v>53765.27</v>
      </c>
      <c r="BK688" s="7">
        <f>_xlfn.IFNA(VLOOKUP(Wapato_Inventory[[#This Row],[quality]],Lookups!$H$2:$J$14,3,FALSE),0)</f>
        <v>28034</v>
      </c>
      <c r="BL688" s="7">
        <f>_xlfn.IFNA(VLOOKUP(Wapato_Inventory[[#This Row],[condition]],Lookups!$H$17:$J$24,3,FALSE),0)</f>
        <v>52231</v>
      </c>
      <c r="BM688" s="7">
        <f>Wapato_Inventory[[#This Row],[Age]]*Lookups!$B$16</f>
        <v>-34472.840100000001</v>
      </c>
      <c r="BN688" s="7">
        <f>Wapato_Inventory[[#This Row],[Main Floor]]*Lookups!$B$17</f>
        <v>38456.679880000003</v>
      </c>
      <c r="BO688" s="7">
        <f>Wapato_Inventory[[#This Row],[Upper Floor]]*Lookups!$B$18</f>
        <v>0</v>
      </c>
      <c r="BP688" s="7">
        <f>Wapato_Inventory[[#This Row],[Fin BSMT]]*Lookups!$B$19</f>
        <v>0</v>
      </c>
      <c r="BQ688" s="7">
        <f>(Wapato_Inventory[[#This Row],[att_gar]]+Wapato_Inventory[[#This Row],[blt_gar]])*Lookups!$B$20</f>
        <v>0</v>
      </c>
      <c r="BR688" s="7">
        <f>Wapato_Inventory[[#This Row],[Patio]]*Lookups!$B$21</f>
        <v>0</v>
      </c>
      <c r="BS688" s="7">
        <f>SUM(Wapato_Inventory[[#This Row],[intercept]:[patio_value]])*Wapato_Inventory[[#This Row],[res_pct]]</f>
        <v>138014.10978</v>
      </c>
      <c r="BT688" s="7">
        <f>Wapato_Inventory[[#This Row],[land_value]]</f>
        <v>53100</v>
      </c>
      <c r="BU688" s="2">
        <f>_xlfn.IFNA(VLOOKUP(Wapato_Inventory[[#This Row],[quality]],Lookups!$A$28:$C$37,3,FALSE),1)</f>
        <v>0.96265813922927435</v>
      </c>
      <c r="BV688" s="2">
        <f>_xlfn.IFNA(VLOOKUP(Wapato_Inventory[[#This Row],[condition]],Lookups!$A$41:$C$48,3,FALSE),1)</f>
        <v>0.9832333997567807</v>
      </c>
      <c r="BW688" s="2">
        <f>IF(Wapato_Inventory[[#This Row],[decade]]="",1,_xlfn.IFNA(VLOOKUP(Wapato_Inventory[[#This Row],[decade]],Lookups!$F$28:$H$45,3,FALSE),1))</f>
        <v>1.0114203040664467</v>
      </c>
      <c r="BX688" s="2">
        <f>_xlfn.IFNA(VLOOKUP(Wapato_Inventory[[#This Row],[living_area_range]],Lookups!$K$28:$M$37,3,FALSE),1)</f>
        <v>0.99022994770196116</v>
      </c>
      <c r="BY688" s="2">
        <f>AVERAGE(Wapato_Inventory[[#This Row],[qual_adj]:[range_adj]])</f>
        <v>0.98688544768861564</v>
      </c>
      <c r="BZ688" s="7">
        <f>(Wapato_Inventory[[#This Row],[sum_land]]-IF(Wapato_Inventory[[#This Row],[no_utilities]]=1,12000,0))/IF(Wapato_Inventory[[#This Row],[unbuildable]]=1,2,1)</f>
        <v>53100</v>
      </c>
      <c r="CA688" s="7">
        <f>Wapato_Inventory[[#This Row],[pre_res]]*Wapato_Inventory[[#This Row],[overall_adj]]</f>
        <v>136204.11651758105</v>
      </c>
      <c r="CB68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88" s="3">
        <f>IF(ROUND(Wapato_Inventory[[#This Row],[adj_res]]*Lookups!$H$48,-2)&lt;Wapato_Inventory[[#This Row],[min_res]],Wapato_Inventory[[#This Row],[min_res]],ROUND(Wapato_Inventory[[#This Row],[adj_res]]*Lookups!$H$48,-2))</f>
        <v>129400</v>
      </c>
      <c r="CD688" s="3">
        <f>ROUND(Wapato_Inventory[[#This Row],[det_value]]*Lookups!$H$48,-2)</f>
        <v>0</v>
      </c>
      <c r="CE688" s="3">
        <f>Wapato_Inventory[[#This Row],[final_res]]+Wapato_Inventory[[#This Row],[final_det]]</f>
        <v>129400</v>
      </c>
      <c r="CF688" s="3">
        <f>Wapato_Inventory[[#This Row],[crop_value]]+Wapato_Inventory[[#This Row],[final_land]]+Wapato_Inventory[[#This Row],[final_imp]]</f>
        <v>179800</v>
      </c>
      <c r="CH688" t="str">
        <f t="shared" si="10"/>
        <v>update valuation set market_land =50400, market_bldg=129400, market_total =179800, market_mdno =405, market_date ='9/10/2023' where link_id = (select link_id from parcel where parcel_year = '2024' and parcel_id = '19111513499');</v>
      </c>
    </row>
    <row r="689" spans="1:86" x14ac:dyDescent="0.25">
      <c r="A689">
        <v>19111513500</v>
      </c>
      <c r="B689">
        <v>0.14000000000000001</v>
      </c>
      <c r="C689">
        <v>6256</v>
      </c>
      <c r="D689" t="s">
        <v>144</v>
      </c>
      <c r="E689" t="s">
        <v>54</v>
      </c>
      <c r="F689" t="s">
        <v>54</v>
      </c>
      <c r="G689">
        <v>3</v>
      </c>
      <c r="H689" t="s">
        <v>55</v>
      </c>
      <c r="I689">
        <v>116200</v>
      </c>
      <c r="J689">
        <v>31900</v>
      </c>
      <c r="K689">
        <v>0.14000000000000001</v>
      </c>
      <c r="L689">
        <f>IF(Wapato_Inventory[[#This Row],[parcel_acres]]-Wapato_Inventory[[#This Row],[non_valued_acres]] =0,0,LN(Wapato_Inventory[[#This Row],[parcel_acres]]-Wapato_Inventory[[#This Row],[non_valued_acres]]))</f>
        <v>-1.9661128563728327</v>
      </c>
      <c r="M689">
        <v>0</v>
      </c>
      <c r="N689">
        <v>0</v>
      </c>
      <c r="O689">
        <v>0</v>
      </c>
      <c r="P689">
        <v>27904.037</v>
      </c>
      <c r="Q689">
        <v>74398</v>
      </c>
      <c r="R689" s="3">
        <f>(Wapato_Inventory[[#This Row],[ln_acres]]*Wapato_Inventory[[#This Row],[coeff]])+Wapato_Inventory[[#This Row],[const]]</f>
        <v>19535.514109596792</v>
      </c>
      <c r="S689" t="s">
        <v>56</v>
      </c>
      <c r="T689">
        <v>2</v>
      </c>
      <c r="U689" t="s">
        <v>71</v>
      </c>
      <c r="V689" t="s">
        <v>73</v>
      </c>
      <c r="W689">
        <v>0</v>
      </c>
      <c r="X689">
        <v>0</v>
      </c>
      <c r="Y689">
        <v>52</v>
      </c>
      <c r="Z689">
        <v>88</v>
      </c>
      <c r="AA689">
        <v>90</v>
      </c>
      <c r="AB689">
        <v>1500</v>
      </c>
      <c r="AC689">
        <v>1462</v>
      </c>
      <c r="AD689">
        <v>1012</v>
      </c>
      <c r="AE689">
        <v>450</v>
      </c>
      <c r="AF689">
        <v>0</v>
      </c>
      <c r="AG689">
        <v>0</v>
      </c>
      <c r="AH689">
        <v>990</v>
      </c>
      <c r="AI689">
        <v>324</v>
      </c>
      <c r="AJ689">
        <v>0</v>
      </c>
      <c r="AK689">
        <v>0</v>
      </c>
      <c r="AL689">
        <v>0</v>
      </c>
      <c r="AM689">
        <v>630</v>
      </c>
      <c r="AN689">
        <v>45</v>
      </c>
      <c r="AO689">
        <v>630</v>
      </c>
      <c r="AP689">
        <v>5</v>
      </c>
      <c r="AQ689">
        <v>0</v>
      </c>
      <c r="AR689">
        <v>0</v>
      </c>
      <c r="AS689" t="s">
        <v>59</v>
      </c>
      <c r="AT689">
        <v>1</v>
      </c>
      <c r="AU689" t="s">
        <v>64</v>
      </c>
      <c r="AV689" t="s">
        <v>65</v>
      </c>
      <c r="AW689">
        <v>0</v>
      </c>
      <c r="AX689">
        <v>4</v>
      </c>
      <c r="AY689">
        <v>0</v>
      </c>
      <c r="AZ689">
        <v>0</v>
      </c>
      <c r="BA689">
        <v>100</v>
      </c>
      <c r="BB689">
        <v>100</v>
      </c>
      <c r="BC689">
        <v>100</v>
      </c>
      <c r="BD689">
        <v>100</v>
      </c>
      <c r="BE689">
        <v>1</v>
      </c>
      <c r="BF689">
        <v>15000</v>
      </c>
      <c r="BG689">
        <v>1000</v>
      </c>
      <c r="BH689" s="7">
        <f>ROUND(Wapato_Inventory[[#This Row],[detatched_value]]*Lookups!$B$22*Lookups!$H$48,-2)</f>
        <v>0</v>
      </c>
      <c r="BI689" s="7">
        <f>ROUND(((Wapato_Inventory[[#This Row],[land_extract]]*Lookups!$B$3) +(Lookups!$B$2*0.5))*Lookups!$H$48,-2)</f>
        <v>53000</v>
      </c>
      <c r="BJ689" s="7">
        <f>IF(Wapato_Inventory[[#This Row],[bldg_style]]="",0,Lookups!$B$2*0.5)</f>
        <v>53765.27</v>
      </c>
      <c r="BK689" s="7">
        <f>_xlfn.IFNA(VLOOKUP(Wapato_Inventory[[#This Row],[quality]],Lookups!$H$2:$J$14,3,FALSE),0)</f>
        <v>28034</v>
      </c>
      <c r="BL689" s="7">
        <f>_xlfn.IFNA(VLOOKUP(Wapato_Inventory[[#This Row],[condition]],Lookups!$H$17:$J$24,3,FALSE),0)</f>
        <v>16276</v>
      </c>
      <c r="BM689" s="7">
        <f>Wapato_Inventory[[#This Row],[Age]]*Lookups!$B$16</f>
        <v>-32619.461600000002</v>
      </c>
      <c r="BN689" s="7">
        <f>Wapato_Inventory[[#This Row],[Main Floor]]*Lookups!$B$17</f>
        <v>42302.347867999997</v>
      </c>
      <c r="BO689" s="7">
        <f>Wapato_Inventory[[#This Row],[Upper Floor]]*Lookups!$B$18</f>
        <v>22320.512550000003</v>
      </c>
      <c r="BP689" s="7">
        <f>Wapato_Inventory[[#This Row],[Fin BSMT]]*Lookups!$B$19</f>
        <v>0</v>
      </c>
      <c r="BQ689" s="7">
        <f>(Wapato_Inventory[[#This Row],[att_gar]]+Wapato_Inventory[[#This Row],[blt_gar]])*Lookups!$B$20</f>
        <v>11990.835648</v>
      </c>
      <c r="BR689" s="7">
        <f>Wapato_Inventory[[#This Row],[Patio]]*Lookups!$B$21</f>
        <v>27294.106770000002</v>
      </c>
      <c r="BS689" s="7">
        <f>SUM(Wapato_Inventory[[#This Row],[intercept]:[patio_value]])*Wapato_Inventory[[#This Row],[res_pct]]</f>
        <v>169363.611236</v>
      </c>
      <c r="BT689" s="7">
        <f>Wapato_Inventory[[#This Row],[land_value]]</f>
        <v>53000</v>
      </c>
      <c r="BU689" s="2">
        <f>_xlfn.IFNA(VLOOKUP(Wapato_Inventory[[#This Row],[quality]],Lookups!$A$28:$C$37,3,FALSE),1)</f>
        <v>0.96265813922927435</v>
      </c>
      <c r="BV689" s="2">
        <f>_xlfn.IFNA(VLOOKUP(Wapato_Inventory[[#This Row],[condition]],Lookups!$A$41:$C$48,3,FALSE),1)</f>
        <v>0.93399385491337139</v>
      </c>
      <c r="BW689" s="2">
        <f>IF(Wapato_Inventory[[#This Row],[decade]]="",1,_xlfn.IFNA(VLOOKUP(Wapato_Inventory[[#This Row],[decade]],Lookups!$F$28:$H$45,3,FALSE),1))</f>
        <v>0.94742695999815718</v>
      </c>
      <c r="BX689" s="2">
        <f>_xlfn.IFNA(VLOOKUP(Wapato_Inventory[[#This Row],[living_area_range]],Lookups!$K$28:$M$37,3,FALSE),1)</f>
        <v>1.0061411172456287</v>
      </c>
      <c r="BY689" s="2">
        <f>AVERAGE(Wapato_Inventory[[#This Row],[qual_adj]:[range_adj]])</f>
        <v>0.96255501784660791</v>
      </c>
      <c r="BZ689" s="7">
        <f>(Wapato_Inventory[[#This Row],[sum_land]]-IF(Wapato_Inventory[[#This Row],[no_utilities]]=1,12000,0))/IF(Wapato_Inventory[[#This Row],[unbuildable]]=1,2,1)</f>
        <v>53000</v>
      </c>
      <c r="CA689" s="7">
        <f>Wapato_Inventory[[#This Row],[pre_res]]*Wapato_Inventory[[#This Row],[overall_adj]]</f>
        <v>163021.79383583393</v>
      </c>
      <c r="CB68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89" s="3">
        <f>IF(ROUND(Wapato_Inventory[[#This Row],[adj_res]]*Lookups!$H$48,-2)&lt;Wapato_Inventory[[#This Row],[min_res]],Wapato_Inventory[[#This Row],[min_res]],ROUND(Wapato_Inventory[[#This Row],[adj_res]]*Lookups!$H$48,-2))</f>
        <v>154900</v>
      </c>
      <c r="CD689" s="3">
        <f>ROUND(Wapato_Inventory[[#This Row],[det_value]]*Lookups!$H$48,-2)</f>
        <v>0</v>
      </c>
      <c r="CE689" s="3">
        <f>Wapato_Inventory[[#This Row],[final_res]]+Wapato_Inventory[[#This Row],[final_det]]</f>
        <v>154900</v>
      </c>
      <c r="CF689" s="3">
        <f>Wapato_Inventory[[#This Row],[crop_value]]+Wapato_Inventory[[#This Row],[final_land]]+Wapato_Inventory[[#This Row],[final_imp]]</f>
        <v>205300</v>
      </c>
      <c r="CH689" t="str">
        <f t="shared" si="10"/>
        <v>update valuation set market_land =50400, market_bldg=154900, market_total =205300, market_mdno =405, market_date ='9/10/2023' where link_id = (select link_id from parcel where parcel_year = '2024' and parcel_id = '19111513500');</v>
      </c>
    </row>
    <row r="690" spans="1:86" x14ac:dyDescent="0.25">
      <c r="A690">
        <v>19111513501</v>
      </c>
      <c r="B690">
        <v>0.13</v>
      </c>
      <c r="C690">
        <v>5793</v>
      </c>
      <c r="D690" t="s">
        <v>144</v>
      </c>
      <c r="E690" t="s">
        <v>54</v>
      </c>
      <c r="F690" t="s">
        <v>54</v>
      </c>
      <c r="G690">
        <v>3</v>
      </c>
      <c r="H690" t="s">
        <v>55</v>
      </c>
      <c r="I690">
        <v>141800</v>
      </c>
      <c r="J690">
        <v>31400</v>
      </c>
      <c r="K690">
        <v>0.13</v>
      </c>
      <c r="L690">
        <f>IF(Wapato_Inventory[[#This Row],[parcel_acres]]-Wapato_Inventory[[#This Row],[non_valued_acres]] =0,0,LN(Wapato_Inventory[[#This Row],[parcel_acres]]-Wapato_Inventory[[#This Row],[non_valued_acres]]))</f>
        <v>-2.0402208285265546</v>
      </c>
      <c r="M690">
        <v>0</v>
      </c>
      <c r="N690">
        <v>0</v>
      </c>
      <c r="O690">
        <v>0</v>
      </c>
      <c r="P690">
        <v>27904.037</v>
      </c>
      <c r="Q690">
        <v>74398</v>
      </c>
      <c r="R690" s="3">
        <f>(Wapato_Inventory[[#This Row],[ln_acres]]*Wapato_Inventory[[#This Row],[coeff]])+Wapato_Inventory[[#This Row],[const]]</f>
        <v>17467.602512624362</v>
      </c>
      <c r="S690" t="s">
        <v>56</v>
      </c>
      <c r="T690">
        <v>2</v>
      </c>
      <c r="U690" t="s">
        <v>67</v>
      </c>
      <c r="V690" t="s">
        <v>68</v>
      </c>
      <c r="W690">
        <v>0</v>
      </c>
      <c r="X690">
        <v>0</v>
      </c>
      <c r="Y690">
        <v>57</v>
      </c>
      <c r="Z690">
        <v>103</v>
      </c>
      <c r="AA690">
        <v>110</v>
      </c>
      <c r="AB690">
        <v>1500</v>
      </c>
      <c r="AC690">
        <v>1332</v>
      </c>
      <c r="AD690">
        <v>972</v>
      </c>
      <c r="AE690">
        <v>360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360</v>
      </c>
      <c r="AL690">
        <v>0</v>
      </c>
      <c r="AM690">
        <v>0</v>
      </c>
      <c r="AN690">
        <v>84</v>
      </c>
      <c r="AO690">
        <v>0</v>
      </c>
      <c r="AP690">
        <v>5</v>
      </c>
      <c r="AQ690">
        <v>1</v>
      </c>
      <c r="AR690">
        <v>0</v>
      </c>
      <c r="AS690" t="s">
        <v>59</v>
      </c>
      <c r="AT690">
        <v>1</v>
      </c>
      <c r="AU690" t="s">
        <v>64</v>
      </c>
      <c r="AV690" t="s">
        <v>77</v>
      </c>
      <c r="AW690">
        <v>0</v>
      </c>
      <c r="AX690">
        <v>3</v>
      </c>
      <c r="AY690">
        <v>0</v>
      </c>
      <c r="AZ690">
        <v>0</v>
      </c>
      <c r="BA690">
        <v>100</v>
      </c>
      <c r="BB690">
        <v>100</v>
      </c>
      <c r="BC690">
        <v>100</v>
      </c>
      <c r="BD690">
        <v>100</v>
      </c>
      <c r="BE690">
        <v>1</v>
      </c>
      <c r="BF690">
        <v>15000</v>
      </c>
      <c r="BG690">
        <v>1000</v>
      </c>
      <c r="BH690" s="7">
        <f>ROUND(Wapato_Inventory[[#This Row],[detatched_value]]*Lookups!$B$22*Lookups!$H$48,-2)</f>
        <v>0</v>
      </c>
      <c r="BI690" s="7">
        <f>ROUND(((Wapato_Inventory[[#This Row],[land_extract]]*Lookups!$B$3) +(Lookups!$B$2*0.5))*Lookups!$H$48,-2)</f>
        <v>52800</v>
      </c>
      <c r="BJ690" s="7">
        <f>IF(Wapato_Inventory[[#This Row],[bldg_style]]="",0,Lookups!$B$2*0.5)</f>
        <v>53765.27</v>
      </c>
      <c r="BK690" s="7">
        <f>_xlfn.IFNA(VLOOKUP(Wapato_Inventory[[#This Row],[quality]],Lookups!$H$2:$J$14,3,FALSE),0)</f>
        <v>50405</v>
      </c>
      <c r="BL690" s="7">
        <f>_xlfn.IFNA(VLOOKUP(Wapato_Inventory[[#This Row],[condition]],Lookups!$H$17:$J$24,3,FALSE),0)</f>
        <v>52231</v>
      </c>
      <c r="BM690" s="7">
        <f>Wapato_Inventory[[#This Row],[Age]]*Lookups!$B$16</f>
        <v>-38179.597099999999</v>
      </c>
      <c r="BN690" s="7">
        <f>Wapato_Inventory[[#This Row],[Main Floor]]*Lookups!$B$17</f>
        <v>40630.318308000002</v>
      </c>
      <c r="BO690" s="7">
        <f>Wapato_Inventory[[#This Row],[Upper Floor]]*Lookups!$B$18</f>
        <v>17856.410040000002</v>
      </c>
      <c r="BP690" s="7">
        <f>Wapato_Inventory[[#This Row],[Fin BSMT]]*Lookups!$B$19</f>
        <v>0</v>
      </c>
      <c r="BQ690" s="7">
        <f>(Wapato_Inventory[[#This Row],[att_gar]]+Wapato_Inventory[[#This Row],[blt_gar]])*Lookups!$B$20</f>
        <v>0</v>
      </c>
      <c r="BR690" s="7">
        <f>Wapato_Inventory[[#This Row],[Patio]]*Lookups!$B$21</f>
        <v>0</v>
      </c>
      <c r="BS690" s="7">
        <f>SUM(Wapato_Inventory[[#This Row],[intercept]:[patio_value]])*Wapato_Inventory[[#This Row],[res_pct]]</f>
        <v>176708.40124799998</v>
      </c>
      <c r="BT690" s="7">
        <f>Wapato_Inventory[[#This Row],[land_value]]</f>
        <v>52800</v>
      </c>
      <c r="BU690" s="2">
        <f>_xlfn.IFNA(VLOOKUP(Wapato_Inventory[[#This Row],[quality]],Lookups!$A$28:$C$37,3,FALSE),1)</f>
        <v>0.97993206410140754</v>
      </c>
      <c r="BV690" s="2">
        <f>_xlfn.IFNA(VLOOKUP(Wapato_Inventory[[#This Row],[condition]],Lookups!$A$41:$C$48,3,FALSE),1)</f>
        <v>0.9832333997567807</v>
      </c>
      <c r="BW690" s="2">
        <f>IF(Wapato_Inventory[[#This Row],[decade]]="",1,_xlfn.IFNA(VLOOKUP(Wapato_Inventory[[#This Row],[decade]],Lookups!$F$28:$H$45,3,FALSE),1))</f>
        <v>0.93664589651353292</v>
      </c>
      <c r="BX690" s="2">
        <f>_xlfn.IFNA(VLOOKUP(Wapato_Inventory[[#This Row],[living_area_range]],Lookups!$K$28:$M$37,3,FALSE),1)</f>
        <v>1.0061411172456287</v>
      </c>
      <c r="BY690" s="2">
        <f>AVERAGE(Wapato_Inventory[[#This Row],[qual_adj]:[range_adj]])</f>
        <v>0.97648811940433755</v>
      </c>
      <c r="BZ690" s="7">
        <f>(Wapato_Inventory[[#This Row],[sum_land]]-IF(Wapato_Inventory[[#This Row],[no_utilities]]=1,12000,0))/IF(Wapato_Inventory[[#This Row],[unbuildable]]=1,2,1)</f>
        <v>52800</v>
      </c>
      <c r="CA690" s="7">
        <f>Wapato_Inventory[[#This Row],[pre_res]]*Wapato_Inventory[[#This Row],[overall_adj]]</f>
        <v>172553.65441760659</v>
      </c>
      <c r="CB690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90" s="3">
        <f>IF(ROUND(Wapato_Inventory[[#This Row],[adj_res]]*Lookups!$H$48,-2)&lt;Wapato_Inventory[[#This Row],[min_res]],Wapato_Inventory[[#This Row],[min_res]],ROUND(Wapato_Inventory[[#This Row],[adj_res]]*Lookups!$H$48,-2))</f>
        <v>163900</v>
      </c>
      <c r="CD690" s="3">
        <f>ROUND(Wapato_Inventory[[#This Row],[det_value]]*Lookups!$H$48,-2)</f>
        <v>0</v>
      </c>
      <c r="CE690" s="3">
        <f>Wapato_Inventory[[#This Row],[final_res]]+Wapato_Inventory[[#This Row],[final_det]]</f>
        <v>163900</v>
      </c>
      <c r="CF690" s="3">
        <f>Wapato_Inventory[[#This Row],[crop_value]]+Wapato_Inventory[[#This Row],[final_land]]+Wapato_Inventory[[#This Row],[final_imp]]</f>
        <v>214100</v>
      </c>
      <c r="CH690" t="str">
        <f t="shared" si="10"/>
        <v>update valuation set market_land =50200, market_bldg=163900, market_total =214100, market_mdno =405, market_date ='9/10/2023' where link_id = (select link_id from parcel where parcel_year = '2024' and parcel_id = '19111513501');</v>
      </c>
    </row>
    <row r="691" spans="1:86" x14ac:dyDescent="0.25">
      <c r="A691">
        <v>19111513502</v>
      </c>
      <c r="B691">
        <v>0.13</v>
      </c>
      <c r="C691">
        <v>5548</v>
      </c>
      <c r="D691" t="s">
        <v>144</v>
      </c>
      <c r="E691" t="s">
        <v>54</v>
      </c>
      <c r="F691" t="s">
        <v>54</v>
      </c>
      <c r="G691">
        <v>3</v>
      </c>
      <c r="H691" t="s">
        <v>55</v>
      </c>
      <c r="I691">
        <v>187800</v>
      </c>
      <c r="J691">
        <v>31400</v>
      </c>
      <c r="K691">
        <v>0.13</v>
      </c>
      <c r="L691">
        <f>IF(Wapato_Inventory[[#This Row],[parcel_acres]]-Wapato_Inventory[[#This Row],[non_valued_acres]] =0,0,LN(Wapato_Inventory[[#This Row],[parcel_acres]]-Wapato_Inventory[[#This Row],[non_valued_acres]]))</f>
        <v>-2.0402208285265546</v>
      </c>
      <c r="M691">
        <v>0</v>
      </c>
      <c r="N691">
        <v>0</v>
      </c>
      <c r="O691">
        <v>0</v>
      </c>
      <c r="P691">
        <v>27904.037</v>
      </c>
      <c r="Q691">
        <v>74398</v>
      </c>
      <c r="R691" s="3">
        <f>(Wapato_Inventory[[#This Row],[ln_acres]]*Wapato_Inventory[[#This Row],[coeff]])+Wapato_Inventory[[#This Row],[const]]</f>
        <v>17467.602512624362</v>
      </c>
      <c r="S691" t="s">
        <v>66</v>
      </c>
      <c r="T691">
        <v>1</v>
      </c>
      <c r="U691" t="s">
        <v>75</v>
      </c>
      <c r="V691" t="s">
        <v>69</v>
      </c>
      <c r="W691">
        <v>0</v>
      </c>
      <c r="X691">
        <v>0</v>
      </c>
      <c r="Y691">
        <v>55</v>
      </c>
      <c r="Z691">
        <v>98</v>
      </c>
      <c r="AA691">
        <v>100</v>
      </c>
      <c r="AB691">
        <v>1500</v>
      </c>
      <c r="AC691">
        <v>1008</v>
      </c>
      <c r="AD691">
        <v>1008</v>
      </c>
      <c r="AE691">
        <v>0</v>
      </c>
      <c r="AF691">
        <v>0</v>
      </c>
      <c r="AG691">
        <v>0</v>
      </c>
      <c r="AH691">
        <v>0</v>
      </c>
      <c r="AI691">
        <v>576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5</v>
      </c>
      <c r="AQ691">
        <v>0</v>
      </c>
      <c r="AR691">
        <v>0</v>
      </c>
      <c r="AS691" t="s">
        <v>59</v>
      </c>
      <c r="AT691">
        <v>1</v>
      </c>
      <c r="AU691" t="s">
        <v>72</v>
      </c>
      <c r="AV691" t="s">
        <v>65</v>
      </c>
      <c r="AW691">
        <v>0</v>
      </c>
      <c r="AX691">
        <v>2</v>
      </c>
      <c r="AY691">
        <v>0</v>
      </c>
      <c r="AZ691">
        <v>0</v>
      </c>
      <c r="BA691">
        <v>100</v>
      </c>
      <c r="BB691">
        <v>100</v>
      </c>
      <c r="BC691">
        <v>100</v>
      </c>
      <c r="BD691">
        <v>100</v>
      </c>
      <c r="BE691">
        <v>1</v>
      </c>
      <c r="BF691">
        <v>15000</v>
      </c>
      <c r="BG691">
        <v>1000</v>
      </c>
      <c r="BH691" s="7">
        <f>ROUND(Wapato_Inventory[[#This Row],[detatched_value]]*Lookups!$B$22*Lookups!$H$48,-2)</f>
        <v>0</v>
      </c>
      <c r="BI691" s="7">
        <f>ROUND(((Wapato_Inventory[[#This Row],[land_extract]]*Lookups!$B$3) +(Lookups!$B$2*0.5))*Lookups!$H$48,-2)</f>
        <v>52800</v>
      </c>
      <c r="BJ691" s="7">
        <f>IF(Wapato_Inventory[[#This Row],[bldg_style]]="",0,Lookups!$B$2*0.5)</f>
        <v>53765.27</v>
      </c>
      <c r="BK691" s="7">
        <f>_xlfn.IFNA(VLOOKUP(Wapato_Inventory[[#This Row],[quality]],Lookups!$H$2:$J$14,3,FALSE),0)</f>
        <v>48043</v>
      </c>
      <c r="BL691" s="7">
        <f>_xlfn.IFNA(VLOOKUP(Wapato_Inventory[[#This Row],[condition]],Lookups!$H$17:$J$24,3,FALSE),0)</f>
        <v>74543</v>
      </c>
      <c r="BM691" s="7">
        <f>Wapato_Inventory[[#This Row],[Age]]*Lookups!$B$16</f>
        <v>-36326.2186</v>
      </c>
      <c r="BN691" s="7">
        <f>Wapato_Inventory[[#This Row],[Main Floor]]*Lookups!$B$17</f>
        <v>42135.144912000003</v>
      </c>
      <c r="BO691" s="7">
        <f>Wapato_Inventory[[#This Row],[Upper Floor]]*Lookups!$B$18</f>
        <v>0</v>
      </c>
      <c r="BP691" s="7">
        <f>Wapato_Inventory[[#This Row],[Fin BSMT]]*Lookups!$B$19</f>
        <v>0</v>
      </c>
      <c r="BQ691" s="7">
        <f>(Wapato_Inventory[[#This Row],[att_gar]]+Wapato_Inventory[[#This Row],[blt_gar]])*Lookups!$B$20</f>
        <v>21317.041152000002</v>
      </c>
      <c r="BR691" s="7">
        <f>Wapato_Inventory[[#This Row],[Patio]]*Lookups!$B$21</f>
        <v>0</v>
      </c>
      <c r="BS691" s="7">
        <f>SUM(Wapato_Inventory[[#This Row],[intercept]:[patio_value]])*Wapato_Inventory[[#This Row],[res_pct]]</f>
        <v>203477.23746399998</v>
      </c>
      <c r="BT691" s="7">
        <f>Wapato_Inventory[[#This Row],[land_value]]</f>
        <v>52800</v>
      </c>
      <c r="BU691" s="2">
        <f>_xlfn.IFNA(VLOOKUP(Wapato_Inventory[[#This Row],[quality]],Lookups!$A$28:$C$37,3,FALSE),1)</f>
        <v>0.98196844879778955</v>
      </c>
      <c r="BV691" s="2">
        <f>_xlfn.IFNA(VLOOKUP(Wapato_Inventory[[#This Row],[condition]],Lookups!$A$41:$C$48,3,FALSE),1)</f>
        <v>0.98442438223270734</v>
      </c>
      <c r="BW691" s="2">
        <f>IF(Wapato_Inventory[[#This Row],[decade]]="",1,_xlfn.IFNA(VLOOKUP(Wapato_Inventory[[#This Row],[decade]],Lookups!$F$28:$H$45,3,FALSE),1))</f>
        <v>1.0114203040664467</v>
      </c>
      <c r="BX691" s="2">
        <f>_xlfn.IFNA(VLOOKUP(Wapato_Inventory[[#This Row],[living_area_range]],Lookups!$K$28:$M$37,3,FALSE),1)</f>
        <v>1.0061411172456287</v>
      </c>
      <c r="BY691" s="2">
        <f>AVERAGE(Wapato_Inventory[[#This Row],[qual_adj]:[range_adj]])</f>
        <v>0.9959885630856431</v>
      </c>
      <c r="BZ691" s="7">
        <f>(Wapato_Inventory[[#This Row],[sum_land]]-IF(Wapato_Inventory[[#This Row],[no_utilities]]=1,12000,0))/IF(Wapato_Inventory[[#This Row],[unbuildable]]=1,2,1)</f>
        <v>52800</v>
      </c>
      <c r="CA691" s="7">
        <f>Wapato_Inventory[[#This Row],[pre_res]]*Wapato_Inventory[[#This Row],[overall_adj]]</f>
        <v>202661.00136240551</v>
      </c>
      <c r="CB691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91" s="3">
        <f>IF(ROUND(Wapato_Inventory[[#This Row],[adj_res]]*Lookups!$H$48,-2)&lt;Wapato_Inventory[[#This Row],[min_res]],Wapato_Inventory[[#This Row],[min_res]],ROUND(Wapato_Inventory[[#This Row],[adj_res]]*Lookups!$H$48,-2))</f>
        <v>192500</v>
      </c>
      <c r="CD691" s="3">
        <f>ROUND(Wapato_Inventory[[#This Row],[det_value]]*Lookups!$H$48,-2)</f>
        <v>0</v>
      </c>
      <c r="CE691" s="3">
        <f>Wapato_Inventory[[#This Row],[final_res]]+Wapato_Inventory[[#This Row],[final_det]]</f>
        <v>192500</v>
      </c>
      <c r="CF691" s="3">
        <f>Wapato_Inventory[[#This Row],[crop_value]]+Wapato_Inventory[[#This Row],[final_land]]+Wapato_Inventory[[#This Row],[final_imp]]</f>
        <v>242700</v>
      </c>
      <c r="CH691" t="str">
        <f t="shared" si="10"/>
        <v>update valuation set market_land =50200, market_bldg=192500, market_total =242700, market_mdno =405, market_date ='9/10/2023' where link_id = (select link_id from parcel where parcel_year = '2024' and parcel_id = '19111513502');</v>
      </c>
    </row>
    <row r="692" spans="1:86" x14ac:dyDescent="0.25">
      <c r="A692">
        <v>19111513503</v>
      </c>
      <c r="B692">
        <v>0.14000000000000001</v>
      </c>
      <c r="C692">
        <v>5979</v>
      </c>
      <c r="D692" t="s">
        <v>144</v>
      </c>
      <c r="E692" t="s">
        <v>54</v>
      </c>
      <c r="F692" t="s">
        <v>54</v>
      </c>
      <c r="G692">
        <v>3</v>
      </c>
      <c r="H692" t="s">
        <v>55</v>
      </c>
      <c r="I692">
        <v>178000</v>
      </c>
      <c r="J692">
        <v>31900</v>
      </c>
      <c r="K692">
        <v>0.14000000000000001</v>
      </c>
      <c r="L692">
        <f>IF(Wapato_Inventory[[#This Row],[parcel_acres]]-Wapato_Inventory[[#This Row],[non_valued_acres]] =0,0,LN(Wapato_Inventory[[#This Row],[parcel_acres]]-Wapato_Inventory[[#This Row],[non_valued_acres]]))</f>
        <v>-1.9661128563728327</v>
      </c>
      <c r="M692">
        <v>0</v>
      </c>
      <c r="N692">
        <v>0</v>
      </c>
      <c r="O692">
        <v>0</v>
      </c>
      <c r="P692">
        <v>27904.037</v>
      </c>
      <c r="Q692">
        <v>74398</v>
      </c>
      <c r="R692" s="3">
        <f>(Wapato_Inventory[[#This Row],[ln_acres]]*Wapato_Inventory[[#This Row],[coeff]])+Wapato_Inventory[[#This Row],[const]]</f>
        <v>19535.514109596792</v>
      </c>
      <c r="S692" t="s">
        <v>66</v>
      </c>
      <c r="T692">
        <v>1</v>
      </c>
      <c r="U692" t="s">
        <v>75</v>
      </c>
      <c r="V692" t="s">
        <v>68</v>
      </c>
      <c r="W692">
        <v>0</v>
      </c>
      <c r="X692">
        <v>0</v>
      </c>
      <c r="Y692">
        <v>52</v>
      </c>
      <c r="Z692">
        <v>88</v>
      </c>
      <c r="AA692">
        <v>90</v>
      </c>
      <c r="AB692">
        <v>1500</v>
      </c>
      <c r="AC692">
        <v>1235</v>
      </c>
      <c r="AD692">
        <v>1235</v>
      </c>
      <c r="AE692">
        <v>0</v>
      </c>
      <c r="AF692">
        <v>0</v>
      </c>
      <c r="AG692">
        <v>0</v>
      </c>
      <c r="AH692">
        <v>1015</v>
      </c>
      <c r="AI692">
        <v>352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5</v>
      </c>
      <c r="AQ692">
        <v>0</v>
      </c>
      <c r="AR692">
        <v>1</v>
      </c>
      <c r="AS692" t="s">
        <v>59</v>
      </c>
      <c r="AT692">
        <v>1</v>
      </c>
      <c r="AU692" t="s">
        <v>64</v>
      </c>
      <c r="AV692" t="s">
        <v>65</v>
      </c>
      <c r="AW692">
        <v>1</v>
      </c>
      <c r="AX692">
        <v>2</v>
      </c>
      <c r="AY692">
        <v>0</v>
      </c>
      <c r="AZ692">
        <v>0</v>
      </c>
      <c r="BA692">
        <v>100</v>
      </c>
      <c r="BB692">
        <v>100</v>
      </c>
      <c r="BC692">
        <v>100</v>
      </c>
      <c r="BD692">
        <v>100</v>
      </c>
      <c r="BE692">
        <v>1</v>
      </c>
      <c r="BF692">
        <v>15000</v>
      </c>
      <c r="BG692">
        <v>1000</v>
      </c>
      <c r="BH692" s="7">
        <f>ROUND(Wapato_Inventory[[#This Row],[detatched_value]]*Lookups!$B$22*Lookups!$H$48,-2)</f>
        <v>0</v>
      </c>
      <c r="BI692" s="7">
        <f>ROUND(((Wapato_Inventory[[#This Row],[land_extract]]*Lookups!$B$3) +(Lookups!$B$2*0.5))*Lookups!$H$48,-2)</f>
        <v>53000</v>
      </c>
      <c r="BJ692" s="7">
        <f>IF(Wapato_Inventory[[#This Row],[bldg_style]]="",0,Lookups!$B$2*0.5)</f>
        <v>53765.27</v>
      </c>
      <c r="BK692" s="7">
        <f>_xlfn.IFNA(VLOOKUP(Wapato_Inventory[[#This Row],[quality]],Lookups!$H$2:$J$14,3,FALSE),0)</f>
        <v>48043</v>
      </c>
      <c r="BL692" s="7">
        <f>_xlfn.IFNA(VLOOKUP(Wapato_Inventory[[#This Row],[condition]],Lookups!$H$17:$J$24,3,FALSE),0)</f>
        <v>52231</v>
      </c>
      <c r="BM692" s="7">
        <f>Wapato_Inventory[[#This Row],[Age]]*Lookups!$B$16</f>
        <v>-32619.461600000002</v>
      </c>
      <c r="BN692" s="7">
        <f>Wapato_Inventory[[#This Row],[Main Floor]]*Lookups!$B$17</f>
        <v>51623.912665000003</v>
      </c>
      <c r="BO692" s="7">
        <f>Wapato_Inventory[[#This Row],[Upper Floor]]*Lookups!$B$18</f>
        <v>0</v>
      </c>
      <c r="BP692" s="7">
        <f>Wapato_Inventory[[#This Row],[Fin BSMT]]*Lookups!$B$19</f>
        <v>0</v>
      </c>
      <c r="BQ692" s="7">
        <f>(Wapato_Inventory[[#This Row],[att_gar]]+Wapato_Inventory[[#This Row],[blt_gar]])*Lookups!$B$20</f>
        <v>13027.080704</v>
      </c>
      <c r="BR692" s="7">
        <f>Wapato_Inventory[[#This Row],[Patio]]*Lookups!$B$21</f>
        <v>0</v>
      </c>
      <c r="BS692" s="7">
        <f>SUM(Wapato_Inventory[[#This Row],[intercept]:[patio_value]])*Wapato_Inventory[[#This Row],[res_pct]]</f>
        <v>186070.80176899998</v>
      </c>
      <c r="BT692" s="7">
        <f>Wapato_Inventory[[#This Row],[land_value]]</f>
        <v>53000</v>
      </c>
      <c r="BU692" s="2">
        <f>_xlfn.IFNA(VLOOKUP(Wapato_Inventory[[#This Row],[quality]],Lookups!$A$28:$C$37,3,FALSE),1)</f>
        <v>0.98196844879778955</v>
      </c>
      <c r="BV692" s="2">
        <f>_xlfn.IFNA(VLOOKUP(Wapato_Inventory[[#This Row],[condition]],Lookups!$A$41:$C$48,3,FALSE),1)</f>
        <v>0.9832333997567807</v>
      </c>
      <c r="BW692" s="2">
        <f>IF(Wapato_Inventory[[#This Row],[decade]]="",1,_xlfn.IFNA(VLOOKUP(Wapato_Inventory[[#This Row],[decade]],Lookups!$F$28:$H$45,3,FALSE),1))</f>
        <v>0.94742695999815718</v>
      </c>
      <c r="BX692" s="2">
        <f>_xlfn.IFNA(VLOOKUP(Wapato_Inventory[[#This Row],[living_area_range]],Lookups!$K$28:$M$37,3,FALSE),1)</f>
        <v>1.0061411172456287</v>
      </c>
      <c r="BY692" s="2">
        <f>AVERAGE(Wapato_Inventory[[#This Row],[qual_adj]:[range_adj]])</f>
        <v>0.97969248144958898</v>
      </c>
      <c r="BZ692" s="7">
        <f>(Wapato_Inventory[[#This Row],[sum_land]]-IF(Wapato_Inventory[[#This Row],[no_utilities]]=1,12000,0))/IF(Wapato_Inventory[[#This Row],[unbuildable]]=1,2,1)</f>
        <v>53000</v>
      </c>
      <c r="CA692" s="7">
        <f>Wapato_Inventory[[#This Row],[pre_res]]*Wapato_Inventory[[#This Row],[overall_adj]]</f>
        <v>182292.16551038617</v>
      </c>
      <c r="CB69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92" s="3">
        <f>IF(ROUND(Wapato_Inventory[[#This Row],[adj_res]]*Lookups!$H$48,-2)&lt;Wapato_Inventory[[#This Row],[min_res]],Wapato_Inventory[[#This Row],[min_res]],ROUND(Wapato_Inventory[[#This Row],[adj_res]]*Lookups!$H$48,-2))</f>
        <v>173200</v>
      </c>
      <c r="CD692" s="3">
        <f>ROUND(Wapato_Inventory[[#This Row],[det_value]]*Lookups!$H$48,-2)</f>
        <v>0</v>
      </c>
      <c r="CE692" s="3">
        <f>Wapato_Inventory[[#This Row],[final_res]]+Wapato_Inventory[[#This Row],[final_det]]</f>
        <v>173200</v>
      </c>
      <c r="CF692" s="3">
        <f>Wapato_Inventory[[#This Row],[crop_value]]+Wapato_Inventory[[#This Row],[final_land]]+Wapato_Inventory[[#This Row],[final_imp]]</f>
        <v>223600</v>
      </c>
      <c r="CH692" t="str">
        <f t="shared" si="10"/>
        <v>update valuation set market_land =50400, market_bldg=173200, market_total =223600, market_mdno =405, market_date ='9/10/2023' where link_id = (select link_id from parcel where parcel_year = '2024' and parcel_id = '19111513503');</v>
      </c>
    </row>
    <row r="693" spans="1:86" x14ac:dyDescent="0.25">
      <c r="A693">
        <v>19111513504</v>
      </c>
      <c r="B693">
        <v>0.14000000000000001</v>
      </c>
      <c r="C693">
        <v>6094</v>
      </c>
      <c r="D693" t="s">
        <v>144</v>
      </c>
      <c r="E693" t="s">
        <v>54</v>
      </c>
      <c r="F693" t="s">
        <v>54</v>
      </c>
      <c r="G693">
        <v>3</v>
      </c>
      <c r="H693" t="s">
        <v>55</v>
      </c>
      <c r="I693">
        <v>125100</v>
      </c>
      <c r="J693">
        <v>31900</v>
      </c>
      <c r="K693">
        <v>0.14000000000000001</v>
      </c>
      <c r="L693">
        <f>IF(Wapato_Inventory[[#This Row],[parcel_acres]]-Wapato_Inventory[[#This Row],[non_valued_acres]] =0,0,LN(Wapato_Inventory[[#This Row],[parcel_acres]]-Wapato_Inventory[[#This Row],[non_valued_acres]]))</f>
        <v>-1.9661128563728327</v>
      </c>
      <c r="M693">
        <v>0</v>
      </c>
      <c r="N693">
        <v>0</v>
      </c>
      <c r="O693">
        <v>0</v>
      </c>
      <c r="P693">
        <v>27904.037</v>
      </c>
      <c r="Q693">
        <v>74398</v>
      </c>
      <c r="R693" s="3">
        <f>(Wapato_Inventory[[#This Row],[ln_acres]]*Wapato_Inventory[[#This Row],[coeff]])+Wapato_Inventory[[#This Row],[const]]</f>
        <v>19535.514109596792</v>
      </c>
      <c r="S693" t="s">
        <v>66</v>
      </c>
      <c r="T693">
        <v>1</v>
      </c>
      <c r="U693" t="s">
        <v>71</v>
      </c>
      <c r="V693" t="s">
        <v>68</v>
      </c>
      <c r="W693">
        <v>0</v>
      </c>
      <c r="X693">
        <v>0</v>
      </c>
      <c r="Y693">
        <v>51</v>
      </c>
      <c r="Z693">
        <v>78</v>
      </c>
      <c r="AA693">
        <v>80</v>
      </c>
      <c r="AB693">
        <v>1500</v>
      </c>
      <c r="AC693">
        <v>1400</v>
      </c>
      <c r="AD693">
        <v>1100</v>
      </c>
      <c r="AE693">
        <v>0</v>
      </c>
      <c r="AF693">
        <v>0</v>
      </c>
      <c r="AG693">
        <v>300</v>
      </c>
      <c r="AH693">
        <v>800</v>
      </c>
      <c r="AI693">
        <v>0</v>
      </c>
      <c r="AJ693"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5</v>
      </c>
      <c r="AQ693">
        <v>0</v>
      </c>
      <c r="AR693">
        <v>0</v>
      </c>
      <c r="AS693" t="s">
        <v>59</v>
      </c>
      <c r="AT693">
        <v>1</v>
      </c>
      <c r="AU693" t="s">
        <v>64</v>
      </c>
      <c r="AV693" t="s">
        <v>65</v>
      </c>
      <c r="AW693">
        <v>0</v>
      </c>
      <c r="AX693">
        <v>4</v>
      </c>
      <c r="AY693">
        <v>0</v>
      </c>
      <c r="AZ693">
        <v>0</v>
      </c>
      <c r="BA693">
        <v>100</v>
      </c>
      <c r="BB693">
        <v>100</v>
      </c>
      <c r="BC693">
        <v>100</v>
      </c>
      <c r="BD693">
        <v>100</v>
      </c>
      <c r="BE693">
        <v>1</v>
      </c>
      <c r="BF693">
        <v>15000</v>
      </c>
      <c r="BG693">
        <v>1000</v>
      </c>
      <c r="BH693" s="7">
        <f>ROUND(Wapato_Inventory[[#This Row],[detatched_value]]*Lookups!$B$22*Lookups!$H$48,-2)</f>
        <v>0</v>
      </c>
      <c r="BI693" s="7">
        <f>ROUND(((Wapato_Inventory[[#This Row],[land_extract]]*Lookups!$B$3) +(Lookups!$B$2*0.5))*Lookups!$H$48,-2)</f>
        <v>53000</v>
      </c>
      <c r="BJ693" s="7">
        <f>IF(Wapato_Inventory[[#This Row],[bldg_style]]="",0,Lookups!$B$2*0.5)</f>
        <v>53765.27</v>
      </c>
      <c r="BK693" s="7">
        <f>_xlfn.IFNA(VLOOKUP(Wapato_Inventory[[#This Row],[quality]],Lookups!$H$2:$J$14,3,FALSE),0)</f>
        <v>28034</v>
      </c>
      <c r="BL693" s="7">
        <f>_xlfn.IFNA(VLOOKUP(Wapato_Inventory[[#This Row],[condition]],Lookups!$H$17:$J$24,3,FALSE),0)</f>
        <v>52231</v>
      </c>
      <c r="BM693" s="7">
        <f>Wapato_Inventory[[#This Row],[Age]]*Lookups!$B$16</f>
        <v>-28912.704600000001</v>
      </c>
      <c r="BN693" s="7">
        <f>Wapato_Inventory[[#This Row],[Main Floor]]*Lookups!$B$17</f>
        <v>45980.812899999997</v>
      </c>
      <c r="BO693" s="7">
        <f>Wapato_Inventory[[#This Row],[Upper Floor]]*Lookups!$B$18</f>
        <v>0</v>
      </c>
      <c r="BP693" s="7">
        <f>Wapato_Inventory[[#This Row],[Fin BSMT]]*Lookups!$B$19</f>
        <v>7310.0219999999999</v>
      </c>
      <c r="BQ693" s="7">
        <f>(Wapato_Inventory[[#This Row],[att_gar]]+Wapato_Inventory[[#This Row],[blt_gar]])*Lookups!$B$20</f>
        <v>0</v>
      </c>
      <c r="BR693" s="7">
        <f>Wapato_Inventory[[#This Row],[Patio]]*Lookups!$B$21</f>
        <v>0</v>
      </c>
      <c r="BS693" s="7">
        <f>SUM(Wapato_Inventory[[#This Row],[intercept]:[patio_value]])*Wapato_Inventory[[#This Row],[res_pct]]</f>
        <v>158408.40029999998</v>
      </c>
      <c r="BT693" s="7">
        <f>Wapato_Inventory[[#This Row],[land_value]]</f>
        <v>53000</v>
      </c>
      <c r="BU693" s="2">
        <f>_xlfn.IFNA(VLOOKUP(Wapato_Inventory[[#This Row],[quality]],Lookups!$A$28:$C$37,3,FALSE),1)</f>
        <v>0.96265813922927435</v>
      </c>
      <c r="BV693" s="2">
        <f>_xlfn.IFNA(VLOOKUP(Wapato_Inventory[[#This Row],[condition]],Lookups!$A$41:$C$48,3,FALSE),1)</f>
        <v>0.9832333997567807</v>
      </c>
      <c r="BW693" s="2">
        <f>IF(Wapato_Inventory[[#This Row],[decade]]="",1,_xlfn.IFNA(VLOOKUP(Wapato_Inventory[[#This Row],[decade]],Lookups!$F$28:$H$45,3,FALSE),1))</f>
        <v>0.8438929209510081</v>
      </c>
      <c r="BX693" s="2">
        <f>_xlfn.IFNA(VLOOKUP(Wapato_Inventory[[#This Row],[living_area_range]],Lookups!$K$28:$M$37,3,FALSE),1)</f>
        <v>1.0061411172456287</v>
      </c>
      <c r="BY693" s="2">
        <f>AVERAGE(Wapato_Inventory[[#This Row],[qual_adj]:[range_adj]])</f>
        <v>0.94898139429567296</v>
      </c>
      <c r="BZ693" s="7">
        <f>(Wapato_Inventory[[#This Row],[sum_land]]-IF(Wapato_Inventory[[#This Row],[no_utilities]]=1,12000,0))/IF(Wapato_Inventory[[#This Row],[unbuildable]]=1,2,1)</f>
        <v>53000</v>
      </c>
      <c r="CA693" s="7">
        <f>Wapato_Inventory[[#This Row],[pre_res]]*Wapato_Inventory[[#This Row],[overall_adj]]</f>
        <v>150326.62458484108</v>
      </c>
      <c r="CB69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93" s="3">
        <f>IF(ROUND(Wapato_Inventory[[#This Row],[adj_res]]*Lookups!$H$48,-2)&lt;Wapato_Inventory[[#This Row],[min_res]],Wapato_Inventory[[#This Row],[min_res]],ROUND(Wapato_Inventory[[#This Row],[adj_res]]*Lookups!$H$48,-2))</f>
        <v>142800</v>
      </c>
      <c r="CD693" s="3">
        <f>ROUND(Wapato_Inventory[[#This Row],[det_value]]*Lookups!$H$48,-2)</f>
        <v>0</v>
      </c>
      <c r="CE693" s="3">
        <f>Wapato_Inventory[[#This Row],[final_res]]+Wapato_Inventory[[#This Row],[final_det]]</f>
        <v>142800</v>
      </c>
      <c r="CF693" s="3">
        <f>Wapato_Inventory[[#This Row],[crop_value]]+Wapato_Inventory[[#This Row],[final_land]]+Wapato_Inventory[[#This Row],[final_imp]]</f>
        <v>193200</v>
      </c>
      <c r="CH693" t="str">
        <f t="shared" si="10"/>
        <v>update valuation set market_land =50400, market_bldg=142800, market_total =193200, market_mdno =405, market_date ='9/10/2023' where link_id = (select link_id from parcel where parcel_year = '2024' and parcel_id = '19111513504');</v>
      </c>
    </row>
    <row r="694" spans="1:86" x14ac:dyDescent="0.25">
      <c r="A694">
        <v>19111513505</v>
      </c>
      <c r="B694">
        <v>0.14000000000000001</v>
      </c>
      <c r="C694">
        <v>6206</v>
      </c>
      <c r="D694" t="s">
        <v>144</v>
      </c>
      <c r="E694" t="s">
        <v>54</v>
      </c>
      <c r="F694" t="s">
        <v>54</v>
      </c>
      <c r="G694">
        <v>3</v>
      </c>
      <c r="H694" t="s">
        <v>55</v>
      </c>
      <c r="I694">
        <v>200000</v>
      </c>
      <c r="J694">
        <v>31900</v>
      </c>
      <c r="K694">
        <v>0.14000000000000001</v>
      </c>
      <c r="L694">
        <f>IF(Wapato_Inventory[[#This Row],[parcel_acres]]-Wapato_Inventory[[#This Row],[non_valued_acres]] =0,0,LN(Wapato_Inventory[[#This Row],[parcel_acres]]-Wapato_Inventory[[#This Row],[non_valued_acres]]))</f>
        <v>-1.9661128563728327</v>
      </c>
      <c r="M694">
        <v>0</v>
      </c>
      <c r="N694">
        <v>0</v>
      </c>
      <c r="O694">
        <v>0</v>
      </c>
      <c r="P694">
        <v>27904.037</v>
      </c>
      <c r="Q694">
        <v>74398</v>
      </c>
      <c r="R694" s="3">
        <f>(Wapato_Inventory[[#This Row],[ln_acres]]*Wapato_Inventory[[#This Row],[coeff]])+Wapato_Inventory[[#This Row],[const]]</f>
        <v>19535.514109596792</v>
      </c>
      <c r="S694" t="s">
        <v>66</v>
      </c>
      <c r="T694">
        <v>1</v>
      </c>
      <c r="U694" t="s">
        <v>75</v>
      </c>
      <c r="V694" t="s">
        <v>68</v>
      </c>
      <c r="W694">
        <v>0</v>
      </c>
      <c r="X694">
        <v>0</v>
      </c>
      <c r="Y694">
        <v>57</v>
      </c>
      <c r="Z694">
        <v>103</v>
      </c>
      <c r="AA694">
        <v>110</v>
      </c>
      <c r="AB694">
        <v>1500</v>
      </c>
      <c r="AC694">
        <v>1024</v>
      </c>
      <c r="AD694">
        <v>1024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100</v>
      </c>
      <c r="AM694">
        <v>0</v>
      </c>
      <c r="AN694">
        <v>0</v>
      </c>
      <c r="AO694">
        <v>100</v>
      </c>
      <c r="AP694">
        <v>5</v>
      </c>
      <c r="AQ694">
        <v>0</v>
      </c>
      <c r="AR694">
        <v>0</v>
      </c>
      <c r="AS694" t="s">
        <v>59</v>
      </c>
      <c r="AT694">
        <v>0</v>
      </c>
      <c r="AU694" t="s">
        <v>80</v>
      </c>
      <c r="AV694" t="s">
        <v>65</v>
      </c>
      <c r="AW694">
        <v>0</v>
      </c>
      <c r="AX694">
        <v>3</v>
      </c>
      <c r="AY694">
        <v>0</v>
      </c>
      <c r="AZ694">
        <v>19100</v>
      </c>
      <c r="BA694">
        <v>100</v>
      </c>
      <c r="BB694">
        <v>100</v>
      </c>
      <c r="BC694">
        <v>100</v>
      </c>
      <c r="BD694">
        <v>100</v>
      </c>
      <c r="BE694">
        <v>1</v>
      </c>
      <c r="BF694">
        <v>15000</v>
      </c>
      <c r="BG694">
        <v>1000</v>
      </c>
      <c r="BH694" s="7">
        <f>ROUND(Wapato_Inventory[[#This Row],[detatched_value]]*Lookups!$B$22*Lookups!$H$48,-2)</f>
        <v>17100</v>
      </c>
      <c r="BI694" s="7">
        <f>ROUND(((Wapato_Inventory[[#This Row],[land_extract]]*Lookups!$B$3) +(Lookups!$B$2*0.5))*Lookups!$H$48,-2)</f>
        <v>53000</v>
      </c>
      <c r="BJ694" s="7">
        <f>IF(Wapato_Inventory[[#This Row],[bldg_style]]="",0,Lookups!$B$2*0.5)</f>
        <v>53765.27</v>
      </c>
      <c r="BK694" s="7">
        <f>_xlfn.IFNA(VLOOKUP(Wapato_Inventory[[#This Row],[quality]],Lookups!$H$2:$J$14,3,FALSE),0)</f>
        <v>48043</v>
      </c>
      <c r="BL694" s="7">
        <f>_xlfn.IFNA(VLOOKUP(Wapato_Inventory[[#This Row],[condition]],Lookups!$H$17:$J$24,3,FALSE),0)</f>
        <v>52231</v>
      </c>
      <c r="BM694" s="7">
        <f>Wapato_Inventory[[#This Row],[Age]]*Lookups!$B$16</f>
        <v>-38179.597099999999</v>
      </c>
      <c r="BN694" s="7">
        <f>Wapato_Inventory[[#This Row],[Main Floor]]*Lookups!$B$17</f>
        <v>42803.956736</v>
      </c>
      <c r="BO694" s="7">
        <f>Wapato_Inventory[[#This Row],[Upper Floor]]*Lookups!$B$18</f>
        <v>0</v>
      </c>
      <c r="BP694" s="7">
        <f>Wapato_Inventory[[#This Row],[Fin BSMT]]*Lookups!$B$19</f>
        <v>0</v>
      </c>
      <c r="BQ694" s="7">
        <f>(Wapato_Inventory[[#This Row],[att_gar]]+Wapato_Inventory[[#This Row],[blt_gar]])*Lookups!$B$20</f>
        <v>0</v>
      </c>
      <c r="BR694" s="7">
        <f>Wapato_Inventory[[#This Row],[Patio]]*Lookups!$B$21</f>
        <v>0</v>
      </c>
      <c r="BS694" s="7">
        <f>SUM(Wapato_Inventory[[#This Row],[intercept]:[patio_value]])*Wapato_Inventory[[#This Row],[res_pct]]</f>
        <v>158663.629636</v>
      </c>
      <c r="BT694" s="7">
        <f>Wapato_Inventory[[#This Row],[land_value]]</f>
        <v>53000</v>
      </c>
      <c r="BU694" s="2">
        <f>_xlfn.IFNA(VLOOKUP(Wapato_Inventory[[#This Row],[quality]],Lookups!$A$28:$C$37,3,FALSE),1)</f>
        <v>0.98196844879778955</v>
      </c>
      <c r="BV694" s="2">
        <f>_xlfn.IFNA(VLOOKUP(Wapato_Inventory[[#This Row],[condition]],Lookups!$A$41:$C$48,3,FALSE),1)</f>
        <v>0.9832333997567807</v>
      </c>
      <c r="BW694" s="2">
        <f>IF(Wapato_Inventory[[#This Row],[decade]]="",1,_xlfn.IFNA(VLOOKUP(Wapato_Inventory[[#This Row],[decade]],Lookups!$F$28:$H$45,3,FALSE),1))</f>
        <v>0.93664589651353292</v>
      </c>
      <c r="BX694" s="2">
        <f>_xlfn.IFNA(VLOOKUP(Wapato_Inventory[[#This Row],[living_area_range]],Lookups!$K$28:$M$37,3,FALSE),1)</f>
        <v>1.0061411172456287</v>
      </c>
      <c r="BY694" s="2">
        <f>AVERAGE(Wapato_Inventory[[#This Row],[qual_adj]:[range_adj]])</f>
        <v>0.976997215578433</v>
      </c>
      <c r="BZ694" s="7">
        <f>(Wapato_Inventory[[#This Row],[sum_land]]-IF(Wapato_Inventory[[#This Row],[no_utilities]]=1,12000,0))/IF(Wapato_Inventory[[#This Row],[unbuildable]]=1,2,1)</f>
        <v>53000</v>
      </c>
      <c r="CA694" s="7">
        <f>Wapato_Inventory[[#This Row],[pre_res]]*Wapato_Inventory[[#This Row],[overall_adj]]</f>
        <v>155013.92436793973</v>
      </c>
      <c r="CB69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94" s="3">
        <f>IF(ROUND(Wapato_Inventory[[#This Row],[adj_res]]*Lookups!$H$48,-2)&lt;Wapato_Inventory[[#This Row],[min_res]],Wapato_Inventory[[#This Row],[min_res]],ROUND(Wapato_Inventory[[#This Row],[adj_res]]*Lookups!$H$48,-2))</f>
        <v>147300</v>
      </c>
      <c r="CD694" s="3">
        <f>ROUND(Wapato_Inventory[[#This Row],[det_value]]*Lookups!$H$48,-2)</f>
        <v>16200</v>
      </c>
      <c r="CE694" s="3">
        <f>Wapato_Inventory[[#This Row],[final_res]]+Wapato_Inventory[[#This Row],[final_det]]</f>
        <v>163500</v>
      </c>
      <c r="CF694" s="3">
        <f>Wapato_Inventory[[#This Row],[crop_value]]+Wapato_Inventory[[#This Row],[final_land]]+Wapato_Inventory[[#This Row],[final_imp]]</f>
        <v>213900</v>
      </c>
      <c r="CH694" t="str">
        <f t="shared" si="10"/>
        <v>update valuation set market_land =50400, market_bldg=163500, market_total =213900, market_mdno =405, market_date ='9/10/2023' where link_id = (select link_id from parcel where parcel_year = '2024' and parcel_id = '19111513505');</v>
      </c>
    </row>
    <row r="695" spans="1:86" x14ac:dyDescent="0.25">
      <c r="A695">
        <v>19111513506</v>
      </c>
      <c r="B695">
        <v>0.16</v>
      </c>
      <c r="C695">
        <v>6998</v>
      </c>
      <c r="D695" t="s">
        <v>144</v>
      </c>
      <c r="E695" t="s">
        <v>54</v>
      </c>
      <c r="F695" t="s">
        <v>54</v>
      </c>
      <c r="G695">
        <v>3</v>
      </c>
      <c r="H695" t="s">
        <v>55</v>
      </c>
      <c r="I695">
        <v>124800</v>
      </c>
      <c r="J695">
        <v>32800</v>
      </c>
      <c r="K695">
        <v>0.16</v>
      </c>
      <c r="L695">
        <f>IF(Wapato_Inventory[[#This Row],[parcel_acres]]-Wapato_Inventory[[#This Row],[non_valued_acres]] =0,0,LN(Wapato_Inventory[[#This Row],[parcel_acres]]-Wapato_Inventory[[#This Row],[non_valued_acres]]))</f>
        <v>-1.8325814637483102</v>
      </c>
      <c r="M695">
        <v>0</v>
      </c>
      <c r="N695">
        <v>0</v>
      </c>
      <c r="O695">
        <v>0</v>
      </c>
      <c r="P695">
        <v>27904.037</v>
      </c>
      <c r="Q695">
        <v>74398</v>
      </c>
      <c r="R695" s="3">
        <f>(Wapato_Inventory[[#This Row],[ln_acres]]*Wapato_Inventory[[#This Row],[coeff]])+Wapato_Inventory[[#This Row],[const]]</f>
        <v>23261.579030052992</v>
      </c>
      <c r="S695" t="s">
        <v>66</v>
      </c>
      <c r="T695">
        <v>1</v>
      </c>
      <c r="U695" t="s">
        <v>71</v>
      </c>
      <c r="V695" t="s">
        <v>69</v>
      </c>
      <c r="W695">
        <v>0</v>
      </c>
      <c r="X695">
        <v>0</v>
      </c>
      <c r="Y695">
        <v>57</v>
      </c>
      <c r="Z695">
        <v>103</v>
      </c>
      <c r="AA695">
        <v>110</v>
      </c>
      <c r="AB695">
        <v>1000</v>
      </c>
      <c r="AC695">
        <v>852</v>
      </c>
      <c r="AD695">
        <v>852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  <c r="AN695">
        <v>36</v>
      </c>
      <c r="AO695">
        <v>0</v>
      </c>
      <c r="AP695">
        <v>5</v>
      </c>
      <c r="AQ695">
        <v>0</v>
      </c>
      <c r="AR695">
        <v>0</v>
      </c>
      <c r="AS695" t="s">
        <v>59</v>
      </c>
      <c r="AT695">
        <v>1</v>
      </c>
      <c r="AU695" t="s">
        <v>72</v>
      </c>
      <c r="AV695" t="s">
        <v>65</v>
      </c>
      <c r="AW695">
        <v>0</v>
      </c>
      <c r="AX695">
        <v>3</v>
      </c>
      <c r="AY695">
        <v>0</v>
      </c>
      <c r="AZ695">
        <v>5400</v>
      </c>
      <c r="BA695">
        <v>100</v>
      </c>
      <c r="BB695">
        <v>100</v>
      </c>
      <c r="BC695">
        <v>100</v>
      </c>
      <c r="BD695">
        <v>100</v>
      </c>
      <c r="BE695">
        <v>1</v>
      </c>
      <c r="BF695">
        <v>15000</v>
      </c>
      <c r="BG695">
        <v>1000</v>
      </c>
      <c r="BH695" s="7">
        <f>ROUND(Wapato_Inventory[[#This Row],[detatched_value]]*Lookups!$B$22*Lookups!$H$48,-2)</f>
        <v>4800</v>
      </c>
      <c r="BI695" s="7">
        <f>ROUND(((Wapato_Inventory[[#This Row],[land_extract]]*Lookups!$B$3) +(Lookups!$B$2*0.5))*Lookups!$H$48,-2)</f>
        <v>53300</v>
      </c>
      <c r="BJ695" s="7">
        <f>IF(Wapato_Inventory[[#This Row],[bldg_style]]="",0,Lookups!$B$2*0.5)</f>
        <v>53765.27</v>
      </c>
      <c r="BK695" s="7">
        <f>_xlfn.IFNA(VLOOKUP(Wapato_Inventory[[#This Row],[quality]],Lookups!$H$2:$J$14,3,FALSE),0)</f>
        <v>28034</v>
      </c>
      <c r="BL695" s="7">
        <f>_xlfn.IFNA(VLOOKUP(Wapato_Inventory[[#This Row],[condition]],Lookups!$H$17:$J$24,3,FALSE),0)</f>
        <v>74543</v>
      </c>
      <c r="BM695" s="7">
        <f>Wapato_Inventory[[#This Row],[Age]]*Lookups!$B$16</f>
        <v>-38179.597099999999</v>
      </c>
      <c r="BN695" s="7">
        <f>Wapato_Inventory[[#This Row],[Main Floor]]*Lookups!$B$17</f>
        <v>35614.229628000001</v>
      </c>
      <c r="BO695" s="7">
        <f>Wapato_Inventory[[#This Row],[Upper Floor]]*Lookups!$B$18</f>
        <v>0</v>
      </c>
      <c r="BP695" s="7">
        <f>Wapato_Inventory[[#This Row],[Fin BSMT]]*Lookups!$B$19</f>
        <v>0</v>
      </c>
      <c r="BQ695" s="7">
        <f>(Wapato_Inventory[[#This Row],[att_gar]]+Wapato_Inventory[[#This Row],[blt_gar]])*Lookups!$B$20</f>
        <v>0</v>
      </c>
      <c r="BR695" s="7">
        <f>Wapato_Inventory[[#This Row],[Patio]]*Lookups!$B$21</f>
        <v>0</v>
      </c>
      <c r="BS695" s="7">
        <f>SUM(Wapato_Inventory[[#This Row],[intercept]:[patio_value]])*Wapato_Inventory[[#This Row],[res_pct]]</f>
        <v>153776.90252800001</v>
      </c>
      <c r="BT695" s="7">
        <f>Wapato_Inventory[[#This Row],[land_value]]</f>
        <v>53300</v>
      </c>
      <c r="BU695" s="2">
        <f>_xlfn.IFNA(VLOOKUP(Wapato_Inventory[[#This Row],[quality]],Lookups!$A$28:$C$37,3,FALSE),1)</f>
        <v>0.96265813922927435</v>
      </c>
      <c r="BV695" s="2">
        <f>_xlfn.IFNA(VLOOKUP(Wapato_Inventory[[#This Row],[condition]],Lookups!$A$41:$C$48,3,FALSE),1)</f>
        <v>0.98442438223270734</v>
      </c>
      <c r="BW695" s="2">
        <f>IF(Wapato_Inventory[[#This Row],[decade]]="",1,_xlfn.IFNA(VLOOKUP(Wapato_Inventory[[#This Row],[decade]],Lookups!$F$28:$H$45,3,FALSE),1))</f>
        <v>0.93664589651353292</v>
      </c>
      <c r="BX695" s="2">
        <f>_xlfn.IFNA(VLOOKUP(Wapato_Inventory[[#This Row],[living_area_range]],Lookups!$K$28:$M$37,3,FALSE),1)</f>
        <v>0.99022994770196116</v>
      </c>
      <c r="BY695" s="2">
        <f>AVERAGE(Wapato_Inventory[[#This Row],[qual_adj]:[range_adj]])</f>
        <v>0.96848959141936886</v>
      </c>
      <c r="BZ695" s="7">
        <f>(Wapato_Inventory[[#This Row],[sum_land]]-IF(Wapato_Inventory[[#This Row],[no_utilities]]=1,12000,0))/IF(Wapato_Inventory[[#This Row],[unbuildable]]=1,2,1)</f>
        <v>53300</v>
      </c>
      <c r="CA695" s="7">
        <f>Wapato_Inventory[[#This Row],[pre_res]]*Wapato_Inventory[[#This Row],[overall_adj]]</f>
        <v>148931.32949907883</v>
      </c>
      <c r="CB695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695" s="3">
        <f>IF(ROUND(Wapato_Inventory[[#This Row],[adj_res]]*Lookups!$H$48,-2)&lt;Wapato_Inventory[[#This Row],[min_res]],Wapato_Inventory[[#This Row],[min_res]],ROUND(Wapato_Inventory[[#This Row],[adj_res]]*Lookups!$H$48,-2))</f>
        <v>141500</v>
      </c>
      <c r="CD695" s="3">
        <f>ROUND(Wapato_Inventory[[#This Row],[det_value]]*Lookups!$H$48,-2)</f>
        <v>4600</v>
      </c>
      <c r="CE695" s="3">
        <f>Wapato_Inventory[[#This Row],[final_res]]+Wapato_Inventory[[#This Row],[final_det]]</f>
        <v>146100</v>
      </c>
      <c r="CF695" s="3">
        <f>Wapato_Inventory[[#This Row],[crop_value]]+Wapato_Inventory[[#This Row],[final_land]]+Wapato_Inventory[[#This Row],[final_imp]]</f>
        <v>196700</v>
      </c>
      <c r="CH695" t="str">
        <f t="shared" si="10"/>
        <v>update valuation set market_land =50600, market_bldg=146100, market_total =196700, market_mdno =405, market_date ='9/10/2023' where link_id = (select link_id from parcel where parcel_year = '2024' and parcel_id = '19111513506');</v>
      </c>
    </row>
    <row r="696" spans="1:86" x14ac:dyDescent="0.25">
      <c r="A696">
        <v>19111513507</v>
      </c>
      <c r="B696">
        <v>0.13</v>
      </c>
      <c r="C696">
        <v>5454</v>
      </c>
      <c r="D696" t="s">
        <v>144</v>
      </c>
      <c r="E696" t="s">
        <v>54</v>
      </c>
      <c r="F696" t="s">
        <v>54</v>
      </c>
      <c r="G696">
        <v>3</v>
      </c>
      <c r="H696" t="s">
        <v>55</v>
      </c>
      <c r="I696">
        <v>150800</v>
      </c>
      <c r="J696">
        <v>31400</v>
      </c>
      <c r="K696">
        <v>0.13</v>
      </c>
      <c r="L696">
        <f>IF(Wapato_Inventory[[#This Row],[parcel_acres]]-Wapato_Inventory[[#This Row],[non_valued_acres]] =0,0,LN(Wapato_Inventory[[#This Row],[parcel_acres]]-Wapato_Inventory[[#This Row],[non_valued_acres]]))</f>
        <v>-2.0402208285265546</v>
      </c>
      <c r="M696">
        <v>0</v>
      </c>
      <c r="N696">
        <v>0</v>
      </c>
      <c r="O696">
        <v>0</v>
      </c>
      <c r="P696">
        <v>27904.037</v>
      </c>
      <c r="Q696">
        <v>74398</v>
      </c>
      <c r="R696" s="3">
        <f>(Wapato_Inventory[[#This Row],[ln_acres]]*Wapato_Inventory[[#This Row],[coeff]])+Wapato_Inventory[[#This Row],[const]]</f>
        <v>17467.602512624362</v>
      </c>
      <c r="S696" t="s">
        <v>66</v>
      </c>
      <c r="T696">
        <v>1</v>
      </c>
      <c r="U696" t="s">
        <v>78</v>
      </c>
      <c r="V696" t="s">
        <v>69</v>
      </c>
      <c r="W696">
        <v>0</v>
      </c>
      <c r="X696">
        <v>0</v>
      </c>
      <c r="Y696">
        <v>50</v>
      </c>
      <c r="Z696">
        <v>103</v>
      </c>
      <c r="AA696">
        <v>110</v>
      </c>
      <c r="AB696">
        <v>1000</v>
      </c>
      <c r="AC696">
        <v>976</v>
      </c>
      <c r="AD696">
        <v>976</v>
      </c>
      <c r="AE696">
        <v>0</v>
      </c>
      <c r="AF696">
        <v>0</v>
      </c>
      <c r="AG696">
        <v>0</v>
      </c>
      <c r="AH696">
        <v>0</v>
      </c>
      <c r="AI696">
        <v>0</v>
      </c>
      <c r="AJ696">
        <v>0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5</v>
      </c>
      <c r="AQ696">
        <v>0</v>
      </c>
      <c r="AR696">
        <v>0</v>
      </c>
      <c r="AS696" t="s">
        <v>59</v>
      </c>
      <c r="AT696">
        <v>1</v>
      </c>
      <c r="AU696" t="s">
        <v>72</v>
      </c>
      <c r="AV696" t="s">
        <v>61</v>
      </c>
      <c r="AW696">
        <v>0</v>
      </c>
      <c r="AX696">
        <v>3</v>
      </c>
      <c r="AY696">
        <v>0</v>
      </c>
      <c r="AZ696">
        <v>0</v>
      </c>
      <c r="BA696">
        <v>100</v>
      </c>
      <c r="BB696">
        <v>100</v>
      </c>
      <c r="BC696">
        <v>100</v>
      </c>
      <c r="BD696">
        <v>100</v>
      </c>
      <c r="BE696">
        <v>1</v>
      </c>
      <c r="BF696">
        <v>15000</v>
      </c>
      <c r="BG696">
        <v>1000</v>
      </c>
      <c r="BH696" s="7">
        <f>ROUND(Wapato_Inventory[[#This Row],[detatched_value]]*Lookups!$B$22*Lookups!$H$48,-2)</f>
        <v>0</v>
      </c>
      <c r="BI696" s="7">
        <f>ROUND(((Wapato_Inventory[[#This Row],[land_extract]]*Lookups!$B$3) +(Lookups!$B$2*0.5))*Lookups!$H$48,-2)</f>
        <v>52800</v>
      </c>
      <c r="BJ696" s="7">
        <f>IF(Wapato_Inventory[[#This Row],[bldg_style]]="",0,Lookups!$B$2*0.5)</f>
        <v>53765.27</v>
      </c>
      <c r="BK696" s="7">
        <f>_xlfn.IFNA(VLOOKUP(Wapato_Inventory[[#This Row],[quality]],Lookups!$H$2:$J$14,3,FALSE),0)</f>
        <v>23424</v>
      </c>
      <c r="BL696" s="7">
        <f>_xlfn.IFNA(VLOOKUP(Wapato_Inventory[[#This Row],[condition]],Lookups!$H$17:$J$24,3,FALSE),0)</f>
        <v>74543</v>
      </c>
      <c r="BM696" s="7">
        <f>Wapato_Inventory[[#This Row],[Age]]*Lookups!$B$16</f>
        <v>-38179.597099999999</v>
      </c>
      <c r="BN696" s="7">
        <f>Wapato_Inventory[[#This Row],[Main Floor]]*Lookups!$B$17</f>
        <v>40797.521264000003</v>
      </c>
      <c r="BO696" s="7">
        <f>Wapato_Inventory[[#This Row],[Upper Floor]]*Lookups!$B$18</f>
        <v>0</v>
      </c>
      <c r="BP696" s="7">
        <f>Wapato_Inventory[[#This Row],[Fin BSMT]]*Lookups!$B$19</f>
        <v>0</v>
      </c>
      <c r="BQ696" s="7">
        <f>(Wapato_Inventory[[#This Row],[att_gar]]+Wapato_Inventory[[#This Row],[blt_gar]])*Lookups!$B$20</f>
        <v>0</v>
      </c>
      <c r="BR696" s="7">
        <f>Wapato_Inventory[[#This Row],[Patio]]*Lookups!$B$21</f>
        <v>0</v>
      </c>
      <c r="BS696" s="7">
        <f>SUM(Wapato_Inventory[[#This Row],[intercept]:[patio_value]])*Wapato_Inventory[[#This Row],[res_pct]]</f>
        <v>154350.19416399999</v>
      </c>
      <c r="BT696" s="7">
        <f>Wapato_Inventory[[#This Row],[land_value]]</f>
        <v>52800</v>
      </c>
      <c r="BU696" s="2">
        <f>_xlfn.IFNA(VLOOKUP(Wapato_Inventory[[#This Row],[quality]],Lookups!$A$28:$C$37,3,FALSE),1)</f>
        <v>1.0091195562373767</v>
      </c>
      <c r="BV696" s="2">
        <f>_xlfn.IFNA(VLOOKUP(Wapato_Inventory[[#This Row],[condition]],Lookups!$A$41:$C$48,3,FALSE),1)</f>
        <v>0.98442438223270734</v>
      </c>
      <c r="BW696" s="2">
        <f>IF(Wapato_Inventory[[#This Row],[decade]]="",1,_xlfn.IFNA(VLOOKUP(Wapato_Inventory[[#This Row],[decade]],Lookups!$F$28:$H$45,3,FALSE),1))</f>
        <v>0.93664589651353292</v>
      </c>
      <c r="BX696" s="2">
        <f>_xlfn.IFNA(VLOOKUP(Wapato_Inventory[[#This Row],[living_area_range]],Lookups!$K$28:$M$37,3,FALSE),1)</f>
        <v>0.99022994770196116</v>
      </c>
      <c r="BY696" s="2">
        <f>AVERAGE(Wapato_Inventory[[#This Row],[qual_adj]:[range_adj]])</f>
        <v>0.9801049456713945</v>
      </c>
      <c r="BZ696" s="7">
        <f>(Wapato_Inventory[[#This Row],[sum_land]]-IF(Wapato_Inventory[[#This Row],[no_utilities]]=1,12000,0))/IF(Wapato_Inventory[[#This Row],[unbuildable]]=1,2,1)</f>
        <v>52800</v>
      </c>
      <c r="CA696" s="7">
        <f>Wapato_Inventory[[#This Row],[pre_res]]*Wapato_Inventory[[#This Row],[overall_adj]]</f>
        <v>151279.38866547641</v>
      </c>
      <c r="CB696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696" s="3">
        <f>IF(ROUND(Wapato_Inventory[[#This Row],[adj_res]]*Lookups!$H$48,-2)&lt;Wapato_Inventory[[#This Row],[min_res]],Wapato_Inventory[[#This Row],[min_res]],ROUND(Wapato_Inventory[[#This Row],[adj_res]]*Lookups!$H$48,-2))</f>
        <v>143700</v>
      </c>
      <c r="CD696" s="3">
        <f>ROUND(Wapato_Inventory[[#This Row],[det_value]]*Lookups!$H$48,-2)</f>
        <v>0</v>
      </c>
      <c r="CE696" s="3">
        <f>Wapato_Inventory[[#This Row],[final_res]]+Wapato_Inventory[[#This Row],[final_det]]</f>
        <v>143700</v>
      </c>
      <c r="CF696" s="3">
        <f>Wapato_Inventory[[#This Row],[crop_value]]+Wapato_Inventory[[#This Row],[final_land]]+Wapato_Inventory[[#This Row],[final_imp]]</f>
        <v>193900</v>
      </c>
      <c r="CH696" t="str">
        <f t="shared" si="10"/>
        <v>update valuation set market_land =50200, market_bldg=143700, market_total =193900, market_mdno =405, market_date ='9/10/2023' where link_id = (select link_id from parcel where parcel_year = '2024' and parcel_id = '19111513507');</v>
      </c>
    </row>
    <row r="697" spans="1:86" x14ac:dyDescent="0.25">
      <c r="A697">
        <v>19111513508</v>
      </c>
      <c r="B697">
        <v>0.14000000000000001</v>
      </c>
      <c r="C697">
        <v>6186</v>
      </c>
      <c r="D697" t="s">
        <v>144</v>
      </c>
      <c r="E697" t="s">
        <v>54</v>
      </c>
      <c r="F697" t="s">
        <v>54</v>
      </c>
      <c r="G697">
        <v>3</v>
      </c>
      <c r="H697" t="s">
        <v>55</v>
      </c>
      <c r="I697">
        <v>85300</v>
      </c>
      <c r="J697">
        <v>31900</v>
      </c>
      <c r="K697">
        <v>0.14000000000000001</v>
      </c>
      <c r="L697">
        <f>IF(Wapato_Inventory[[#This Row],[parcel_acres]]-Wapato_Inventory[[#This Row],[non_valued_acres]] =0,0,LN(Wapato_Inventory[[#This Row],[parcel_acres]]-Wapato_Inventory[[#This Row],[non_valued_acres]]))</f>
        <v>-1.9661128563728327</v>
      </c>
      <c r="M697">
        <v>0</v>
      </c>
      <c r="N697">
        <v>0</v>
      </c>
      <c r="O697">
        <v>0</v>
      </c>
      <c r="P697">
        <v>27904.037</v>
      </c>
      <c r="Q697">
        <v>74398</v>
      </c>
      <c r="R697" s="3">
        <f>(Wapato_Inventory[[#This Row],[ln_acres]]*Wapato_Inventory[[#This Row],[coeff]])+Wapato_Inventory[[#This Row],[const]]</f>
        <v>19535.514109596792</v>
      </c>
      <c r="S697" t="s">
        <v>66</v>
      </c>
      <c r="T697">
        <v>1</v>
      </c>
      <c r="U697" t="s">
        <v>71</v>
      </c>
      <c r="V697" t="s">
        <v>68</v>
      </c>
      <c r="W697">
        <v>0</v>
      </c>
      <c r="X697">
        <v>0</v>
      </c>
      <c r="Y697">
        <v>57</v>
      </c>
      <c r="Z697">
        <v>103</v>
      </c>
      <c r="AA697">
        <v>110</v>
      </c>
      <c r="AB697">
        <v>1000</v>
      </c>
      <c r="AC697">
        <v>688</v>
      </c>
      <c r="AD697">
        <v>688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v>0</v>
      </c>
      <c r="AK697">
        <v>0</v>
      </c>
      <c r="AL697">
        <v>0</v>
      </c>
      <c r="AM697">
        <v>0</v>
      </c>
      <c r="AN697">
        <v>36</v>
      </c>
      <c r="AO697">
        <v>0</v>
      </c>
      <c r="AP697">
        <v>5</v>
      </c>
      <c r="AQ697">
        <v>0</v>
      </c>
      <c r="AR697">
        <v>0</v>
      </c>
      <c r="AS697" t="s">
        <v>59</v>
      </c>
      <c r="AT697">
        <v>0</v>
      </c>
      <c r="AU697" t="s">
        <v>80</v>
      </c>
      <c r="AV697" t="s">
        <v>77</v>
      </c>
      <c r="AW697">
        <v>0</v>
      </c>
      <c r="AX697">
        <v>2</v>
      </c>
      <c r="AY697">
        <v>0</v>
      </c>
      <c r="AZ697">
        <v>0</v>
      </c>
      <c r="BA697">
        <v>100</v>
      </c>
      <c r="BB697">
        <v>100</v>
      </c>
      <c r="BC697">
        <v>100</v>
      </c>
      <c r="BD697">
        <v>100</v>
      </c>
      <c r="BE697">
        <v>1</v>
      </c>
      <c r="BF697">
        <v>15000</v>
      </c>
      <c r="BG697">
        <v>1000</v>
      </c>
      <c r="BH697" s="7">
        <f>ROUND(Wapato_Inventory[[#This Row],[detatched_value]]*Lookups!$B$22*Lookups!$H$48,-2)</f>
        <v>0</v>
      </c>
      <c r="BI697" s="7">
        <f>ROUND(((Wapato_Inventory[[#This Row],[land_extract]]*Lookups!$B$3) +(Lookups!$B$2*0.5))*Lookups!$H$48,-2)</f>
        <v>53000</v>
      </c>
      <c r="BJ697" s="7">
        <f>IF(Wapato_Inventory[[#This Row],[bldg_style]]="",0,Lookups!$B$2*0.5)</f>
        <v>53765.27</v>
      </c>
      <c r="BK697" s="7">
        <f>_xlfn.IFNA(VLOOKUP(Wapato_Inventory[[#This Row],[quality]],Lookups!$H$2:$J$14,3,FALSE),0)</f>
        <v>28034</v>
      </c>
      <c r="BL697" s="7">
        <f>_xlfn.IFNA(VLOOKUP(Wapato_Inventory[[#This Row],[condition]],Lookups!$H$17:$J$24,3,FALSE),0)</f>
        <v>52231</v>
      </c>
      <c r="BM697" s="7">
        <f>Wapato_Inventory[[#This Row],[Age]]*Lookups!$B$16</f>
        <v>-38179.597099999999</v>
      </c>
      <c r="BN697" s="7">
        <f>Wapato_Inventory[[#This Row],[Main Floor]]*Lookups!$B$17</f>
        <v>28758.908432</v>
      </c>
      <c r="BO697" s="7">
        <f>Wapato_Inventory[[#This Row],[Upper Floor]]*Lookups!$B$18</f>
        <v>0</v>
      </c>
      <c r="BP697" s="7">
        <f>Wapato_Inventory[[#This Row],[Fin BSMT]]*Lookups!$B$19</f>
        <v>0</v>
      </c>
      <c r="BQ697" s="7">
        <f>(Wapato_Inventory[[#This Row],[att_gar]]+Wapato_Inventory[[#This Row],[blt_gar]])*Lookups!$B$20</f>
        <v>0</v>
      </c>
      <c r="BR697" s="7">
        <f>Wapato_Inventory[[#This Row],[Patio]]*Lookups!$B$21</f>
        <v>0</v>
      </c>
      <c r="BS697" s="7">
        <f>SUM(Wapato_Inventory[[#This Row],[intercept]:[patio_value]])*Wapato_Inventory[[#This Row],[res_pct]]</f>
        <v>124609.58133199999</v>
      </c>
      <c r="BT697" s="7">
        <f>Wapato_Inventory[[#This Row],[land_value]]</f>
        <v>53000</v>
      </c>
      <c r="BU697" s="2">
        <f>_xlfn.IFNA(VLOOKUP(Wapato_Inventory[[#This Row],[quality]],Lookups!$A$28:$C$37,3,FALSE),1)</f>
        <v>0.96265813922927435</v>
      </c>
      <c r="BV697" s="2">
        <f>_xlfn.IFNA(VLOOKUP(Wapato_Inventory[[#This Row],[condition]],Lookups!$A$41:$C$48,3,FALSE),1)</f>
        <v>0.9832333997567807</v>
      </c>
      <c r="BW697" s="2">
        <f>IF(Wapato_Inventory[[#This Row],[decade]]="",1,_xlfn.IFNA(VLOOKUP(Wapato_Inventory[[#This Row],[decade]],Lookups!$F$28:$H$45,3,FALSE),1))</f>
        <v>0.93664589651353292</v>
      </c>
      <c r="BX697" s="2">
        <f>_xlfn.IFNA(VLOOKUP(Wapato_Inventory[[#This Row],[living_area_range]],Lookups!$K$28:$M$37,3,FALSE),1)</f>
        <v>0.99022994770196116</v>
      </c>
      <c r="BY697" s="2">
        <f>AVERAGE(Wapato_Inventory[[#This Row],[qual_adj]:[range_adj]])</f>
        <v>0.9681918458003872</v>
      </c>
      <c r="BZ697" s="7">
        <f>(Wapato_Inventory[[#This Row],[sum_land]]-IF(Wapato_Inventory[[#This Row],[no_utilities]]=1,12000,0))/IF(Wapato_Inventory[[#This Row],[unbuildable]]=1,2,1)</f>
        <v>53000</v>
      </c>
      <c r="CA697" s="7">
        <f>Wapato_Inventory[[#This Row],[pre_res]]*Wapato_Inventory[[#This Row],[overall_adj]]</f>
        <v>120645.98055424255</v>
      </c>
      <c r="CB69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97" s="3">
        <f>IF(ROUND(Wapato_Inventory[[#This Row],[adj_res]]*Lookups!$H$48,-2)&lt;Wapato_Inventory[[#This Row],[min_res]],Wapato_Inventory[[#This Row],[min_res]],ROUND(Wapato_Inventory[[#This Row],[adj_res]]*Lookups!$H$48,-2))</f>
        <v>114600</v>
      </c>
      <c r="CD697" s="3">
        <f>ROUND(Wapato_Inventory[[#This Row],[det_value]]*Lookups!$H$48,-2)</f>
        <v>0</v>
      </c>
      <c r="CE697" s="3">
        <f>Wapato_Inventory[[#This Row],[final_res]]+Wapato_Inventory[[#This Row],[final_det]]</f>
        <v>114600</v>
      </c>
      <c r="CF697" s="3">
        <f>Wapato_Inventory[[#This Row],[crop_value]]+Wapato_Inventory[[#This Row],[final_land]]+Wapato_Inventory[[#This Row],[final_imp]]</f>
        <v>165000</v>
      </c>
      <c r="CH697" t="str">
        <f t="shared" si="10"/>
        <v>update valuation set market_land =50400, market_bldg=114600, market_total =165000, market_mdno =405, market_date ='9/10/2023' where link_id = (select link_id from parcel where parcel_year = '2024' and parcel_id = '19111513508');</v>
      </c>
    </row>
    <row r="698" spans="1:86" x14ac:dyDescent="0.25">
      <c r="A698">
        <v>19111513510</v>
      </c>
      <c r="B698">
        <v>0.12</v>
      </c>
      <c r="C698">
        <v>5051</v>
      </c>
      <c r="D698" t="s">
        <v>144</v>
      </c>
      <c r="E698" t="s">
        <v>54</v>
      </c>
      <c r="F698" t="s">
        <v>54</v>
      </c>
      <c r="G698">
        <v>3</v>
      </c>
      <c r="H698" t="s">
        <v>55</v>
      </c>
      <c r="I698">
        <v>175200</v>
      </c>
      <c r="J698">
        <v>30800</v>
      </c>
      <c r="K698">
        <v>0.12</v>
      </c>
      <c r="L698">
        <f>IF(Wapato_Inventory[[#This Row],[parcel_acres]]-Wapato_Inventory[[#This Row],[non_valued_acres]] =0,0,LN(Wapato_Inventory[[#This Row],[parcel_acres]]-Wapato_Inventory[[#This Row],[non_valued_acres]]))</f>
        <v>-2.120263536200091</v>
      </c>
      <c r="M698">
        <v>0</v>
      </c>
      <c r="N698">
        <v>0</v>
      </c>
      <c r="O698">
        <v>0</v>
      </c>
      <c r="P698">
        <v>27904.037</v>
      </c>
      <c r="Q698">
        <v>74398</v>
      </c>
      <c r="R698" s="3">
        <f>(Wapato_Inventory[[#This Row],[ln_acres]]*Wapato_Inventory[[#This Row],[coeff]])+Wapato_Inventory[[#This Row],[const]]</f>
        <v>15234.08783612182</v>
      </c>
      <c r="S698" t="s">
        <v>66</v>
      </c>
      <c r="T698">
        <v>1</v>
      </c>
      <c r="U698" t="s">
        <v>75</v>
      </c>
      <c r="V698" t="s">
        <v>69</v>
      </c>
      <c r="W698">
        <v>0</v>
      </c>
      <c r="X698">
        <v>0</v>
      </c>
      <c r="Y698">
        <v>65</v>
      </c>
      <c r="Z698">
        <v>113</v>
      </c>
      <c r="AA698">
        <v>120</v>
      </c>
      <c r="AB698">
        <v>1500</v>
      </c>
      <c r="AC698">
        <v>1268</v>
      </c>
      <c r="AD698">
        <v>1268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64</v>
      </c>
      <c r="AN698">
        <v>0</v>
      </c>
      <c r="AO698">
        <v>0</v>
      </c>
      <c r="AP698">
        <v>8</v>
      </c>
      <c r="AQ698">
        <v>0</v>
      </c>
      <c r="AR698">
        <v>0</v>
      </c>
      <c r="AS698" t="s">
        <v>59</v>
      </c>
      <c r="AT698">
        <v>1</v>
      </c>
      <c r="AU698" t="s">
        <v>72</v>
      </c>
      <c r="AV698" t="s">
        <v>65</v>
      </c>
      <c r="AW698">
        <v>0</v>
      </c>
      <c r="AX698">
        <v>3</v>
      </c>
      <c r="AY698">
        <v>0</v>
      </c>
      <c r="AZ698">
        <v>8000</v>
      </c>
      <c r="BA698">
        <v>100</v>
      </c>
      <c r="BB698">
        <v>100</v>
      </c>
      <c r="BC698">
        <v>100</v>
      </c>
      <c r="BD698">
        <v>100</v>
      </c>
      <c r="BE698">
        <v>1</v>
      </c>
      <c r="BF698">
        <v>15000</v>
      </c>
      <c r="BG698">
        <v>1000</v>
      </c>
      <c r="BH698" s="7">
        <f>ROUND(Wapato_Inventory[[#This Row],[detatched_value]]*Lookups!$B$22*Lookups!$H$48,-2)</f>
        <v>7100</v>
      </c>
      <c r="BI698" s="7">
        <f>ROUND(((Wapato_Inventory[[#This Row],[land_extract]]*Lookups!$B$3) +(Lookups!$B$2*0.5))*Lookups!$H$48,-2)</f>
        <v>52500</v>
      </c>
      <c r="BJ698" s="7">
        <f>IF(Wapato_Inventory[[#This Row],[bldg_style]]="",0,Lookups!$B$2*0.5)</f>
        <v>53765.27</v>
      </c>
      <c r="BK698" s="7">
        <f>_xlfn.IFNA(VLOOKUP(Wapato_Inventory[[#This Row],[quality]],Lookups!$H$2:$J$14,3,FALSE),0)</f>
        <v>48043</v>
      </c>
      <c r="BL698" s="7">
        <f>_xlfn.IFNA(VLOOKUP(Wapato_Inventory[[#This Row],[condition]],Lookups!$H$17:$J$24,3,FALSE),0)</f>
        <v>74543</v>
      </c>
      <c r="BM698" s="7">
        <f>Wapato_Inventory[[#This Row],[Age]]*Lookups!$B$16</f>
        <v>-41886.354100000004</v>
      </c>
      <c r="BN698" s="7">
        <f>Wapato_Inventory[[#This Row],[Main Floor]]*Lookups!$B$17</f>
        <v>53003.337052000003</v>
      </c>
      <c r="BO698" s="7">
        <f>Wapato_Inventory[[#This Row],[Upper Floor]]*Lookups!$B$18</f>
        <v>0</v>
      </c>
      <c r="BP698" s="7">
        <f>Wapato_Inventory[[#This Row],[Fin BSMT]]*Lookups!$B$19</f>
        <v>0</v>
      </c>
      <c r="BQ698" s="7">
        <f>(Wapato_Inventory[[#This Row],[att_gar]]+Wapato_Inventory[[#This Row],[blt_gar]])*Lookups!$B$20</f>
        <v>0</v>
      </c>
      <c r="BR698" s="7">
        <f>Wapato_Inventory[[#This Row],[Patio]]*Lookups!$B$21</f>
        <v>2772.7346560000001</v>
      </c>
      <c r="BS698" s="7">
        <f>SUM(Wapato_Inventory[[#This Row],[intercept]:[patio_value]])*Wapato_Inventory[[#This Row],[res_pct]]</f>
        <v>190240.987608</v>
      </c>
      <c r="BT698" s="7">
        <f>Wapato_Inventory[[#This Row],[land_value]]</f>
        <v>52500</v>
      </c>
      <c r="BU698" s="2">
        <f>_xlfn.IFNA(VLOOKUP(Wapato_Inventory[[#This Row],[quality]],Lookups!$A$28:$C$37,3,FALSE),1)</f>
        <v>0.98196844879778955</v>
      </c>
      <c r="BV698" s="2">
        <f>_xlfn.IFNA(VLOOKUP(Wapato_Inventory[[#This Row],[condition]],Lookups!$A$41:$C$48,3,FALSE),1)</f>
        <v>0.98442438223270734</v>
      </c>
      <c r="BW698" s="2">
        <f>IF(Wapato_Inventory[[#This Row],[decade]]="",1,_xlfn.IFNA(VLOOKUP(Wapato_Inventory[[#This Row],[decade]],Lookups!$F$28:$H$45,3,FALSE),1))</f>
        <v>0.93664589651353292</v>
      </c>
      <c r="BX698" s="2">
        <f>_xlfn.IFNA(VLOOKUP(Wapato_Inventory[[#This Row],[living_area_range]],Lookups!$K$28:$M$37,3,FALSE),1)</f>
        <v>1.0061411172456287</v>
      </c>
      <c r="BY698" s="2">
        <f>AVERAGE(Wapato_Inventory[[#This Row],[qual_adj]:[range_adj]])</f>
        <v>0.97729496119741466</v>
      </c>
      <c r="BZ698" s="7">
        <f>(Wapato_Inventory[[#This Row],[sum_land]]-IF(Wapato_Inventory[[#This Row],[no_utilities]]=1,12000,0))/IF(Wapato_Inventory[[#This Row],[unbuildable]]=1,2,1)</f>
        <v>52500</v>
      </c>
      <c r="CA698" s="7">
        <f>Wapato_Inventory[[#This Row],[pre_res]]*Wapato_Inventory[[#This Row],[overall_adj]]</f>
        <v>185921.5586025182</v>
      </c>
      <c r="CB698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698" s="3">
        <f>IF(ROUND(Wapato_Inventory[[#This Row],[adj_res]]*Lookups!$H$48,-2)&lt;Wapato_Inventory[[#This Row],[min_res]],Wapato_Inventory[[#This Row],[min_res]],ROUND(Wapato_Inventory[[#This Row],[adj_res]]*Lookups!$H$48,-2))</f>
        <v>176600</v>
      </c>
      <c r="CD698" s="3">
        <f>ROUND(Wapato_Inventory[[#This Row],[det_value]]*Lookups!$H$48,-2)</f>
        <v>6700</v>
      </c>
      <c r="CE698" s="3">
        <f>Wapato_Inventory[[#This Row],[final_res]]+Wapato_Inventory[[#This Row],[final_det]]</f>
        <v>183300</v>
      </c>
      <c r="CF698" s="3">
        <f>Wapato_Inventory[[#This Row],[crop_value]]+Wapato_Inventory[[#This Row],[final_land]]+Wapato_Inventory[[#This Row],[final_imp]]</f>
        <v>233200</v>
      </c>
      <c r="CH698" t="str">
        <f t="shared" si="10"/>
        <v>update valuation set market_land =49900, market_bldg=183300, market_total =233200, market_mdno =405, market_date ='9/10/2023' where link_id = (select link_id from parcel where parcel_year = '2024' and parcel_id = '19111513510');</v>
      </c>
    </row>
    <row r="699" spans="1:86" x14ac:dyDescent="0.25">
      <c r="A699">
        <v>19111513511</v>
      </c>
      <c r="B699">
        <v>0.15</v>
      </c>
      <c r="C699">
        <v>6507</v>
      </c>
      <c r="D699" t="s">
        <v>144</v>
      </c>
      <c r="E699" t="s">
        <v>54</v>
      </c>
      <c r="F699" t="s">
        <v>54</v>
      </c>
      <c r="G699">
        <v>3</v>
      </c>
      <c r="H699" t="s">
        <v>55</v>
      </c>
      <c r="I699">
        <v>174200</v>
      </c>
      <c r="J699">
        <v>32300</v>
      </c>
      <c r="K699">
        <v>0.15</v>
      </c>
      <c r="L699">
        <f>IF(Wapato_Inventory[[#This Row],[parcel_acres]]-Wapato_Inventory[[#This Row],[non_valued_acres]] =0,0,LN(Wapato_Inventory[[#This Row],[parcel_acres]]-Wapato_Inventory[[#This Row],[non_valued_acres]]))</f>
        <v>-1.8971199848858813</v>
      </c>
      <c r="M699">
        <v>0</v>
      </c>
      <c r="N699">
        <v>0</v>
      </c>
      <c r="O699">
        <v>0</v>
      </c>
      <c r="P699">
        <v>27904.037</v>
      </c>
      <c r="Q699">
        <v>74398</v>
      </c>
      <c r="R699" s="3">
        <f>(Wapato_Inventory[[#This Row],[ln_acres]]*Wapato_Inventory[[#This Row],[coeff]])+Wapato_Inventory[[#This Row],[const]]</f>
        <v>21460.693748304926</v>
      </c>
      <c r="S699" t="s">
        <v>145</v>
      </c>
      <c r="T699">
        <v>1</v>
      </c>
      <c r="U699" t="s">
        <v>75</v>
      </c>
      <c r="V699" t="s">
        <v>69</v>
      </c>
      <c r="W699">
        <v>0</v>
      </c>
      <c r="X699">
        <v>0</v>
      </c>
      <c r="Y699">
        <v>57</v>
      </c>
      <c r="Z699">
        <v>103</v>
      </c>
      <c r="AA699">
        <v>110</v>
      </c>
      <c r="AB699">
        <v>1500</v>
      </c>
      <c r="AC699">
        <v>1037</v>
      </c>
      <c r="AD699">
        <v>1037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240</v>
      </c>
      <c r="AN699">
        <v>36</v>
      </c>
      <c r="AO699">
        <v>240</v>
      </c>
      <c r="AP699">
        <v>5</v>
      </c>
      <c r="AQ699">
        <v>0</v>
      </c>
      <c r="AR699">
        <v>0</v>
      </c>
      <c r="AS699" t="s">
        <v>59</v>
      </c>
      <c r="AT699">
        <v>1</v>
      </c>
      <c r="AU699" t="s">
        <v>64</v>
      </c>
      <c r="AV699" t="s">
        <v>65</v>
      </c>
      <c r="AW699">
        <v>0</v>
      </c>
      <c r="AX699">
        <v>3</v>
      </c>
      <c r="AY699">
        <v>0</v>
      </c>
      <c r="AZ699">
        <v>6900</v>
      </c>
      <c r="BA699">
        <v>100</v>
      </c>
      <c r="BB699">
        <v>100</v>
      </c>
      <c r="BC699">
        <v>100</v>
      </c>
      <c r="BD699">
        <v>100</v>
      </c>
      <c r="BE699">
        <v>1</v>
      </c>
      <c r="BF699">
        <v>15000</v>
      </c>
      <c r="BG699">
        <v>1000</v>
      </c>
      <c r="BH699" s="7">
        <f>ROUND(Wapato_Inventory[[#This Row],[detatched_value]]*Lookups!$B$22*Lookups!$H$48,-2)</f>
        <v>6200</v>
      </c>
      <c r="BI699" s="7">
        <f>ROUND(((Wapato_Inventory[[#This Row],[land_extract]]*Lookups!$B$3) +(Lookups!$B$2*0.5))*Lookups!$H$48,-2)</f>
        <v>53100</v>
      </c>
      <c r="BJ699" s="7">
        <f>IF(Wapato_Inventory[[#This Row],[bldg_style]]="",0,Lookups!$B$2*0.5)</f>
        <v>53765.27</v>
      </c>
      <c r="BK699" s="7">
        <f>_xlfn.IFNA(VLOOKUP(Wapato_Inventory[[#This Row],[quality]],Lookups!$H$2:$J$14,3,FALSE),0)</f>
        <v>48043</v>
      </c>
      <c r="BL699" s="7">
        <f>_xlfn.IFNA(VLOOKUP(Wapato_Inventory[[#This Row],[condition]],Lookups!$H$17:$J$24,3,FALSE),0)</f>
        <v>74543</v>
      </c>
      <c r="BM699" s="7">
        <f>Wapato_Inventory[[#This Row],[Age]]*Lookups!$B$16</f>
        <v>-38179.597099999999</v>
      </c>
      <c r="BN699" s="7">
        <f>Wapato_Inventory[[#This Row],[Main Floor]]*Lookups!$B$17</f>
        <v>43347.366343000002</v>
      </c>
      <c r="BO699" s="7">
        <f>Wapato_Inventory[[#This Row],[Upper Floor]]*Lookups!$B$18</f>
        <v>0</v>
      </c>
      <c r="BP699" s="7">
        <f>Wapato_Inventory[[#This Row],[Fin BSMT]]*Lookups!$B$19</f>
        <v>0</v>
      </c>
      <c r="BQ699" s="7">
        <f>(Wapato_Inventory[[#This Row],[att_gar]]+Wapato_Inventory[[#This Row],[blt_gar]])*Lookups!$B$20</f>
        <v>0</v>
      </c>
      <c r="BR699" s="7">
        <f>Wapato_Inventory[[#This Row],[Patio]]*Lookups!$B$21</f>
        <v>10397.75496</v>
      </c>
      <c r="BS699" s="7">
        <f>SUM(Wapato_Inventory[[#This Row],[intercept]:[patio_value]])*Wapato_Inventory[[#This Row],[res_pct]]</f>
        <v>191916.794203</v>
      </c>
      <c r="BT699" s="7">
        <f>Wapato_Inventory[[#This Row],[land_value]]</f>
        <v>53100</v>
      </c>
      <c r="BU699" s="2">
        <f>_xlfn.IFNA(VLOOKUP(Wapato_Inventory[[#This Row],[quality]],Lookups!$A$28:$C$37,3,FALSE),1)</f>
        <v>0.98196844879778955</v>
      </c>
      <c r="BV699" s="2">
        <f>_xlfn.IFNA(VLOOKUP(Wapato_Inventory[[#This Row],[condition]],Lookups!$A$41:$C$48,3,FALSE),1)</f>
        <v>0.98442438223270734</v>
      </c>
      <c r="BW699" s="2">
        <f>IF(Wapato_Inventory[[#This Row],[decade]]="",1,_xlfn.IFNA(VLOOKUP(Wapato_Inventory[[#This Row],[decade]],Lookups!$F$28:$H$45,3,FALSE),1))</f>
        <v>0.93664589651353292</v>
      </c>
      <c r="BX699" s="2">
        <f>_xlfn.IFNA(VLOOKUP(Wapato_Inventory[[#This Row],[living_area_range]],Lookups!$K$28:$M$37,3,FALSE),1)</f>
        <v>1.0061411172456287</v>
      </c>
      <c r="BY699" s="2">
        <f>AVERAGE(Wapato_Inventory[[#This Row],[qual_adj]:[range_adj]])</f>
        <v>0.97729496119741466</v>
      </c>
      <c r="BZ699" s="7">
        <f>(Wapato_Inventory[[#This Row],[sum_land]]-IF(Wapato_Inventory[[#This Row],[no_utilities]]=1,12000,0))/IF(Wapato_Inventory[[#This Row],[unbuildable]]=1,2,1)</f>
        <v>53100</v>
      </c>
      <c r="CA699" s="7">
        <f>Wapato_Inventory[[#This Row],[pre_res]]*Wapato_Inventory[[#This Row],[overall_adj]]</f>
        <v>187559.31594375308</v>
      </c>
      <c r="CB69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699" s="3">
        <f>IF(ROUND(Wapato_Inventory[[#This Row],[adj_res]]*Lookups!$H$48,-2)&lt;Wapato_Inventory[[#This Row],[min_res]],Wapato_Inventory[[#This Row],[min_res]],ROUND(Wapato_Inventory[[#This Row],[adj_res]]*Lookups!$H$48,-2))</f>
        <v>178200</v>
      </c>
      <c r="CD699" s="3">
        <f>ROUND(Wapato_Inventory[[#This Row],[det_value]]*Lookups!$H$48,-2)</f>
        <v>5900</v>
      </c>
      <c r="CE699" s="3">
        <f>Wapato_Inventory[[#This Row],[final_res]]+Wapato_Inventory[[#This Row],[final_det]]</f>
        <v>184100</v>
      </c>
      <c r="CF699" s="3">
        <f>Wapato_Inventory[[#This Row],[crop_value]]+Wapato_Inventory[[#This Row],[final_land]]+Wapato_Inventory[[#This Row],[final_imp]]</f>
        <v>234500</v>
      </c>
      <c r="CH699" t="str">
        <f t="shared" si="10"/>
        <v>update valuation set market_land =50400, market_bldg=184100, market_total =234500, market_mdno =405, market_date ='9/10/2023' where link_id = (select link_id from parcel where parcel_year = '2024' and parcel_id = '19111513511');</v>
      </c>
    </row>
    <row r="700" spans="1:86" x14ac:dyDescent="0.25">
      <c r="A700">
        <v>19111513512</v>
      </c>
      <c r="B700">
        <v>0.14000000000000001</v>
      </c>
      <c r="C700">
        <v>5907</v>
      </c>
      <c r="D700" t="s">
        <v>144</v>
      </c>
      <c r="E700" t="s">
        <v>54</v>
      </c>
      <c r="F700" t="s">
        <v>54</v>
      </c>
      <c r="G700">
        <v>3</v>
      </c>
      <c r="H700" t="s">
        <v>55</v>
      </c>
      <c r="I700">
        <v>100000</v>
      </c>
      <c r="J700">
        <v>31900</v>
      </c>
      <c r="K700">
        <v>0.14000000000000001</v>
      </c>
      <c r="L700">
        <f>IF(Wapato_Inventory[[#This Row],[parcel_acres]]-Wapato_Inventory[[#This Row],[non_valued_acres]] =0,0,LN(Wapato_Inventory[[#This Row],[parcel_acres]]-Wapato_Inventory[[#This Row],[non_valued_acres]]))</f>
        <v>-1.9661128563728327</v>
      </c>
      <c r="M700">
        <v>0</v>
      </c>
      <c r="N700">
        <v>0</v>
      </c>
      <c r="O700">
        <v>0</v>
      </c>
      <c r="P700">
        <v>27904.037</v>
      </c>
      <c r="Q700">
        <v>74398</v>
      </c>
      <c r="R700" s="3">
        <f>(Wapato_Inventory[[#This Row],[ln_acres]]*Wapato_Inventory[[#This Row],[coeff]])+Wapato_Inventory[[#This Row],[const]]</f>
        <v>19535.514109596792</v>
      </c>
      <c r="S700" t="s">
        <v>66</v>
      </c>
      <c r="T700">
        <v>1</v>
      </c>
      <c r="U700" t="s">
        <v>71</v>
      </c>
      <c r="V700" t="s">
        <v>68</v>
      </c>
      <c r="W700">
        <v>0</v>
      </c>
      <c r="X700">
        <v>0</v>
      </c>
      <c r="Y700">
        <v>53</v>
      </c>
      <c r="Z700">
        <v>93</v>
      </c>
      <c r="AA700">
        <v>100</v>
      </c>
      <c r="AB700">
        <v>1000</v>
      </c>
      <c r="AC700">
        <v>752</v>
      </c>
      <c r="AD700">
        <v>752</v>
      </c>
      <c r="AE700">
        <v>0</v>
      </c>
      <c r="AF700">
        <v>0</v>
      </c>
      <c r="AG700">
        <v>0</v>
      </c>
      <c r="AH700">
        <v>376</v>
      </c>
      <c r="AI700">
        <v>0</v>
      </c>
      <c r="AJ700">
        <v>0</v>
      </c>
      <c r="AK700">
        <v>0</v>
      </c>
      <c r="AL700">
        <v>0</v>
      </c>
      <c r="AM700">
        <v>0</v>
      </c>
      <c r="AN700">
        <v>160</v>
      </c>
      <c r="AO700">
        <v>0</v>
      </c>
      <c r="AP700">
        <v>5</v>
      </c>
      <c r="AQ700">
        <v>0</v>
      </c>
      <c r="AR700">
        <v>0</v>
      </c>
      <c r="AS700" t="s">
        <v>59</v>
      </c>
      <c r="AT700">
        <v>0</v>
      </c>
      <c r="AU700" t="s">
        <v>80</v>
      </c>
      <c r="AV700" t="s">
        <v>77</v>
      </c>
      <c r="AW700">
        <v>0</v>
      </c>
      <c r="AX700">
        <v>2</v>
      </c>
      <c r="AY700">
        <v>0</v>
      </c>
      <c r="AZ700">
        <v>6600</v>
      </c>
      <c r="BA700">
        <v>100</v>
      </c>
      <c r="BB700">
        <v>100</v>
      </c>
      <c r="BC700">
        <v>100</v>
      </c>
      <c r="BD700">
        <v>100</v>
      </c>
      <c r="BE700">
        <v>1</v>
      </c>
      <c r="BF700">
        <v>15000</v>
      </c>
      <c r="BG700">
        <v>1000</v>
      </c>
      <c r="BH700" s="7">
        <f>ROUND(Wapato_Inventory[[#This Row],[detatched_value]]*Lookups!$B$22*Lookups!$H$48,-2)</f>
        <v>5900</v>
      </c>
      <c r="BI700" s="7">
        <f>ROUND(((Wapato_Inventory[[#This Row],[land_extract]]*Lookups!$B$3) +(Lookups!$B$2*0.5))*Lookups!$H$48,-2)</f>
        <v>53000</v>
      </c>
      <c r="BJ700" s="7">
        <f>IF(Wapato_Inventory[[#This Row],[bldg_style]]="",0,Lookups!$B$2*0.5)</f>
        <v>53765.27</v>
      </c>
      <c r="BK700" s="7">
        <f>_xlfn.IFNA(VLOOKUP(Wapato_Inventory[[#This Row],[quality]],Lookups!$H$2:$J$14,3,FALSE),0)</f>
        <v>28034</v>
      </c>
      <c r="BL700" s="7">
        <f>_xlfn.IFNA(VLOOKUP(Wapato_Inventory[[#This Row],[condition]],Lookups!$H$17:$J$24,3,FALSE),0)</f>
        <v>52231</v>
      </c>
      <c r="BM700" s="7">
        <f>Wapato_Inventory[[#This Row],[Age]]*Lookups!$B$16</f>
        <v>-34472.840100000001</v>
      </c>
      <c r="BN700" s="7">
        <f>Wapato_Inventory[[#This Row],[Main Floor]]*Lookups!$B$17</f>
        <v>31434.155728000002</v>
      </c>
      <c r="BO700" s="7">
        <f>Wapato_Inventory[[#This Row],[Upper Floor]]*Lookups!$B$18</f>
        <v>0</v>
      </c>
      <c r="BP700" s="7">
        <f>Wapato_Inventory[[#This Row],[Fin BSMT]]*Lookups!$B$19</f>
        <v>0</v>
      </c>
      <c r="BQ700" s="7">
        <f>(Wapato_Inventory[[#This Row],[att_gar]]+Wapato_Inventory[[#This Row],[blt_gar]])*Lookups!$B$20</f>
        <v>0</v>
      </c>
      <c r="BR700" s="7">
        <f>Wapato_Inventory[[#This Row],[Patio]]*Lookups!$B$21</f>
        <v>0</v>
      </c>
      <c r="BS700" s="7">
        <f>SUM(Wapato_Inventory[[#This Row],[intercept]:[patio_value]])*Wapato_Inventory[[#This Row],[res_pct]]</f>
        <v>130991.58562799999</v>
      </c>
      <c r="BT700" s="7">
        <f>Wapato_Inventory[[#This Row],[land_value]]</f>
        <v>53000</v>
      </c>
      <c r="BU700" s="2">
        <f>_xlfn.IFNA(VLOOKUP(Wapato_Inventory[[#This Row],[quality]],Lookups!$A$28:$C$37,3,FALSE),1)</f>
        <v>0.96265813922927435</v>
      </c>
      <c r="BV700" s="2">
        <f>_xlfn.IFNA(VLOOKUP(Wapato_Inventory[[#This Row],[condition]],Lookups!$A$41:$C$48,3,FALSE),1)</f>
        <v>0.9832333997567807</v>
      </c>
      <c r="BW700" s="2">
        <f>IF(Wapato_Inventory[[#This Row],[decade]]="",1,_xlfn.IFNA(VLOOKUP(Wapato_Inventory[[#This Row],[decade]],Lookups!$F$28:$H$45,3,FALSE),1))</f>
        <v>1.0114203040664467</v>
      </c>
      <c r="BX700" s="2">
        <f>_xlfn.IFNA(VLOOKUP(Wapato_Inventory[[#This Row],[living_area_range]],Lookups!$K$28:$M$37,3,FALSE),1)</f>
        <v>0.99022994770196116</v>
      </c>
      <c r="BY700" s="2">
        <f>AVERAGE(Wapato_Inventory[[#This Row],[qual_adj]:[range_adj]])</f>
        <v>0.98688544768861564</v>
      </c>
      <c r="BZ700" s="7">
        <f>(Wapato_Inventory[[#This Row],[sum_land]]-IF(Wapato_Inventory[[#This Row],[no_utilities]]=1,12000,0))/IF(Wapato_Inventory[[#This Row],[unbuildable]]=1,2,1)</f>
        <v>53000</v>
      </c>
      <c r="CA700" s="7">
        <f>Wapato_Inventory[[#This Row],[pre_res]]*Wapato_Inventory[[#This Row],[overall_adj]]</f>
        <v>129273.68962593039</v>
      </c>
      <c r="CB70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00" s="3">
        <f>IF(ROUND(Wapato_Inventory[[#This Row],[adj_res]]*Lookups!$H$48,-2)&lt;Wapato_Inventory[[#This Row],[min_res]],Wapato_Inventory[[#This Row],[min_res]],ROUND(Wapato_Inventory[[#This Row],[adj_res]]*Lookups!$H$48,-2))</f>
        <v>122800</v>
      </c>
      <c r="CD700" s="3">
        <f>ROUND(Wapato_Inventory[[#This Row],[det_value]]*Lookups!$H$48,-2)</f>
        <v>5600</v>
      </c>
      <c r="CE700" s="3">
        <f>Wapato_Inventory[[#This Row],[final_res]]+Wapato_Inventory[[#This Row],[final_det]]</f>
        <v>128400</v>
      </c>
      <c r="CF700" s="3">
        <f>Wapato_Inventory[[#This Row],[crop_value]]+Wapato_Inventory[[#This Row],[final_land]]+Wapato_Inventory[[#This Row],[final_imp]]</f>
        <v>178800</v>
      </c>
      <c r="CH700" t="str">
        <f t="shared" si="10"/>
        <v>update valuation set market_land =50400, market_bldg=128400, market_total =178800, market_mdno =405, market_date ='9/10/2023' where link_id = (select link_id from parcel where parcel_year = '2024' and parcel_id = '19111513512');</v>
      </c>
    </row>
    <row r="701" spans="1:86" x14ac:dyDescent="0.25">
      <c r="A701">
        <v>19111513513</v>
      </c>
      <c r="B701">
        <v>0.13</v>
      </c>
      <c r="C701">
        <v>5687</v>
      </c>
      <c r="D701" t="s">
        <v>144</v>
      </c>
      <c r="E701" t="s">
        <v>54</v>
      </c>
      <c r="F701" t="s">
        <v>54</v>
      </c>
      <c r="G701">
        <v>3</v>
      </c>
      <c r="H701" t="s">
        <v>55</v>
      </c>
      <c r="I701">
        <v>136800</v>
      </c>
      <c r="J701">
        <v>31400</v>
      </c>
      <c r="K701">
        <v>0.13</v>
      </c>
      <c r="L701">
        <f>IF(Wapato_Inventory[[#This Row],[parcel_acres]]-Wapato_Inventory[[#This Row],[non_valued_acres]] =0,0,LN(Wapato_Inventory[[#This Row],[parcel_acres]]-Wapato_Inventory[[#This Row],[non_valued_acres]]))</f>
        <v>-2.0402208285265546</v>
      </c>
      <c r="M701">
        <v>0</v>
      </c>
      <c r="N701">
        <v>0</v>
      </c>
      <c r="O701">
        <v>0</v>
      </c>
      <c r="P701">
        <v>27904.037</v>
      </c>
      <c r="Q701">
        <v>74398</v>
      </c>
      <c r="R701" s="3">
        <f>(Wapato_Inventory[[#This Row],[ln_acres]]*Wapato_Inventory[[#This Row],[coeff]])+Wapato_Inventory[[#This Row],[const]]</f>
        <v>17467.602512624362</v>
      </c>
      <c r="S701" t="s">
        <v>66</v>
      </c>
      <c r="T701">
        <v>1</v>
      </c>
      <c r="U701" t="s">
        <v>71</v>
      </c>
      <c r="V701" t="s">
        <v>69</v>
      </c>
      <c r="W701">
        <v>0</v>
      </c>
      <c r="X701">
        <v>0</v>
      </c>
      <c r="Y701">
        <v>57</v>
      </c>
      <c r="Z701">
        <v>103</v>
      </c>
      <c r="AA701">
        <v>110</v>
      </c>
      <c r="AB701">
        <v>1000</v>
      </c>
      <c r="AC701">
        <v>962</v>
      </c>
      <c r="AD701">
        <v>962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240</v>
      </c>
      <c r="AL701">
        <v>0</v>
      </c>
      <c r="AM701">
        <v>36</v>
      </c>
      <c r="AN701">
        <v>0</v>
      </c>
      <c r="AO701">
        <v>156</v>
      </c>
      <c r="AP701">
        <v>5</v>
      </c>
      <c r="AQ701">
        <v>0</v>
      </c>
      <c r="AR701">
        <v>0</v>
      </c>
      <c r="AS701" t="s">
        <v>59</v>
      </c>
      <c r="AT701">
        <v>0</v>
      </c>
      <c r="AU701" t="s">
        <v>80</v>
      </c>
      <c r="AV701" t="s">
        <v>65</v>
      </c>
      <c r="AW701">
        <v>0</v>
      </c>
      <c r="AX701">
        <v>1</v>
      </c>
      <c r="AY701">
        <v>0</v>
      </c>
      <c r="AZ701">
        <v>0</v>
      </c>
      <c r="BA701">
        <v>100</v>
      </c>
      <c r="BB701">
        <v>100</v>
      </c>
      <c r="BC701">
        <v>100</v>
      </c>
      <c r="BD701">
        <v>100</v>
      </c>
      <c r="BE701">
        <v>1</v>
      </c>
      <c r="BF701">
        <v>15000</v>
      </c>
      <c r="BG701">
        <v>1000</v>
      </c>
      <c r="BH701" s="7">
        <f>ROUND(Wapato_Inventory[[#This Row],[detatched_value]]*Lookups!$B$22*Lookups!$H$48,-2)</f>
        <v>0</v>
      </c>
      <c r="BI701" s="7">
        <f>ROUND(((Wapato_Inventory[[#This Row],[land_extract]]*Lookups!$B$3) +(Lookups!$B$2*0.5))*Lookups!$H$48,-2)</f>
        <v>52800</v>
      </c>
      <c r="BJ701" s="7">
        <f>IF(Wapato_Inventory[[#This Row],[bldg_style]]="",0,Lookups!$B$2*0.5)</f>
        <v>53765.27</v>
      </c>
      <c r="BK701" s="7">
        <f>_xlfn.IFNA(VLOOKUP(Wapato_Inventory[[#This Row],[quality]],Lookups!$H$2:$J$14,3,FALSE),0)</f>
        <v>28034</v>
      </c>
      <c r="BL701" s="7">
        <f>_xlfn.IFNA(VLOOKUP(Wapato_Inventory[[#This Row],[condition]],Lookups!$H$17:$J$24,3,FALSE),0)</f>
        <v>74543</v>
      </c>
      <c r="BM701" s="7">
        <f>Wapato_Inventory[[#This Row],[Age]]*Lookups!$B$16</f>
        <v>-38179.597099999999</v>
      </c>
      <c r="BN701" s="7">
        <f>Wapato_Inventory[[#This Row],[Main Floor]]*Lookups!$B$17</f>
        <v>40212.310918000003</v>
      </c>
      <c r="BO701" s="7">
        <f>Wapato_Inventory[[#This Row],[Upper Floor]]*Lookups!$B$18</f>
        <v>0</v>
      </c>
      <c r="BP701" s="7">
        <f>Wapato_Inventory[[#This Row],[Fin BSMT]]*Lookups!$B$19</f>
        <v>0</v>
      </c>
      <c r="BQ701" s="7">
        <f>(Wapato_Inventory[[#This Row],[att_gar]]+Wapato_Inventory[[#This Row],[blt_gar]])*Lookups!$B$20</f>
        <v>0</v>
      </c>
      <c r="BR701" s="7">
        <f>Wapato_Inventory[[#This Row],[Patio]]*Lookups!$B$21</f>
        <v>1559.6632440000001</v>
      </c>
      <c r="BS701" s="7">
        <f>SUM(Wapato_Inventory[[#This Row],[intercept]:[patio_value]])*Wapato_Inventory[[#This Row],[res_pct]]</f>
        <v>159934.647062</v>
      </c>
      <c r="BT701" s="7">
        <f>Wapato_Inventory[[#This Row],[land_value]]</f>
        <v>52800</v>
      </c>
      <c r="BU701" s="2">
        <f>_xlfn.IFNA(VLOOKUP(Wapato_Inventory[[#This Row],[quality]],Lookups!$A$28:$C$37,3,FALSE),1)</f>
        <v>0.96265813922927435</v>
      </c>
      <c r="BV701" s="2">
        <f>_xlfn.IFNA(VLOOKUP(Wapato_Inventory[[#This Row],[condition]],Lookups!$A$41:$C$48,3,FALSE),1)</f>
        <v>0.98442438223270734</v>
      </c>
      <c r="BW701" s="2">
        <f>IF(Wapato_Inventory[[#This Row],[decade]]="",1,_xlfn.IFNA(VLOOKUP(Wapato_Inventory[[#This Row],[decade]],Lookups!$F$28:$H$45,3,FALSE),1))</f>
        <v>0.93664589651353292</v>
      </c>
      <c r="BX701" s="2">
        <f>_xlfn.IFNA(VLOOKUP(Wapato_Inventory[[#This Row],[living_area_range]],Lookups!$K$28:$M$37,3,FALSE),1)</f>
        <v>0.99022994770196116</v>
      </c>
      <c r="BY701" s="2">
        <f>AVERAGE(Wapato_Inventory[[#This Row],[qual_adj]:[range_adj]])</f>
        <v>0.96848959141936886</v>
      </c>
      <c r="BZ701" s="7">
        <f>(Wapato_Inventory[[#This Row],[sum_land]]-IF(Wapato_Inventory[[#This Row],[no_utilities]]=1,12000,0))/IF(Wapato_Inventory[[#This Row],[unbuildable]]=1,2,1)</f>
        <v>52800</v>
      </c>
      <c r="CA701" s="7">
        <f>Wapato_Inventory[[#This Row],[pre_res]]*Wapato_Inventory[[#This Row],[overall_adj]]</f>
        <v>154895.04098687734</v>
      </c>
      <c r="CB701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01" s="3">
        <f>IF(ROUND(Wapato_Inventory[[#This Row],[adj_res]]*Lookups!$H$48,-2)&lt;Wapato_Inventory[[#This Row],[min_res]],Wapato_Inventory[[#This Row],[min_res]],ROUND(Wapato_Inventory[[#This Row],[adj_res]]*Lookups!$H$48,-2))</f>
        <v>147200</v>
      </c>
      <c r="CD701" s="3">
        <f>ROUND(Wapato_Inventory[[#This Row],[det_value]]*Lookups!$H$48,-2)</f>
        <v>0</v>
      </c>
      <c r="CE701" s="3">
        <f>Wapato_Inventory[[#This Row],[final_res]]+Wapato_Inventory[[#This Row],[final_det]]</f>
        <v>147200</v>
      </c>
      <c r="CF701" s="3">
        <f>Wapato_Inventory[[#This Row],[crop_value]]+Wapato_Inventory[[#This Row],[final_land]]+Wapato_Inventory[[#This Row],[final_imp]]</f>
        <v>197400</v>
      </c>
      <c r="CH701" t="str">
        <f t="shared" si="10"/>
        <v>update valuation set market_land =50200, market_bldg=147200, market_total =197400, market_mdno =405, market_date ='9/10/2023' where link_id = (select link_id from parcel where parcel_year = '2024' and parcel_id = '19111513513');</v>
      </c>
    </row>
    <row r="702" spans="1:86" x14ac:dyDescent="0.25">
      <c r="A702">
        <v>19111513514</v>
      </c>
      <c r="B702">
        <v>0.13</v>
      </c>
      <c r="C702">
        <v>5541</v>
      </c>
      <c r="D702" t="s">
        <v>144</v>
      </c>
      <c r="E702" t="s">
        <v>54</v>
      </c>
      <c r="F702" t="s">
        <v>54</v>
      </c>
      <c r="G702">
        <v>3</v>
      </c>
      <c r="H702" t="s">
        <v>55</v>
      </c>
      <c r="I702">
        <v>165000</v>
      </c>
      <c r="J702">
        <v>31400</v>
      </c>
      <c r="K702">
        <v>0.13</v>
      </c>
      <c r="L702">
        <f>IF(Wapato_Inventory[[#This Row],[parcel_acres]]-Wapato_Inventory[[#This Row],[non_valued_acres]] =0,0,LN(Wapato_Inventory[[#This Row],[parcel_acres]]-Wapato_Inventory[[#This Row],[non_valued_acres]]))</f>
        <v>-2.0402208285265546</v>
      </c>
      <c r="M702">
        <v>0</v>
      </c>
      <c r="N702">
        <v>0</v>
      </c>
      <c r="O702">
        <v>0</v>
      </c>
      <c r="P702">
        <v>27904.037</v>
      </c>
      <c r="Q702">
        <v>74398</v>
      </c>
      <c r="R702" s="3">
        <f>(Wapato_Inventory[[#This Row],[ln_acres]]*Wapato_Inventory[[#This Row],[coeff]])+Wapato_Inventory[[#This Row],[const]]</f>
        <v>17467.602512624362</v>
      </c>
      <c r="S702" t="s">
        <v>66</v>
      </c>
      <c r="T702">
        <v>1</v>
      </c>
      <c r="U702" t="s">
        <v>67</v>
      </c>
      <c r="V702" t="s">
        <v>68</v>
      </c>
      <c r="W702">
        <v>0</v>
      </c>
      <c r="X702">
        <v>0</v>
      </c>
      <c r="Y702">
        <v>57</v>
      </c>
      <c r="Z702">
        <v>103</v>
      </c>
      <c r="AA702">
        <v>110</v>
      </c>
      <c r="AB702">
        <v>1500</v>
      </c>
      <c r="AC702">
        <v>1328</v>
      </c>
      <c r="AD702">
        <v>1328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112</v>
      </c>
      <c r="AN702">
        <v>144</v>
      </c>
      <c r="AO702">
        <v>0</v>
      </c>
      <c r="AP702">
        <v>5</v>
      </c>
      <c r="AQ702">
        <v>0</v>
      </c>
      <c r="AR702">
        <v>1</v>
      </c>
      <c r="AS702" t="s">
        <v>59</v>
      </c>
      <c r="AT702">
        <v>1</v>
      </c>
      <c r="AU702" t="s">
        <v>64</v>
      </c>
      <c r="AV702" t="s">
        <v>61</v>
      </c>
      <c r="AW702">
        <v>1</v>
      </c>
      <c r="AX702">
        <v>2</v>
      </c>
      <c r="AY702">
        <v>0</v>
      </c>
      <c r="AZ702">
        <v>3700</v>
      </c>
      <c r="BA702">
        <v>100</v>
      </c>
      <c r="BB702">
        <v>100</v>
      </c>
      <c r="BC702">
        <v>100</v>
      </c>
      <c r="BD702">
        <v>100</v>
      </c>
      <c r="BE702">
        <v>1</v>
      </c>
      <c r="BF702">
        <v>15000</v>
      </c>
      <c r="BG702">
        <v>1000</v>
      </c>
      <c r="BH702" s="7">
        <f>ROUND(Wapato_Inventory[[#This Row],[detatched_value]]*Lookups!$B$22*Lookups!$H$48,-2)</f>
        <v>3300</v>
      </c>
      <c r="BI702" s="7">
        <f>ROUND(((Wapato_Inventory[[#This Row],[land_extract]]*Lookups!$B$3) +(Lookups!$B$2*0.5))*Lookups!$H$48,-2)</f>
        <v>52800</v>
      </c>
      <c r="BJ702" s="7">
        <f>IF(Wapato_Inventory[[#This Row],[bldg_style]]="",0,Lookups!$B$2*0.5)</f>
        <v>53765.27</v>
      </c>
      <c r="BK702" s="7">
        <f>_xlfn.IFNA(VLOOKUP(Wapato_Inventory[[#This Row],[quality]],Lookups!$H$2:$J$14,3,FALSE),0)</f>
        <v>50405</v>
      </c>
      <c r="BL702" s="7">
        <f>_xlfn.IFNA(VLOOKUP(Wapato_Inventory[[#This Row],[condition]],Lookups!$H$17:$J$24,3,FALSE),0)</f>
        <v>52231</v>
      </c>
      <c r="BM702" s="7">
        <f>Wapato_Inventory[[#This Row],[Age]]*Lookups!$B$16</f>
        <v>-38179.597099999999</v>
      </c>
      <c r="BN702" s="7">
        <f>Wapato_Inventory[[#This Row],[Main Floor]]*Lookups!$B$17</f>
        <v>55511.381392000003</v>
      </c>
      <c r="BO702" s="7">
        <f>Wapato_Inventory[[#This Row],[Upper Floor]]*Lookups!$B$18</f>
        <v>0</v>
      </c>
      <c r="BP702" s="7">
        <f>Wapato_Inventory[[#This Row],[Fin BSMT]]*Lookups!$B$19</f>
        <v>0</v>
      </c>
      <c r="BQ702" s="7">
        <f>(Wapato_Inventory[[#This Row],[att_gar]]+Wapato_Inventory[[#This Row],[blt_gar]])*Lookups!$B$20</f>
        <v>0</v>
      </c>
      <c r="BR702" s="7">
        <f>Wapato_Inventory[[#This Row],[Patio]]*Lookups!$B$21</f>
        <v>4852.285648</v>
      </c>
      <c r="BS702" s="7">
        <f>SUM(Wapato_Inventory[[#This Row],[intercept]:[patio_value]])*Wapato_Inventory[[#This Row],[res_pct]]</f>
        <v>178585.33993999998</v>
      </c>
      <c r="BT702" s="7">
        <f>Wapato_Inventory[[#This Row],[land_value]]</f>
        <v>52800</v>
      </c>
      <c r="BU702" s="2">
        <f>_xlfn.IFNA(VLOOKUP(Wapato_Inventory[[#This Row],[quality]],Lookups!$A$28:$C$37,3,FALSE),1)</f>
        <v>0.97993206410140754</v>
      </c>
      <c r="BV702" s="2">
        <f>_xlfn.IFNA(VLOOKUP(Wapato_Inventory[[#This Row],[condition]],Lookups!$A$41:$C$48,3,FALSE),1)</f>
        <v>0.9832333997567807</v>
      </c>
      <c r="BW702" s="2">
        <f>IF(Wapato_Inventory[[#This Row],[decade]]="",1,_xlfn.IFNA(VLOOKUP(Wapato_Inventory[[#This Row],[decade]],Lookups!$F$28:$H$45,3,FALSE),1))</f>
        <v>0.93664589651353292</v>
      </c>
      <c r="BX702" s="2">
        <f>_xlfn.IFNA(VLOOKUP(Wapato_Inventory[[#This Row],[living_area_range]],Lookups!$K$28:$M$37,3,FALSE),1)</f>
        <v>1.0061411172456287</v>
      </c>
      <c r="BY702" s="2">
        <f>AVERAGE(Wapato_Inventory[[#This Row],[qual_adj]:[range_adj]])</f>
        <v>0.97648811940433755</v>
      </c>
      <c r="BZ702" s="7">
        <f>(Wapato_Inventory[[#This Row],[sum_land]]-IF(Wapato_Inventory[[#This Row],[no_utilities]]=1,12000,0))/IF(Wapato_Inventory[[#This Row],[unbuildable]]=1,2,1)</f>
        <v>52800</v>
      </c>
      <c r="CA702" s="7">
        <f>Wapato_Inventory[[#This Row],[pre_res]]*Wapato_Inventory[[#This Row],[overall_adj]]</f>
        <v>174386.46275119492</v>
      </c>
      <c r="CB702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02" s="3">
        <f>IF(ROUND(Wapato_Inventory[[#This Row],[adj_res]]*Lookups!$H$48,-2)&lt;Wapato_Inventory[[#This Row],[min_res]],Wapato_Inventory[[#This Row],[min_res]],ROUND(Wapato_Inventory[[#This Row],[adj_res]]*Lookups!$H$48,-2))</f>
        <v>165700</v>
      </c>
      <c r="CD702" s="3">
        <f>ROUND(Wapato_Inventory[[#This Row],[det_value]]*Lookups!$H$48,-2)</f>
        <v>3100</v>
      </c>
      <c r="CE702" s="3">
        <f>Wapato_Inventory[[#This Row],[final_res]]+Wapato_Inventory[[#This Row],[final_det]]</f>
        <v>168800</v>
      </c>
      <c r="CF702" s="3">
        <f>Wapato_Inventory[[#This Row],[crop_value]]+Wapato_Inventory[[#This Row],[final_land]]+Wapato_Inventory[[#This Row],[final_imp]]</f>
        <v>219000</v>
      </c>
      <c r="CH702" t="str">
        <f t="shared" si="10"/>
        <v>update valuation set market_land =50200, market_bldg=168800, market_total =219000, market_mdno =405, market_date ='9/10/2023' where link_id = (select link_id from parcel where parcel_year = '2024' and parcel_id = '19111513514');</v>
      </c>
    </row>
    <row r="703" spans="1:86" x14ac:dyDescent="0.25">
      <c r="A703">
        <v>19111513516</v>
      </c>
      <c r="B703">
        <v>0.14000000000000001</v>
      </c>
      <c r="C703">
        <v>6155</v>
      </c>
      <c r="D703" t="s">
        <v>144</v>
      </c>
      <c r="E703" t="s">
        <v>54</v>
      </c>
      <c r="F703" t="s">
        <v>54</v>
      </c>
      <c r="G703">
        <v>3</v>
      </c>
      <c r="H703" t="s">
        <v>55</v>
      </c>
      <c r="I703">
        <v>105300</v>
      </c>
      <c r="J703">
        <v>31900</v>
      </c>
      <c r="K703">
        <v>0.14000000000000001</v>
      </c>
      <c r="L703">
        <f>IF(Wapato_Inventory[[#This Row],[parcel_acres]]-Wapato_Inventory[[#This Row],[non_valued_acres]] =0,0,LN(Wapato_Inventory[[#This Row],[parcel_acres]]-Wapato_Inventory[[#This Row],[non_valued_acres]]))</f>
        <v>-1.9661128563728327</v>
      </c>
      <c r="M703">
        <v>0</v>
      </c>
      <c r="N703">
        <v>0</v>
      </c>
      <c r="O703">
        <v>0</v>
      </c>
      <c r="P703">
        <v>27904.037</v>
      </c>
      <c r="Q703">
        <v>74398</v>
      </c>
      <c r="R703" s="3">
        <f>(Wapato_Inventory[[#This Row],[ln_acres]]*Wapato_Inventory[[#This Row],[coeff]])+Wapato_Inventory[[#This Row],[const]]</f>
        <v>19535.514109596792</v>
      </c>
      <c r="S703" t="s">
        <v>66</v>
      </c>
      <c r="T703">
        <v>1</v>
      </c>
      <c r="U703" t="s">
        <v>71</v>
      </c>
      <c r="V703" t="s">
        <v>68</v>
      </c>
      <c r="W703">
        <v>0</v>
      </c>
      <c r="X703">
        <v>0</v>
      </c>
      <c r="Y703">
        <v>51</v>
      </c>
      <c r="Z703">
        <v>78</v>
      </c>
      <c r="AA703">
        <v>80</v>
      </c>
      <c r="AB703">
        <v>1000</v>
      </c>
      <c r="AC703">
        <v>840</v>
      </c>
      <c r="AD703">
        <v>840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240</v>
      </c>
      <c r="AL703">
        <v>0</v>
      </c>
      <c r="AM703">
        <v>0</v>
      </c>
      <c r="AN703">
        <v>0</v>
      </c>
      <c r="AO703">
        <v>0</v>
      </c>
      <c r="AP703">
        <v>5</v>
      </c>
      <c r="AQ703">
        <v>0</v>
      </c>
      <c r="AR703">
        <v>0</v>
      </c>
      <c r="AS703" t="s">
        <v>59</v>
      </c>
      <c r="AT703">
        <v>1</v>
      </c>
      <c r="AU703" t="s">
        <v>64</v>
      </c>
      <c r="AV703" t="s">
        <v>65</v>
      </c>
      <c r="AW703">
        <v>0</v>
      </c>
      <c r="AX703">
        <v>2</v>
      </c>
      <c r="AY703">
        <v>0</v>
      </c>
      <c r="AZ703">
        <v>1100</v>
      </c>
      <c r="BA703">
        <v>100</v>
      </c>
      <c r="BB703">
        <v>100</v>
      </c>
      <c r="BC703">
        <v>100</v>
      </c>
      <c r="BD703">
        <v>100</v>
      </c>
      <c r="BE703">
        <v>1</v>
      </c>
      <c r="BF703">
        <v>15000</v>
      </c>
      <c r="BG703">
        <v>1000</v>
      </c>
      <c r="BH703" s="7">
        <f>ROUND(Wapato_Inventory[[#This Row],[detatched_value]]*Lookups!$B$22*Lookups!$H$48,-2)</f>
        <v>1000</v>
      </c>
      <c r="BI703" s="7">
        <f>ROUND(((Wapato_Inventory[[#This Row],[land_extract]]*Lookups!$B$3) +(Lookups!$B$2*0.5))*Lookups!$H$48,-2)</f>
        <v>53000</v>
      </c>
      <c r="BJ703" s="7">
        <f>IF(Wapato_Inventory[[#This Row],[bldg_style]]="",0,Lookups!$B$2*0.5)</f>
        <v>53765.27</v>
      </c>
      <c r="BK703" s="7">
        <f>_xlfn.IFNA(VLOOKUP(Wapato_Inventory[[#This Row],[quality]],Lookups!$H$2:$J$14,3,FALSE),0)</f>
        <v>28034</v>
      </c>
      <c r="BL703" s="7">
        <f>_xlfn.IFNA(VLOOKUP(Wapato_Inventory[[#This Row],[condition]],Lookups!$H$17:$J$24,3,FALSE),0)</f>
        <v>52231</v>
      </c>
      <c r="BM703" s="7">
        <f>Wapato_Inventory[[#This Row],[Age]]*Lookups!$B$16</f>
        <v>-28912.704600000001</v>
      </c>
      <c r="BN703" s="7">
        <f>Wapato_Inventory[[#This Row],[Main Floor]]*Lookups!$B$17</f>
        <v>35112.620759999998</v>
      </c>
      <c r="BO703" s="7">
        <f>Wapato_Inventory[[#This Row],[Upper Floor]]*Lookups!$B$18</f>
        <v>0</v>
      </c>
      <c r="BP703" s="7">
        <f>Wapato_Inventory[[#This Row],[Fin BSMT]]*Lookups!$B$19</f>
        <v>0</v>
      </c>
      <c r="BQ703" s="7">
        <f>(Wapato_Inventory[[#This Row],[att_gar]]+Wapato_Inventory[[#This Row],[blt_gar]])*Lookups!$B$20</f>
        <v>0</v>
      </c>
      <c r="BR703" s="7">
        <f>Wapato_Inventory[[#This Row],[Patio]]*Lookups!$B$21</f>
        <v>0</v>
      </c>
      <c r="BS703" s="7">
        <f>SUM(Wapato_Inventory[[#This Row],[intercept]:[patio_value]])*Wapato_Inventory[[#This Row],[res_pct]]</f>
        <v>140230.18615999998</v>
      </c>
      <c r="BT703" s="7">
        <f>Wapato_Inventory[[#This Row],[land_value]]</f>
        <v>53000</v>
      </c>
      <c r="BU703" s="2">
        <f>_xlfn.IFNA(VLOOKUP(Wapato_Inventory[[#This Row],[quality]],Lookups!$A$28:$C$37,3,FALSE),1)</f>
        <v>0.96265813922927435</v>
      </c>
      <c r="BV703" s="2">
        <f>_xlfn.IFNA(VLOOKUP(Wapato_Inventory[[#This Row],[condition]],Lookups!$A$41:$C$48,3,FALSE),1)</f>
        <v>0.9832333997567807</v>
      </c>
      <c r="BW703" s="2">
        <f>IF(Wapato_Inventory[[#This Row],[decade]]="",1,_xlfn.IFNA(VLOOKUP(Wapato_Inventory[[#This Row],[decade]],Lookups!$F$28:$H$45,3,FALSE),1))</f>
        <v>0.8438929209510081</v>
      </c>
      <c r="BX703" s="2">
        <f>_xlfn.IFNA(VLOOKUP(Wapato_Inventory[[#This Row],[living_area_range]],Lookups!$K$28:$M$37,3,FALSE),1)</f>
        <v>0.99022994770196116</v>
      </c>
      <c r="BY703" s="2">
        <f>AVERAGE(Wapato_Inventory[[#This Row],[qual_adj]:[range_adj]])</f>
        <v>0.94500360190975607</v>
      </c>
      <c r="BZ703" s="7">
        <f>(Wapato_Inventory[[#This Row],[sum_land]]-IF(Wapato_Inventory[[#This Row],[no_utilities]]=1,12000,0))/IF(Wapato_Inventory[[#This Row],[unbuildable]]=1,2,1)</f>
        <v>53000</v>
      </c>
      <c r="CA703" s="7">
        <f>Wapato_Inventory[[#This Row],[pre_res]]*Wapato_Inventory[[#This Row],[overall_adj]]</f>
        <v>132518.03101767562</v>
      </c>
      <c r="CB70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03" s="3">
        <f>IF(ROUND(Wapato_Inventory[[#This Row],[adj_res]]*Lookups!$H$48,-2)&lt;Wapato_Inventory[[#This Row],[min_res]],Wapato_Inventory[[#This Row],[min_res]],ROUND(Wapato_Inventory[[#This Row],[adj_res]]*Lookups!$H$48,-2))</f>
        <v>125900</v>
      </c>
      <c r="CD703" s="3">
        <f>ROUND(Wapato_Inventory[[#This Row],[det_value]]*Lookups!$H$48,-2)</f>
        <v>1000</v>
      </c>
      <c r="CE703" s="3">
        <f>Wapato_Inventory[[#This Row],[final_res]]+Wapato_Inventory[[#This Row],[final_det]]</f>
        <v>126900</v>
      </c>
      <c r="CF703" s="3">
        <f>Wapato_Inventory[[#This Row],[crop_value]]+Wapato_Inventory[[#This Row],[final_land]]+Wapato_Inventory[[#This Row],[final_imp]]</f>
        <v>177300</v>
      </c>
      <c r="CH703" t="str">
        <f t="shared" si="10"/>
        <v>update valuation set market_land =50400, market_bldg=126900, market_total =177300, market_mdno =405, market_date ='9/10/2023' where link_id = (select link_id from parcel where parcel_year = '2024' and parcel_id = '19111513516');</v>
      </c>
    </row>
    <row r="704" spans="1:86" x14ac:dyDescent="0.25">
      <c r="A704">
        <v>19111513517</v>
      </c>
      <c r="B704">
        <v>0.14000000000000001</v>
      </c>
      <c r="C704">
        <v>5989</v>
      </c>
      <c r="D704" t="s">
        <v>144</v>
      </c>
      <c r="E704" t="s">
        <v>54</v>
      </c>
      <c r="F704" t="s">
        <v>54</v>
      </c>
      <c r="G704">
        <v>3</v>
      </c>
      <c r="H704" t="s">
        <v>55</v>
      </c>
      <c r="I704">
        <v>116000</v>
      </c>
      <c r="J704">
        <v>31900</v>
      </c>
      <c r="K704">
        <v>0.14000000000000001</v>
      </c>
      <c r="L704">
        <f>IF(Wapato_Inventory[[#This Row],[parcel_acres]]-Wapato_Inventory[[#This Row],[non_valued_acres]] =0,0,LN(Wapato_Inventory[[#This Row],[parcel_acres]]-Wapato_Inventory[[#This Row],[non_valued_acres]]))</f>
        <v>-1.9661128563728327</v>
      </c>
      <c r="M704">
        <v>0</v>
      </c>
      <c r="N704">
        <v>0</v>
      </c>
      <c r="O704">
        <v>0</v>
      </c>
      <c r="P704">
        <v>27904.037</v>
      </c>
      <c r="Q704">
        <v>74398</v>
      </c>
      <c r="R704" s="3">
        <f>(Wapato_Inventory[[#This Row],[ln_acres]]*Wapato_Inventory[[#This Row],[coeff]])+Wapato_Inventory[[#This Row],[const]]</f>
        <v>19535.514109596792</v>
      </c>
      <c r="S704" t="s">
        <v>66</v>
      </c>
      <c r="T704">
        <v>1</v>
      </c>
      <c r="U704" t="s">
        <v>71</v>
      </c>
      <c r="V704" t="s">
        <v>68</v>
      </c>
      <c r="W704">
        <v>0</v>
      </c>
      <c r="X704">
        <v>0</v>
      </c>
      <c r="Y704">
        <v>57</v>
      </c>
      <c r="Z704">
        <v>103</v>
      </c>
      <c r="AA704">
        <v>110</v>
      </c>
      <c r="AB704">
        <v>1500</v>
      </c>
      <c r="AC704">
        <v>1176</v>
      </c>
      <c r="AD704">
        <v>1176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428</v>
      </c>
      <c r="AO704">
        <v>0</v>
      </c>
      <c r="AP704">
        <v>5</v>
      </c>
      <c r="AQ704">
        <v>0</v>
      </c>
      <c r="AR704">
        <v>0</v>
      </c>
      <c r="AS704" t="s">
        <v>59</v>
      </c>
      <c r="AT704">
        <v>1</v>
      </c>
      <c r="AU704" t="s">
        <v>72</v>
      </c>
      <c r="AV704" t="s">
        <v>61</v>
      </c>
      <c r="AW704">
        <v>0</v>
      </c>
      <c r="AX704">
        <v>4</v>
      </c>
      <c r="AY704">
        <v>0</v>
      </c>
      <c r="AZ704">
        <v>0</v>
      </c>
      <c r="BA704">
        <v>100</v>
      </c>
      <c r="BB704">
        <v>100</v>
      </c>
      <c r="BC704">
        <v>100</v>
      </c>
      <c r="BD704">
        <v>100</v>
      </c>
      <c r="BE704">
        <v>1</v>
      </c>
      <c r="BF704">
        <v>15000</v>
      </c>
      <c r="BG704">
        <v>1000</v>
      </c>
      <c r="BH704" s="7">
        <f>ROUND(Wapato_Inventory[[#This Row],[detatched_value]]*Lookups!$B$22*Lookups!$H$48,-2)</f>
        <v>0</v>
      </c>
      <c r="BI704" s="7">
        <f>ROUND(((Wapato_Inventory[[#This Row],[land_extract]]*Lookups!$B$3) +(Lookups!$B$2*0.5))*Lookups!$H$48,-2)</f>
        <v>53000</v>
      </c>
      <c r="BJ704" s="7">
        <f>IF(Wapato_Inventory[[#This Row],[bldg_style]]="",0,Lookups!$B$2*0.5)</f>
        <v>53765.27</v>
      </c>
      <c r="BK704" s="7">
        <f>_xlfn.IFNA(VLOOKUP(Wapato_Inventory[[#This Row],[quality]],Lookups!$H$2:$J$14,3,FALSE),0)</f>
        <v>28034</v>
      </c>
      <c r="BL704" s="7">
        <f>_xlfn.IFNA(VLOOKUP(Wapato_Inventory[[#This Row],[condition]],Lookups!$H$17:$J$24,3,FALSE),0)</f>
        <v>52231</v>
      </c>
      <c r="BM704" s="7">
        <f>Wapato_Inventory[[#This Row],[Age]]*Lookups!$B$16</f>
        <v>-38179.597099999999</v>
      </c>
      <c r="BN704" s="7">
        <f>Wapato_Inventory[[#This Row],[Main Floor]]*Lookups!$B$17</f>
        <v>49157.669064000002</v>
      </c>
      <c r="BO704" s="7">
        <f>Wapato_Inventory[[#This Row],[Upper Floor]]*Lookups!$B$18</f>
        <v>0</v>
      </c>
      <c r="BP704" s="7">
        <f>Wapato_Inventory[[#This Row],[Fin BSMT]]*Lookups!$B$19</f>
        <v>0</v>
      </c>
      <c r="BQ704" s="7">
        <f>(Wapato_Inventory[[#This Row],[att_gar]]+Wapato_Inventory[[#This Row],[blt_gar]])*Lookups!$B$20</f>
        <v>0</v>
      </c>
      <c r="BR704" s="7">
        <f>Wapato_Inventory[[#This Row],[Patio]]*Lookups!$B$21</f>
        <v>0</v>
      </c>
      <c r="BS704" s="7">
        <f>SUM(Wapato_Inventory[[#This Row],[intercept]:[patio_value]])*Wapato_Inventory[[#This Row],[res_pct]]</f>
        <v>145008.34196399999</v>
      </c>
      <c r="BT704" s="7">
        <f>Wapato_Inventory[[#This Row],[land_value]]</f>
        <v>53000</v>
      </c>
      <c r="BU704" s="2">
        <f>_xlfn.IFNA(VLOOKUP(Wapato_Inventory[[#This Row],[quality]],Lookups!$A$28:$C$37,3,FALSE),1)</f>
        <v>0.96265813922927435</v>
      </c>
      <c r="BV704" s="2">
        <f>_xlfn.IFNA(VLOOKUP(Wapato_Inventory[[#This Row],[condition]],Lookups!$A$41:$C$48,3,FALSE),1)</f>
        <v>0.9832333997567807</v>
      </c>
      <c r="BW704" s="2">
        <f>IF(Wapato_Inventory[[#This Row],[decade]]="",1,_xlfn.IFNA(VLOOKUP(Wapato_Inventory[[#This Row],[decade]],Lookups!$F$28:$H$45,3,FALSE),1))</f>
        <v>0.93664589651353292</v>
      </c>
      <c r="BX704" s="2">
        <f>_xlfn.IFNA(VLOOKUP(Wapato_Inventory[[#This Row],[living_area_range]],Lookups!$K$28:$M$37,3,FALSE),1)</f>
        <v>1.0061411172456287</v>
      </c>
      <c r="BY704" s="2">
        <f>AVERAGE(Wapato_Inventory[[#This Row],[qual_adj]:[range_adj]])</f>
        <v>0.97216963818630409</v>
      </c>
      <c r="BZ704" s="7">
        <f>(Wapato_Inventory[[#This Row],[sum_land]]-IF(Wapato_Inventory[[#This Row],[no_utilities]]=1,12000,0))/IF(Wapato_Inventory[[#This Row],[unbuildable]]=1,2,1)</f>
        <v>53000</v>
      </c>
      <c r="CA704" s="7">
        <f>Wapato_Inventory[[#This Row],[pre_res]]*Wapato_Inventory[[#This Row],[overall_adj]]</f>
        <v>140972.70734113772</v>
      </c>
      <c r="CB70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04" s="3">
        <f>IF(ROUND(Wapato_Inventory[[#This Row],[adj_res]]*Lookups!$H$48,-2)&lt;Wapato_Inventory[[#This Row],[min_res]],Wapato_Inventory[[#This Row],[min_res]],ROUND(Wapato_Inventory[[#This Row],[adj_res]]*Lookups!$H$48,-2))</f>
        <v>133900</v>
      </c>
      <c r="CD704" s="3">
        <f>ROUND(Wapato_Inventory[[#This Row],[det_value]]*Lookups!$H$48,-2)</f>
        <v>0</v>
      </c>
      <c r="CE704" s="3">
        <f>Wapato_Inventory[[#This Row],[final_res]]+Wapato_Inventory[[#This Row],[final_det]]</f>
        <v>133900</v>
      </c>
      <c r="CF704" s="3">
        <f>Wapato_Inventory[[#This Row],[crop_value]]+Wapato_Inventory[[#This Row],[final_land]]+Wapato_Inventory[[#This Row],[final_imp]]</f>
        <v>184300</v>
      </c>
      <c r="CH704" t="str">
        <f t="shared" si="10"/>
        <v>update valuation set market_land =50400, market_bldg=133900, market_total =184300, market_mdno =405, market_date ='9/10/2023' where link_id = (select link_id from parcel where parcel_year = '2024' and parcel_id = '19111513517');</v>
      </c>
    </row>
    <row r="705" spans="1:86" x14ac:dyDescent="0.25">
      <c r="A705">
        <v>19111513518</v>
      </c>
      <c r="B705">
        <v>0.16</v>
      </c>
      <c r="C705">
        <v>7140</v>
      </c>
      <c r="D705" t="s">
        <v>144</v>
      </c>
      <c r="E705" t="s">
        <v>54</v>
      </c>
      <c r="F705" t="s">
        <v>54</v>
      </c>
      <c r="G705">
        <v>3</v>
      </c>
      <c r="H705" t="s">
        <v>55</v>
      </c>
      <c r="I705">
        <v>207400</v>
      </c>
      <c r="J705">
        <v>32800</v>
      </c>
      <c r="K705">
        <v>0.16</v>
      </c>
      <c r="L705">
        <f>IF(Wapato_Inventory[[#This Row],[parcel_acres]]-Wapato_Inventory[[#This Row],[non_valued_acres]] =0,0,LN(Wapato_Inventory[[#This Row],[parcel_acres]]-Wapato_Inventory[[#This Row],[non_valued_acres]]))</f>
        <v>-1.8325814637483102</v>
      </c>
      <c r="M705">
        <v>0</v>
      </c>
      <c r="N705">
        <v>0</v>
      </c>
      <c r="O705">
        <v>0</v>
      </c>
      <c r="P705">
        <v>27904.037</v>
      </c>
      <c r="Q705">
        <v>74398</v>
      </c>
      <c r="R705" s="3">
        <f>(Wapato_Inventory[[#This Row],[ln_acres]]*Wapato_Inventory[[#This Row],[coeff]])+Wapato_Inventory[[#This Row],[const]]</f>
        <v>23261.579030052992</v>
      </c>
      <c r="S705" t="s">
        <v>56</v>
      </c>
      <c r="T705">
        <v>2</v>
      </c>
      <c r="U705" t="s">
        <v>67</v>
      </c>
      <c r="V705" t="s">
        <v>69</v>
      </c>
      <c r="W705">
        <v>0</v>
      </c>
      <c r="X705">
        <v>0</v>
      </c>
      <c r="Y705">
        <v>74</v>
      </c>
      <c r="Z705">
        <v>122</v>
      </c>
      <c r="AA705">
        <v>130</v>
      </c>
      <c r="AB705">
        <v>2000</v>
      </c>
      <c r="AC705">
        <v>1932</v>
      </c>
      <c r="AD705">
        <v>1176</v>
      </c>
      <c r="AE705">
        <v>756</v>
      </c>
      <c r="AF705">
        <v>0</v>
      </c>
      <c r="AG705">
        <v>0</v>
      </c>
      <c r="AH705">
        <v>1176</v>
      </c>
      <c r="AI705">
        <v>0</v>
      </c>
      <c r="AJ705">
        <v>0</v>
      </c>
      <c r="AK705">
        <v>0</v>
      </c>
      <c r="AL705">
        <v>0</v>
      </c>
      <c r="AM705">
        <v>0</v>
      </c>
      <c r="AN705">
        <v>24</v>
      </c>
      <c r="AO705">
        <v>0</v>
      </c>
      <c r="AP705">
        <v>5</v>
      </c>
      <c r="AQ705">
        <v>0</v>
      </c>
      <c r="AR705">
        <v>0</v>
      </c>
      <c r="AS705" t="s">
        <v>59</v>
      </c>
      <c r="AT705">
        <v>1</v>
      </c>
      <c r="AU705" t="s">
        <v>64</v>
      </c>
      <c r="AV705" t="s">
        <v>65</v>
      </c>
      <c r="AW705">
        <v>0</v>
      </c>
      <c r="AX705">
        <v>4</v>
      </c>
      <c r="AY705">
        <v>0</v>
      </c>
      <c r="AZ705">
        <v>6800</v>
      </c>
      <c r="BA705">
        <v>100</v>
      </c>
      <c r="BB705">
        <v>100</v>
      </c>
      <c r="BC705">
        <v>100</v>
      </c>
      <c r="BD705">
        <v>100</v>
      </c>
      <c r="BE705">
        <v>1</v>
      </c>
      <c r="BF705">
        <v>15000</v>
      </c>
      <c r="BG705">
        <v>1000</v>
      </c>
      <c r="BH705" s="7">
        <f>ROUND(Wapato_Inventory[[#This Row],[detatched_value]]*Lookups!$B$22*Lookups!$H$48,-2)</f>
        <v>6100</v>
      </c>
      <c r="BI705" s="7">
        <f>ROUND(((Wapato_Inventory[[#This Row],[land_extract]]*Lookups!$B$3) +(Lookups!$B$2*0.5))*Lookups!$H$48,-2)</f>
        <v>53300</v>
      </c>
      <c r="BJ705" s="7">
        <f>IF(Wapato_Inventory[[#This Row],[bldg_style]]="",0,Lookups!$B$2*0.5)</f>
        <v>53765.27</v>
      </c>
      <c r="BK705" s="7">
        <f>_xlfn.IFNA(VLOOKUP(Wapato_Inventory[[#This Row],[quality]],Lookups!$H$2:$J$14,3,FALSE),0)</f>
        <v>50405</v>
      </c>
      <c r="BL705" s="7">
        <f>_xlfn.IFNA(VLOOKUP(Wapato_Inventory[[#This Row],[condition]],Lookups!$H$17:$J$24,3,FALSE),0)</f>
        <v>74543</v>
      </c>
      <c r="BM705" s="7">
        <f>Wapato_Inventory[[#This Row],[Age]]*Lookups!$B$16</f>
        <v>-45222.435400000002</v>
      </c>
      <c r="BN705" s="7">
        <f>Wapato_Inventory[[#This Row],[Main Floor]]*Lookups!$B$17</f>
        <v>49157.669064000002</v>
      </c>
      <c r="BO705" s="7">
        <f>Wapato_Inventory[[#This Row],[Upper Floor]]*Lookups!$B$18</f>
        <v>37498.461084000002</v>
      </c>
      <c r="BP705" s="7">
        <f>Wapato_Inventory[[#This Row],[Fin BSMT]]*Lookups!$B$19</f>
        <v>0</v>
      </c>
      <c r="BQ705" s="7">
        <f>(Wapato_Inventory[[#This Row],[att_gar]]+Wapato_Inventory[[#This Row],[blt_gar]])*Lookups!$B$20</f>
        <v>0</v>
      </c>
      <c r="BR705" s="7">
        <f>Wapato_Inventory[[#This Row],[Patio]]*Lookups!$B$21</f>
        <v>0</v>
      </c>
      <c r="BS705" s="7">
        <f>SUM(Wapato_Inventory[[#This Row],[intercept]:[patio_value]])*Wapato_Inventory[[#This Row],[res_pct]]</f>
        <v>220146.96474800003</v>
      </c>
      <c r="BT705" s="7">
        <f>Wapato_Inventory[[#This Row],[land_value]]</f>
        <v>53300</v>
      </c>
      <c r="BU705" s="2">
        <f>_xlfn.IFNA(VLOOKUP(Wapato_Inventory[[#This Row],[quality]],Lookups!$A$28:$C$37,3,FALSE),1)</f>
        <v>0.97993206410140754</v>
      </c>
      <c r="BV705" s="2">
        <f>_xlfn.IFNA(VLOOKUP(Wapato_Inventory[[#This Row],[condition]],Lookups!$A$41:$C$48,3,FALSE),1)</f>
        <v>0.98442438223270734</v>
      </c>
      <c r="BW705" s="2">
        <f>IF(Wapato_Inventory[[#This Row],[decade]]="",1,_xlfn.IFNA(VLOOKUP(Wapato_Inventory[[#This Row],[decade]],Lookups!$F$28:$H$45,3,FALSE),1))</f>
        <v>0.93664589651353292</v>
      </c>
      <c r="BX705" s="2">
        <f>_xlfn.IFNA(VLOOKUP(Wapato_Inventory[[#This Row],[living_area_range]],Lookups!$K$28:$M$37,3,FALSE),1)</f>
        <v>0.99330894324714125</v>
      </c>
      <c r="BY705" s="2">
        <f>AVERAGE(Wapato_Inventory[[#This Row],[qual_adj]:[range_adj]])</f>
        <v>0.97357782152369732</v>
      </c>
      <c r="BZ705" s="7">
        <f>(Wapato_Inventory[[#This Row],[sum_land]]-IF(Wapato_Inventory[[#This Row],[no_utilities]]=1,12000,0))/IF(Wapato_Inventory[[#This Row],[unbuildable]]=1,2,1)</f>
        <v>53300</v>
      </c>
      <c r="CA705" s="7">
        <f>Wapato_Inventory[[#This Row],[pre_res]]*Wapato_Inventory[[#This Row],[overall_adj]]</f>
        <v>214330.20235441206</v>
      </c>
      <c r="CB705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705" s="3">
        <f>IF(ROUND(Wapato_Inventory[[#This Row],[adj_res]]*Lookups!$H$48,-2)&lt;Wapato_Inventory[[#This Row],[min_res]],Wapato_Inventory[[#This Row],[min_res]],ROUND(Wapato_Inventory[[#This Row],[adj_res]]*Lookups!$H$48,-2))</f>
        <v>203600</v>
      </c>
      <c r="CD705" s="3">
        <f>ROUND(Wapato_Inventory[[#This Row],[det_value]]*Lookups!$H$48,-2)</f>
        <v>5800</v>
      </c>
      <c r="CE705" s="3">
        <f>Wapato_Inventory[[#This Row],[final_res]]+Wapato_Inventory[[#This Row],[final_det]]</f>
        <v>209400</v>
      </c>
      <c r="CF705" s="3">
        <f>Wapato_Inventory[[#This Row],[crop_value]]+Wapato_Inventory[[#This Row],[final_land]]+Wapato_Inventory[[#This Row],[final_imp]]</f>
        <v>260000</v>
      </c>
      <c r="CH705" t="str">
        <f t="shared" si="10"/>
        <v>update valuation set market_land =50600, market_bldg=209400, market_total =260000, market_mdno =405, market_date ='9/10/2023' where link_id = (select link_id from parcel where parcel_year = '2024' and parcel_id = '19111513518');</v>
      </c>
    </row>
    <row r="706" spans="1:86" x14ac:dyDescent="0.25">
      <c r="A706">
        <v>19111513521</v>
      </c>
      <c r="B706">
        <v>0.14000000000000001</v>
      </c>
      <c r="C706">
        <v>6091</v>
      </c>
      <c r="D706" t="s">
        <v>144</v>
      </c>
      <c r="E706" t="s">
        <v>54</v>
      </c>
      <c r="F706" t="s">
        <v>54</v>
      </c>
      <c r="G706">
        <v>3</v>
      </c>
      <c r="H706" t="s">
        <v>55</v>
      </c>
      <c r="I706">
        <v>116800</v>
      </c>
      <c r="J706">
        <v>31900</v>
      </c>
      <c r="K706">
        <v>0.14000000000000001</v>
      </c>
      <c r="L706">
        <f>IF(Wapato_Inventory[[#This Row],[parcel_acres]]-Wapato_Inventory[[#This Row],[non_valued_acres]] =0,0,LN(Wapato_Inventory[[#This Row],[parcel_acres]]-Wapato_Inventory[[#This Row],[non_valued_acres]]))</f>
        <v>-1.9661128563728327</v>
      </c>
      <c r="M706">
        <v>0</v>
      </c>
      <c r="N706">
        <v>0</v>
      </c>
      <c r="O706">
        <v>0</v>
      </c>
      <c r="P706">
        <v>27904.037</v>
      </c>
      <c r="Q706">
        <v>74398</v>
      </c>
      <c r="R706" s="3">
        <f>(Wapato_Inventory[[#This Row],[ln_acres]]*Wapato_Inventory[[#This Row],[coeff]])+Wapato_Inventory[[#This Row],[const]]</f>
        <v>19535.514109596792</v>
      </c>
      <c r="S706" t="s">
        <v>66</v>
      </c>
      <c r="T706">
        <v>1</v>
      </c>
      <c r="U706" t="s">
        <v>71</v>
      </c>
      <c r="V706" t="s">
        <v>68</v>
      </c>
      <c r="W706">
        <v>0</v>
      </c>
      <c r="X706">
        <v>0</v>
      </c>
      <c r="Y706">
        <v>57</v>
      </c>
      <c r="Z706">
        <v>103</v>
      </c>
      <c r="AA706">
        <v>110</v>
      </c>
      <c r="AB706">
        <v>1500</v>
      </c>
      <c r="AC706">
        <v>1110</v>
      </c>
      <c r="AD706">
        <v>1110</v>
      </c>
      <c r="AE706">
        <v>0</v>
      </c>
      <c r="AF706">
        <v>0</v>
      </c>
      <c r="AG706">
        <v>0</v>
      </c>
      <c r="AH706">
        <v>120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5</v>
      </c>
      <c r="AQ706">
        <v>0</v>
      </c>
      <c r="AR706">
        <v>0</v>
      </c>
      <c r="AS706" t="s">
        <v>59</v>
      </c>
      <c r="AT706">
        <v>1</v>
      </c>
      <c r="AU706" t="s">
        <v>72</v>
      </c>
      <c r="AV706" t="s">
        <v>61</v>
      </c>
      <c r="AW706">
        <v>0</v>
      </c>
      <c r="AX706">
        <v>1</v>
      </c>
      <c r="AY706">
        <v>0</v>
      </c>
      <c r="AZ706">
        <v>5000</v>
      </c>
      <c r="BA706">
        <v>100</v>
      </c>
      <c r="BB706">
        <v>100</v>
      </c>
      <c r="BC706">
        <v>100</v>
      </c>
      <c r="BD706">
        <v>100</v>
      </c>
      <c r="BE706">
        <v>1</v>
      </c>
      <c r="BF706">
        <v>15000</v>
      </c>
      <c r="BG706">
        <v>1000</v>
      </c>
      <c r="BH706" s="7">
        <f>ROUND(Wapato_Inventory[[#This Row],[detatched_value]]*Lookups!$B$22*Lookups!$H$48,-2)</f>
        <v>4500</v>
      </c>
      <c r="BI706" s="7">
        <f>ROUND(((Wapato_Inventory[[#This Row],[land_extract]]*Lookups!$B$3) +(Lookups!$B$2*0.5))*Lookups!$H$48,-2)</f>
        <v>53000</v>
      </c>
      <c r="BJ706" s="7">
        <f>IF(Wapato_Inventory[[#This Row],[bldg_style]]="",0,Lookups!$B$2*0.5)</f>
        <v>53765.27</v>
      </c>
      <c r="BK706" s="7">
        <f>_xlfn.IFNA(VLOOKUP(Wapato_Inventory[[#This Row],[quality]],Lookups!$H$2:$J$14,3,FALSE),0)</f>
        <v>28034</v>
      </c>
      <c r="BL706" s="7">
        <f>_xlfn.IFNA(VLOOKUP(Wapato_Inventory[[#This Row],[condition]],Lookups!$H$17:$J$24,3,FALSE),0)</f>
        <v>52231</v>
      </c>
      <c r="BM706" s="7">
        <f>Wapato_Inventory[[#This Row],[Age]]*Lookups!$B$16</f>
        <v>-38179.597099999999</v>
      </c>
      <c r="BN706" s="7">
        <f>Wapato_Inventory[[#This Row],[Main Floor]]*Lookups!$B$17</f>
        <v>46398.820290000003</v>
      </c>
      <c r="BO706" s="7">
        <f>Wapato_Inventory[[#This Row],[Upper Floor]]*Lookups!$B$18</f>
        <v>0</v>
      </c>
      <c r="BP706" s="7">
        <f>Wapato_Inventory[[#This Row],[Fin BSMT]]*Lookups!$B$19</f>
        <v>0</v>
      </c>
      <c r="BQ706" s="7">
        <f>(Wapato_Inventory[[#This Row],[att_gar]]+Wapato_Inventory[[#This Row],[blt_gar]])*Lookups!$B$20</f>
        <v>0</v>
      </c>
      <c r="BR706" s="7">
        <f>Wapato_Inventory[[#This Row],[Patio]]*Lookups!$B$21</f>
        <v>0</v>
      </c>
      <c r="BS706" s="7">
        <f>SUM(Wapato_Inventory[[#This Row],[intercept]:[patio_value]])*Wapato_Inventory[[#This Row],[res_pct]]</f>
        <v>142249.49319000001</v>
      </c>
      <c r="BT706" s="7">
        <f>Wapato_Inventory[[#This Row],[land_value]]</f>
        <v>53000</v>
      </c>
      <c r="BU706" s="2">
        <f>_xlfn.IFNA(VLOOKUP(Wapato_Inventory[[#This Row],[quality]],Lookups!$A$28:$C$37,3,FALSE),1)</f>
        <v>0.96265813922927435</v>
      </c>
      <c r="BV706" s="2">
        <f>_xlfn.IFNA(VLOOKUP(Wapato_Inventory[[#This Row],[condition]],Lookups!$A$41:$C$48,3,FALSE),1)</f>
        <v>0.9832333997567807</v>
      </c>
      <c r="BW706" s="2">
        <f>IF(Wapato_Inventory[[#This Row],[decade]]="",1,_xlfn.IFNA(VLOOKUP(Wapato_Inventory[[#This Row],[decade]],Lookups!$F$28:$H$45,3,FALSE),1))</f>
        <v>0.93664589651353292</v>
      </c>
      <c r="BX706" s="2">
        <f>_xlfn.IFNA(VLOOKUP(Wapato_Inventory[[#This Row],[living_area_range]],Lookups!$K$28:$M$37,3,FALSE),1)</f>
        <v>1.0061411172456287</v>
      </c>
      <c r="BY706" s="2">
        <f>AVERAGE(Wapato_Inventory[[#This Row],[qual_adj]:[range_adj]])</f>
        <v>0.97216963818630409</v>
      </c>
      <c r="BZ706" s="7">
        <f>(Wapato_Inventory[[#This Row],[sum_land]]-IF(Wapato_Inventory[[#This Row],[no_utilities]]=1,12000,0))/IF(Wapato_Inventory[[#This Row],[unbuildable]]=1,2,1)</f>
        <v>53000</v>
      </c>
      <c r="CA706" s="7">
        <f>Wapato_Inventory[[#This Row],[pre_res]]*Wapato_Inventory[[#This Row],[overall_adj]]</f>
        <v>138290.63832670744</v>
      </c>
      <c r="CB70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06" s="3">
        <f>IF(ROUND(Wapato_Inventory[[#This Row],[adj_res]]*Lookups!$H$48,-2)&lt;Wapato_Inventory[[#This Row],[min_res]],Wapato_Inventory[[#This Row],[min_res]],ROUND(Wapato_Inventory[[#This Row],[adj_res]]*Lookups!$H$48,-2))</f>
        <v>131400</v>
      </c>
      <c r="CD706" s="3">
        <f>ROUND(Wapato_Inventory[[#This Row],[det_value]]*Lookups!$H$48,-2)</f>
        <v>4300</v>
      </c>
      <c r="CE706" s="3">
        <f>Wapato_Inventory[[#This Row],[final_res]]+Wapato_Inventory[[#This Row],[final_det]]</f>
        <v>135700</v>
      </c>
      <c r="CF706" s="3">
        <f>Wapato_Inventory[[#This Row],[crop_value]]+Wapato_Inventory[[#This Row],[final_land]]+Wapato_Inventory[[#This Row],[final_imp]]</f>
        <v>186100</v>
      </c>
      <c r="CH706" t="str">
        <f t="shared" ref="CH706:CH769" si="11">"update valuation set market_land ="&amp;CB706&amp;", market_bldg="&amp;CE706&amp;", market_total ="&amp;CF706&amp;", market_mdno ="&amp;$CH$1&amp;", market_date ='"&amp;TEXT($CI$1,"m/d/yyyy")&amp;"' where link_id = (select link_id from parcel where parcel_year = '2024' and parcel_id = '"&amp;A706&amp;"');"</f>
        <v>update valuation set market_land =50400, market_bldg=135700, market_total =186100, market_mdno =405, market_date ='9/10/2023' where link_id = (select link_id from parcel where parcel_year = '2024' and parcel_id = '19111513521');</v>
      </c>
    </row>
    <row r="707" spans="1:86" x14ac:dyDescent="0.25">
      <c r="A707">
        <v>19111513522</v>
      </c>
      <c r="B707">
        <v>0.13</v>
      </c>
      <c r="C707">
        <v>5517</v>
      </c>
      <c r="D707" t="s">
        <v>144</v>
      </c>
      <c r="E707" t="s">
        <v>54</v>
      </c>
      <c r="F707" t="s">
        <v>54</v>
      </c>
      <c r="G707">
        <v>3</v>
      </c>
      <c r="H707" t="s">
        <v>55</v>
      </c>
      <c r="I707">
        <v>100600</v>
      </c>
      <c r="J707">
        <v>31400</v>
      </c>
      <c r="K707">
        <v>0.13</v>
      </c>
      <c r="L707">
        <f>IF(Wapato_Inventory[[#This Row],[parcel_acres]]-Wapato_Inventory[[#This Row],[non_valued_acres]] =0,0,LN(Wapato_Inventory[[#This Row],[parcel_acres]]-Wapato_Inventory[[#This Row],[non_valued_acres]]))</f>
        <v>-2.0402208285265546</v>
      </c>
      <c r="M707">
        <v>0</v>
      </c>
      <c r="N707">
        <v>0</v>
      </c>
      <c r="O707">
        <v>0</v>
      </c>
      <c r="P707">
        <v>27904.037</v>
      </c>
      <c r="Q707">
        <v>74398</v>
      </c>
      <c r="R707" s="3">
        <f>(Wapato_Inventory[[#This Row],[ln_acres]]*Wapato_Inventory[[#This Row],[coeff]])+Wapato_Inventory[[#This Row],[const]]</f>
        <v>17467.602512624362</v>
      </c>
      <c r="S707" t="s">
        <v>66</v>
      </c>
      <c r="T707">
        <v>1</v>
      </c>
      <c r="U707" t="s">
        <v>71</v>
      </c>
      <c r="V707" t="s">
        <v>68</v>
      </c>
      <c r="W707">
        <v>0</v>
      </c>
      <c r="X707">
        <v>0</v>
      </c>
      <c r="Y707">
        <v>57</v>
      </c>
      <c r="Z707">
        <v>103</v>
      </c>
      <c r="AA707">
        <v>110</v>
      </c>
      <c r="AB707">
        <v>1000</v>
      </c>
      <c r="AC707">
        <v>846</v>
      </c>
      <c r="AD707">
        <v>846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  <c r="AN707">
        <v>60</v>
      </c>
      <c r="AO707">
        <v>0</v>
      </c>
      <c r="AP707">
        <v>5</v>
      </c>
      <c r="AQ707">
        <v>0</v>
      </c>
      <c r="AR707">
        <v>0</v>
      </c>
      <c r="AS707" t="s">
        <v>59</v>
      </c>
      <c r="AT707">
        <v>1</v>
      </c>
      <c r="AU707" t="s">
        <v>72</v>
      </c>
      <c r="AV707" t="s">
        <v>61</v>
      </c>
      <c r="AW707">
        <v>0</v>
      </c>
      <c r="AX707">
        <v>3</v>
      </c>
      <c r="AY707">
        <v>0</v>
      </c>
      <c r="AZ707">
        <v>4400</v>
      </c>
      <c r="BA707">
        <v>100</v>
      </c>
      <c r="BB707">
        <v>100</v>
      </c>
      <c r="BC707">
        <v>100</v>
      </c>
      <c r="BD707">
        <v>100</v>
      </c>
      <c r="BE707">
        <v>1</v>
      </c>
      <c r="BF707">
        <v>15000</v>
      </c>
      <c r="BG707">
        <v>1000</v>
      </c>
      <c r="BH707" s="7">
        <f>ROUND(Wapato_Inventory[[#This Row],[detatched_value]]*Lookups!$B$22*Lookups!$H$48,-2)</f>
        <v>3900</v>
      </c>
      <c r="BI707" s="7">
        <f>ROUND(((Wapato_Inventory[[#This Row],[land_extract]]*Lookups!$B$3) +(Lookups!$B$2*0.5))*Lookups!$H$48,-2)</f>
        <v>52800</v>
      </c>
      <c r="BJ707" s="7">
        <f>IF(Wapato_Inventory[[#This Row],[bldg_style]]="",0,Lookups!$B$2*0.5)</f>
        <v>53765.27</v>
      </c>
      <c r="BK707" s="7">
        <f>_xlfn.IFNA(VLOOKUP(Wapato_Inventory[[#This Row],[quality]],Lookups!$H$2:$J$14,3,FALSE),0)</f>
        <v>28034</v>
      </c>
      <c r="BL707" s="7">
        <f>_xlfn.IFNA(VLOOKUP(Wapato_Inventory[[#This Row],[condition]],Lookups!$H$17:$J$24,3,FALSE),0)</f>
        <v>52231</v>
      </c>
      <c r="BM707" s="7">
        <f>Wapato_Inventory[[#This Row],[Age]]*Lookups!$B$16</f>
        <v>-38179.597099999999</v>
      </c>
      <c r="BN707" s="7">
        <f>Wapato_Inventory[[#This Row],[Main Floor]]*Lookups!$B$17</f>
        <v>35363.425194000003</v>
      </c>
      <c r="BO707" s="7">
        <f>Wapato_Inventory[[#This Row],[Upper Floor]]*Lookups!$B$18</f>
        <v>0</v>
      </c>
      <c r="BP707" s="7">
        <f>Wapato_Inventory[[#This Row],[Fin BSMT]]*Lookups!$B$19</f>
        <v>0</v>
      </c>
      <c r="BQ707" s="7">
        <f>(Wapato_Inventory[[#This Row],[att_gar]]+Wapato_Inventory[[#This Row],[blt_gar]])*Lookups!$B$20</f>
        <v>0</v>
      </c>
      <c r="BR707" s="7">
        <f>Wapato_Inventory[[#This Row],[Patio]]*Lookups!$B$21</f>
        <v>0</v>
      </c>
      <c r="BS707" s="7">
        <f>SUM(Wapato_Inventory[[#This Row],[intercept]:[patio_value]])*Wapato_Inventory[[#This Row],[res_pct]]</f>
        <v>131214.09809399999</v>
      </c>
      <c r="BT707" s="7">
        <f>Wapato_Inventory[[#This Row],[land_value]]</f>
        <v>52800</v>
      </c>
      <c r="BU707" s="2">
        <f>_xlfn.IFNA(VLOOKUP(Wapato_Inventory[[#This Row],[quality]],Lookups!$A$28:$C$37,3,FALSE),1)</f>
        <v>0.96265813922927435</v>
      </c>
      <c r="BV707" s="2">
        <f>_xlfn.IFNA(VLOOKUP(Wapato_Inventory[[#This Row],[condition]],Lookups!$A$41:$C$48,3,FALSE),1)</f>
        <v>0.9832333997567807</v>
      </c>
      <c r="BW707" s="2">
        <f>IF(Wapato_Inventory[[#This Row],[decade]]="",1,_xlfn.IFNA(VLOOKUP(Wapato_Inventory[[#This Row],[decade]],Lookups!$F$28:$H$45,3,FALSE),1))</f>
        <v>0.93664589651353292</v>
      </c>
      <c r="BX707" s="2">
        <f>_xlfn.IFNA(VLOOKUP(Wapato_Inventory[[#This Row],[living_area_range]],Lookups!$K$28:$M$37,3,FALSE),1)</f>
        <v>0.99022994770196116</v>
      </c>
      <c r="BY707" s="2">
        <f>AVERAGE(Wapato_Inventory[[#This Row],[qual_adj]:[range_adj]])</f>
        <v>0.9681918458003872</v>
      </c>
      <c r="BZ707" s="7">
        <f>(Wapato_Inventory[[#This Row],[sum_land]]-IF(Wapato_Inventory[[#This Row],[no_utilities]]=1,12000,0))/IF(Wapato_Inventory[[#This Row],[unbuildable]]=1,2,1)</f>
        <v>52800</v>
      </c>
      <c r="CA707" s="7">
        <f>Wapato_Inventory[[#This Row],[pre_res]]*Wapato_Inventory[[#This Row],[overall_adj]]</f>
        <v>127040.41982866291</v>
      </c>
      <c r="CB70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07" s="3">
        <f>IF(ROUND(Wapato_Inventory[[#This Row],[adj_res]]*Lookups!$H$48,-2)&lt;Wapato_Inventory[[#This Row],[min_res]],Wapato_Inventory[[#This Row],[min_res]],ROUND(Wapato_Inventory[[#This Row],[adj_res]]*Lookups!$H$48,-2))</f>
        <v>120700</v>
      </c>
      <c r="CD707" s="3">
        <f>ROUND(Wapato_Inventory[[#This Row],[det_value]]*Lookups!$H$48,-2)</f>
        <v>3700</v>
      </c>
      <c r="CE707" s="3">
        <f>Wapato_Inventory[[#This Row],[final_res]]+Wapato_Inventory[[#This Row],[final_det]]</f>
        <v>124400</v>
      </c>
      <c r="CF707" s="3">
        <f>Wapato_Inventory[[#This Row],[crop_value]]+Wapato_Inventory[[#This Row],[final_land]]+Wapato_Inventory[[#This Row],[final_imp]]</f>
        <v>174600</v>
      </c>
      <c r="CH707" t="str">
        <f t="shared" si="11"/>
        <v>update valuation set market_land =50200, market_bldg=124400, market_total =174600, market_mdno =405, market_date ='9/10/2023' where link_id = (select link_id from parcel where parcel_year = '2024' and parcel_id = '19111513522');</v>
      </c>
    </row>
    <row r="708" spans="1:86" x14ac:dyDescent="0.25">
      <c r="A708">
        <v>19111513523</v>
      </c>
      <c r="B708">
        <v>0.16</v>
      </c>
      <c r="C708">
        <v>7030</v>
      </c>
      <c r="D708" t="s">
        <v>144</v>
      </c>
      <c r="E708" t="s">
        <v>54</v>
      </c>
      <c r="F708" t="s">
        <v>54</v>
      </c>
      <c r="G708">
        <v>3</v>
      </c>
      <c r="H708" t="s">
        <v>55</v>
      </c>
      <c r="I708">
        <v>96000</v>
      </c>
      <c r="J708">
        <v>32800</v>
      </c>
      <c r="K708">
        <v>0.16</v>
      </c>
      <c r="L708">
        <f>IF(Wapato_Inventory[[#This Row],[parcel_acres]]-Wapato_Inventory[[#This Row],[non_valued_acres]] =0,0,LN(Wapato_Inventory[[#This Row],[parcel_acres]]-Wapato_Inventory[[#This Row],[non_valued_acres]]))</f>
        <v>-1.8325814637483102</v>
      </c>
      <c r="M708">
        <v>0</v>
      </c>
      <c r="N708">
        <v>0</v>
      </c>
      <c r="O708">
        <v>0</v>
      </c>
      <c r="P708">
        <v>27904.037</v>
      </c>
      <c r="Q708">
        <v>74398</v>
      </c>
      <c r="R708" s="3">
        <f>(Wapato_Inventory[[#This Row],[ln_acres]]*Wapato_Inventory[[#This Row],[coeff]])+Wapato_Inventory[[#This Row],[const]]</f>
        <v>23261.579030052992</v>
      </c>
      <c r="S708" t="s">
        <v>66</v>
      </c>
      <c r="T708">
        <v>1</v>
      </c>
      <c r="U708" t="s">
        <v>71</v>
      </c>
      <c r="V708" t="s">
        <v>68</v>
      </c>
      <c r="W708">
        <v>0</v>
      </c>
      <c r="X708">
        <v>0</v>
      </c>
      <c r="Y708">
        <v>57</v>
      </c>
      <c r="Z708">
        <v>103</v>
      </c>
      <c r="AA708">
        <v>110</v>
      </c>
      <c r="AB708">
        <v>1500</v>
      </c>
      <c r="AC708">
        <v>1032</v>
      </c>
      <c r="AD708">
        <v>1032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228</v>
      </c>
      <c r="AL708">
        <v>0</v>
      </c>
      <c r="AM708">
        <v>144</v>
      </c>
      <c r="AN708">
        <v>0</v>
      </c>
      <c r="AO708">
        <v>144</v>
      </c>
      <c r="AP708">
        <v>5</v>
      </c>
      <c r="AQ708">
        <v>0</v>
      </c>
      <c r="AR708">
        <v>0</v>
      </c>
      <c r="AS708" t="s">
        <v>59</v>
      </c>
      <c r="AT708">
        <v>1</v>
      </c>
      <c r="AU708" t="s">
        <v>72</v>
      </c>
      <c r="AV708" t="s">
        <v>65</v>
      </c>
      <c r="AW708">
        <v>0</v>
      </c>
      <c r="AX708">
        <v>3</v>
      </c>
      <c r="AY708">
        <v>0</v>
      </c>
      <c r="AZ708">
        <v>0</v>
      </c>
      <c r="BA708">
        <v>100</v>
      </c>
      <c r="BB708">
        <v>100</v>
      </c>
      <c r="BC708">
        <v>100</v>
      </c>
      <c r="BD708">
        <v>100</v>
      </c>
      <c r="BE708">
        <v>1</v>
      </c>
      <c r="BF708">
        <v>15000</v>
      </c>
      <c r="BG708">
        <v>1000</v>
      </c>
      <c r="BH708" s="7">
        <f>ROUND(Wapato_Inventory[[#This Row],[detatched_value]]*Lookups!$B$22*Lookups!$H$48,-2)</f>
        <v>0</v>
      </c>
      <c r="BI708" s="7">
        <f>ROUND(((Wapato_Inventory[[#This Row],[land_extract]]*Lookups!$B$3) +(Lookups!$B$2*0.5))*Lookups!$H$48,-2)</f>
        <v>53300</v>
      </c>
      <c r="BJ708" s="7">
        <f>IF(Wapato_Inventory[[#This Row],[bldg_style]]="",0,Lookups!$B$2*0.5)</f>
        <v>53765.27</v>
      </c>
      <c r="BK708" s="7">
        <f>_xlfn.IFNA(VLOOKUP(Wapato_Inventory[[#This Row],[quality]],Lookups!$H$2:$J$14,3,FALSE),0)</f>
        <v>28034</v>
      </c>
      <c r="BL708" s="7">
        <f>_xlfn.IFNA(VLOOKUP(Wapato_Inventory[[#This Row],[condition]],Lookups!$H$17:$J$24,3,FALSE),0)</f>
        <v>52231</v>
      </c>
      <c r="BM708" s="7">
        <f>Wapato_Inventory[[#This Row],[Age]]*Lookups!$B$16</f>
        <v>-38179.597099999999</v>
      </c>
      <c r="BN708" s="7">
        <f>Wapato_Inventory[[#This Row],[Main Floor]]*Lookups!$B$17</f>
        <v>43138.362648000002</v>
      </c>
      <c r="BO708" s="7">
        <f>Wapato_Inventory[[#This Row],[Upper Floor]]*Lookups!$B$18</f>
        <v>0</v>
      </c>
      <c r="BP708" s="7">
        <f>Wapato_Inventory[[#This Row],[Fin BSMT]]*Lookups!$B$19</f>
        <v>0</v>
      </c>
      <c r="BQ708" s="7">
        <f>(Wapato_Inventory[[#This Row],[att_gar]]+Wapato_Inventory[[#This Row],[blt_gar]])*Lookups!$B$20</f>
        <v>0</v>
      </c>
      <c r="BR708" s="7">
        <f>Wapato_Inventory[[#This Row],[Patio]]*Lookups!$B$21</f>
        <v>6238.6529760000003</v>
      </c>
      <c r="BS708" s="7">
        <f>SUM(Wapato_Inventory[[#This Row],[intercept]:[patio_value]])*Wapato_Inventory[[#This Row],[res_pct]]</f>
        <v>145227.688524</v>
      </c>
      <c r="BT708" s="7">
        <f>Wapato_Inventory[[#This Row],[land_value]]</f>
        <v>53300</v>
      </c>
      <c r="BU708" s="2">
        <f>_xlfn.IFNA(VLOOKUP(Wapato_Inventory[[#This Row],[quality]],Lookups!$A$28:$C$37,3,FALSE),1)</f>
        <v>0.96265813922927435</v>
      </c>
      <c r="BV708" s="2">
        <f>_xlfn.IFNA(VLOOKUP(Wapato_Inventory[[#This Row],[condition]],Lookups!$A$41:$C$48,3,FALSE),1)</f>
        <v>0.9832333997567807</v>
      </c>
      <c r="BW708" s="2">
        <f>IF(Wapato_Inventory[[#This Row],[decade]]="",1,_xlfn.IFNA(VLOOKUP(Wapato_Inventory[[#This Row],[decade]],Lookups!$F$28:$H$45,3,FALSE),1))</f>
        <v>0.93664589651353292</v>
      </c>
      <c r="BX708" s="2">
        <f>_xlfn.IFNA(VLOOKUP(Wapato_Inventory[[#This Row],[living_area_range]],Lookups!$K$28:$M$37,3,FALSE),1)</f>
        <v>1.0061411172456287</v>
      </c>
      <c r="BY708" s="2">
        <f>AVERAGE(Wapato_Inventory[[#This Row],[qual_adj]:[range_adj]])</f>
        <v>0.97216963818630409</v>
      </c>
      <c r="BZ708" s="7">
        <f>(Wapato_Inventory[[#This Row],[sum_land]]-IF(Wapato_Inventory[[#This Row],[no_utilities]]=1,12000,0))/IF(Wapato_Inventory[[#This Row],[unbuildable]]=1,2,1)</f>
        <v>53300</v>
      </c>
      <c r="CA708" s="7">
        <f>Wapato_Inventory[[#This Row],[pre_res]]*Wapato_Inventory[[#This Row],[overall_adj]]</f>
        <v>141185.94940701034</v>
      </c>
      <c r="CB708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708" s="3">
        <f>IF(ROUND(Wapato_Inventory[[#This Row],[adj_res]]*Lookups!$H$48,-2)&lt;Wapato_Inventory[[#This Row],[min_res]],Wapato_Inventory[[#This Row],[min_res]],ROUND(Wapato_Inventory[[#This Row],[adj_res]]*Lookups!$H$48,-2))</f>
        <v>134100</v>
      </c>
      <c r="CD708" s="3">
        <f>ROUND(Wapato_Inventory[[#This Row],[det_value]]*Lookups!$H$48,-2)</f>
        <v>0</v>
      </c>
      <c r="CE708" s="3">
        <f>Wapato_Inventory[[#This Row],[final_res]]+Wapato_Inventory[[#This Row],[final_det]]</f>
        <v>134100</v>
      </c>
      <c r="CF708" s="3">
        <f>Wapato_Inventory[[#This Row],[crop_value]]+Wapato_Inventory[[#This Row],[final_land]]+Wapato_Inventory[[#This Row],[final_imp]]</f>
        <v>184700</v>
      </c>
      <c r="CH708" t="str">
        <f t="shared" si="11"/>
        <v>update valuation set market_land =50600, market_bldg=134100, market_total =184700, market_mdno =405, market_date ='9/10/2023' where link_id = (select link_id from parcel where parcel_year = '2024' and parcel_id = '19111513523');</v>
      </c>
    </row>
    <row r="709" spans="1:86" x14ac:dyDescent="0.25">
      <c r="A709">
        <v>19111513524</v>
      </c>
      <c r="B709">
        <v>0.14000000000000001</v>
      </c>
      <c r="C709">
        <v>6028</v>
      </c>
      <c r="D709" t="s">
        <v>144</v>
      </c>
      <c r="E709" t="s">
        <v>54</v>
      </c>
      <c r="F709" t="s">
        <v>54</v>
      </c>
      <c r="G709">
        <v>3</v>
      </c>
      <c r="H709" t="s">
        <v>55</v>
      </c>
      <c r="I709">
        <v>187600</v>
      </c>
      <c r="J709">
        <v>31900</v>
      </c>
      <c r="K709">
        <v>0.14000000000000001</v>
      </c>
      <c r="L709">
        <f>IF(Wapato_Inventory[[#This Row],[parcel_acres]]-Wapato_Inventory[[#This Row],[non_valued_acres]] =0,0,LN(Wapato_Inventory[[#This Row],[parcel_acres]]-Wapato_Inventory[[#This Row],[non_valued_acres]]))</f>
        <v>-1.9661128563728327</v>
      </c>
      <c r="M709">
        <v>0</v>
      </c>
      <c r="N709">
        <v>0</v>
      </c>
      <c r="O709">
        <v>0</v>
      </c>
      <c r="P709">
        <v>27904.037</v>
      </c>
      <c r="Q709">
        <v>74398</v>
      </c>
      <c r="R709" s="3">
        <f>(Wapato_Inventory[[#This Row],[ln_acres]]*Wapato_Inventory[[#This Row],[coeff]])+Wapato_Inventory[[#This Row],[const]]</f>
        <v>19535.514109596792</v>
      </c>
      <c r="S709" t="s">
        <v>66</v>
      </c>
      <c r="T709">
        <v>1</v>
      </c>
      <c r="U709" t="s">
        <v>71</v>
      </c>
      <c r="V709" t="s">
        <v>69</v>
      </c>
      <c r="W709">
        <v>0</v>
      </c>
      <c r="X709">
        <v>0</v>
      </c>
      <c r="Y709">
        <v>51</v>
      </c>
      <c r="Z709">
        <v>83</v>
      </c>
      <c r="AA709">
        <v>90</v>
      </c>
      <c r="AB709">
        <v>1500</v>
      </c>
      <c r="AC709">
        <v>1008</v>
      </c>
      <c r="AD709">
        <v>1008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242</v>
      </c>
      <c r="AN709">
        <v>108</v>
      </c>
      <c r="AO709">
        <v>242</v>
      </c>
      <c r="AP709">
        <v>5</v>
      </c>
      <c r="AQ709">
        <v>0</v>
      </c>
      <c r="AR709">
        <v>0</v>
      </c>
      <c r="AS709" t="s">
        <v>59</v>
      </c>
      <c r="AT709">
        <v>1</v>
      </c>
      <c r="AU709" t="s">
        <v>60</v>
      </c>
      <c r="AV709" t="s">
        <v>61</v>
      </c>
      <c r="AW709">
        <v>1</v>
      </c>
      <c r="AX709">
        <v>2</v>
      </c>
      <c r="AY709">
        <v>0</v>
      </c>
      <c r="AZ709">
        <v>8100</v>
      </c>
      <c r="BA709">
        <v>100</v>
      </c>
      <c r="BB709">
        <v>100</v>
      </c>
      <c r="BC709">
        <v>100</v>
      </c>
      <c r="BD709">
        <v>100</v>
      </c>
      <c r="BE709">
        <v>1</v>
      </c>
      <c r="BF709">
        <v>15000</v>
      </c>
      <c r="BG709">
        <v>1000</v>
      </c>
      <c r="BH709" s="7">
        <f>ROUND(Wapato_Inventory[[#This Row],[detatched_value]]*Lookups!$B$22*Lookups!$H$48,-2)</f>
        <v>7200</v>
      </c>
      <c r="BI709" s="7">
        <f>ROUND(((Wapato_Inventory[[#This Row],[land_extract]]*Lookups!$B$3) +(Lookups!$B$2*0.5))*Lookups!$H$48,-2)</f>
        <v>53000</v>
      </c>
      <c r="BJ709" s="7">
        <f>IF(Wapato_Inventory[[#This Row],[bldg_style]]="",0,Lookups!$B$2*0.5)</f>
        <v>53765.27</v>
      </c>
      <c r="BK709" s="7">
        <f>_xlfn.IFNA(VLOOKUP(Wapato_Inventory[[#This Row],[quality]],Lookups!$H$2:$J$14,3,FALSE),0)</f>
        <v>28034</v>
      </c>
      <c r="BL709" s="7">
        <f>_xlfn.IFNA(VLOOKUP(Wapato_Inventory[[#This Row],[condition]],Lookups!$H$17:$J$24,3,FALSE),0)</f>
        <v>74543</v>
      </c>
      <c r="BM709" s="7">
        <f>Wapato_Inventory[[#This Row],[Age]]*Lookups!$B$16</f>
        <v>-30766.0831</v>
      </c>
      <c r="BN709" s="7">
        <f>Wapato_Inventory[[#This Row],[Main Floor]]*Lookups!$B$17</f>
        <v>42135.144912000003</v>
      </c>
      <c r="BO709" s="7">
        <f>Wapato_Inventory[[#This Row],[Upper Floor]]*Lookups!$B$18</f>
        <v>0</v>
      </c>
      <c r="BP709" s="7">
        <f>Wapato_Inventory[[#This Row],[Fin BSMT]]*Lookups!$B$19</f>
        <v>0</v>
      </c>
      <c r="BQ709" s="7">
        <f>(Wapato_Inventory[[#This Row],[att_gar]]+Wapato_Inventory[[#This Row],[blt_gar]])*Lookups!$B$20</f>
        <v>0</v>
      </c>
      <c r="BR709" s="7">
        <f>Wapato_Inventory[[#This Row],[Patio]]*Lookups!$B$21</f>
        <v>10484.402918</v>
      </c>
      <c r="BS709" s="7">
        <f>SUM(Wapato_Inventory[[#This Row],[intercept]:[patio_value]])*Wapato_Inventory[[#This Row],[res_pct]]</f>
        <v>178195.73473</v>
      </c>
      <c r="BT709" s="7">
        <f>Wapato_Inventory[[#This Row],[land_value]]</f>
        <v>53000</v>
      </c>
      <c r="BU709" s="2">
        <f>_xlfn.IFNA(VLOOKUP(Wapato_Inventory[[#This Row],[quality]],Lookups!$A$28:$C$37,3,FALSE),1)</f>
        <v>0.96265813922927435</v>
      </c>
      <c r="BV709" s="2">
        <f>_xlfn.IFNA(VLOOKUP(Wapato_Inventory[[#This Row],[condition]],Lookups!$A$41:$C$48,3,FALSE),1)</f>
        <v>0.98442438223270734</v>
      </c>
      <c r="BW709" s="2">
        <f>IF(Wapato_Inventory[[#This Row],[decade]]="",1,_xlfn.IFNA(VLOOKUP(Wapato_Inventory[[#This Row],[decade]],Lookups!$F$28:$H$45,3,FALSE),1))</f>
        <v>0.94742695999815718</v>
      </c>
      <c r="BX709" s="2">
        <f>_xlfn.IFNA(VLOOKUP(Wapato_Inventory[[#This Row],[living_area_range]],Lookups!$K$28:$M$37,3,FALSE),1)</f>
        <v>1.0061411172456287</v>
      </c>
      <c r="BY709" s="2">
        <f>AVERAGE(Wapato_Inventory[[#This Row],[qual_adj]:[range_adj]])</f>
        <v>0.97516264967644184</v>
      </c>
      <c r="BZ709" s="7">
        <f>(Wapato_Inventory[[#This Row],[sum_land]]-IF(Wapato_Inventory[[#This Row],[no_utilities]]=1,12000,0))/IF(Wapato_Inventory[[#This Row],[unbuildable]]=1,2,1)</f>
        <v>53000</v>
      </c>
      <c r="CA709" s="7">
        <f>Wapato_Inventory[[#This Row],[pre_res]]*Wapato_Inventory[[#This Row],[overall_adj]]</f>
        <v>173769.82484034714</v>
      </c>
      <c r="CB70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09" s="3">
        <f>IF(ROUND(Wapato_Inventory[[#This Row],[adj_res]]*Lookups!$H$48,-2)&lt;Wapato_Inventory[[#This Row],[min_res]],Wapato_Inventory[[#This Row],[min_res]],ROUND(Wapato_Inventory[[#This Row],[adj_res]]*Lookups!$H$48,-2))</f>
        <v>165100</v>
      </c>
      <c r="CD709" s="3">
        <f>ROUND(Wapato_Inventory[[#This Row],[det_value]]*Lookups!$H$48,-2)</f>
        <v>6800</v>
      </c>
      <c r="CE709" s="3">
        <f>Wapato_Inventory[[#This Row],[final_res]]+Wapato_Inventory[[#This Row],[final_det]]</f>
        <v>171900</v>
      </c>
      <c r="CF709" s="3">
        <f>Wapato_Inventory[[#This Row],[crop_value]]+Wapato_Inventory[[#This Row],[final_land]]+Wapato_Inventory[[#This Row],[final_imp]]</f>
        <v>222300</v>
      </c>
      <c r="CH709" t="str">
        <f t="shared" si="11"/>
        <v>update valuation set market_land =50400, market_bldg=171900, market_total =222300, market_mdno =405, market_date ='9/10/2023' where link_id = (select link_id from parcel where parcel_year = '2024' and parcel_id = '19111513524');</v>
      </c>
    </row>
    <row r="710" spans="1:86" x14ac:dyDescent="0.25">
      <c r="A710">
        <v>19111513525</v>
      </c>
      <c r="B710">
        <v>0.14000000000000001</v>
      </c>
      <c r="C710">
        <v>6072</v>
      </c>
      <c r="D710" t="s">
        <v>144</v>
      </c>
      <c r="E710" t="s">
        <v>54</v>
      </c>
      <c r="F710" t="s">
        <v>54</v>
      </c>
      <c r="G710">
        <v>3</v>
      </c>
      <c r="H710" t="s">
        <v>55</v>
      </c>
      <c r="I710">
        <v>172600</v>
      </c>
      <c r="J710">
        <v>31900</v>
      </c>
      <c r="K710">
        <v>0.14000000000000001</v>
      </c>
      <c r="L710">
        <f>IF(Wapato_Inventory[[#This Row],[parcel_acres]]-Wapato_Inventory[[#This Row],[non_valued_acres]] =0,0,LN(Wapato_Inventory[[#This Row],[parcel_acres]]-Wapato_Inventory[[#This Row],[non_valued_acres]]))</f>
        <v>-1.9661128563728327</v>
      </c>
      <c r="M710">
        <v>0</v>
      </c>
      <c r="N710">
        <v>0</v>
      </c>
      <c r="O710">
        <v>0</v>
      </c>
      <c r="P710">
        <v>27904.037</v>
      </c>
      <c r="Q710">
        <v>74398</v>
      </c>
      <c r="R710" s="3">
        <f>(Wapato_Inventory[[#This Row],[ln_acres]]*Wapato_Inventory[[#This Row],[coeff]])+Wapato_Inventory[[#This Row],[const]]</f>
        <v>19535.514109596792</v>
      </c>
      <c r="S710" t="s">
        <v>66</v>
      </c>
      <c r="T710">
        <v>1</v>
      </c>
      <c r="U710" t="s">
        <v>75</v>
      </c>
      <c r="V710" t="s">
        <v>69</v>
      </c>
      <c r="W710">
        <v>0</v>
      </c>
      <c r="X710">
        <v>0</v>
      </c>
      <c r="Y710">
        <v>57</v>
      </c>
      <c r="Z710">
        <v>103</v>
      </c>
      <c r="AA710">
        <v>110</v>
      </c>
      <c r="AB710">
        <v>1500</v>
      </c>
      <c r="AC710">
        <v>1244</v>
      </c>
      <c r="AD710">
        <v>1244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144</v>
      </c>
      <c r="AN710">
        <v>36</v>
      </c>
      <c r="AO710">
        <v>140</v>
      </c>
      <c r="AP710">
        <v>8</v>
      </c>
      <c r="AQ710">
        <v>1</v>
      </c>
      <c r="AR710">
        <v>0</v>
      </c>
      <c r="AS710" t="s">
        <v>59</v>
      </c>
      <c r="AT710">
        <v>1</v>
      </c>
      <c r="AU710" t="s">
        <v>76</v>
      </c>
      <c r="AV710" t="s">
        <v>65</v>
      </c>
      <c r="AW710">
        <v>0</v>
      </c>
      <c r="AX710">
        <v>4</v>
      </c>
      <c r="AY710">
        <v>0</v>
      </c>
      <c r="AZ710">
        <v>900</v>
      </c>
      <c r="BA710">
        <v>100</v>
      </c>
      <c r="BB710">
        <v>100</v>
      </c>
      <c r="BC710">
        <v>100</v>
      </c>
      <c r="BD710">
        <v>100</v>
      </c>
      <c r="BE710">
        <v>1</v>
      </c>
      <c r="BF710">
        <v>15000</v>
      </c>
      <c r="BG710">
        <v>1000</v>
      </c>
      <c r="BH710" s="7">
        <f>ROUND(Wapato_Inventory[[#This Row],[detatched_value]]*Lookups!$B$22*Lookups!$H$48,-2)</f>
        <v>800</v>
      </c>
      <c r="BI710" s="7">
        <f>ROUND(((Wapato_Inventory[[#This Row],[land_extract]]*Lookups!$B$3) +(Lookups!$B$2*0.5))*Lookups!$H$48,-2)</f>
        <v>53000</v>
      </c>
      <c r="BJ710" s="7">
        <f>IF(Wapato_Inventory[[#This Row],[bldg_style]]="",0,Lookups!$B$2*0.5)</f>
        <v>53765.27</v>
      </c>
      <c r="BK710" s="7">
        <f>_xlfn.IFNA(VLOOKUP(Wapato_Inventory[[#This Row],[quality]],Lookups!$H$2:$J$14,3,FALSE),0)</f>
        <v>48043</v>
      </c>
      <c r="BL710" s="7">
        <f>_xlfn.IFNA(VLOOKUP(Wapato_Inventory[[#This Row],[condition]],Lookups!$H$17:$J$24,3,FALSE),0)</f>
        <v>74543</v>
      </c>
      <c r="BM710" s="7">
        <f>Wapato_Inventory[[#This Row],[Age]]*Lookups!$B$16</f>
        <v>-38179.597099999999</v>
      </c>
      <c r="BN710" s="7">
        <f>Wapato_Inventory[[#This Row],[Main Floor]]*Lookups!$B$17</f>
        <v>52000.119315999997</v>
      </c>
      <c r="BO710" s="7">
        <f>Wapato_Inventory[[#This Row],[Upper Floor]]*Lookups!$B$18</f>
        <v>0</v>
      </c>
      <c r="BP710" s="7">
        <f>Wapato_Inventory[[#This Row],[Fin BSMT]]*Lookups!$B$19</f>
        <v>0</v>
      </c>
      <c r="BQ710" s="7">
        <f>(Wapato_Inventory[[#This Row],[att_gar]]+Wapato_Inventory[[#This Row],[blt_gar]])*Lookups!$B$20</f>
        <v>0</v>
      </c>
      <c r="BR710" s="7">
        <f>Wapato_Inventory[[#This Row],[Patio]]*Lookups!$B$21</f>
        <v>6238.6529760000003</v>
      </c>
      <c r="BS710" s="7">
        <f>SUM(Wapato_Inventory[[#This Row],[intercept]:[patio_value]])*Wapato_Inventory[[#This Row],[res_pct]]</f>
        <v>196410.44519200001</v>
      </c>
      <c r="BT710" s="7">
        <f>Wapato_Inventory[[#This Row],[land_value]]</f>
        <v>53000</v>
      </c>
      <c r="BU710" s="2">
        <f>_xlfn.IFNA(VLOOKUP(Wapato_Inventory[[#This Row],[quality]],Lookups!$A$28:$C$37,3,FALSE),1)</f>
        <v>0.98196844879778955</v>
      </c>
      <c r="BV710" s="2">
        <f>_xlfn.IFNA(VLOOKUP(Wapato_Inventory[[#This Row],[condition]],Lookups!$A$41:$C$48,3,FALSE),1)</f>
        <v>0.98442438223270734</v>
      </c>
      <c r="BW710" s="2">
        <f>IF(Wapato_Inventory[[#This Row],[decade]]="",1,_xlfn.IFNA(VLOOKUP(Wapato_Inventory[[#This Row],[decade]],Lookups!$F$28:$H$45,3,FALSE),1))</f>
        <v>0.93664589651353292</v>
      </c>
      <c r="BX710" s="2">
        <f>_xlfn.IFNA(VLOOKUP(Wapato_Inventory[[#This Row],[living_area_range]],Lookups!$K$28:$M$37,3,FALSE),1)</f>
        <v>1.0061411172456287</v>
      </c>
      <c r="BY710" s="2">
        <f>AVERAGE(Wapato_Inventory[[#This Row],[qual_adj]:[range_adj]])</f>
        <v>0.97729496119741466</v>
      </c>
      <c r="BZ710" s="7">
        <f>(Wapato_Inventory[[#This Row],[sum_land]]-IF(Wapato_Inventory[[#This Row],[no_utilities]]=1,12000,0))/IF(Wapato_Inventory[[#This Row],[unbuildable]]=1,2,1)</f>
        <v>53000</v>
      </c>
      <c r="CA710" s="7">
        <f>Wapato_Inventory[[#This Row],[pre_res]]*Wapato_Inventory[[#This Row],[overall_adj]]</f>
        <v>191950.93841268259</v>
      </c>
      <c r="CB71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10" s="3">
        <f>IF(ROUND(Wapato_Inventory[[#This Row],[adj_res]]*Lookups!$H$48,-2)&lt;Wapato_Inventory[[#This Row],[min_res]],Wapato_Inventory[[#This Row],[min_res]],ROUND(Wapato_Inventory[[#This Row],[adj_res]]*Lookups!$H$48,-2))</f>
        <v>182400</v>
      </c>
      <c r="CD710" s="3">
        <f>ROUND(Wapato_Inventory[[#This Row],[det_value]]*Lookups!$H$48,-2)</f>
        <v>800</v>
      </c>
      <c r="CE710" s="3">
        <f>Wapato_Inventory[[#This Row],[final_res]]+Wapato_Inventory[[#This Row],[final_det]]</f>
        <v>183200</v>
      </c>
      <c r="CF710" s="3">
        <f>Wapato_Inventory[[#This Row],[crop_value]]+Wapato_Inventory[[#This Row],[final_land]]+Wapato_Inventory[[#This Row],[final_imp]]</f>
        <v>233600</v>
      </c>
      <c r="CH710" t="str">
        <f t="shared" si="11"/>
        <v>update valuation set market_land =50400, market_bldg=183200, market_total =233600, market_mdno =405, market_date ='9/10/2023' where link_id = (select link_id from parcel where parcel_year = '2024' and parcel_id = '19111513525');</v>
      </c>
    </row>
    <row r="711" spans="1:86" x14ac:dyDescent="0.25">
      <c r="A711">
        <v>19111513526</v>
      </c>
      <c r="B711">
        <v>0.14000000000000001</v>
      </c>
      <c r="C711">
        <v>6032</v>
      </c>
      <c r="D711" t="s">
        <v>144</v>
      </c>
      <c r="E711" t="s">
        <v>54</v>
      </c>
      <c r="F711" t="s">
        <v>54</v>
      </c>
      <c r="G711">
        <v>3</v>
      </c>
      <c r="H711" t="s">
        <v>55</v>
      </c>
      <c r="I711">
        <v>199200</v>
      </c>
      <c r="J711">
        <v>31900</v>
      </c>
      <c r="K711">
        <v>0.14000000000000001</v>
      </c>
      <c r="L711">
        <f>IF(Wapato_Inventory[[#This Row],[parcel_acres]]-Wapato_Inventory[[#This Row],[non_valued_acres]] =0,0,LN(Wapato_Inventory[[#This Row],[parcel_acres]]-Wapato_Inventory[[#This Row],[non_valued_acres]]))</f>
        <v>-1.9661128563728327</v>
      </c>
      <c r="M711">
        <v>0</v>
      </c>
      <c r="N711">
        <v>0</v>
      </c>
      <c r="O711">
        <v>0</v>
      </c>
      <c r="P711">
        <v>27904.037</v>
      </c>
      <c r="Q711">
        <v>74398</v>
      </c>
      <c r="R711" s="3">
        <f>(Wapato_Inventory[[#This Row],[ln_acres]]*Wapato_Inventory[[#This Row],[coeff]])+Wapato_Inventory[[#This Row],[const]]</f>
        <v>19535.514109596792</v>
      </c>
      <c r="S711" t="s">
        <v>56</v>
      </c>
      <c r="T711">
        <v>2</v>
      </c>
      <c r="U711" t="s">
        <v>75</v>
      </c>
      <c r="V711" t="s">
        <v>68</v>
      </c>
      <c r="W711">
        <v>0</v>
      </c>
      <c r="X711">
        <v>0</v>
      </c>
      <c r="Y711">
        <v>57</v>
      </c>
      <c r="Z711">
        <v>103</v>
      </c>
      <c r="AA711">
        <v>110</v>
      </c>
      <c r="AB711">
        <v>2000</v>
      </c>
      <c r="AC711">
        <v>1940</v>
      </c>
      <c r="AD711">
        <v>1580</v>
      </c>
      <c r="AE711">
        <v>360</v>
      </c>
      <c r="AF711">
        <v>0</v>
      </c>
      <c r="AG711">
        <v>0</v>
      </c>
      <c r="AH711">
        <v>0</v>
      </c>
      <c r="AI711">
        <v>284</v>
      </c>
      <c r="AJ711">
        <v>0</v>
      </c>
      <c r="AK711">
        <v>0</v>
      </c>
      <c r="AL711">
        <v>0</v>
      </c>
      <c r="AM711">
        <v>36</v>
      </c>
      <c r="AN711">
        <v>0</v>
      </c>
      <c r="AO711">
        <v>0</v>
      </c>
      <c r="AP711">
        <v>5</v>
      </c>
      <c r="AQ711">
        <v>1</v>
      </c>
      <c r="AR711">
        <v>0</v>
      </c>
      <c r="AS711" t="s">
        <v>59</v>
      </c>
      <c r="AT711">
        <v>1</v>
      </c>
      <c r="AU711" t="s">
        <v>64</v>
      </c>
      <c r="AV711" t="s">
        <v>65</v>
      </c>
      <c r="AW711">
        <v>0</v>
      </c>
      <c r="AX711">
        <v>3</v>
      </c>
      <c r="AY711">
        <v>0</v>
      </c>
      <c r="AZ711">
        <v>0</v>
      </c>
      <c r="BA711">
        <v>100</v>
      </c>
      <c r="BB711">
        <v>100</v>
      </c>
      <c r="BC711">
        <v>100</v>
      </c>
      <c r="BD711">
        <v>100</v>
      </c>
      <c r="BE711">
        <v>1</v>
      </c>
      <c r="BF711">
        <v>15000</v>
      </c>
      <c r="BG711">
        <v>1000</v>
      </c>
      <c r="BH711" s="7">
        <f>ROUND(Wapato_Inventory[[#This Row],[detatched_value]]*Lookups!$B$22*Lookups!$H$48,-2)</f>
        <v>0</v>
      </c>
      <c r="BI711" s="7">
        <f>ROUND(((Wapato_Inventory[[#This Row],[land_extract]]*Lookups!$B$3) +(Lookups!$B$2*0.5))*Lookups!$H$48,-2)</f>
        <v>53000</v>
      </c>
      <c r="BJ711" s="7">
        <f>IF(Wapato_Inventory[[#This Row],[bldg_style]]="",0,Lookups!$B$2*0.5)</f>
        <v>53765.27</v>
      </c>
      <c r="BK711" s="7">
        <f>_xlfn.IFNA(VLOOKUP(Wapato_Inventory[[#This Row],[quality]],Lookups!$H$2:$J$14,3,FALSE),0)</f>
        <v>48043</v>
      </c>
      <c r="BL711" s="7">
        <f>_xlfn.IFNA(VLOOKUP(Wapato_Inventory[[#This Row],[condition]],Lookups!$H$17:$J$24,3,FALSE),0)</f>
        <v>52231</v>
      </c>
      <c r="BM711" s="7">
        <f>Wapato_Inventory[[#This Row],[Age]]*Lookups!$B$16</f>
        <v>-38179.597099999999</v>
      </c>
      <c r="BN711" s="7">
        <f>Wapato_Inventory[[#This Row],[Main Floor]]*Lookups!$B$17</f>
        <v>66045.167619999993</v>
      </c>
      <c r="BO711" s="7">
        <f>Wapato_Inventory[[#This Row],[Upper Floor]]*Lookups!$B$18</f>
        <v>17856.410040000002</v>
      </c>
      <c r="BP711" s="7">
        <f>Wapato_Inventory[[#This Row],[Fin BSMT]]*Lookups!$B$19</f>
        <v>0</v>
      </c>
      <c r="BQ711" s="7">
        <f>(Wapato_Inventory[[#This Row],[att_gar]]+Wapato_Inventory[[#This Row],[blt_gar]])*Lookups!$B$20</f>
        <v>10510.485568</v>
      </c>
      <c r="BR711" s="7">
        <f>Wapato_Inventory[[#This Row],[Patio]]*Lookups!$B$21</f>
        <v>1559.6632440000001</v>
      </c>
      <c r="BS711" s="7">
        <f>SUM(Wapato_Inventory[[#This Row],[intercept]:[patio_value]])*Wapato_Inventory[[#This Row],[res_pct]]</f>
        <v>211831.39937199996</v>
      </c>
      <c r="BT711" s="7">
        <f>Wapato_Inventory[[#This Row],[land_value]]</f>
        <v>53000</v>
      </c>
      <c r="BU711" s="2">
        <f>_xlfn.IFNA(VLOOKUP(Wapato_Inventory[[#This Row],[quality]],Lookups!$A$28:$C$37,3,FALSE),1)</f>
        <v>0.98196844879778955</v>
      </c>
      <c r="BV711" s="2">
        <f>_xlfn.IFNA(VLOOKUP(Wapato_Inventory[[#This Row],[condition]],Lookups!$A$41:$C$48,3,FALSE),1)</f>
        <v>0.9832333997567807</v>
      </c>
      <c r="BW711" s="2">
        <f>IF(Wapato_Inventory[[#This Row],[decade]]="",1,_xlfn.IFNA(VLOOKUP(Wapato_Inventory[[#This Row],[decade]],Lookups!$F$28:$H$45,3,FALSE),1))</f>
        <v>0.93664589651353292</v>
      </c>
      <c r="BX711" s="2">
        <f>_xlfn.IFNA(VLOOKUP(Wapato_Inventory[[#This Row],[living_area_range]],Lookups!$K$28:$M$37,3,FALSE),1)</f>
        <v>0.99330894324714125</v>
      </c>
      <c r="BY711" s="2">
        <f>AVERAGE(Wapato_Inventory[[#This Row],[qual_adj]:[range_adj]])</f>
        <v>0.9737891720788111</v>
      </c>
      <c r="BZ711" s="7">
        <f>(Wapato_Inventory[[#This Row],[sum_land]]-IF(Wapato_Inventory[[#This Row],[no_utilities]]=1,12000,0))/IF(Wapato_Inventory[[#This Row],[unbuildable]]=1,2,1)</f>
        <v>53000</v>
      </c>
      <c r="CA711" s="7">
        <f>Wapato_Inventory[[#This Row],[pre_res]]*Wapato_Inventory[[#This Row],[overall_adj]]</f>
        <v>206279.12301475584</v>
      </c>
      <c r="CB71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11" s="3">
        <f>IF(ROUND(Wapato_Inventory[[#This Row],[adj_res]]*Lookups!$H$48,-2)&lt;Wapato_Inventory[[#This Row],[min_res]],Wapato_Inventory[[#This Row],[min_res]],ROUND(Wapato_Inventory[[#This Row],[adj_res]]*Lookups!$H$48,-2))</f>
        <v>196000</v>
      </c>
      <c r="CD711" s="3">
        <f>ROUND(Wapato_Inventory[[#This Row],[det_value]]*Lookups!$H$48,-2)</f>
        <v>0</v>
      </c>
      <c r="CE711" s="3">
        <f>Wapato_Inventory[[#This Row],[final_res]]+Wapato_Inventory[[#This Row],[final_det]]</f>
        <v>196000</v>
      </c>
      <c r="CF711" s="3">
        <f>Wapato_Inventory[[#This Row],[crop_value]]+Wapato_Inventory[[#This Row],[final_land]]+Wapato_Inventory[[#This Row],[final_imp]]</f>
        <v>246400</v>
      </c>
      <c r="CH711" t="str">
        <f t="shared" si="11"/>
        <v>update valuation set market_land =50400, market_bldg=196000, market_total =246400, market_mdno =405, market_date ='9/10/2023' where link_id = (select link_id from parcel where parcel_year = '2024' and parcel_id = '19111513526');</v>
      </c>
    </row>
    <row r="712" spans="1:86" x14ac:dyDescent="0.25">
      <c r="A712">
        <v>19111513527</v>
      </c>
      <c r="B712">
        <v>0.11</v>
      </c>
      <c r="C712">
        <v>5009</v>
      </c>
      <c r="D712" t="s">
        <v>144</v>
      </c>
      <c r="E712" t="s">
        <v>54</v>
      </c>
      <c r="F712" t="s">
        <v>54</v>
      </c>
      <c r="G712">
        <v>3</v>
      </c>
      <c r="H712" t="s">
        <v>55</v>
      </c>
      <c r="I712">
        <v>157300</v>
      </c>
      <c r="J712">
        <v>30200</v>
      </c>
      <c r="K712">
        <v>0.11</v>
      </c>
      <c r="L712">
        <f>IF(Wapato_Inventory[[#This Row],[parcel_acres]]-Wapato_Inventory[[#This Row],[non_valued_acres]] =0,0,LN(Wapato_Inventory[[#This Row],[parcel_acres]]-Wapato_Inventory[[#This Row],[non_valued_acres]]))</f>
        <v>-2.2072749131897207</v>
      </c>
      <c r="M712">
        <v>0</v>
      </c>
      <c r="N712">
        <v>0</v>
      </c>
      <c r="O712">
        <v>0</v>
      </c>
      <c r="P712">
        <v>27904.037</v>
      </c>
      <c r="Q712">
        <v>74398</v>
      </c>
      <c r="R712" s="3">
        <f>(Wapato_Inventory[[#This Row],[ln_acres]]*Wapato_Inventory[[#This Row],[coeff]])+Wapato_Inventory[[#This Row],[const]]</f>
        <v>12806.119153182248</v>
      </c>
      <c r="S712" t="s">
        <v>56</v>
      </c>
      <c r="T712">
        <v>2</v>
      </c>
      <c r="U712" t="s">
        <v>75</v>
      </c>
      <c r="V712" t="s">
        <v>68</v>
      </c>
      <c r="W712">
        <v>0</v>
      </c>
      <c r="X712">
        <v>0</v>
      </c>
      <c r="Y712">
        <v>60</v>
      </c>
      <c r="Z712">
        <v>108</v>
      </c>
      <c r="AA712">
        <v>110</v>
      </c>
      <c r="AB712">
        <v>1500</v>
      </c>
      <c r="AC712">
        <v>1488</v>
      </c>
      <c r="AD712">
        <v>1056</v>
      </c>
      <c r="AE712">
        <v>432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5</v>
      </c>
      <c r="AQ712">
        <v>0</v>
      </c>
      <c r="AR712">
        <v>0</v>
      </c>
      <c r="AS712" t="s">
        <v>59</v>
      </c>
      <c r="AT712">
        <v>1</v>
      </c>
      <c r="AU712" t="s">
        <v>72</v>
      </c>
      <c r="AV712" t="s">
        <v>61</v>
      </c>
      <c r="AW712">
        <v>0</v>
      </c>
      <c r="AX712">
        <v>4</v>
      </c>
      <c r="AY712">
        <v>0</v>
      </c>
      <c r="AZ712">
        <v>6400</v>
      </c>
      <c r="BA712">
        <v>100</v>
      </c>
      <c r="BB712">
        <v>100</v>
      </c>
      <c r="BC712">
        <v>100</v>
      </c>
      <c r="BD712">
        <v>100</v>
      </c>
      <c r="BE712">
        <v>1</v>
      </c>
      <c r="BF712">
        <v>15000</v>
      </c>
      <c r="BG712">
        <v>1000</v>
      </c>
      <c r="BH712" s="7">
        <f>ROUND(Wapato_Inventory[[#This Row],[detatched_value]]*Lookups!$B$22*Lookups!$H$48,-2)</f>
        <v>5700</v>
      </c>
      <c r="BI712" s="7">
        <f>ROUND(((Wapato_Inventory[[#This Row],[land_extract]]*Lookups!$B$3) +(Lookups!$B$2*0.5))*Lookups!$H$48,-2)</f>
        <v>52300</v>
      </c>
      <c r="BJ712" s="7">
        <f>IF(Wapato_Inventory[[#This Row],[bldg_style]]="",0,Lookups!$B$2*0.5)</f>
        <v>53765.27</v>
      </c>
      <c r="BK712" s="7">
        <f>_xlfn.IFNA(VLOOKUP(Wapato_Inventory[[#This Row],[quality]],Lookups!$H$2:$J$14,3,FALSE),0)</f>
        <v>48043</v>
      </c>
      <c r="BL712" s="7">
        <f>_xlfn.IFNA(VLOOKUP(Wapato_Inventory[[#This Row],[condition]],Lookups!$H$17:$J$24,3,FALSE),0)</f>
        <v>52231</v>
      </c>
      <c r="BM712" s="7">
        <f>Wapato_Inventory[[#This Row],[Age]]*Lookups!$B$16</f>
        <v>-40032.975599999998</v>
      </c>
      <c r="BN712" s="7">
        <f>Wapato_Inventory[[#This Row],[Main Floor]]*Lookups!$B$17</f>
        <v>44141.580384000001</v>
      </c>
      <c r="BO712" s="7">
        <f>Wapato_Inventory[[#This Row],[Upper Floor]]*Lookups!$B$18</f>
        <v>21427.692048000001</v>
      </c>
      <c r="BP712" s="7">
        <f>Wapato_Inventory[[#This Row],[Fin BSMT]]*Lookups!$B$19</f>
        <v>0</v>
      </c>
      <c r="BQ712" s="7">
        <f>(Wapato_Inventory[[#This Row],[att_gar]]+Wapato_Inventory[[#This Row],[blt_gar]])*Lookups!$B$20</f>
        <v>0</v>
      </c>
      <c r="BR712" s="7">
        <f>Wapato_Inventory[[#This Row],[Patio]]*Lookups!$B$21</f>
        <v>0</v>
      </c>
      <c r="BS712" s="7">
        <f>SUM(Wapato_Inventory[[#This Row],[intercept]:[patio_value]])*Wapato_Inventory[[#This Row],[res_pct]]</f>
        <v>179575.56683199998</v>
      </c>
      <c r="BT712" s="7">
        <f>Wapato_Inventory[[#This Row],[land_value]]</f>
        <v>52300</v>
      </c>
      <c r="BU712" s="2">
        <f>_xlfn.IFNA(VLOOKUP(Wapato_Inventory[[#This Row],[quality]],Lookups!$A$28:$C$37,3,FALSE),1)</f>
        <v>0.98196844879778955</v>
      </c>
      <c r="BV712" s="2">
        <f>_xlfn.IFNA(VLOOKUP(Wapato_Inventory[[#This Row],[condition]],Lookups!$A$41:$C$48,3,FALSE),1)</f>
        <v>0.9832333997567807</v>
      </c>
      <c r="BW712" s="2">
        <f>IF(Wapato_Inventory[[#This Row],[decade]]="",1,_xlfn.IFNA(VLOOKUP(Wapato_Inventory[[#This Row],[decade]],Lookups!$F$28:$H$45,3,FALSE),1))</f>
        <v>0.93664589651353292</v>
      </c>
      <c r="BX712" s="2">
        <f>_xlfn.IFNA(VLOOKUP(Wapato_Inventory[[#This Row],[living_area_range]],Lookups!$K$28:$M$37,3,FALSE),1)</f>
        <v>1.0061411172456287</v>
      </c>
      <c r="BY712" s="2">
        <f>AVERAGE(Wapato_Inventory[[#This Row],[qual_adj]:[range_adj]])</f>
        <v>0.976997215578433</v>
      </c>
      <c r="BZ712" s="7">
        <f>(Wapato_Inventory[[#This Row],[sum_land]]-IF(Wapato_Inventory[[#This Row],[no_utilities]]=1,12000,0))/IF(Wapato_Inventory[[#This Row],[unbuildable]]=1,2,1)</f>
        <v>52300</v>
      </c>
      <c r="CA712" s="7">
        <f>Wapato_Inventory[[#This Row],[pre_res]]*Wapato_Inventory[[#This Row],[overall_adj]]</f>
        <v>175444.82878078279</v>
      </c>
      <c r="CB712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712" s="3">
        <f>IF(ROUND(Wapato_Inventory[[#This Row],[adj_res]]*Lookups!$H$48,-2)&lt;Wapato_Inventory[[#This Row],[min_res]],Wapato_Inventory[[#This Row],[min_res]],ROUND(Wapato_Inventory[[#This Row],[adj_res]]*Lookups!$H$48,-2))</f>
        <v>166700</v>
      </c>
      <c r="CD712" s="3">
        <f>ROUND(Wapato_Inventory[[#This Row],[det_value]]*Lookups!$H$48,-2)</f>
        <v>5400</v>
      </c>
      <c r="CE712" s="3">
        <f>Wapato_Inventory[[#This Row],[final_res]]+Wapato_Inventory[[#This Row],[final_det]]</f>
        <v>172100</v>
      </c>
      <c r="CF712" s="3">
        <f>Wapato_Inventory[[#This Row],[crop_value]]+Wapato_Inventory[[#This Row],[final_land]]+Wapato_Inventory[[#This Row],[final_imp]]</f>
        <v>221800</v>
      </c>
      <c r="CH712" t="str">
        <f t="shared" si="11"/>
        <v>update valuation set market_land =49700, market_bldg=172100, market_total =221800, market_mdno =405, market_date ='9/10/2023' where link_id = (select link_id from parcel where parcel_year = '2024' and parcel_id = '19111513527');</v>
      </c>
    </row>
    <row r="713" spans="1:86" x14ac:dyDescent="0.25">
      <c r="A713">
        <v>19111513528</v>
      </c>
      <c r="B713">
        <v>0.14000000000000001</v>
      </c>
      <c r="C713">
        <v>5991</v>
      </c>
      <c r="D713" t="s">
        <v>144</v>
      </c>
      <c r="E713" t="s">
        <v>54</v>
      </c>
      <c r="F713" t="s">
        <v>54</v>
      </c>
      <c r="G713">
        <v>3</v>
      </c>
      <c r="H713" t="s">
        <v>55</v>
      </c>
      <c r="I713">
        <v>180500</v>
      </c>
      <c r="J713">
        <v>31900</v>
      </c>
      <c r="K713">
        <v>0.14000000000000001</v>
      </c>
      <c r="L713">
        <f>IF(Wapato_Inventory[[#This Row],[parcel_acres]]-Wapato_Inventory[[#This Row],[non_valued_acres]] =0,0,LN(Wapato_Inventory[[#This Row],[parcel_acres]]-Wapato_Inventory[[#This Row],[non_valued_acres]]))</f>
        <v>-1.9661128563728327</v>
      </c>
      <c r="M713">
        <v>0</v>
      </c>
      <c r="N713">
        <v>0</v>
      </c>
      <c r="O713">
        <v>0</v>
      </c>
      <c r="P713">
        <v>27904.037</v>
      </c>
      <c r="Q713">
        <v>74398</v>
      </c>
      <c r="R713" s="3">
        <f>(Wapato_Inventory[[#This Row],[ln_acres]]*Wapato_Inventory[[#This Row],[coeff]])+Wapato_Inventory[[#This Row],[const]]</f>
        <v>19535.514109596792</v>
      </c>
      <c r="S713" t="s">
        <v>66</v>
      </c>
      <c r="T713">
        <v>1</v>
      </c>
      <c r="U713" t="s">
        <v>67</v>
      </c>
      <c r="V713" t="s">
        <v>69</v>
      </c>
      <c r="W713">
        <v>0</v>
      </c>
      <c r="X713">
        <v>0</v>
      </c>
      <c r="Y713">
        <v>52</v>
      </c>
      <c r="Z713">
        <v>88</v>
      </c>
      <c r="AA713">
        <v>90</v>
      </c>
      <c r="AB713">
        <v>1500</v>
      </c>
      <c r="AC713">
        <v>1380</v>
      </c>
      <c r="AD713">
        <v>1044</v>
      </c>
      <c r="AE713">
        <v>0</v>
      </c>
      <c r="AF713">
        <v>0</v>
      </c>
      <c r="AG713">
        <v>336</v>
      </c>
      <c r="AH713">
        <v>88</v>
      </c>
      <c r="AI713">
        <v>0</v>
      </c>
      <c r="AJ713">
        <v>0</v>
      </c>
      <c r="AK713">
        <v>320</v>
      </c>
      <c r="AL713">
        <v>0</v>
      </c>
      <c r="AM713">
        <v>256</v>
      </c>
      <c r="AN713">
        <v>0</v>
      </c>
      <c r="AO713">
        <v>316</v>
      </c>
      <c r="AP713">
        <v>8</v>
      </c>
      <c r="AQ713">
        <v>0</v>
      </c>
      <c r="AR713">
        <v>1</v>
      </c>
      <c r="AS713" t="s">
        <v>59</v>
      </c>
      <c r="AT713">
        <v>1</v>
      </c>
      <c r="AU713" t="s">
        <v>64</v>
      </c>
      <c r="AV713" t="s">
        <v>65</v>
      </c>
      <c r="AW713">
        <v>1</v>
      </c>
      <c r="AX713">
        <v>3</v>
      </c>
      <c r="AY713">
        <v>0</v>
      </c>
      <c r="AZ713">
        <v>0</v>
      </c>
      <c r="BA713">
        <v>100</v>
      </c>
      <c r="BB713">
        <v>100</v>
      </c>
      <c r="BC713">
        <v>100</v>
      </c>
      <c r="BD713">
        <v>100</v>
      </c>
      <c r="BE713">
        <v>1</v>
      </c>
      <c r="BF713">
        <v>15000</v>
      </c>
      <c r="BG713">
        <v>1000</v>
      </c>
      <c r="BH713" s="7">
        <f>ROUND(Wapato_Inventory[[#This Row],[detatched_value]]*Lookups!$B$22*Lookups!$H$48,-2)</f>
        <v>0</v>
      </c>
      <c r="BI713" s="7">
        <f>ROUND(((Wapato_Inventory[[#This Row],[land_extract]]*Lookups!$B$3) +(Lookups!$B$2*0.5))*Lookups!$H$48,-2)</f>
        <v>53000</v>
      </c>
      <c r="BJ713" s="7">
        <f>IF(Wapato_Inventory[[#This Row],[bldg_style]]="",0,Lookups!$B$2*0.5)</f>
        <v>53765.27</v>
      </c>
      <c r="BK713" s="7">
        <f>_xlfn.IFNA(VLOOKUP(Wapato_Inventory[[#This Row],[quality]],Lookups!$H$2:$J$14,3,FALSE),0)</f>
        <v>50405</v>
      </c>
      <c r="BL713" s="7">
        <f>_xlfn.IFNA(VLOOKUP(Wapato_Inventory[[#This Row],[condition]],Lookups!$H$17:$J$24,3,FALSE),0)</f>
        <v>74543</v>
      </c>
      <c r="BM713" s="7">
        <f>Wapato_Inventory[[#This Row],[Age]]*Lookups!$B$16</f>
        <v>-32619.461600000002</v>
      </c>
      <c r="BN713" s="7">
        <f>Wapato_Inventory[[#This Row],[Main Floor]]*Lookups!$B$17</f>
        <v>43639.971515999998</v>
      </c>
      <c r="BO713" s="7">
        <f>Wapato_Inventory[[#This Row],[Upper Floor]]*Lookups!$B$18</f>
        <v>0</v>
      </c>
      <c r="BP713" s="7">
        <f>Wapato_Inventory[[#This Row],[Fin BSMT]]*Lookups!$B$19</f>
        <v>8187.2246400000004</v>
      </c>
      <c r="BQ713" s="7">
        <f>(Wapato_Inventory[[#This Row],[att_gar]]+Wapato_Inventory[[#This Row],[blt_gar]])*Lookups!$B$20</f>
        <v>0</v>
      </c>
      <c r="BR713" s="7">
        <f>Wapato_Inventory[[#This Row],[Patio]]*Lookups!$B$21</f>
        <v>11090.938624</v>
      </c>
      <c r="BS713" s="7">
        <f>SUM(Wapato_Inventory[[#This Row],[intercept]:[patio_value]])*Wapato_Inventory[[#This Row],[res_pct]]</f>
        <v>209011.94317999997</v>
      </c>
      <c r="BT713" s="7">
        <f>Wapato_Inventory[[#This Row],[land_value]]</f>
        <v>53000</v>
      </c>
      <c r="BU713" s="2">
        <f>_xlfn.IFNA(VLOOKUP(Wapato_Inventory[[#This Row],[quality]],Lookups!$A$28:$C$37,3,FALSE),1)</f>
        <v>0.97993206410140754</v>
      </c>
      <c r="BV713" s="2">
        <f>_xlfn.IFNA(VLOOKUP(Wapato_Inventory[[#This Row],[condition]],Lookups!$A$41:$C$48,3,FALSE),1)</f>
        <v>0.98442438223270734</v>
      </c>
      <c r="BW713" s="2">
        <f>IF(Wapato_Inventory[[#This Row],[decade]]="",1,_xlfn.IFNA(VLOOKUP(Wapato_Inventory[[#This Row],[decade]],Lookups!$F$28:$H$45,3,FALSE),1))</f>
        <v>0.94742695999815718</v>
      </c>
      <c r="BX713" s="2">
        <f>_xlfn.IFNA(VLOOKUP(Wapato_Inventory[[#This Row],[living_area_range]],Lookups!$K$28:$M$37,3,FALSE),1)</f>
        <v>1.0061411172456287</v>
      </c>
      <c r="BY713" s="2">
        <f>AVERAGE(Wapato_Inventory[[#This Row],[qual_adj]:[range_adj]])</f>
        <v>0.97948113089447519</v>
      </c>
      <c r="BZ713" s="7">
        <f>(Wapato_Inventory[[#This Row],[sum_land]]-IF(Wapato_Inventory[[#This Row],[no_utilities]]=1,12000,0))/IF(Wapato_Inventory[[#This Row],[unbuildable]]=1,2,1)</f>
        <v>53000</v>
      </c>
      <c r="CA713" s="7">
        <f>Wapato_Inventory[[#This Row],[pre_res]]*Wapato_Inventory[[#This Row],[overall_adj]]</f>
        <v>204723.25447639817</v>
      </c>
      <c r="CB71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13" s="3">
        <f>IF(ROUND(Wapato_Inventory[[#This Row],[adj_res]]*Lookups!$H$48,-2)&lt;Wapato_Inventory[[#This Row],[min_res]],Wapato_Inventory[[#This Row],[min_res]],ROUND(Wapato_Inventory[[#This Row],[adj_res]]*Lookups!$H$48,-2))</f>
        <v>194500</v>
      </c>
      <c r="CD713" s="3">
        <f>ROUND(Wapato_Inventory[[#This Row],[det_value]]*Lookups!$H$48,-2)</f>
        <v>0</v>
      </c>
      <c r="CE713" s="3">
        <f>Wapato_Inventory[[#This Row],[final_res]]+Wapato_Inventory[[#This Row],[final_det]]</f>
        <v>194500</v>
      </c>
      <c r="CF713" s="3">
        <f>Wapato_Inventory[[#This Row],[crop_value]]+Wapato_Inventory[[#This Row],[final_land]]+Wapato_Inventory[[#This Row],[final_imp]]</f>
        <v>244900</v>
      </c>
      <c r="CH713" t="str">
        <f t="shared" si="11"/>
        <v>update valuation set market_land =50400, market_bldg=194500, market_total =244900, market_mdno =405, market_date ='9/10/2023' where link_id = (select link_id from parcel where parcel_year = '2024' and parcel_id = '19111513528');</v>
      </c>
    </row>
    <row r="714" spans="1:86" x14ac:dyDescent="0.25">
      <c r="A714">
        <v>19111513529</v>
      </c>
      <c r="B714">
        <v>0.13</v>
      </c>
      <c r="C714">
        <v>5601</v>
      </c>
      <c r="D714" t="s">
        <v>144</v>
      </c>
      <c r="E714" t="s">
        <v>54</v>
      </c>
      <c r="F714" t="s">
        <v>54</v>
      </c>
      <c r="G714">
        <v>3</v>
      </c>
      <c r="H714" t="s">
        <v>55</v>
      </c>
      <c r="I714">
        <v>58900</v>
      </c>
      <c r="J714">
        <v>31400</v>
      </c>
      <c r="K714">
        <v>0.13</v>
      </c>
      <c r="L714">
        <f>IF(Wapato_Inventory[[#This Row],[parcel_acres]]-Wapato_Inventory[[#This Row],[non_valued_acres]] =0,0,LN(Wapato_Inventory[[#This Row],[parcel_acres]]-Wapato_Inventory[[#This Row],[non_valued_acres]]))</f>
        <v>-2.0402208285265546</v>
      </c>
      <c r="M714">
        <v>0</v>
      </c>
      <c r="N714">
        <v>0</v>
      </c>
      <c r="O714">
        <v>0</v>
      </c>
      <c r="P714">
        <v>27904.037</v>
      </c>
      <c r="Q714">
        <v>74398</v>
      </c>
      <c r="R714" s="3">
        <f>(Wapato_Inventory[[#This Row],[ln_acres]]*Wapato_Inventory[[#This Row],[coeff]])+Wapato_Inventory[[#This Row],[const]]</f>
        <v>17467.602512624362</v>
      </c>
      <c r="S714" t="s">
        <v>56</v>
      </c>
      <c r="T714">
        <v>2</v>
      </c>
      <c r="U714" t="s">
        <v>71</v>
      </c>
      <c r="V714" t="s">
        <v>84</v>
      </c>
      <c r="W714">
        <v>0</v>
      </c>
      <c r="X714">
        <v>0</v>
      </c>
      <c r="Y714">
        <v>60</v>
      </c>
      <c r="Z714">
        <v>108</v>
      </c>
      <c r="AA714">
        <v>110</v>
      </c>
      <c r="AB714">
        <v>1500</v>
      </c>
      <c r="AC714">
        <v>1137</v>
      </c>
      <c r="AD714">
        <v>877</v>
      </c>
      <c r="AE714">
        <v>260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5</v>
      </c>
      <c r="AQ714">
        <v>0</v>
      </c>
      <c r="AR714">
        <v>0</v>
      </c>
      <c r="AS714" t="s">
        <v>59</v>
      </c>
      <c r="AT714">
        <v>0</v>
      </c>
      <c r="AU714" t="s">
        <v>80</v>
      </c>
      <c r="AV714" t="s">
        <v>65</v>
      </c>
      <c r="AW714">
        <v>0</v>
      </c>
      <c r="AX714">
        <v>2</v>
      </c>
      <c r="AY714">
        <v>0</v>
      </c>
      <c r="AZ714">
        <v>3500</v>
      </c>
      <c r="BA714">
        <v>100</v>
      </c>
      <c r="BB714">
        <v>100</v>
      </c>
      <c r="BC714">
        <v>100</v>
      </c>
      <c r="BD714">
        <v>100</v>
      </c>
      <c r="BE714">
        <v>1</v>
      </c>
      <c r="BF714">
        <v>15000</v>
      </c>
      <c r="BG714">
        <v>1000</v>
      </c>
      <c r="BH714" s="7">
        <f>ROUND(Wapato_Inventory[[#This Row],[detatched_value]]*Lookups!$B$22*Lookups!$H$48,-2)</f>
        <v>3100</v>
      </c>
      <c r="BI714" s="7">
        <f>ROUND(((Wapato_Inventory[[#This Row],[land_extract]]*Lookups!$B$3) +(Lookups!$B$2*0.5))*Lookups!$H$48,-2)</f>
        <v>52800</v>
      </c>
      <c r="BJ714" s="7">
        <f>IF(Wapato_Inventory[[#This Row],[bldg_style]]="",0,Lookups!$B$2*0.5)</f>
        <v>53765.27</v>
      </c>
      <c r="BK714" s="7">
        <f>_xlfn.IFNA(VLOOKUP(Wapato_Inventory[[#This Row],[quality]],Lookups!$H$2:$J$14,3,FALSE),0)</f>
        <v>28034</v>
      </c>
      <c r="BL714" s="7">
        <f>_xlfn.IFNA(VLOOKUP(Wapato_Inventory[[#This Row],[condition]],Lookups!$H$17:$J$24,3,FALSE),0)</f>
        <v>0</v>
      </c>
      <c r="BM714" s="7">
        <f>Wapato_Inventory[[#This Row],[Age]]*Lookups!$B$16</f>
        <v>-40032.975599999998</v>
      </c>
      <c r="BN714" s="7">
        <f>Wapato_Inventory[[#This Row],[Main Floor]]*Lookups!$B$17</f>
        <v>36659.248102999998</v>
      </c>
      <c r="BO714" s="7">
        <f>Wapato_Inventory[[#This Row],[Upper Floor]]*Lookups!$B$18</f>
        <v>12896.29614</v>
      </c>
      <c r="BP714" s="7">
        <f>Wapato_Inventory[[#This Row],[Fin BSMT]]*Lookups!$B$19</f>
        <v>0</v>
      </c>
      <c r="BQ714" s="7">
        <f>(Wapato_Inventory[[#This Row],[att_gar]]+Wapato_Inventory[[#This Row],[blt_gar]])*Lookups!$B$20</f>
        <v>0</v>
      </c>
      <c r="BR714" s="7">
        <f>Wapato_Inventory[[#This Row],[Patio]]*Lookups!$B$21</f>
        <v>0</v>
      </c>
      <c r="BS714" s="7">
        <f>SUM(Wapato_Inventory[[#This Row],[intercept]:[patio_value]])*Wapato_Inventory[[#This Row],[res_pct]]</f>
        <v>91321.838642999995</v>
      </c>
      <c r="BT714" s="7">
        <f>Wapato_Inventory[[#This Row],[land_value]]</f>
        <v>52800</v>
      </c>
      <c r="BU714" s="2">
        <f>_xlfn.IFNA(VLOOKUP(Wapato_Inventory[[#This Row],[quality]],Lookups!$A$28:$C$37,3,FALSE),1)</f>
        <v>0.96265813922927435</v>
      </c>
      <c r="BV714" s="2">
        <f>_xlfn.IFNA(VLOOKUP(Wapato_Inventory[[#This Row],[condition]],Lookups!$A$41:$C$48,3,FALSE),1)</f>
        <v>1.0000035546274355</v>
      </c>
      <c r="BW714" s="2">
        <f>IF(Wapato_Inventory[[#This Row],[decade]]="",1,_xlfn.IFNA(VLOOKUP(Wapato_Inventory[[#This Row],[decade]],Lookups!$F$28:$H$45,3,FALSE),1))</f>
        <v>0.93664589651353292</v>
      </c>
      <c r="BX714" s="2">
        <f>_xlfn.IFNA(VLOOKUP(Wapato_Inventory[[#This Row],[living_area_range]],Lookups!$K$28:$M$37,3,FALSE),1)</f>
        <v>1.0061411172456287</v>
      </c>
      <c r="BY714" s="2">
        <f>AVERAGE(Wapato_Inventory[[#This Row],[qual_adj]:[range_adj]])</f>
        <v>0.97636217690396787</v>
      </c>
      <c r="BZ714" s="7">
        <f>(Wapato_Inventory[[#This Row],[sum_land]]-IF(Wapato_Inventory[[#This Row],[no_utilities]]=1,12000,0))/IF(Wapato_Inventory[[#This Row],[unbuildable]]=1,2,1)</f>
        <v>52800</v>
      </c>
      <c r="CA714" s="7">
        <f>Wapato_Inventory[[#This Row],[pre_res]]*Wapato_Inventory[[#This Row],[overall_adj]]</f>
        <v>89163.189176352374</v>
      </c>
      <c r="CB714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14" s="3">
        <f>IF(ROUND(Wapato_Inventory[[#This Row],[adj_res]]*Lookups!$H$48,-2)&lt;Wapato_Inventory[[#This Row],[min_res]],Wapato_Inventory[[#This Row],[min_res]],ROUND(Wapato_Inventory[[#This Row],[adj_res]]*Lookups!$H$48,-2))</f>
        <v>84700</v>
      </c>
      <c r="CD714" s="3">
        <f>ROUND(Wapato_Inventory[[#This Row],[det_value]]*Lookups!$H$48,-2)</f>
        <v>2900</v>
      </c>
      <c r="CE714" s="3">
        <f>Wapato_Inventory[[#This Row],[final_res]]+Wapato_Inventory[[#This Row],[final_det]]</f>
        <v>87600</v>
      </c>
      <c r="CF714" s="3">
        <f>Wapato_Inventory[[#This Row],[crop_value]]+Wapato_Inventory[[#This Row],[final_land]]+Wapato_Inventory[[#This Row],[final_imp]]</f>
        <v>137800</v>
      </c>
      <c r="CH714" t="str">
        <f t="shared" si="11"/>
        <v>update valuation set market_land =50200, market_bldg=87600, market_total =137800, market_mdno =405, market_date ='9/10/2023' where link_id = (select link_id from parcel where parcel_year = '2024' and parcel_id = '19111513529');</v>
      </c>
    </row>
    <row r="715" spans="1:86" x14ac:dyDescent="0.25">
      <c r="A715">
        <v>19111513530</v>
      </c>
      <c r="B715">
        <v>0.14000000000000001</v>
      </c>
      <c r="C715">
        <v>6210</v>
      </c>
      <c r="D715" t="s">
        <v>144</v>
      </c>
      <c r="E715" t="s">
        <v>54</v>
      </c>
      <c r="F715" t="s">
        <v>54</v>
      </c>
      <c r="G715">
        <v>3</v>
      </c>
      <c r="H715" t="s">
        <v>55</v>
      </c>
      <c r="I715">
        <v>123700</v>
      </c>
      <c r="J715">
        <v>31900</v>
      </c>
      <c r="K715">
        <v>0.14000000000000001</v>
      </c>
      <c r="L715">
        <f>IF(Wapato_Inventory[[#This Row],[parcel_acres]]-Wapato_Inventory[[#This Row],[non_valued_acres]] =0,0,LN(Wapato_Inventory[[#This Row],[parcel_acres]]-Wapato_Inventory[[#This Row],[non_valued_acres]]))</f>
        <v>-1.9661128563728327</v>
      </c>
      <c r="M715">
        <v>0</v>
      </c>
      <c r="N715">
        <v>0</v>
      </c>
      <c r="O715">
        <v>0</v>
      </c>
      <c r="P715">
        <v>27904.037</v>
      </c>
      <c r="Q715">
        <v>74398</v>
      </c>
      <c r="R715" s="3">
        <f>(Wapato_Inventory[[#This Row],[ln_acres]]*Wapato_Inventory[[#This Row],[coeff]])+Wapato_Inventory[[#This Row],[const]]</f>
        <v>19535.514109596792</v>
      </c>
      <c r="S715" t="s">
        <v>66</v>
      </c>
      <c r="T715">
        <v>1</v>
      </c>
      <c r="U715" t="s">
        <v>71</v>
      </c>
      <c r="V715" t="s">
        <v>68</v>
      </c>
      <c r="W715">
        <v>0</v>
      </c>
      <c r="X715">
        <v>0</v>
      </c>
      <c r="Y715">
        <v>51</v>
      </c>
      <c r="Z715">
        <v>78</v>
      </c>
      <c r="AA715">
        <v>80</v>
      </c>
      <c r="AB715">
        <v>1000</v>
      </c>
      <c r="AC715">
        <v>728</v>
      </c>
      <c r="AD715">
        <v>728</v>
      </c>
      <c r="AE715">
        <v>0</v>
      </c>
      <c r="AF715">
        <v>0</v>
      </c>
      <c r="AG715">
        <v>0</v>
      </c>
      <c r="AH715">
        <v>0</v>
      </c>
      <c r="AI715">
        <v>504</v>
      </c>
      <c r="AJ715">
        <v>0</v>
      </c>
      <c r="AK715">
        <v>0</v>
      </c>
      <c r="AL715">
        <v>0</v>
      </c>
      <c r="AM715">
        <v>160</v>
      </c>
      <c r="AN715">
        <v>168</v>
      </c>
      <c r="AO715">
        <v>160</v>
      </c>
      <c r="AP715">
        <v>5</v>
      </c>
      <c r="AQ715">
        <v>0</v>
      </c>
      <c r="AR715">
        <v>0</v>
      </c>
      <c r="AS715" t="s">
        <v>59</v>
      </c>
      <c r="AT715">
        <v>1</v>
      </c>
      <c r="AU715" t="s">
        <v>72</v>
      </c>
      <c r="AV715" t="s">
        <v>61</v>
      </c>
      <c r="AW715">
        <v>0</v>
      </c>
      <c r="AX715">
        <v>2</v>
      </c>
      <c r="AY715">
        <v>0</v>
      </c>
      <c r="AZ715">
        <v>0</v>
      </c>
      <c r="BA715">
        <v>100</v>
      </c>
      <c r="BB715">
        <v>100</v>
      </c>
      <c r="BC715">
        <v>100</v>
      </c>
      <c r="BD715">
        <v>100</v>
      </c>
      <c r="BE715">
        <v>1</v>
      </c>
      <c r="BF715">
        <v>15000</v>
      </c>
      <c r="BG715">
        <v>1000</v>
      </c>
      <c r="BH715" s="7">
        <f>ROUND(Wapato_Inventory[[#This Row],[detatched_value]]*Lookups!$B$22*Lookups!$H$48,-2)</f>
        <v>0</v>
      </c>
      <c r="BI715" s="7">
        <f>ROUND(((Wapato_Inventory[[#This Row],[land_extract]]*Lookups!$B$3) +(Lookups!$B$2*0.5))*Lookups!$H$48,-2)</f>
        <v>53000</v>
      </c>
      <c r="BJ715" s="7">
        <f>IF(Wapato_Inventory[[#This Row],[bldg_style]]="",0,Lookups!$B$2*0.5)</f>
        <v>53765.27</v>
      </c>
      <c r="BK715" s="7">
        <f>_xlfn.IFNA(VLOOKUP(Wapato_Inventory[[#This Row],[quality]],Lookups!$H$2:$J$14,3,FALSE),0)</f>
        <v>28034</v>
      </c>
      <c r="BL715" s="7">
        <f>_xlfn.IFNA(VLOOKUP(Wapato_Inventory[[#This Row],[condition]],Lookups!$H$17:$J$24,3,FALSE),0)</f>
        <v>52231</v>
      </c>
      <c r="BM715" s="7">
        <f>Wapato_Inventory[[#This Row],[Age]]*Lookups!$B$16</f>
        <v>-28912.704600000001</v>
      </c>
      <c r="BN715" s="7">
        <f>Wapato_Inventory[[#This Row],[Main Floor]]*Lookups!$B$17</f>
        <v>30430.937991999999</v>
      </c>
      <c r="BO715" s="7">
        <f>Wapato_Inventory[[#This Row],[Upper Floor]]*Lookups!$B$18</f>
        <v>0</v>
      </c>
      <c r="BP715" s="7">
        <f>Wapato_Inventory[[#This Row],[Fin BSMT]]*Lookups!$B$19</f>
        <v>0</v>
      </c>
      <c r="BQ715" s="7">
        <f>(Wapato_Inventory[[#This Row],[att_gar]]+Wapato_Inventory[[#This Row],[blt_gar]])*Lookups!$B$20</f>
        <v>18652.411007999999</v>
      </c>
      <c r="BR715" s="7">
        <f>Wapato_Inventory[[#This Row],[Patio]]*Lookups!$B$21</f>
        <v>6931.8366400000004</v>
      </c>
      <c r="BS715" s="7">
        <f>SUM(Wapato_Inventory[[#This Row],[intercept]:[patio_value]])*Wapato_Inventory[[#This Row],[res_pct]]</f>
        <v>161132.75103999997</v>
      </c>
      <c r="BT715" s="7">
        <f>Wapato_Inventory[[#This Row],[land_value]]</f>
        <v>53000</v>
      </c>
      <c r="BU715" s="2">
        <f>_xlfn.IFNA(VLOOKUP(Wapato_Inventory[[#This Row],[quality]],Lookups!$A$28:$C$37,3,FALSE),1)</f>
        <v>0.96265813922927435</v>
      </c>
      <c r="BV715" s="2">
        <f>_xlfn.IFNA(VLOOKUP(Wapato_Inventory[[#This Row],[condition]],Lookups!$A$41:$C$48,3,FALSE),1)</f>
        <v>0.9832333997567807</v>
      </c>
      <c r="BW715" s="2">
        <f>IF(Wapato_Inventory[[#This Row],[decade]]="",1,_xlfn.IFNA(VLOOKUP(Wapato_Inventory[[#This Row],[decade]],Lookups!$F$28:$H$45,3,FALSE),1))</f>
        <v>0.8438929209510081</v>
      </c>
      <c r="BX715" s="2">
        <f>_xlfn.IFNA(VLOOKUP(Wapato_Inventory[[#This Row],[living_area_range]],Lookups!$K$28:$M$37,3,FALSE),1)</f>
        <v>0.99022994770196116</v>
      </c>
      <c r="BY715" s="2">
        <f>AVERAGE(Wapato_Inventory[[#This Row],[qual_adj]:[range_adj]])</f>
        <v>0.94500360190975607</v>
      </c>
      <c r="BZ715" s="7">
        <f>(Wapato_Inventory[[#This Row],[sum_land]]-IF(Wapato_Inventory[[#This Row],[no_utilities]]=1,12000,0))/IF(Wapato_Inventory[[#This Row],[unbuildable]]=1,2,1)</f>
        <v>53000</v>
      </c>
      <c r="CA715" s="7">
        <f>Wapato_Inventory[[#This Row],[pre_res]]*Wapato_Inventory[[#This Row],[overall_adj]]</f>
        <v>152271.03011842797</v>
      </c>
      <c r="CB71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15" s="3">
        <f>IF(ROUND(Wapato_Inventory[[#This Row],[adj_res]]*Lookups!$H$48,-2)&lt;Wapato_Inventory[[#This Row],[min_res]],Wapato_Inventory[[#This Row],[min_res]],ROUND(Wapato_Inventory[[#This Row],[adj_res]]*Lookups!$H$48,-2))</f>
        <v>144700</v>
      </c>
      <c r="CD715" s="3">
        <f>ROUND(Wapato_Inventory[[#This Row],[det_value]]*Lookups!$H$48,-2)</f>
        <v>0</v>
      </c>
      <c r="CE715" s="3">
        <f>Wapato_Inventory[[#This Row],[final_res]]+Wapato_Inventory[[#This Row],[final_det]]</f>
        <v>144700</v>
      </c>
      <c r="CF715" s="3">
        <f>Wapato_Inventory[[#This Row],[crop_value]]+Wapato_Inventory[[#This Row],[final_land]]+Wapato_Inventory[[#This Row],[final_imp]]</f>
        <v>195100</v>
      </c>
      <c r="CH715" t="str">
        <f t="shared" si="11"/>
        <v>update valuation set market_land =50400, market_bldg=144700, market_total =195100, market_mdno =405, market_date ='9/10/2023' where link_id = (select link_id from parcel where parcel_year = '2024' and parcel_id = '19111513530');</v>
      </c>
    </row>
    <row r="716" spans="1:86" x14ac:dyDescent="0.25">
      <c r="A716">
        <v>19111513531</v>
      </c>
      <c r="B716">
        <v>0.17</v>
      </c>
      <c r="C716">
        <v>7242</v>
      </c>
      <c r="D716" t="s">
        <v>144</v>
      </c>
      <c r="E716" t="s">
        <v>54</v>
      </c>
      <c r="F716" t="s">
        <v>54</v>
      </c>
      <c r="G716">
        <v>3</v>
      </c>
      <c r="H716" t="s">
        <v>55</v>
      </c>
      <c r="I716">
        <v>162900</v>
      </c>
      <c r="J716">
        <v>33200</v>
      </c>
      <c r="K716">
        <v>0.17</v>
      </c>
      <c r="L716">
        <f>IF(Wapato_Inventory[[#This Row],[parcel_acres]]-Wapato_Inventory[[#This Row],[non_valued_acres]] =0,0,LN(Wapato_Inventory[[#This Row],[parcel_acres]]-Wapato_Inventory[[#This Row],[non_valued_acres]]))</f>
        <v>-1.7719568419318752</v>
      </c>
      <c r="M716">
        <v>0</v>
      </c>
      <c r="N716">
        <v>0</v>
      </c>
      <c r="O716">
        <v>0</v>
      </c>
      <c r="P716">
        <v>27904.037</v>
      </c>
      <c r="Q716">
        <v>74398</v>
      </c>
      <c r="R716" s="3">
        <f>(Wapato_Inventory[[#This Row],[ln_acres]]*Wapato_Inventory[[#This Row],[coeff]])+Wapato_Inventory[[#This Row],[const]]</f>
        <v>24953.250720329801</v>
      </c>
      <c r="S716" t="s">
        <v>56</v>
      </c>
      <c r="T716">
        <v>2</v>
      </c>
      <c r="U716" t="s">
        <v>75</v>
      </c>
      <c r="V716" t="s">
        <v>68</v>
      </c>
      <c r="W716">
        <v>0</v>
      </c>
      <c r="X716">
        <v>0</v>
      </c>
      <c r="Y716">
        <v>60</v>
      </c>
      <c r="Z716">
        <v>108</v>
      </c>
      <c r="AA716">
        <v>110</v>
      </c>
      <c r="AB716">
        <v>2000</v>
      </c>
      <c r="AC716">
        <v>1554</v>
      </c>
      <c r="AD716">
        <v>1112</v>
      </c>
      <c r="AE716">
        <v>442</v>
      </c>
      <c r="AF716">
        <v>0</v>
      </c>
      <c r="AG716">
        <v>0</v>
      </c>
      <c r="AH716">
        <v>0</v>
      </c>
      <c r="AI716">
        <v>0</v>
      </c>
      <c r="AJ716">
        <v>0</v>
      </c>
      <c r="AK716">
        <v>0</v>
      </c>
      <c r="AL716">
        <v>204</v>
      </c>
      <c r="AM716">
        <v>0</v>
      </c>
      <c r="AN716">
        <v>0</v>
      </c>
      <c r="AO716">
        <v>252</v>
      </c>
      <c r="AP716">
        <v>7</v>
      </c>
      <c r="AQ716">
        <v>0</v>
      </c>
      <c r="AR716">
        <v>0</v>
      </c>
      <c r="AS716" t="s">
        <v>59</v>
      </c>
      <c r="AT716">
        <v>1</v>
      </c>
      <c r="AU716" t="s">
        <v>64</v>
      </c>
      <c r="AV716" t="s">
        <v>65</v>
      </c>
      <c r="AW716">
        <v>1</v>
      </c>
      <c r="AX716">
        <v>3</v>
      </c>
      <c r="AY716">
        <v>0</v>
      </c>
      <c r="AZ716">
        <v>5500</v>
      </c>
      <c r="BA716">
        <v>100</v>
      </c>
      <c r="BB716">
        <v>100</v>
      </c>
      <c r="BC716">
        <v>100</v>
      </c>
      <c r="BD716">
        <v>100</v>
      </c>
      <c r="BE716">
        <v>1</v>
      </c>
      <c r="BF716">
        <v>15000</v>
      </c>
      <c r="BG716">
        <v>1000</v>
      </c>
      <c r="BH716" s="7">
        <f>ROUND(Wapato_Inventory[[#This Row],[detatched_value]]*Lookups!$B$22*Lookups!$H$48,-2)</f>
        <v>4900</v>
      </c>
      <c r="BI716" s="7">
        <f>ROUND(((Wapato_Inventory[[#This Row],[land_extract]]*Lookups!$B$3) +(Lookups!$B$2*0.5))*Lookups!$H$48,-2)</f>
        <v>53500</v>
      </c>
      <c r="BJ716" s="7">
        <f>IF(Wapato_Inventory[[#This Row],[bldg_style]]="",0,Lookups!$B$2*0.5)</f>
        <v>53765.27</v>
      </c>
      <c r="BK716" s="7">
        <f>_xlfn.IFNA(VLOOKUP(Wapato_Inventory[[#This Row],[quality]],Lookups!$H$2:$J$14,3,FALSE),0)</f>
        <v>48043</v>
      </c>
      <c r="BL716" s="7">
        <f>_xlfn.IFNA(VLOOKUP(Wapato_Inventory[[#This Row],[condition]],Lookups!$H$17:$J$24,3,FALSE),0)</f>
        <v>52231</v>
      </c>
      <c r="BM716" s="7">
        <f>Wapato_Inventory[[#This Row],[Age]]*Lookups!$B$16</f>
        <v>-40032.975599999998</v>
      </c>
      <c r="BN716" s="7">
        <f>Wapato_Inventory[[#This Row],[Main Floor]]*Lookups!$B$17</f>
        <v>46482.421768</v>
      </c>
      <c r="BO716" s="7">
        <f>Wapato_Inventory[[#This Row],[Upper Floor]]*Lookups!$B$18</f>
        <v>21923.703438</v>
      </c>
      <c r="BP716" s="7">
        <f>Wapato_Inventory[[#This Row],[Fin BSMT]]*Lookups!$B$19</f>
        <v>0</v>
      </c>
      <c r="BQ716" s="7">
        <f>(Wapato_Inventory[[#This Row],[att_gar]]+Wapato_Inventory[[#This Row],[blt_gar]])*Lookups!$B$20</f>
        <v>0</v>
      </c>
      <c r="BR716" s="7">
        <f>Wapato_Inventory[[#This Row],[Patio]]*Lookups!$B$21</f>
        <v>0</v>
      </c>
      <c r="BS716" s="7">
        <f>SUM(Wapato_Inventory[[#This Row],[intercept]:[patio_value]])*Wapato_Inventory[[#This Row],[res_pct]]</f>
        <v>182412.41960599998</v>
      </c>
      <c r="BT716" s="7">
        <f>Wapato_Inventory[[#This Row],[land_value]]</f>
        <v>53500</v>
      </c>
      <c r="BU716" s="2">
        <f>_xlfn.IFNA(VLOOKUP(Wapato_Inventory[[#This Row],[quality]],Lookups!$A$28:$C$37,3,FALSE),1)</f>
        <v>0.98196844879778955</v>
      </c>
      <c r="BV716" s="2">
        <f>_xlfn.IFNA(VLOOKUP(Wapato_Inventory[[#This Row],[condition]],Lookups!$A$41:$C$48,3,FALSE),1)</f>
        <v>0.9832333997567807</v>
      </c>
      <c r="BW716" s="2">
        <f>IF(Wapato_Inventory[[#This Row],[decade]]="",1,_xlfn.IFNA(VLOOKUP(Wapato_Inventory[[#This Row],[decade]],Lookups!$F$28:$H$45,3,FALSE),1))</f>
        <v>0.93664589651353292</v>
      </c>
      <c r="BX716" s="2">
        <f>_xlfn.IFNA(VLOOKUP(Wapato_Inventory[[#This Row],[living_area_range]],Lookups!$K$28:$M$37,3,FALSE),1)</f>
        <v>0.99330894324714125</v>
      </c>
      <c r="BY716" s="2">
        <f>AVERAGE(Wapato_Inventory[[#This Row],[qual_adj]:[range_adj]])</f>
        <v>0.9737891720788111</v>
      </c>
      <c r="BZ716" s="7">
        <f>(Wapato_Inventory[[#This Row],[sum_land]]-IF(Wapato_Inventory[[#This Row],[no_utilities]]=1,12000,0))/IF(Wapato_Inventory[[#This Row],[unbuildable]]=1,2,1)</f>
        <v>53500</v>
      </c>
      <c r="CA716" s="7">
        <f>Wapato_Inventory[[#This Row],[pre_res]]*Wapato_Inventory[[#This Row],[overall_adj]]</f>
        <v>177631.23906501941</v>
      </c>
      <c r="CB716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716" s="3">
        <f>IF(ROUND(Wapato_Inventory[[#This Row],[adj_res]]*Lookups!$H$48,-2)&lt;Wapato_Inventory[[#This Row],[min_res]],Wapato_Inventory[[#This Row],[min_res]],ROUND(Wapato_Inventory[[#This Row],[adj_res]]*Lookups!$H$48,-2))</f>
        <v>168700</v>
      </c>
      <c r="CD716" s="3">
        <f>ROUND(Wapato_Inventory[[#This Row],[det_value]]*Lookups!$H$48,-2)</f>
        <v>4700</v>
      </c>
      <c r="CE716" s="3">
        <f>Wapato_Inventory[[#This Row],[final_res]]+Wapato_Inventory[[#This Row],[final_det]]</f>
        <v>173400</v>
      </c>
      <c r="CF716" s="3">
        <f>Wapato_Inventory[[#This Row],[crop_value]]+Wapato_Inventory[[#This Row],[final_land]]+Wapato_Inventory[[#This Row],[final_imp]]</f>
        <v>224200</v>
      </c>
      <c r="CH716" t="str">
        <f t="shared" si="11"/>
        <v>update valuation set market_land =50800, market_bldg=173400, market_total =224200, market_mdno =405, market_date ='9/10/2023' where link_id = (select link_id from parcel where parcel_year = '2024' and parcel_id = '19111513531');</v>
      </c>
    </row>
    <row r="717" spans="1:86" x14ac:dyDescent="0.25">
      <c r="A717">
        <v>19111513532</v>
      </c>
      <c r="B717">
        <v>0.11</v>
      </c>
      <c r="C717">
        <v>4961</v>
      </c>
      <c r="D717" t="s">
        <v>144</v>
      </c>
      <c r="E717" t="s">
        <v>54</v>
      </c>
      <c r="F717" t="s">
        <v>54</v>
      </c>
      <c r="G717">
        <v>3</v>
      </c>
      <c r="H717" t="s">
        <v>55</v>
      </c>
      <c r="I717">
        <v>157500</v>
      </c>
      <c r="J717">
        <v>30200</v>
      </c>
      <c r="K717">
        <v>0.11</v>
      </c>
      <c r="L717">
        <f>IF(Wapato_Inventory[[#This Row],[parcel_acres]]-Wapato_Inventory[[#This Row],[non_valued_acres]] =0,0,LN(Wapato_Inventory[[#This Row],[parcel_acres]]-Wapato_Inventory[[#This Row],[non_valued_acres]]))</f>
        <v>-2.2072749131897207</v>
      </c>
      <c r="M717">
        <v>0</v>
      </c>
      <c r="N717">
        <v>0</v>
      </c>
      <c r="O717">
        <v>0</v>
      </c>
      <c r="P717">
        <v>27904.037</v>
      </c>
      <c r="Q717">
        <v>74398</v>
      </c>
      <c r="R717" s="3">
        <f>(Wapato_Inventory[[#This Row],[ln_acres]]*Wapato_Inventory[[#This Row],[coeff]])+Wapato_Inventory[[#This Row],[const]]</f>
        <v>12806.119153182248</v>
      </c>
      <c r="S717" t="s">
        <v>62</v>
      </c>
      <c r="T717">
        <v>1</v>
      </c>
      <c r="U717" t="s">
        <v>67</v>
      </c>
      <c r="V717" t="s">
        <v>68</v>
      </c>
      <c r="W717">
        <v>0</v>
      </c>
      <c r="X717">
        <v>0</v>
      </c>
      <c r="Y717">
        <v>48</v>
      </c>
      <c r="Z717">
        <v>63</v>
      </c>
      <c r="AA717">
        <v>70</v>
      </c>
      <c r="AB717">
        <v>1500</v>
      </c>
      <c r="AC717">
        <v>1008</v>
      </c>
      <c r="AD717">
        <v>1008</v>
      </c>
      <c r="AE717">
        <v>0</v>
      </c>
      <c r="AF717">
        <v>0</v>
      </c>
      <c r="AG717">
        <v>0</v>
      </c>
      <c r="AH717">
        <v>0</v>
      </c>
      <c r="AI717">
        <v>336</v>
      </c>
      <c r="AJ717">
        <v>0</v>
      </c>
      <c r="AK717">
        <v>0</v>
      </c>
      <c r="AL717">
        <v>0</v>
      </c>
      <c r="AM717">
        <v>168</v>
      </c>
      <c r="AN717">
        <v>0</v>
      </c>
      <c r="AO717">
        <v>168</v>
      </c>
      <c r="AP717">
        <v>5</v>
      </c>
      <c r="AQ717">
        <v>0</v>
      </c>
      <c r="AR717">
        <v>0</v>
      </c>
      <c r="AS717" t="s">
        <v>59</v>
      </c>
      <c r="AT717">
        <v>1</v>
      </c>
      <c r="AU717" t="s">
        <v>64</v>
      </c>
      <c r="AV717" t="s">
        <v>65</v>
      </c>
      <c r="AW717">
        <v>1</v>
      </c>
      <c r="AX717">
        <v>3</v>
      </c>
      <c r="AY717">
        <v>0</v>
      </c>
      <c r="AZ717">
        <v>2200</v>
      </c>
      <c r="BA717">
        <v>100</v>
      </c>
      <c r="BB717">
        <v>100</v>
      </c>
      <c r="BC717">
        <v>100</v>
      </c>
      <c r="BD717">
        <v>100</v>
      </c>
      <c r="BE717">
        <v>1</v>
      </c>
      <c r="BF717">
        <v>15000</v>
      </c>
      <c r="BG717">
        <v>1000</v>
      </c>
      <c r="BH717" s="7">
        <f>ROUND(Wapato_Inventory[[#This Row],[detatched_value]]*Lookups!$B$22*Lookups!$H$48,-2)</f>
        <v>2000</v>
      </c>
      <c r="BI717" s="7">
        <f>ROUND(((Wapato_Inventory[[#This Row],[land_extract]]*Lookups!$B$3) +(Lookups!$B$2*0.5))*Lookups!$H$48,-2)</f>
        <v>52300</v>
      </c>
      <c r="BJ717" s="7">
        <f>IF(Wapato_Inventory[[#This Row],[bldg_style]]="",0,Lookups!$B$2*0.5)</f>
        <v>53765.27</v>
      </c>
      <c r="BK717" s="7">
        <f>_xlfn.IFNA(VLOOKUP(Wapato_Inventory[[#This Row],[quality]],Lookups!$H$2:$J$14,3,FALSE),0)</f>
        <v>50405</v>
      </c>
      <c r="BL717" s="7">
        <f>_xlfn.IFNA(VLOOKUP(Wapato_Inventory[[#This Row],[condition]],Lookups!$H$17:$J$24,3,FALSE),0)</f>
        <v>52231</v>
      </c>
      <c r="BM717" s="7">
        <f>Wapato_Inventory[[#This Row],[Age]]*Lookups!$B$16</f>
        <v>-23352.569100000001</v>
      </c>
      <c r="BN717" s="7">
        <f>Wapato_Inventory[[#This Row],[Main Floor]]*Lookups!$B$17</f>
        <v>42135.144912000003</v>
      </c>
      <c r="BO717" s="7">
        <f>Wapato_Inventory[[#This Row],[Upper Floor]]*Lookups!$B$18</f>
        <v>0</v>
      </c>
      <c r="BP717" s="7">
        <f>Wapato_Inventory[[#This Row],[Fin BSMT]]*Lookups!$B$19</f>
        <v>0</v>
      </c>
      <c r="BQ717" s="7">
        <f>(Wapato_Inventory[[#This Row],[att_gar]]+Wapato_Inventory[[#This Row],[blt_gar]])*Lookups!$B$20</f>
        <v>12434.940672000001</v>
      </c>
      <c r="BR717" s="7">
        <f>Wapato_Inventory[[#This Row],[Patio]]*Lookups!$B$21</f>
        <v>7278.4284720000005</v>
      </c>
      <c r="BS717" s="7">
        <f>SUM(Wapato_Inventory[[#This Row],[intercept]:[patio_value]])*Wapato_Inventory[[#This Row],[res_pct]]</f>
        <v>194897.21495599998</v>
      </c>
      <c r="BT717" s="7">
        <f>Wapato_Inventory[[#This Row],[land_value]]</f>
        <v>52300</v>
      </c>
      <c r="BU717" s="2">
        <f>_xlfn.IFNA(VLOOKUP(Wapato_Inventory[[#This Row],[quality]],Lookups!$A$28:$C$37,3,FALSE),1)</f>
        <v>0.97993206410140754</v>
      </c>
      <c r="BV717" s="2">
        <f>_xlfn.IFNA(VLOOKUP(Wapato_Inventory[[#This Row],[condition]],Lookups!$A$41:$C$48,3,FALSE),1)</f>
        <v>0.9832333997567807</v>
      </c>
      <c r="BW717" s="2">
        <f>IF(Wapato_Inventory[[#This Row],[decade]]="",1,_xlfn.IFNA(VLOOKUP(Wapato_Inventory[[#This Row],[decade]],Lookups!$F$28:$H$45,3,FALSE),1))</f>
        <v>1.0012715221492001</v>
      </c>
      <c r="BX717" s="2">
        <f>_xlfn.IFNA(VLOOKUP(Wapato_Inventory[[#This Row],[living_area_range]],Lookups!$K$28:$M$37,3,FALSE),1)</f>
        <v>1.0061411172456287</v>
      </c>
      <c r="BY717" s="2">
        <f>AVERAGE(Wapato_Inventory[[#This Row],[qual_adj]:[range_adj]])</f>
        <v>0.99264452581325435</v>
      </c>
      <c r="BZ717" s="7">
        <f>(Wapato_Inventory[[#This Row],[sum_land]]-IF(Wapato_Inventory[[#This Row],[no_utilities]]=1,12000,0))/IF(Wapato_Inventory[[#This Row],[unbuildable]]=1,2,1)</f>
        <v>52300</v>
      </c>
      <c r="CA717" s="7">
        <f>Wapato_Inventory[[#This Row],[pre_res]]*Wapato_Inventory[[#This Row],[overall_adj]]</f>
        <v>193463.65352232251</v>
      </c>
      <c r="CB717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717" s="3">
        <f>IF(ROUND(Wapato_Inventory[[#This Row],[adj_res]]*Lookups!$H$48,-2)&lt;Wapato_Inventory[[#This Row],[min_res]],Wapato_Inventory[[#This Row],[min_res]],ROUND(Wapato_Inventory[[#This Row],[adj_res]]*Lookups!$H$48,-2))</f>
        <v>183800</v>
      </c>
      <c r="CD717" s="3">
        <f>ROUND(Wapato_Inventory[[#This Row],[det_value]]*Lookups!$H$48,-2)</f>
        <v>1900</v>
      </c>
      <c r="CE717" s="3">
        <f>Wapato_Inventory[[#This Row],[final_res]]+Wapato_Inventory[[#This Row],[final_det]]</f>
        <v>185700</v>
      </c>
      <c r="CF717" s="3">
        <f>Wapato_Inventory[[#This Row],[crop_value]]+Wapato_Inventory[[#This Row],[final_land]]+Wapato_Inventory[[#This Row],[final_imp]]</f>
        <v>235400</v>
      </c>
      <c r="CH717" t="str">
        <f t="shared" si="11"/>
        <v>update valuation set market_land =49700, market_bldg=185700, market_total =235400, market_mdno =405, market_date ='9/10/2023' where link_id = (select link_id from parcel where parcel_year = '2024' and parcel_id = '19111513532');</v>
      </c>
    </row>
    <row r="718" spans="1:86" x14ac:dyDescent="0.25">
      <c r="A718">
        <v>19111513533</v>
      </c>
      <c r="B718">
        <v>0.26</v>
      </c>
      <c r="C718">
        <v>11231</v>
      </c>
      <c r="D718" t="s">
        <v>144</v>
      </c>
      <c r="E718" t="s">
        <v>54</v>
      </c>
      <c r="F718" t="s">
        <v>54</v>
      </c>
      <c r="G718">
        <v>3</v>
      </c>
      <c r="H718" t="s">
        <v>55</v>
      </c>
      <c r="I718">
        <v>160600</v>
      </c>
      <c r="J718">
        <v>36300</v>
      </c>
      <c r="K718">
        <v>0.26</v>
      </c>
      <c r="L718">
        <f>IF(Wapato_Inventory[[#This Row],[parcel_acres]]-Wapato_Inventory[[#This Row],[non_valued_acres]] =0,0,LN(Wapato_Inventory[[#This Row],[parcel_acres]]-Wapato_Inventory[[#This Row],[non_valued_acres]]))</f>
        <v>-1.3470736479666092</v>
      </c>
      <c r="M718">
        <v>0</v>
      </c>
      <c r="N718">
        <v>0</v>
      </c>
      <c r="O718">
        <v>0</v>
      </c>
      <c r="P718">
        <v>27904.037</v>
      </c>
      <c r="Q718">
        <v>74398</v>
      </c>
      <c r="R718" s="3">
        <f>(Wapato_Inventory[[#This Row],[ln_acres]]*Wapato_Inventory[[#This Row],[coeff]])+Wapato_Inventory[[#This Row],[const]]</f>
        <v>36809.207085414761</v>
      </c>
      <c r="S718" t="s">
        <v>56</v>
      </c>
      <c r="T718">
        <v>2</v>
      </c>
      <c r="U718" t="s">
        <v>75</v>
      </c>
      <c r="V718" t="s">
        <v>68</v>
      </c>
      <c r="W718">
        <v>0</v>
      </c>
      <c r="X718">
        <v>0</v>
      </c>
      <c r="Y718">
        <v>52</v>
      </c>
      <c r="Z718">
        <v>88</v>
      </c>
      <c r="AA718">
        <v>90</v>
      </c>
      <c r="AB718">
        <v>1500</v>
      </c>
      <c r="AC718">
        <v>1463</v>
      </c>
      <c r="AD718">
        <v>915</v>
      </c>
      <c r="AE718">
        <v>330</v>
      </c>
      <c r="AF718">
        <v>0</v>
      </c>
      <c r="AG718">
        <v>218</v>
      </c>
      <c r="AH718">
        <v>442</v>
      </c>
      <c r="AI718">
        <v>0</v>
      </c>
      <c r="AJ718">
        <v>0</v>
      </c>
      <c r="AK718">
        <v>304</v>
      </c>
      <c r="AL718">
        <v>0</v>
      </c>
      <c r="AM718">
        <v>0</v>
      </c>
      <c r="AN718">
        <v>0</v>
      </c>
      <c r="AO718">
        <v>0</v>
      </c>
      <c r="AP718">
        <v>8</v>
      </c>
      <c r="AQ718">
        <v>0</v>
      </c>
      <c r="AR718">
        <v>0</v>
      </c>
      <c r="AS718" t="s">
        <v>59</v>
      </c>
      <c r="AT718">
        <v>1</v>
      </c>
      <c r="AU718" t="s">
        <v>64</v>
      </c>
      <c r="AV718" t="s">
        <v>61</v>
      </c>
      <c r="AW718">
        <v>0</v>
      </c>
      <c r="AX718">
        <v>3</v>
      </c>
      <c r="AY718">
        <v>0</v>
      </c>
      <c r="AZ718">
        <v>0</v>
      </c>
      <c r="BA718">
        <v>100</v>
      </c>
      <c r="BB718">
        <v>100</v>
      </c>
      <c r="BC718">
        <v>100</v>
      </c>
      <c r="BD718">
        <v>100</v>
      </c>
      <c r="BE718">
        <v>1</v>
      </c>
      <c r="BF718">
        <v>15000</v>
      </c>
      <c r="BG718">
        <v>1000</v>
      </c>
      <c r="BH718" s="7">
        <f>ROUND(Wapato_Inventory[[#This Row],[detatched_value]]*Lookups!$B$22*Lookups!$H$48,-2)</f>
        <v>0</v>
      </c>
      <c r="BI718" s="7">
        <f>ROUND(((Wapato_Inventory[[#This Row],[land_extract]]*Lookups!$B$3) +(Lookups!$B$2*0.5))*Lookups!$H$48,-2)</f>
        <v>54600</v>
      </c>
      <c r="BJ718" s="7">
        <f>IF(Wapato_Inventory[[#This Row],[bldg_style]]="",0,Lookups!$B$2*0.5)</f>
        <v>53765.27</v>
      </c>
      <c r="BK718" s="7">
        <f>_xlfn.IFNA(VLOOKUP(Wapato_Inventory[[#This Row],[quality]],Lookups!$H$2:$J$14,3,FALSE),0)</f>
        <v>48043</v>
      </c>
      <c r="BL718" s="7">
        <f>_xlfn.IFNA(VLOOKUP(Wapato_Inventory[[#This Row],[condition]],Lookups!$H$17:$J$24,3,FALSE),0)</f>
        <v>52231</v>
      </c>
      <c r="BM718" s="7">
        <f>Wapato_Inventory[[#This Row],[Age]]*Lookups!$B$16</f>
        <v>-32619.461600000002</v>
      </c>
      <c r="BN718" s="7">
        <f>Wapato_Inventory[[#This Row],[Main Floor]]*Lookups!$B$17</f>
        <v>38247.676184999997</v>
      </c>
      <c r="BO718" s="7">
        <f>Wapato_Inventory[[#This Row],[Upper Floor]]*Lookups!$B$18</f>
        <v>16368.375870000002</v>
      </c>
      <c r="BP718" s="7">
        <f>Wapato_Inventory[[#This Row],[Fin BSMT]]*Lookups!$B$19</f>
        <v>5311.9493199999997</v>
      </c>
      <c r="BQ718" s="7">
        <f>(Wapato_Inventory[[#This Row],[att_gar]]+Wapato_Inventory[[#This Row],[blt_gar]])*Lookups!$B$20</f>
        <v>0</v>
      </c>
      <c r="BR718" s="7">
        <f>Wapato_Inventory[[#This Row],[Patio]]*Lookups!$B$21</f>
        <v>0</v>
      </c>
      <c r="BS718" s="7">
        <f>SUM(Wapato_Inventory[[#This Row],[intercept]:[patio_value]])*Wapato_Inventory[[#This Row],[res_pct]]</f>
        <v>181347.80977499997</v>
      </c>
      <c r="BT718" s="7">
        <f>Wapato_Inventory[[#This Row],[land_value]]</f>
        <v>54600</v>
      </c>
      <c r="BU718" s="2">
        <f>_xlfn.IFNA(VLOOKUP(Wapato_Inventory[[#This Row],[quality]],Lookups!$A$28:$C$37,3,FALSE),1)</f>
        <v>0.98196844879778955</v>
      </c>
      <c r="BV718" s="2">
        <f>_xlfn.IFNA(VLOOKUP(Wapato_Inventory[[#This Row],[condition]],Lookups!$A$41:$C$48,3,FALSE),1)</f>
        <v>0.9832333997567807</v>
      </c>
      <c r="BW718" s="2">
        <f>IF(Wapato_Inventory[[#This Row],[decade]]="",1,_xlfn.IFNA(VLOOKUP(Wapato_Inventory[[#This Row],[decade]],Lookups!$F$28:$H$45,3,FALSE),1))</f>
        <v>0.94742695999815718</v>
      </c>
      <c r="BX718" s="2">
        <f>_xlfn.IFNA(VLOOKUP(Wapato_Inventory[[#This Row],[living_area_range]],Lookups!$K$28:$M$37,3,FALSE),1)</f>
        <v>1.0061411172456287</v>
      </c>
      <c r="BY718" s="2">
        <f>AVERAGE(Wapato_Inventory[[#This Row],[qual_adj]:[range_adj]])</f>
        <v>0.97969248144958898</v>
      </c>
      <c r="BZ718" s="7">
        <f>(Wapato_Inventory[[#This Row],[sum_land]]-IF(Wapato_Inventory[[#This Row],[no_utilities]]=1,12000,0))/IF(Wapato_Inventory[[#This Row],[unbuildable]]=1,2,1)</f>
        <v>54600</v>
      </c>
      <c r="CA718" s="7">
        <f>Wapato_Inventory[[#This Row],[pre_res]]*Wapato_Inventory[[#This Row],[overall_adj]]</f>
        <v>177665.08576391774</v>
      </c>
      <c r="CB718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718" s="3">
        <f>IF(ROUND(Wapato_Inventory[[#This Row],[adj_res]]*Lookups!$H$48,-2)&lt;Wapato_Inventory[[#This Row],[min_res]],Wapato_Inventory[[#This Row],[min_res]],ROUND(Wapato_Inventory[[#This Row],[adj_res]]*Lookups!$H$48,-2))</f>
        <v>168800</v>
      </c>
      <c r="CD718" s="3">
        <f>ROUND(Wapato_Inventory[[#This Row],[det_value]]*Lookups!$H$48,-2)</f>
        <v>0</v>
      </c>
      <c r="CE718" s="3">
        <f>Wapato_Inventory[[#This Row],[final_res]]+Wapato_Inventory[[#This Row],[final_det]]</f>
        <v>168800</v>
      </c>
      <c r="CF718" s="3">
        <f>Wapato_Inventory[[#This Row],[crop_value]]+Wapato_Inventory[[#This Row],[final_land]]+Wapato_Inventory[[#This Row],[final_imp]]</f>
        <v>220700</v>
      </c>
      <c r="CH718" t="str">
        <f t="shared" si="11"/>
        <v>update valuation set market_land =51900, market_bldg=168800, market_total =220700, market_mdno =405, market_date ='9/10/2023' where link_id = (select link_id from parcel where parcel_year = '2024' and parcel_id = '19111513533');</v>
      </c>
    </row>
    <row r="719" spans="1:86" x14ac:dyDescent="0.25">
      <c r="A719">
        <v>19111513534</v>
      </c>
      <c r="B719">
        <v>0.13</v>
      </c>
      <c r="C719">
        <v>5561</v>
      </c>
      <c r="D719" t="s">
        <v>144</v>
      </c>
      <c r="E719" t="s">
        <v>54</v>
      </c>
      <c r="F719" t="s">
        <v>54</v>
      </c>
      <c r="G719">
        <v>3</v>
      </c>
      <c r="H719" t="s">
        <v>55</v>
      </c>
      <c r="I719">
        <v>85800</v>
      </c>
      <c r="J719">
        <v>31400</v>
      </c>
      <c r="K719">
        <v>0.13</v>
      </c>
      <c r="L719">
        <f>IF(Wapato_Inventory[[#This Row],[parcel_acres]]-Wapato_Inventory[[#This Row],[non_valued_acres]] =0,0,LN(Wapato_Inventory[[#This Row],[parcel_acres]]-Wapato_Inventory[[#This Row],[non_valued_acres]]))</f>
        <v>-2.0402208285265546</v>
      </c>
      <c r="M719">
        <v>0</v>
      </c>
      <c r="N719">
        <v>0</v>
      </c>
      <c r="O719">
        <v>0</v>
      </c>
      <c r="P719">
        <v>27904.037</v>
      </c>
      <c r="Q719">
        <v>74398</v>
      </c>
      <c r="R719" s="3">
        <f>(Wapato_Inventory[[#This Row],[ln_acres]]*Wapato_Inventory[[#This Row],[coeff]])+Wapato_Inventory[[#This Row],[const]]</f>
        <v>17467.602512624362</v>
      </c>
      <c r="S719" t="s">
        <v>66</v>
      </c>
      <c r="T719">
        <v>1</v>
      </c>
      <c r="U719" t="s">
        <v>71</v>
      </c>
      <c r="V719" t="s">
        <v>68</v>
      </c>
      <c r="W719">
        <v>0</v>
      </c>
      <c r="X719">
        <v>0</v>
      </c>
      <c r="Y719">
        <v>75</v>
      </c>
      <c r="Z719">
        <v>123</v>
      </c>
      <c r="AA719">
        <v>130</v>
      </c>
      <c r="AB719">
        <v>1000</v>
      </c>
      <c r="AC719">
        <v>816</v>
      </c>
      <c r="AD719">
        <v>816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300</v>
      </c>
      <c r="AL719">
        <v>0</v>
      </c>
      <c r="AM719">
        <v>0</v>
      </c>
      <c r="AN719">
        <v>0</v>
      </c>
      <c r="AO719">
        <v>0</v>
      </c>
      <c r="AP719">
        <v>5</v>
      </c>
      <c r="AQ719">
        <v>0</v>
      </c>
      <c r="AR719">
        <v>1</v>
      </c>
      <c r="AS719" t="s">
        <v>82</v>
      </c>
      <c r="AT719">
        <v>1</v>
      </c>
      <c r="AU719" t="s">
        <v>72</v>
      </c>
      <c r="AV719" t="s">
        <v>65</v>
      </c>
      <c r="AW719">
        <v>0</v>
      </c>
      <c r="AX719">
        <v>1</v>
      </c>
      <c r="AY719">
        <v>0</v>
      </c>
      <c r="AZ719">
        <v>0</v>
      </c>
      <c r="BA719">
        <v>100</v>
      </c>
      <c r="BB719">
        <v>100</v>
      </c>
      <c r="BC719">
        <v>100</v>
      </c>
      <c r="BD719">
        <v>100</v>
      </c>
      <c r="BE719">
        <v>1</v>
      </c>
      <c r="BF719">
        <v>15000</v>
      </c>
      <c r="BG719">
        <v>1000</v>
      </c>
      <c r="BH719" s="7">
        <f>ROUND(Wapato_Inventory[[#This Row],[detatched_value]]*Lookups!$B$22*Lookups!$H$48,-2)</f>
        <v>0</v>
      </c>
      <c r="BI719" s="7">
        <f>ROUND(((Wapato_Inventory[[#This Row],[land_extract]]*Lookups!$B$3) +(Lookups!$B$2*0.5))*Lookups!$H$48,-2)</f>
        <v>52800</v>
      </c>
      <c r="BJ719" s="7">
        <f>IF(Wapato_Inventory[[#This Row],[bldg_style]]="",0,Lookups!$B$2*0.5)</f>
        <v>53765.27</v>
      </c>
      <c r="BK719" s="7">
        <f>_xlfn.IFNA(VLOOKUP(Wapato_Inventory[[#This Row],[quality]],Lookups!$H$2:$J$14,3,FALSE),0)</f>
        <v>28034</v>
      </c>
      <c r="BL719" s="7">
        <f>_xlfn.IFNA(VLOOKUP(Wapato_Inventory[[#This Row],[condition]],Lookups!$H$17:$J$24,3,FALSE),0)</f>
        <v>52231</v>
      </c>
      <c r="BM719" s="7">
        <f>Wapato_Inventory[[#This Row],[Age]]*Lookups!$B$16</f>
        <v>-45593.111100000002</v>
      </c>
      <c r="BN719" s="7">
        <f>Wapato_Inventory[[#This Row],[Main Floor]]*Lookups!$B$17</f>
        <v>34109.403023999999</v>
      </c>
      <c r="BO719" s="7">
        <f>Wapato_Inventory[[#This Row],[Upper Floor]]*Lookups!$B$18</f>
        <v>0</v>
      </c>
      <c r="BP719" s="7">
        <f>Wapato_Inventory[[#This Row],[Fin BSMT]]*Lookups!$B$19</f>
        <v>0</v>
      </c>
      <c r="BQ719" s="7">
        <f>(Wapato_Inventory[[#This Row],[att_gar]]+Wapato_Inventory[[#This Row],[blt_gar]])*Lookups!$B$20</f>
        <v>0</v>
      </c>
      <c r="BR719" s="7">
        <f>Wapato_Inventory[[#This Row],[Patio]]*Lookups!$B$21</f>
        <v>0</v>
      </c>
      <c r="BS719" s="7">
        <f>SUM(Wapato_Inventory[[#This Row],[intercept]:[patio_value]])*Wapato_Inventory[[#This Row],[res_pct]]</f>
        <v>122546.56192399998</v>
      </c>
      <c r="BT719" s="7">
        <f>Wapato_Inventory[[#This Row],[land_value]]</f>
        <v>52800</v>
      </c>
      <c r="BU719" s="2">
        <f>_xlfn.IFNA(VLOOKUP(Wapato_Inventory[[#This Row],[quality]],Lookups!$A$28:$C$37,3,FALSE),1)</f>
        <v>0.96265813922927435</v>
      </c>
      <c r="BV719" s="2">
        <f>_xlfn.IFNA(VLOOKUP(Wapato_Inventory[[#This Row],[condition]],Lookups!$A$41:$C$48,3,FALSE),1)</f>
        <v>0.9832333997567807</v>
      </c>
      <c r="BW719" s="2">
        <f>IF(Wapato_Inventory[[#This Row],[decade]]="",1,_xlfn.IFNA(VLOOKUP(Wapato_Inventory[[#This Row],[decade]],Lookups!$F$28:$H$45,3,FALSE),1))</f>
        <v>0.93664589651353292</v>
      </c>
      <c r="BX719" s="2">
        <f>_xlfn.IFNA(VLOOKUP(Wapato_Inventory[[#This Row],[living_area_range]],Lookups!$K$28:$M$37,3,FALSE),1)</f>
        <v>0.99022994770196116</v>
      </c>
      <c r="BY719" s="2">
        <f>AVERAGE(Wapato_Inventory[[#This Row],[qual_adj]:[range_adj]])</f>
        <v>0.9681918458003872</v>
      </c>
      <c r="BZ719" s="7">
        <f>(Wapato_Inventory[[#This Row],[sum_land]]-IF(Wapato_Inventory[[#This Row],[no_utilities]]=1,12000,0))/IF(Wapato_Inventory[[#This Row],[unbuildable]]=1,2,1)</f>
        <v>52800</v>
      </c>
      <c r="CA719" s="7">
        <f>Wapato_Inventory[[#This Row],[pre_res]]*Wapato_Inventory[[#This Row],[overall_adj]]</f>
        <v>118648.58198568899</v>
      </c>
      <c r="CB719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19" s="3">
        <f>IF(ROUND(Wapato_Inventory[[#This Row],[adj_res]]*Lookups!$H$48,-2)&lt;Wapato_Inventory[[#This Row],[min_res]],Wapato_Inventory[[#This Row],[min_res]],ROUND(Wapato_Inventory[[#This Row],[adj_res]]*Lookups!$H$48,-2))</f>
        <v>112700</v>
      </c>
      <c r="CD719" s="3">
        <f>ROUND(Wapato_Inventory[[#This Row],[det_value]]*Lookups!$H$48,-2)</f>
        <v>0</v>
      </c>
      <c r="CE719" s="3">
        <f>Wapato_Inventory[[#This Row],[final_res]]+Wapato_Inventory[[#This Row],[final_det]]</f>
        <v>112700</v>
      </c>
      <c r="CF719" s="3">
        <f>Wapato_Inventory[[#This Row],[crop_value]]+Wapato_Inventory[[#This Row],[final_land]]+Wapato_Inventory[[#This Row],[final_imp]]</f>
        <v>162900</v>
      </c>
      <c r="CH719" t="str">
        <f t="shared" si="11"/>
        <v>update valuation set market_land =50200, market_bldg=112700, market_total =162900, market_mdno =405, market_date ='9/10/2023' where link_id = (select link_id from parcel where parcel_year = '2024' and parcel_id = '19111513534');</v>
      </c>
    </row>
    <row r="720" spans="1:86" x14ac:dyDescent="0.25">
      <c r="A720">
        <v>19111513535</v>
      </c>
      <c r="B720">
        <v>0.11</v>
      </c>
      <c r="C720">
        <v>4904</v>
      </c>
      <c r="D720" t="s">
        <v>144</v>
      </c>
      <c r="E720" t="s">
        <v>54</v>
      </c>
      <c r="F720" t="s">
        <v>54</v>
      </c>
      <c r="G720">
        <v>3</v>
      </c>
      <c r="H720" t="s">
        <v>55</v>
      </c>
      <c r="I720">
        <v>176200</v>
      </c>
      <c r="J720">
        <v>30200</v>
      </c>
      <c r="K720">
        <v>0.11</v>
      </c>
      <c r="L720">
        <f>IF(Wapato_Inventory[[#This Row],[parcel_acres]]-Wapato_Inventory[[#This Row],[non_valued_acres]] =0,0,LN(Wapato_Inventory[[#This Row],[parcel_acres]]-Wapato_Inventory[[#This Row],[non_valued_acres]]))</f>
        <v>-2.2072749131897207</v>
      </c>
      <c r="M720">
        <v>0</v>
      </c>
      <c r="N720">
        <v>0</v>
      </c>
      <c r="O720">
        <v>0</v>
      </c>
      <c r="P720">
        <v>27904.037</v>
      </c>
      <c r="Q720">
        <v>74398</v>
      </c>
      <c r="R720" s="3">
        <f>(Wapato_Inventory[[#This Row],[ln_acres]]*Wapato_Inventory[[#This Row],[coeff]])+Wapato_Inventory[[#This Row],[const]]</f>
        <v>12806.119153182248</v>
      </c>
      <c r="S720" t="s">
        <v>66</v>
      </c>
      <c r="T720">
        <v>1</v>
      </c>
      <c r="U720" t="s">
        <v>75</v>
      </c>
      <c r="V720" t="s">
        <v>68</v>
      </c>
      <c r="W720">
        <v>0</v>
      </c>
      <c r="X720">
        <v>0</v>
      </c>
      <c r="Y720">
        <v>51</v>
      </c>
      <c r="Z720">
        <v>108</v>
      </c>
      <c r="AA720">
        <v>110</v>
      </c>
      <c r="AB720">
        <v>2000</v>
      </c>
      <c r="AC720">
        <v>1818</v>
      </c>
      <c r="AD720">
        <v>1818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  <c r="AN720">
        <v>156</v>
      </c>
      <c r="AO720">
        <v>0</v>
      </c>
      <c r="AP720">
        <v>7</v>
      </c>
      <c r="AQ720">
        <v>0</v>
      </c>
      <c r="AR720">
        <v>0</v>
      </c>
      <c r="AS720" t="s">
        <v>59</v>
      </c>
      <c r="AT720">
        <v>0</v>
      </c>
      <c r="AU720" t="s">
        <v>80</v>
      </c>
      <c r="AV720" t="s">
        <v>65</v>
      </c>
      <c r="AW720">
        <v>0</v>
      </c>
      <c r="AX720">
        <v>3</v>
      </c>
      <c r="AY720">
        <v>0</v>
      </c>
      <c r="AZ720">
        <v>0</v>
      </c>
      <c r="BA720">
        <v>100</v>
      </c>
      <c r="BB720">
        <v>100</v>
      </c>
      <c r="BC720">
        <v>100</v>
      </c>
      <c r="BD720">
        <v>100</v>
      </c>
      <c r="BE720">
        <v>1</v>
      </c>
      <c r="BF720">
        <v>15000</v>
      </c>
      <c r="BG720">
        <v>1000</v>
      </c>
      <c r="BH720" s="7">
        <f>ROUND(Wapato_Inventory[[#This Row],[detatched_value]]*Lookups!$B$22*Lookups!$H$48,-2)</f>
        <v>0</v>
      </c>
      <c r="BI720" s="7">
        <f>ROUND(((Wapato_Inventory[[#This Row],[land_extract]]*Lookups!$B$3) +(Lookups!$B$2*0.5))*Lookups!$H$48,-2)</f>
        <v>52300</v>
      </c>
      <c r="BJ720" s="7">
        <f>IF(Wapato_Inventory[[#This Row],[bldg_style]]="",0,Lookups!$B$2*0.5)</f>
        <v>53765.27</v>
      </c>
      <c r="BK720" s="7">
        <f>_xlfn.IFNA(VLOOKUP(Wapato_Inventory[[#This Row],[quality]],Lookups!$H$2:$J$14,3,FALSE),0)</f>
        <v>48043</v>
      </c>
      <c r="BL720" s="7">
        <f>_xlfn.IFNA(VLOOKUP(Wapato_Inventory[[#This Row],[condition]],Lookups!$H$17:$J$24,3,FALSE),0)</f>
        <v>52231</v>
      </c>
      <c r="BM720" s="7">
        <f>Wapato_Inventory[[#This Row],[Age]]*Lookups!$B$16</f>
        <v>-40032.975599999998</v>
      </c>
      <c r="BN720" s="7">
        <f>Wapato_Inventory[[#This Row],[Main Floor]]*Lookups!$B$17</f>
        <v>75993.743501999998</v>
      </c>
      <c r="BO720" s="7">
        <f>Wapato_Inventory[[#This Row],[Upper Floor]]*Lookups!$B$18</f>
        <v>0</v>
      </c>
      <c r="BP720" s="7">
        <f>Wapato_Inventory[[#This Row],[Fin BSMT]]*Lookups!$B$19</f>
        <v>0</v>
      </c>
      <c r="BQ720" s="7">
        <f>(Wapato_Inventory[[#This Row],[att_gar]]+Wapato_Inventory[[#This Row],[blt_gar]])*Lookups!$B$20</f>
        <v>0</v>
      </c>
      <c r="BR720" s="7">
        <f>Wapato_Inventory[[#This Row],[Patio]]*Lookups!$B$21</f>
        <v>0</v>
      </c>
      <c r="BS720" s="7">
        <f>SUM(Wapato_Inventory[[#This Row],[intercept]:[patio_value]])*Wapato_Inventory[[#This Row],[res_pct]]</f>
        <v>190000.03790199998</v>
      </c>
      <c r="BT720" s="7">
        <f>Wapato_Inventory[[#This Row],[land_value]]</f>
        <v>52300</v>
      </c>
      <c r="BU720" s="2">
        <f>_xlfn.IFNA(VLOOKUP(Wapato_Inventory[[#This Row],[quality]],Lookups!$A$28:$C$37,3,FALSE),1)</f>
        <v>0.98196844879778955</v>
      </c>
      <c r="BV720" s="2">
        <f>_xlfn.IFNA(VLOOKUP(Wapato_Inventory[[#This Row],[condition]],Lookups!$A$41:$C$48,3,FALSE),1)</f>
        <v>0.9832333997567807</v>
      </c>
      <c r="BW720" s="2">
        <f>IF(Wapato_Inventory[[#This Row],[decade]]="",1,_xlfn.IFNA(VLOOKUP(Wapato_Inventory[[#This Row],[decade]],Lookups!$F$28:$H$45,3,FALSE),1))</f>
        <v>0.93664589651353292</v>
      </c>
      <c r="BX720" s="2">
        <f>_xlfn.IFNA(VLOOKUP(Wapato_Inventory[[#This Row],[living_area_range]],Lookups!$K$28:$M$37,3,FALSE),1)</f>
        <v>0.99330894324714125</v>
      </c>
      <c r="BY720" s="2">
        <f>AVERAGE(Wapato_Inventory[[#This Row],[qual_adj]:[range_adj]])</f>
        <v>0.9737891720788111</v>
      </c>
      <c r="BZ720" s="7">
        <f>(Wapato_Inventory[[#This Row],[sum_land]]-IF(Wapato_Inventory[[#This Row],[no_utilities]]=1,12000,0))/IF(Wapato_Inventory[[#This Row],[unbuildable]]=1,2,1)</f>
        <v>52300</v>
      </c>
      <c r="CA720" s="7">
        <f>Wapato_Inventory[[#This Row],[pre_res]]*Wapato_Inventory[[#This Row],[overall_adj]]</f>
        <v>185019.9796035313</v>
      </c>
      <c r="CB720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720" s="3">
        <f>IF(ROUND(Wapato_Inventory[[#This Row],[adj_res]]*Lookups!$H$48,-2)&lt;Wapato_Inventory[[#This Row],[min_res]],Wapato_Inventory[[#This Row],[min_res]],ROUND(Wapato_Inventory[[#This Row],[adj_res]]*Lookups!$H$48,-2))</f>
        <v>175800</v>
      </c>
      <c r="CD720" s="3">
        <f>ROUND(Wapato_Inventory[[#This Row],[det_value]]*Lookups!$H$48,-2)</f>
        <v>0</v>
      </c>
      <c r="CE720" s="3">
        <f>Wapato_Inventory[[#This Row],[final_res]]+Wapato_Inventory[[#This Row],[final_det]]</f>
        <v>175800</v>
      </c>
      <c r="CF720" s="3">
        <f>Wapato_Inventory[[#This Row],[crop_value]]+Wapato_Inventory[[#This Row],[final_land]]+Wapato_Inventory[[#This Row],[final_imp]]</f>
        <v>225500</v>
      </c>
      <c r="CH720" t="str">
        <f t="shared" si="11"/>
        <v>update valuation set market_land =49700, market_bldg=175800, market_total =225500, market_mdno =405, market_date ='9/10/2023' where link_id = (select link_id from parcel where parcel_year = '2024' and parcel_id = '19111513535');</v>
      </c>
    </row>
    <row r="721" spans="1:86" x14ac:dyDescent="0.25">
      <c r="A721">
        <v>19111513536</v>
      </c>
      <c r="B721">
        <v>0.13</v>
      </c>
      <c r="C721">
        <v>5512</v>
      </c>
      <c r="D721" t="s">
        <v>144</v>
      </c>
      <c r="E721" t="s">
        <v>54</v>
      </c>
      <c r="F721" t="s">
        <v>54</v>
      </c>
      <c r="G721">
        <v>3</v>
      </c>
      <c r="H721" t="s">
        <v>55</v>
      </c>
      <c r="I721">
        <v>150400</v>
      </c>
      <c r="J721">
        <v>31400</v>
      </c>
      <c r="K721">
        <v>0.13</v>
      </c>
      <c r="L721">
        <f>IF(Wapato_Inventory[[#This Row],[parcel_acres]]-Wapato_Inventory[[#This Row],[non_valued_acres]] =0,0,LN(Wapato_Inventory[[#This Row],[parcel_acres]]-Wapato_Inventory[[#This Row],[non_valued_acres]]))</f>
        <v>-2.0402208285265546</v>
      </c>
      <c r="M721">
        <v>0</v>
      </c>
      <c r="N721">
        <v>0</v>
      </c>
      <c r="O721">
        <v>0</v>
      </c>
      <c r="P721">
        <v>27904.037</v>
      </c>
      <c r="Q721">
        <v>74398</v>
      </c>
      <c r="R721" s="3">
        <f>(Wapato_Inventory[[#This Row],[ln_acres]]*Wapato_Inventory[[#This Row],[coeff]])+Wapato_Inventory[[#This Row],[const]]</f>
        <v>17467.602512624362</v>
      </c>
      <c r="S721" t="s">
        <v>66</v>
      </c>
      <c r="T721">
        <v>1</v>
      </c>
      <c r="U721" t="s">
        <v>75</v>
      </c>
      <c r="V721" t="s">
        <v>68</v>
      </c>
      <c r="W721">
        <v>0</v>
      </c>
      <c r="X721">
        <v>0</v>
      </c>
      <c r="Y721">
        <v>50</v>
      </c>
      <c r="Z721">
        <v>76</v>
      </c>
      <c r="AA721">
        <v>80</v>
      </c>
      <c r="AB721">
        <v>1000</v>
      </c>
      <c r="AC721">
        <v>856</v>
      </c>
      <c r="AD721">
        <v>856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36</v>
      </c>
      <c r="AO721">
        <v>0</v>
      </c>
      <c r="AP721">
        <v>5</v>
      </c>
      <c r="AQ721">
        <v>0</v>
      </c>
      <c r="AR721">
        <v>1</v>
      </c>
      <c r="AS721" t="s">
        <v>59</v>
      </c>
      <c r="AT721">
        <v>1</v>
      </c>
      <c r="AU721" t="s">
        <v>72</v>
      </c>
      <c r="AV721" t="s">
        <v>61</v>
      </c>
      <c r="AW721">
        <v>0</v>
      </c>
      <c r="AX721">
        <v>2</v>
      </c>
      <c r="AY721">
        <v>0</v>
      </c>
      <c r="AZ721">
        <v>10300</v>
      </c>
      <c r="BA721">
        <v>100</v>
      </c>
      <c r="BB721">
        <v>100</v>
      </c>
      <c r="BC721">
        <v>100</v>
      </c>
      <c r="BD721">
        <v>100</v>
      </c>
      <c r="BE721">
        <v>1</v>
      </c>
      <c r="BF721">
        <v>15000</v>
      </c>
      <c r="BG721">
        <v>1000</v>
      </c>
      <c r="BH721" s="7">
        <f>ROUND(Wapato_Inventory[[#This Row],[detatched_value]]*Lookups!$B$22*Lookups!$H$48,-2)</f>
        <v>9200</v>
      </c>
      <c r="BI721" s="7">
        <f>ROUND(((Wapato_Inventory[[#This Row],[land_extract]]*Lookups!$B$3) +(Lookups!$B$2*0.5))*Lookups!$H$48,-2)</f>
        <v>52800</v>
      </c>
      <c r="BJ721" s="7">
        <f>IF(Wapato_Inventory[[#This Row],[bldg_style]]="",0,Lookups!$B$2*0.5)</f>
        <v>53765.27</v>
      </c>
      <c r="BK721" s="7">
        <f>_xlfn.IFNA(VLOOKUP(Wapato_Inventory[[#This Row],[quality]],Lookups!$H$2:$J$14,3,FALSE),0)</f>
        <v>48043</v>
      </c>
      <c r="BL721" s="7">
        <f>_xlfn.IFNA(VLOOKUP(Wapato_Inventory[[#This Row],[condition]],Lookups!$H$17:$J$24,3,FALSE),0)</f>
        <v>52231</v>
      </c>
      <c r="BM721" s="7">
        <f>Wapato_Inventory[[#This Row],[Age]]*Lookups!$B$16</f>
        <v>-28171.353200000001</v>
      </c>
      <c r="BN721" s="7">
        <f>Wapato_Inventory[[#This Row],[Main Floor]]*Lookups!$B$17</f>
        <v>35781.432584000002</v>
      </c>
      <c r="BO721" s="7">
        <f>Wapato_Inventory[[#This Row],[Upper Floor]]*Lookups!$B$18</f>
        <v>0</v>
      </c>
      <c r="BP721" s="7">
        <f>Wapato_Inventory[[#This Row],[Fin BSMT]]*Lookups!$B$19</f>
        <v>0</v>
      </c>
      <c r="BQ721" s="7">
        <f>(Wapato_Inventory[[#This Row],[att_gar]]+Wapato_Inventory[[#This Row],[blt_gar]])*Lookups!$B$20</f>
        <v>0</v>
      </c>
      <c r="BR721" s="7">
        <f>Wapato_Inventory[[#This Row],[Patio]]*Lookups!$B$21</f>
        <v>0</v>
      </c>
      <c r="BS721" s="7">
        <f>SUM(Wapato_Inventory[[#This Row],[intercept]:[patio_value]])*Wapato_Inventory[[#This Row],[res_pct]]</f>
        <v>161649.349384</v>
      </c>
      <c r="BT721" s="7">
        <f>Wapato_Inventory[[#This Row],[land_value]]</f>
        <v>52800</v>
      </c>
      <c r="BU721" s="2">
        <f>_xlfn.IFNA(VLOOKUP(Wapato_Inventory[[#This Row],[quality]],Lookups!$A$28:$C$37,3,FALSE),1)</f>
        <v>0.98196844879778955</v>
      </c>
      <c r="BV721" s="2">
        <f>_xlfn.IFNA(VLOOKUP(Wapato_Inventory[[#This Row],[condition]],Lookups!$A$41:$C$48,3,FALSE),1)</f>
        <v>0.9832333997567807</v>
      </c>
      <c r="BW721" s="2">
        <f>IF(Wapato_Inventory[[#This Row],[decade]]="",1,_xlfn.IFNA(VLOOKUP(Wapato_Inventory[[#This Row],[decade]],Lookups!$F$28:$H$45,3,FALSE),1))</f>
        <v>0.8438929209510081</v>
      </c>
      <c r="BX721" s="2">
        <f>_xlfn.IFNA(VLOOKUP(Wapato_Inventory[[#This Row],[living_area_range]],Lookups!$K$28:$M$37,3,FALSE),1)</f>
        <v>0.99022994770196116</v>
      </c>
      <c r="BY721" s="2">
        <f>AVERAGE(Wapato_Inventory[[#This Row],[qual_adj]:[range_adj]])</f>
        <v>0.94983117930188488</v>
      </c>
      <c r="BZ721" s="7">
        <f>(Wapato_Inventory[[#This Row],[sum_land]]-IF(Wapato_Inventory[[#This Row],[no_utilities]]=1,12000,0))/IF(Wapato_Inventory[[#This Row],[unbuildable]]=1,2,1)</f>
        <v>52800</v>
      </c>
      <c r="CA721" s="7">
        <f>Wapato_Inventory[[#This Row],[pre_res]]*Wapato_Inventory[[#This Row],[overall_adj]]</f>
        <v>153539.59215878713</v>
      </c>
      <c r="CB721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21" s="3">
        <f>IF(ROUND(Wapato_Inventory[[#This Row],[adj_res]]*Lookups!$H$48,-2)&lt;Wapato_Inventory[[#This Row],[min_res]],Wapato_Inventory[[#This Row],[min_res]],ROUND(Wapato_Inventory[[#This Row],[adj_res]]*Lookups!$H$48,-2))</f>
        <v>145900</v>
      </c>
      <c r="CD721" s="3">
        <f>ROUND(Wapato_Inventory[[#This Row],[det_value]]*Lookups!$H$48,-2)</f>
        <v>8700</v>
      </c>
      <c r="CE721" s="3">
        <f>Wapato_Inventory[[#This Row],[final_res]]+Wapato_Inventory[[#This Row],[final_det]]</f>
        <v>154600</v>
      </c>
      <c r="CF721" s="3">
        <f>Wapato_Inventory[[#This Row],[crop_value]]+Wapato_Inventory[[#This Row],[final_land]]+Wapato_Inventory[[#This Row],[final_imp]]</f>
        <v>204800</v>
      </c>
      <c r="CH721" t="str">
        <f t="shared" si="11"/>
        <v>update valuation set market_land =50200, market_bldg=154600, market_total =204800, market_mdno =405, market_date ='9/10/2023' where link_id = (select link_id from parcel where parcel_year = '2024' and parcel_id = '19111513536');</v>
      </c>
    </row>
    <row r="722" spans="1:86" x14ac:dyDescent="0.25">
      <c r="A722">
        <v>19111513537</v>
      </c>
      <c r="B722">
        <v>0.12</v>
      </c>
      <c r="C722">
        <v>5261</v>
      </c>
      <c r="D722" t="s">
        <v>144</v>
      </c>
      <c r="E722" t="s">
        <v>54</v>
      </c>
      <c r="F722" t="s">
        <v>54</v>
      </c>
      <c r="G722">
        <v>3</v>
      </c>
      <c r="H722" t="s">
        <v>55</v>
      </c>
      <c r="I722">
        <v>263600</v>
      </c>
      <c r="J722">
        <v>30800</v>
      </c>
      <c r="K722">
        <v>0.12</v>
      </c>
      <c r="L722">
        <f>IF(Wapato_Inventory[[#This Row],[parcel_acres]]-Wapato_Inventory[[#This Row],[non_valued_acres]] =0,0,LN(Wapato_Inventory[[#This Row],[parcel_acres]]-Wapato_Inventory[[#This Row],[non_valued_acres]]))</f>
        <v>-2.120263536200091</v>
      </c>
      <c r="M722">
        <v>0</v>
      </c>
      <c r="N722">
        <v>0</v>
      </c>
      <c r="O722">
        <v>0</v>
      </c>
      <c r="P722">
        <v>27904.037</v>
      </c>
      <c r="Q722">
        <v>74398</v>
      </c>
      <c r="R722" s="3">
        <f>(Wapato_Inventory[[#This Row],[ln_acres]]*Wapato_Inventory[[#This Row],[coeff]])+Wapato_Inventory[[#This Row],[const]]</f>
        <v>15234.08783612182</v>
      </c>
      <c r="S722" t="s">
        <v>59</v>
      </c>
      <c r="T722">
        <v>1</v>
      </c>
      <c r="U722" t="s">
        <v>63</v>
      </c>
      <c r="V722" t="s">
        <v>58</v>
      </c>
      <c r="W722">
        <v>0</v>
      </c>
      <c r="X722">
        <v>0</v>
      </c>
      <c r="Y722">
        <v>9</v>
      </c>
      <c r="Z722">
        <v>9</v>
      </c>
      <c r="AA722">
        <v>10</v>
      </c>
      <c r="AB722">
        <v>1500</v>
      </c>
      <c r="AC722">
        <v>1248</v>
      </c>
      <c r="AD722">
        <v>1248</v>
      </c>
      <c r="AE722">
        <v>0</v>
      </c>
      <c r="AF722">
        <v>0</v>
      </c>
      <c r="AG722">
        <v>0</v>
      </c>
      <c r="AH722">
        <v>0</v>
      </c>
      <c r="AI722">
        <v>460</v>
      </c>
      <c r="AJ722">
        <v>0</v>
      </c>
      <c r="AK722">
        <v>0</v>
      </c>
      <c r="AL722">
        <v>0</v>
      </c>
      <c r="AM722">
        <v>0</v>
      </c>
      <c r="AN722">
        <v>228</v>
      </c>
      <c r="AO722">
        <v>0</v>
      </c>
      <c r="AP722">
        <v>8</v>
      </c>
      <c r="AQ722">
        <v>0</v>
      </c>
      <c r="AR722">
        <v>0</v>
      </c>
      <c r="AS722" t="s">
        <v>59</v>
      </c>
      <c r="AT722">
        <v>1</v>
      </c>
      <c r="AU722" t="s">
        <v>64</v>
      </c>
      <c r="AV722" t="s">
        <v>61</v>
      </c>
      <c r="AW722">
        <v>1</v>
      </c>
      <c r="AX722">
        <v>3</v>
      </c>
      <c r="AY722">
        <v>0</v>
      </c>
      <c r="AZ722">
        <v>0</v>
      </c>
      <c r="BA722">
        <v>100</v>
      </c>
      <c r="BB722">
        <v>100</v>
      </c>
      <c r="BC722">
        <v>100</v>
      </c>
      <c r="BD722">
        <v>100</v>
      </c>
      <c r="BE722">
        <v>1</v>
      </c>
      <c r="BF722">
        <v>15000</v>
      </c>
      <c r="BG722">
        <v>1000</v>
      </c>
      <c r="BH722" s="7">
        <f>ROUND(Wapato_Inventory[[#This Row],[detatched_value]]*Lookups!$B$22*Lookups!$H$48,-2)</f>
        <v>0</v>
      </c>
      <c r="BI722" s="7">
        <f>ROUND(((Wapato_Inventory[[#This Row],[land_extract]]*Lookups!$B$3) +(Lookups!$B$2*0.5))*Lookups!$H$48,-2)</f>
        <v>52500</v>
      </c>
      <c r="BJ722" s="7">
        <f>IF(Wapato_Inventory[[#This Row],[bldg_style]]="",0,Lookups!$B$2*0.5)</f>
        <v>53765.27</v>
      </c>
      <c r="BK722" s="7">
        <f>_xlfn.IFNA(VLOOKUP(Wapato_Inventory[[#This Row],[quality]],Lookups!$H$2:$J$14,3,FALSE),0)</f>
        <v>50594</v>
      </c>
      <c r="BL722" s="7">
        <f>_xlfn.IFNA(VLOOKUP(Wapato_Inventory[[#This Row],[condition]],Lookups!$H$17:$J$24,3,FALSE),0)</f>
        <v>122095</v>
      </c>
      <c r="BM722" s="7">
        <f>Wapato_Inventory[[#This Row],[Age]]*Lookups!$B$16</f>
        <v>-3336.0812999999998</v>
      </c>
      <c r="BN722" s="7">
        <f>Wapato_Inventory[[#This Row],[Main Floor]]*Lookups!$B$17</f>
        <v>52167.322271999998</v>
      </c>
      <c r="BO722" s="7">
        <f>Wapato_Inventory[[#This Row],[Upper Floor]]*Lookups!$B$18</f>
        <v>0</v>
      </c>
      <c r="BP722" s="7">
        <f>Wapato_Inventory[[#This Row],[Fin BSMT]]*Lookups!$B$19</f>
        <v>0</v>
      </c>
      <c r="BQ722" s="7">
        <f>(Wapato_Inventory[[#This Row],[att_gar]]+Wapato_Inventory[[#This Row],[blt_gar]])*Lookups!$B$20</f>
        <v>17024.02592</v>
      </c>
      <c r="BR722" s="7">
        <f>Wapato_Inventory[[#This Row],[Patio]]*Lookups!$B$21</f>
        <v>0</v>
      </c>
      <c r="BS722" s="7">
        <f>SUM(Wapato_Inventory[[#This Row],[intercept]:[patio_value]])*Wapato_Inventory[[#This Row],[res_pct]]</f>
        <v>292309.536892</v>
      </c>
      <c r="BT722" s="7">
        <f>Wapato_Inventory[[#This Row],[land_value]]</f>
        <v>52500</v>
      </c>
      <c r="BU722" s="2">
        <f>_xlfn.IFNA(VLOOKUP(Wapato_Inventory[[#This Row],[quality]],Lookups!$A$28:$C$37,3,FALSE),1)</f>
        <v>0.99197423394367223</v>
      </c>
      <c r="BV722" s="2">
        <f>_xlfn.IFNA(VLOOKUP(Wapato_Inventory[[#This Row],[condition]],Lookups!$A$41:$C$48,3,FALSE),1)</f>
        <v>1.00041560026225</v>
      </c>
      <c r="BW722" s="2">
        <f>IF(Wapato_Inventory[[#This Row],[decade]]="",1,_xlfn.IFNA(VLOOKUP(Wapato_Inventory[[#This Row],[decade]],Lookups!$F$28:$H$45,3,FALSE),1))</f>
        <v>1.0321018519633791</v>
      </c>
      <c r="BX722" s="2">
        <f>_xlfn.IFNA(VLOOKUP(Wapato_Inventory[[#This Row],[living_area_range]],Lookups!$K$28:$M$37,3,FALSE),1)</f>
        <v>1.0061411172456287</v>
      </c>
      <c r="BY722" s="2">
        <f>AVERAGE(Wapato_Inventory[[#This Row],[qual_adj]:[range_adj]])</f>
        <v>1.0076582008537325</v>
      </c>
      <c r="BZ722" s="7">
        <f>(Wapato_Inventory[[#This Row],[sum_land]]-IF(Wapato_Inventory[[#This Row],[no_utilities]]=1,12000,0))/IF(Wapato_Inventory[[#This Row],[unbuildable]]=1,2,1)</f>
        <v>52500</v>
      </c>
      <c r="CA722" s="7">
        <f>Wapato_Inventory[[#This Row],[pre_res]]*Wapato_Inventory[[#This Row],[overall_adj]]</f>
        <v>294548.10203698045</v>
      </c>
      <c r="CB722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722" s="3">
        <f>IF(ROUND(Wapato_Inventory[[#This Row],[adj_res]]*Lookups!$H$48,-2)&lt;Wapato_Inventory[[#This Row],[min_res]],Wapato_Inventory[[#This Row],[min_res]],ROUND(Wapato_Inventory[[#This Row],[adj_res]]*Lookups!$H$48,-2))</f>
        <v>279800</v>
      </c>
      <c r="CD722" s="3">
        <f>ROUND(Wapato_Inventory[[#This Row],[det_value]]*Lookups!$H$48,-2)</f>
        <v>0</v>
      </c>
      <c r="CE722" s="3">
        <f>Wapato_Inventory[[#This Row],[final_res]]+Wapato_Inventory[[#This Row],[final_det]]</f>
        <v>279800</v>
      </c>
      <c r="CF722" s="3">
        <f>Wapato_Inventory[[#This Row],[crop_value]]+Wapato_Inventory[[#This Row],[final_land]]+Wapato_Inventory[[#This Row],[final_imp]]</f>
        <v>329700</v>
      </c>
      <c r="CH722" t="str">
        <f t="shared" si="11"/>
        <v>update valuation set market_land =49900, market_bldg=279800, market_total =329700, market_mdno =405, market_date ='9/10/2023' where link_id = (select link_id from parcel where parcel_year = '2024' and parcel_id = '19111513537');</v>
      </c>
    </row>
    <row r="723" spans="1:86" x14ac:dyDescent="0.25">
      <c r="A723">
        <v>19111513538</v>
      </c>
      <c r="B723">
        <v>0.13</v>
      </c>
      <c r="C723">
        <v>5773</v>
      </c>
      <c r="D723" t="s">
        <v>144</v>
      </c>
      <c r="E723" t="s">
        <v>54</v>
      </c>
      <c r="F723" t="s">
        <v>54</v>
      </c>
      <c r="G723">
        <v>3</v>
      </c>
      <c r="H723" t="s">
        <v>55</v>
      </c>
      <c r="I723">
        <v>119400</v>
      </c>
      <c r="J723">
        <v>31400</v>
      </c>
      <c r="K723">
        <v>0.13</v>
      </c>
      <c r="L723">
        <f>IF(Wapato_Inventory[[#This Row],[parcel_acres]]-Wapato_Inventory[[#This Row],[non_valued_acres]] =0,0,LN(Wapato_Inventory[[#This Row],[parcel_acres]]-Wapato_Inventory[[#This Row],[non_valued_acres]]))</f>
        <v>-2.0402208285265546</v>
      </c>
      <c r="M723">
        <v>0</v>
      </c>
      <c r="N723">
        <v>0</v>
      </c>
      <c r="O723">
        <v>0</v>
      </c>
      <c r="P723">
        <v>27904.037</v>
      </c>
      <c r="Q723">
        <v>74398</v>
      </c>
      <c r="R723" s="3">
        <f>(Wapato_Inventory[[#This Row],[ln_acres]]*Wapato_Inventory[[#This Row],[coeff]])+Wapato_Inventory[[#This Row],[const]]</f>
        <v>17467.602512624362</v>
      </c>
      <c r="S723" t="s">
        <v>66</v>
      </c>
      <c r="T723">
        <v>1</v>
      </c>
      <c r="U723" t="s">
        <v>71</v>
      </c>
      <c r="V723" t="s">
        <v>69</v>
      </c>
      <c r="W723">
        <v>0</v>
      </c>
      <c r="X723">
        <v>0</v>
      </c>
      <c r="Y723">
        <v>53</v>
      </c>
      <c r="Z723">
        <v>93</v>
      </c>
      <c r="AA723">
        <v>100</v>
      </c>
      <c r="AB723">
        <v>1000</v>
      </c>
      <c r="AC723">
        <v>616</v>
      </c>
      <c r="AD723">
        <v>616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220</v>
      </c>
      <c r="AL723">
        <v>0</v>
      </c>
      <c r="AM723">
        <v>0</v>
      </c>
      <c r="AN723">
        <v>0</v>
      </c>
      <c r="AO723">
        <v>0</v>
      </c>
      <c r="AP723">
        <v>5</v>
      </c>
      <c r="AQ723">
        <v>0</v>
      </c>
      <c r="AR723">
        <v>0</v>
      </c>
      <c r="AS723" t="s">
        <v>59</v>
      </c>
      <c r="AT723">
        <v>1</v>
      </c>
      <c r="AU723" t="s">
        <v>64</v>
      </c>
      <c r="AV723" t="s">
        <v>77</v>
      </c>
      <c r="AW723">
        <v>0</v>
      </c>
      <c r="AX723">
        <v>2</v>
      </c>
      <c r="AY723">
        <v>0</v>
      </c>
      <c r="AZ723">
        <v>0</v>
      </c>
      <c r="BA723">
        <v>100</v>
      </c>
      <c r="BB723">
        <v>100</v>
      </c>
      <c r="BC723">
        <v>100</v>
      </c>
      <c r="BD723">
        <v>100</v>
      </c>
      <c r="BE723">
        <v>1</v>
      </c>
      <c r="BF723">
        <v>15000</v>
      </c>
      <c r="BG723">
        <v>1000</v>
      </c>
      <c r="BH723" s="7">
        <f>ROUND(Wapato_Inventory[[#This Row],[detatched_value]]*Lookups!$B$22*Lookups!$H$48,-2)</f>
        <v>0</v>
      </c>
      <c r="BI723" s="7">
        <f>ROUND(((Wapato_Inventory[[#This Row],[land_extract]]*Lookups!$B$3) +(Lookups!$B$2*0.5))*Lookups!$H$48,-2)</f>
        <v>52800</v>
      </c>
      <c r="BJ723" s="7">
        <f>IF(Wapato_Inventory[[#This Row],[bldg_style]]="",0,Lookups!$B$2*0.5)</f>
        <v>53765.27</v>
      </c>
      <c r="BK723" s="7">
        <f>_xlfn.IFNA(VLOOKUP(Wapato_Inventory[[#This Row],[quality]],Lookups!$H$2:$J$14,3,FALSE),0)</f>
        <v>28034</v>
      </c>
      <c r="BL723" s="7">
        <f>_xlfn.IFNA(VLOOKUP(Wapato_Inventory[[#This Row],[condition]],Lookups!$H$17:$J$24,3,FALSE),0)</f>
        <v>74543</v>
      </c>
      <c r="BM723" s="7">
        <f>Wapato_Inventory[[#This Row],[Age]]*Lookups!$B$16</f>
        <v>-34472.840100000001</v>
      </c>
      <c r="BN723" s="7">
        <f>Wapato_Inventory[[#This Row],[Main Floor]]*Lookups!$B$17</f>
        <v>25749.255224</v>
      </c>
      <c r="BO723" s="7">
        <f>Wapato_Inventory[[#This Row],[Upper Floor]]*Lookups!$B$18</f>
        <v>0</v>
      </c>
      <c r="BP723" s="7">
        <f>Wapato_Inventory[[#This Row],[Fin BSMT]]*Lookups!$B$19</f>
        <v>0</v>
      </c>
      <c r="BQ723" s="7">
        <f>(Wapato_Inventory[[#This Row],[att_gar]]+Wapato_Inventory[[#This Row],[blt_gar]])*Lookups!$B$20</f>
        <v>0</v>
      </c>
      <c r="BR723" s="7">
        <f>Wapato_Inventory[[#This Row],[Patio]]*Lookups!$B$21</f>
        <v>0</v>
      </c>
      <c r="BS723" s="7">
        <f>SUM(Wapato_Inventory[[#This Row],[intercept]:[patio_value]])*Wapato_Inventory[[#This Row],[res_pct]]</f>
        <v>147618.68512399998</v>
      </c>
      <c r="BT723" s="7">
        <f>Wapato_Inventory[[#This Row],[land_value]]</f>
        <v>52800</v>
      </c>
      <c r="BU723" s="2">
        <f>_xlfn.IFNA(VLOOKUP(Wapato_Inventory[[#This Row],[quality]],Lookups!$A$28:$C$37,3,FALSE),1)</f>
        <v>0.96265813922927435</v>
      </c>
      <c r="BV723" s="2">
        <f>_xlfn.IFNA(VLOOKUP(Wapato_Inventory[[#This Row],[condition]],Lookups!$A$41:$C$48,3,FALSE),1)</f>
        <v>0.98442438223270734</v>
      </c>
      <c r="BW723" s="2">
        <f>IF(Wapato_Inventory[[#This Row],[decade]]="",1,_xlfn.IFNA(VLOOKUP(Wapato_Inventory[[#This Row],[decade]],Lookups!$F$28:$H$45,3,FALSE),1))</f>
        <v>1.0114203040664467</v>
      </c>
      <c r="BX723" s="2">
        <f>_xlfn.IFNA(VLOOKUP(Wapato_Inventory[[#This Row],[living_area_range]],Lookups!$K$28:$M$37,3,FALSE),1)</f>
        <v>0.99022994770196116</v>
      </c>
      <c r="BY723" s="2">
        <f>AVERAGE(Wapato_Inventory[[#This Row],[qual_adj]:[range_adj]])</f>
        <v>0.9871831933075973</v>
      </c>
      <c r="BZ723" s="7">
        <f>(Wapato_Inventory[[#This Row],[sum_land]]-IF(Wapato_Inventory[[#This Row],[no_utilities]]=1,12000,0))/IF(Wapato_Inventory[[#This Row],[unbuildable]]=1,2,1)</f>
        <v>52800</v>
      </c>
      <c r="CA723" s="7">
        <f>Wapato_Inventory[[#This Row],[pre_res]]*Wapato_Inventory[[#This Row],[overall_adj]]</f>
        <v>145726.68497257901</v>
      </c>
      <c r="CB723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23" s="3">
        <f>IF(ROUND(Wapato_Inventory[[#This Row],[adj_res]]*Lookups!$H$48,-2)&lt;Wapato_Inventory[[#This Row],[min_res]],Wapato_Inventory[[#This Row],[min_res]],ROUND(Wapato_Inventory[[#This Row],[adj_res]]*Lookups!$H$48,-2))</f>
        <v>138400</v>
      </c>
      <c r="CD723" s="3">
        <f>ROUND(Wapato_Inventory[[#This Row],[det_value]]*Lookups!$H$48,-2)</f>
        <v>0</v>
      </c>
      <c r="CE723" s="3">
        <f>Wapato_Inventory[[#This Row],[final_res]]+Wapato_Inventory[[#This Row],[final_det]]</f>
        <v>138400</v>
      </c>
      <c r="CF723" s="3">
        <f>Wapato_Inventory[[#This Row],[crop_value]]+Wapato_Inventory[[#This Row],[final_land]]+Wapato_Inventory[[#This Row],[final_imp]]</f>
        <v>188600</v>
      </c>
      <c r="CH723" t="str">
        <f t="shared" si="11"/>
        <v>update valuation set market_land =50200, market_bldg=138400, market_total =188600, market_mdno =405, market_date ='9/10/2023' where link_id = (select link_id from parcel where parcel_year = '2024' and parcel_id = '19111513538');</v>
      </c>
    </row>
    <row r="724" spans="1:86" x14ac:dyDescent="0.25">
      <c r="A724">
        <v>19111513540</v>
      </c>
      <c r="B724">
        <v>0.3</v>
      </c>
      <c r="C724">
        <v>13130</v>
      </c>
      <c r="D724" t="s">
        <v>144</v>
      </c>
      <c r="E724" t="s">
        <v>54</v>
      </c>
      <c r="F724" t="s">
        <v>54</v>
      </c>
      <c r="G724">
        <v>3</v>
      </c>
      <c r="H724" t="s">
        <v>55</v>
      </c>
      <c r="I724">
        <v>193400</v>
      </c>
      <c r="J724">
        <v>37300</v>
      </c>
      <c r="K724">
        <v>0.3</v>
      </c>
      <c r="L724">
        <f>IF(Wapato_Inventory[[#This Row],[parcel_acres]]-Wapato_Inventory[[#This Row],[non_valued_acres]] =0,0,LN(Wapato_Inventory[[#This Row],[parcel_acres]]-Wapato_Inventory[[#This Row],[non_valued_acres]]))</f>
        <v>-1.2039728043259361</v>
      </c>
      <c r="M724">
        <v>0</v>
      </c>
      <c r="N724">
        <v>0</v>
      </c>
      <c r="O724">
        <v>0</v>
      </c>
      <c r="P724">
        <v>27904.037</v>
      </c>
      <c r="Q724">
        <v>74398</v>
      </c>
      <c r="R724" s="3">
        <f>(Wapato_Inventory[[#This Row],[ln_acres]]*Wapato_Inventory[[#This Row],[coeff]])+Wapato_Inventory[[#This Row],[const]]</f>
        <v>40802.298321095317</v>
      </c>
      <c r="S724" t="s">
        <v>62</v>
      </c>
      <c r="T724">
        <v>1</v>
      </c>
      <c r="U724" t="s">
        <v>67</v>
      </c>
      <c r="V724" t="s">
        <v>68</v>
      </c>
      <c r="W724">
        <v>0</v>
      </c>
      <c r="X724">
        <v>0</v>
      </c>
      <c r="Y724">
        <v>48</v>
      </c>
      <c r="Z724">
        <v>63</v>
      </c>
      <c r="AA724">
        <v>70</v>
      </c>
      <c r="AB724">
        <v>2000</v>
      </c>
      <c r="AC724">
        <v>1778</v>
      </c>
      <c r="AD724">
        <v>1778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528</v>
      </c>
      <c r="AL724">
        <v>0</v>
      </c>
      <c r="AM724">
        <v>440</v>
      </c>
      <c r="AN724">
        <v>64</v>
      </c>
      <c r="AO724">
        <v>440</v>
      </c>
      <c r="AP724">
        <v>8</v>
      </c>
      <c r="AQ724">
        <v>0</v>
      </c>
      <c r="AR724">
        <v>1</v>
      </c>
      <c r="AS724" t="s">
        <v>59</v>
      </c>
      <c r="AT724">
        <v>1</v>
      </c>
      <c r="AU724" t="s">
        <v>64</v>
      </c>
      <c r="AV724" t="s">
        <v>65</v>
      </c>
      <c r="AW724">
        <v>1</v>
      </c>
      <c r="AX724">
        <v>3</v>
      </c>
      <c r="AY724">
        <v>0</v>
      </c>
      <c r="AZ724">
        <v>0</v>
      </c>
      <c r="BA724">
        <v>100</v>
      </c>
      <c r="BB724">
        <v>100</v>
      </c>
      <c r="BC724">
        <v>100</v>
      </c>
      <c r="BD724">
        <v>100</v>
      </c>
      <c r="BE724">
        <v>1</v>
      </c>
      <c r="BF724">
        <v>15000</v>
      </c>
      <c r="BG724">
        <v>1000</v>
      </c>
      <c r="BH724" s="7">
        <f>ROUND(Wapato_Inventory[[#This Row],[detatched_value]]*Lookups!$B$22*Lookups!$H$48,-2)</f>
        <v>0</v>
      </c>
      <c r="BI724" s="7">
        <f>ROUND(((Wapato_Inventory[[#This Row],[land_extract]]*Lookups!$B$3) +(Lookups!$B$2*0.5))*Lookups!$H$48,-2)</f>
        <v>55000</v>
      </c>
      <c r="BJ724" s="7">
        <f>IF(Wapato_Inventory[[#This Row],[bldg_style]]="",0,Lookups!$B$2*0.5)</f>
        <v>53765.27</v>
      </c>
      <c r="BK724" s="7">
        <f>_xlfn.IFNA(VLOOKUP(Wapato_Inventory[[#This Row],[quality]],Lookups!$H$2:$J$14,3,FALSE),0)</f>
        <v>50405</v>
      </c>
      <c r="BL724" s="7">
        <f>_xlfn.IFNA(VLOOKUP(Wapato_Inventory[[#This Row],[condition]],Lookups!$H$17:$J$24,3,FALSE),0)</f>
        <v>52231</v>
      </c>
      <c r="BM724" s="7">
        <f>Wapato_Inventory[[#This Row],[Age]]*Lookups!$B$16</f>
        <v>-23352.569100000001</v>
      </c>
      <c r="BN724" s="7">
        <f>Wapato_Inventory[[#This Row],[Main Floor]]*Lookups!$B$17</f>
        <v>74321.713942000002</v>
      </c>
      <c r="BO724" s="7">
        <f>Wapato_Inventory[[#This Row],[Upper Floor]]*Lookups!$B$18</f>
        <v>0</v>
      </c>
      <c r="BP724" s="7">
        <f>Wapato_Inventory[[#This Row],[Fin BSMT]]*Lookups!$B$19</f>
        <v>0</v>
      </c>
      <c r="BQ724" s="7">
        <f>(Wapato_Inventory[[#This Row],[att_gar]]+Wapato_Inventory[[#This Row],[blt_gar]])*Lookups!$B$20</f>
        <v>0</v>
      </c>
      <c r="BR724" s="7">
        <f>Wapato_Inventory[[#This Row],[Patio]]*Lookups!$B$21</f>
        <v>19062.550760000002</v>
      </c>
      <c r="BS724" s="7">
        <f>SUM(Wapato_Inventory[[#This Row],[intercept]:[patio_value]])*Wapato_Inventory[[#This Row],[res_pct]]</f>
        <v>226432.96560200001</v>
      </c>
      <c r="BT724" s="7">
        <f>Wapato_Inventory[[#This Row],[land_value]]</f>
        <v>55000</v>
      </c>
      <c r="BU724" s="2">
        <f>_xlfn.IFNA(VLOOKUP(Wapato_Inventory[[#This Row],[quality]],Lookups!$A$28:$C$37,3,FALSE),1)</f>
        <v>0.97993206410140754</v>
      </c>
      <c r="BV724" s="2">
        <f>_xlfn.IFNA(VLOOKUP(Wapato_Inventory[[#This Row],[condition]],Lookups!$A$41:$C$48,3,FALSE),1)</f>
        <v>0.9832333997567807</v>
      </c>
      <c r="BW724" s="2">
        <f>IF(Wapato_Inventory[[#This Row],[decade]]="",1,_xlfn.IFNA(VLOOKUP(Wapato_Inventory[[#This Row],[decade]],Lookups!$F$28:$H$45,3,FALSE),1))</f>
        <v>1.0012715221492001</v>
      </c>
      <c r="BX724" s="2">
        <f>_xlfn.IFNA(VLOOKUP(Wapato_Inventory[[#This Row],[living_area_range]],Lookups!$K$28:$M$37,3,FALSE),1)</f>
        <v>0.99330894324714125</v>
      </c>
      <c r="BY724" s="2">
        <f>AVERAGE(Wapato_Inventory[[#This Row],[qual_adj]:[range_adj]])</f>
        <v>0.98943648231363246</v>
      </c>
      <c r="BZ724" s="7">
        <f>(Wapato_Inventory[[#This Row],[sum_land]]-IF(Wapato_Inventory[[#This Row],[no_utilities]]=1,12000,0))/IF(Wapato_Inventory[[#This Row],[unbuildable]]=1,2,1)</f>
        <v>55000</v>
      </c>
      <c r="CA724" s="7">
        <f>Wapato_Inventory[[#This Row],[pre_res]]*Wapato_Inventory[[#This Row],[overall_adj]]</f>
        <v>224041.03696508662</v>
      </c>
      <c r="CB724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724" s="3">
        <f>IF(ROUND(Wapato_Inventory[[#This Row],[adj_res]]*Lookups!$H$48,-2)&lt;Wapato_Inventory[[#This Row],[min_res]],Wapato_Inventory[[#This Row],[min_res]],ROUND(Wapato_Inventory[[#This Row],[adj_res]]*Lookups!$H$48,-2))</f>
        <v>212800</v>
      </c>
      <c r="CD724" s="3">
        <f>ROUND(Wapato_Inventory[[#This Row],[det_value]]*Lookups!$H$48,-2)</f>
        <v>0</v>
      </c>
      <c r="CE724" s="3">
        <f>Wapato_Inventory[[#This Row],[final_res]]+Wapato_Inventory[[#This Row],[final_det]]</f>
        <v>212800</v>
      </c>
      <c r="CF724" s="3">
        <f>Wapato_Inventory[[#This Row],[crop_value]]+Wapato_Inventory[[#This Row],[final_land]]+Wapato_Inventory[[#This Row],[final_imp]]</f>
        <v>265100</v>
      </c>
      <c r="CH724" t="str">
        <f t="shared" si="11"/>
        <v>update valuation set market_land =52300, market_bldg=212800, market_total =265100, market_mdno =405, market_date ='9/10/2023' where link_id = (select link_id from parcel where parcel_year = '2024' and parcel_id = '19111513540');</v>
      </c>
    </row>
    <row r="725" spans="1:86" x14ac:dyDescent="0.25">
      <c r="A725">
        <v>19111513541</v>
      </c>
      <c r="B725">
        <v>0.13</v>
      </c>
      <c r="C725">
        <v>5551</v>
      </c>
      <c r="D725" t="s">
        <v>144</v>
      </c>
      <c r="E725" t="s">
        <v>54</v>
      </c>
      <c r="F725" t="s">
        <v>54</v>
      </c>
      <c r="G725">
        <v>3</v>
      </c>
      <c r="H725" t="s">
        <v>55</v>
      </c>
      <c r="I725">
        <v>188700</v>
      </c>
      <c r="J725">
        <v>31400</v>
      </c>
      <c r="K725">
        <v>0.13</v>
      </c>
      <c r="L725">
        <f>IF(Wapato_Inventory[[#This Row],[parcel_acres]]-Wapato_Inventory[[#This Row],[non_valued_acres]] =0,0,LN(Wapato_Inventory[[#This Row],[parcel_acres]]-Wapato_Inventory[[#This Row],[non_valued_acres]]))</f>
        <v>-2.0402208285265546</v>
      </c>
      <c r="M725">
        <v>0</v>
      </c>
      <c r="N725">
        <v>0</v>
      </c>
      <c r="O725">
        <v>0</v>
      </c>
      <c r="P725">
        <v>27904.037</v>
      </c>
      <c r="Q725">
        <v>74398</v>
      </c>
      <c r="R725" s="3">
        <f>(Wapato_Inventory[[#This Row],[ln_acres]]*Wapato_Inventory[[#This Row],[coeff]])+Wapato_Inventory[[#This Row],[const]]</f>
        <v>17467.602512624362</v>
      </c>
      <c r="S725" t="s">
        <v>56</v>
      </c>
      <c r="T725">
        <v>2</v>
      </c>
      <c r="U725" t="s">
        <v>67</v>
      </c>
      <c r="V725" t="s">
        <v>69</v>
      </c>
      <c r="W725">
        <v>0</v>
      </c>
      <c r="X725">
        <v>0</v>
      </c>
      <c r="Y725">
        <v>51</v>
      </c>
      <c r="Z725">
        <v>83</v>
      </c>
      <c r="AA725">
        <v>90</v>
      </c>
      <c r="AB725">
        <v>1500</v>
      </c>
      <c r="AC725">
        <v>1204</v>
      </c>
      <c r="AD725">
        <v>784</v>
      </c>
      <c r="AE725">
        <v>420</v>
      </c>
      <c r="AF725">
        <v>0</v>
      </c>
      <c r="AG725">
        <v>0</v>
      </c>
      <c r="AH725">
        <v>144</v>
      </c>
      <c r="AI725">
        <v>0</v>
      </c>
      <c r="AJ725">
        <v>0</v>
      </c>
      <c r="AK725">
        <v>130</v>
      </c>
      <c r="AL725">
        <v>0</v>
      </c>
      <c r="AM725">
        <v>0</v>
      </c>
      <c r="AN725">
        <v>36</v>
      </c>
      <c r="AO725">
        <v>0</v>
      </c>
      <c r="AP725">
        <v>7</v>
      </c>
      <c r="AQ725">
        <v>0</v>
      </c>
      <c r="AR725">
        <v>1</v>
      </c>
      <c r="AS725" t="s">
        <v>59</v>
      </c>
      <c r="AT725">
        <v>1</v>
      </c>
      <c r="AU725" t="s">
        <v>64</v>
      </c>
      <c r="AV725" t="s">
        <v>77</v>
      </c>
      <c r="AW725">
        <v>0</v>
      </c>
      <c r="AX725">
        <v>4</v>
      </c>
      <c r="AY725">
        <v>0</v>
      </c>
      <c r="AZ725">
        <v>7300</v>
      </c>
      <c r="BA725">
        <v>100</v>
      </c>
      <c r="BB725">
        <v>100</v>
      </c>
      <c r="BC725">
        <v>100</v>
      </c>
      <c r="BD725">
        <v>100</v>
      </c>
      <c r="BE725">
        <v>1</v>
      </c>
      <c r="BF725">
        <v>15000</v>
      </c>
      <c r="BG725">
        <v>1000</v>
      </c>
      <c r="BH725" s="7">
        <f>ROUND(Wapato_Inventory[[#This Row],[detatched_value]]*Lookups!$B$22*Lookups!$H$48,-2)</f>
        <v>6500</v>
      </c>
      <c r="BI725" s="7">
        <f>ROUND(((Wapato_Inventory[[#This Row],[land_extract]]*Lookups!$B$3) +(Lookups!$B$2*0.5))*Lookups!$H$48,-2)</f>
        <v>52800</v>
      </c>
      <c r="BJ725" s="7">
        <f>IF(Wapato_Inventory[[#This Row],[bldg_style]]="",0,Lookups!$B$2*0.5)</f>
        <v>53765.27</v>
      </c>
      <c r="BK725" s="7">
        <f>_xlfn.IFNA(VLOOKUP(Wapato_Inventory[[#This Row],[quality]],Lookups!$H$2:$J$14,3,FALSE),0)</f>
        <v>50405</v>
      </c>
      <c r="BL725" s="7">
        <f>_xlfn.IFNA(VLOOKUP(Wapato_Inventory[[#This Row],[condition]],Lookups!$H$17:$J$24,3,FALSE),0)</f>
        <v>74543</v>
      </c>
      <c r="BM725" s="7">
        <f>Wapato_Inventory[[#This Row],[Age]]*Lookups!$B$16</f>
        <v>-30766.0831</v>
      </c>
      <c r="BN725" s="7">
        <f>Wapato_Inventory[[#This Row],[Main Floor]]*Lookups!$B$17</f>
        <v>32771.779375999999</v>
      </c>
      <c r="BO725" s="7">
        <f>Wapato_Inventory[[#This Row],[Upper Floor]]*Lookups!$B$18</f>
        <v>20832.47838</v>
      </c>
      <c r="BP725" s="7">
        <f>Wapato_Inventory[[#This Row],[Fin BSMT]]*Lookups!$B$19</f>
        <v>0</v>
      </c>
      <c r="BQ725" s="7">
        <f>(Wapato_Inventory[[#This Row],[att_gar]]+Wapato_Inventory[[#This Row],[blt_gar]])*Lookups!$B$20</f>
        <v>0</v>
      </c>
      <c r="BR725" s="7">
        <f>Wapato_Inventory[[#This Row],[Patio]]*Lookups!$B$21</f>
        <v>0</v>
      </c>
      <c r="BS725" s="7">
        <f>SUM(Wapato_Inventory[[#This Row],[intercept]:[patio_value]])*Wapato_Inventory[[#This Row],[res_pct]]</f>
        <v>201551.44465600001</v>
      </c>
      <c r="BT725" s="7">
        <f>Wapato_Inventory[[#This Row],[land_value]]</f>
        <v>52800</v>
      </c>
      <c r="BU725" s="2">
        <f>_xlfn.IFNA(VLOOKUP(Wapato_Inventory[[#This Row],[quality]],Lookups!$A$28:$C$37,3,FALSE),1)</f>
        <v>0.97993206410140754</v>
      </c>
      <c r="BV725" s="2">
        <f>_xlfn.IFNA(VLOOKUP(Wapato_Inventory[[#This Row],[condition]],Lookups!$A$41:$C$48,3,FALSE),1)</f>
        <v>0.98442438223270734</v>
      </c>
      <c r="BW725" s="2">
        <f>IF(Wapato_Inventory[[#This Row],[decade]]="",1,_xlfn.IFNA(VLOOKUP(Wapato_Inventory[[#This Row],[decade]],Lookups!$F$28:$H$45,3,FALSE),1))</f>
        <v>0.94742695999815718</v>
      </c>
      <c r="BX725" s="2">
        <f>_xlfn.IFNA(VLOOKUP(Wapato_Inventory[[#This Row],[living_area_range]],Lookups!$K$28:$M$37,3,FALSE),1)</f>
        <v>1.0061411172456287</v>
      </c>
      <c r="BY725" s="2">
        <f>AVERAGE(Wapato_Inventory[[#This Row],[qual_adj]:[range_adj]])</f>
        <v>0.97948113089447519</v>
      </c>
      <c r="BZ725" s="7">
        <f>(Wapato_Inventory[[#This Row],[sum_land]]-IF(Wapato_Inventory[[#This Row],[no_utilities]]=1,12000,0))/IF(Wapato_Inventory[[#This Row],[unbuildable]]=1,2,1)</f>
        <v>52800</v>
      </c>
      <c r="CA725" s="7">
        <f>Wapato_Inventory[[#This Row],[pre_res]]*Wapato_Inventory[[#This Row],[overall_adj]]</f>
        <v>197415.83694507412</v>
      </c>
      <c r="CB725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25" s="3">
        <f>IF(ROUND(Wapato_Inventory[[#This Row],[adj_res]]*Lookups!$H$48,-2)&lt;Wapato_Inventory[[#This Row],[min_res]],Wapato_Inventory[[#This Row],[min_res]],ROUND(Wapato_Inventory[[#This Row],[adj_res]]*Lookups!$H$48,-2))</f>
        <v>187500</v>
      </c>
      <c r="CD725" s="3">
        <f>ROUND(Wapato_Inventory[[#This Row],[det_value]]*Lookups!$H$48,-2)</f>
        <v>6200</v>
      </c>
      <c r="CE725" s="3">
        <f>Wapato_Inventory[[#This Row],[final_res]]+Wapato_Inventory[[#This Row],[final_det]]</f>
        <v>193700</v>
      </c>
      <c r="CF725" s="3">
        <f>Wapato_Inventory[[#This Row],[crop_value]]+Wapato_Inventory[[#This Row],[final_land]]+Wapato_Inventory[[#This Row],[final_imp]]</f>
        <v>243900</v>
      </c>
      <c r="CH725" t="str">
        <f t="shared" si="11"/>
        <v>update valuation set market_land =50200, market_bldg=193700, market_total =243900, market_mdno =405, market_date ='9/10/2023' where link_id = (select link_id from parcel where parcel_year = '2024' and parcel_id = '19111513541');</v>
      </c>
    </row>
    <row r="726" spans="1:86" x14ac:dyDescent="0.25">
      <c r="A726">
        <v>19111513542</v>
      </c>
      <c r="B726">
        <v>0.13</v>
      </c>
      <c r="C726">
        <v>5868</v>
      </c>
      <c r="D726" t="s">
        <v>144</v>
      </c>
      <c r="E726" t="s">
        <v>54</v>
      </c>
      <c r="F726" t="s">
        <v>54</v>
      </c>
      <c r="G726">
        <v>3</v>
      </c>
      <c r="H726" t="s">
        <v>55</v>
      </c>
      <c r="I726">
        <v>98800</v>
      </c>
      <c r="J726">
        <v>31400</v>
      </c>
      <c r="K726">
        <v>0.13</v>
      </c>
      <c r="L726">
        <f>IF(Wapato_Inventory[[#This Row],[parcel_acres]]-Wapato_Inventory[[#This Row],[non_valued_acres]] =0,0,LN(Wapato_Inventory[[#This Row],[parcel_acres]]-Wapato_Inventory[[#This Row],[non_valued_acres]]))</f>
        <v>-2.0402208285265546</v>
      </c>
      <c r="M726">
        <v>0</v>
      </c>
      <c r="N726">
        <v>0</v>
      </c>
      <c r="O726">
        <v>0</v>
      </c>
      <c r="P726">
        <v>27904.037</v>
      </c>
      <c r="Q726">
        <v>74398</v>
      </c>
      <c r="R726" s="3">
        <f>(Wapato_Inventory[[#This Row],[ln_acres]]*Wapato_Inventory[[#This Row],[coeff]])+Wapato_Inventory[[#This Row],[const]]</f>
        <v>17467.602512624362</v>
      </c>
      <c r="S726" t="s">
        <v>66</v>
      </c>
      <c r="T726">
        <v>2</v>
      </c>
      <c r="U726" t="s">
        <v>71</v>
      </c>
      <c r="V726" t="s">
        <v>73</v>
      </c>
      <c r="W726">
        <v>0</v>
      </c>
      <c r="X726">
        <v>0</v>
      </c>
      <c r="Y726">
        <v>50</v>
      </c>
      <c r="Z726">
        <v>76</v>
      </c>
      <c r="AA726">
        <v>80</v>
      </c>
      <c r="AB726">
        <v>1500</v>
      </c>
      <c r="AC726">
        <v>1228</v>
      </c>
      <c r="AD726">
        <v>920</v>
      </c>
      <c r="AE726">
        <v>308</v>
      </c>
      <c r="AF726">
        <v>0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5</v>
      </c>
      <c r="AQ726">
        <v>0</v>
      </c>
      <c r="AR726">
        <v>0</v>
      </c>
      <c r="AS726" t="s">
        <v>59</v>
      </c>
      <c r="AT726">
        <v>1</v>
      </c>
      <c r="AU726" t="s">
        <v>72</v>
      </c>
      <c r="AV726" t="s">
        <v>61</v>
      </c>
      <c r="AW726">
        <v>0</v>
      </c>
      <c r="AX726">
        <v>3</v>
      </c>
      <c r="AY726">
        <v>0</v>
      </c>
      <c r="AZ726">
        <v>6900</v>
      </c>
      <c r="BA726">
        <v>100</v>
      </c>
      <c r="BB726">
        <v>100</v>
      </c>
      <c r="BC726">
        <v>100</v>
      </c>
      <c r="BD726">
        <v>100</v>
      </c>
      <c r="BE726">
        <v>1</v>
      </c>
      <c r="BF726">
        <v>15000</v>
      </c>
      <c r="BG726">
        <v>1000</v>
      </c>
      <c r="BH726" s="7">
        <f>ROUND(Wapato_Inventory[[#This Row],[detatched_value]]*Lookups!$B$22*Lookups!$H$48,-2)</f>
        <v>6200</v>
      </c>
      <c r="BI726" s="7">
        <f>ROUND(((Wapato_Inventory[[#This Row],[land_extract]]*Lookups!$B$3) +(Lookups!$B$2*0.5))*Lookups!$H$48,-2)</f>
        <v>52800</v>
      </c>
      <c r="BJ726" s="7">
        <f>IF(Wapato_Inventory[[#This Row],[bldg_style]]="",0,Lookups!$B$2*0.5)</f>
        <v>53765.27</v>
      </c>
      <c r="BK726" s="7">
        <f>_xlfn.IFNA(VLOOKUP(Wapato_Inventory[[#This Row],[quality]],Lookups!$H$2:$J$14,3,FALSE),0)</f>
        <v>28034</v>
      </c>
      <c r="BL726" s="7">
        <f>_xlfn.IFNA(VLOOKUP(Wapato_Inventory[[#This Row],[condition]],Lookups!$H$17:$J$24,3,FALSE),0)</f>
        <v>16276</v>
      </c>
      <c r="BM726" s="7">
        <f>Wapato_Inventory[[#This Row],[Age]]*Lookups!$B$16</f>
        <v>-28171.353200000001</v>
      </c>
      <c r="BN726" s="7">
        <f>Wapato_Inventory[[#This Row],[Main Floor]]*Lookups!$B$17</f>
        <v>38456.679880000003</v>
      </c>
      <c r="BO726" s="7">
        <f>Wapato_Inventory[[#This Row],[Upper Floor]]*Lookups!$B$18</f>
        <v>15277.150812000002</v>
      </c>
      <c r="BP726" s="7">
        <f>Wapato_Inventory[[#This Row],[Fin BSMT]]*Lookups!$B$19</f>
        <v>0</v>
      </c>
      <c r="BQ726" s="7">
        <f>(Wapato_Inventory[[#This Row],[att_gar]]+Wapato_Inventory[[#This Row],[blt_gar]])*Lookups!$B$20</f>
        <v>0</v>
      </c>
      <c r="BR726" s="7">
        <f>Wapato_Inventory[[#This Row],[Patio]]*Lookups!$B$21</f>
        <v>0</v>
      </c>
      <c r="BS726" s="7">
        <f>SUM(Wapato_Inventory[[#This Row],[intercept]:[patio_value]])*Wapato_Inventory[[#This Row],[res_pct]]</f>
        <v>123637.74749199999</v>
      </c>
      <c r="BT726" s="7">
        <f>Wapato_Inventory[[#This Row],[land_value]]</f>
        <v>52800</v>
      </c>
      <c r="BU726" s="2">
        <f>_xlfn.IFNA(VLOOKUP(Wapato_Inventory[[#This Row],[quality]],Lookups!$A$28:$C$37,3,FALSE),1)</f>
        <v>0.96265813922927435</v>
      </c>
      <c r="BV726" s="2">
        <f>_xlfn.IFNA(VLOOKUP(Wapato_Inventory[[#This Row],[condition]],Lookups!$A$41:$C$48,3,FALSE),1)</f>
        <v>0.93399385491337139</v>
      </c>
      <c r="BW726" s="2">
        <f>IF(Wapato_Inventory[[#This Row],[decade]]="",1,_xlfn.IFNA(VLOOKUP(Wapato_Inventory[[#This Row],[decade]],Lookups!$F$28:$H$45,3,FALSE),1))</f>
        <v>0.8438929209510081</v>
      </c>
      <c r="BX726" s="2">
        <f>_xlfn.IFNA(VLOOKUP(Wapato_Inventory[[#This Row],[living_area_range]],Lookups!$K$28:$M$37,3,FALSE),1)</f>
        <v>1.0061411172456287</v>
      </c>
      <c r="BY726" s="2">
        <f>AVERAGE(Wapato_Inventory[[#This Row],[qual_adj]:[range_adj]])</f>
        <v>0.93667150808482069</v>
      </c>
      <c r="BZ726" s="7">
        <f>(Wapato_Inventory[[#This Row],[sum_land]]-IF(Wapato_Inventory[[#This Row],[no_utilities]]=1,12000,0))/IF(Wapato_Inventory[[#This Row],[unbuildable]]=1,2,1)</f>
        <v>52800</v>
      </c>
      <c r="CA726" s="7">
        <f>Wapato_Inventory[[#This Row],[pre_res]]*Wapato_Inventory[[#This Row],[overall_adj]]</f>
        <v>115807.9553995419</v>
      </c>
      <c r="CB726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26" s="3">
        <f>IF(ROUND(Wapato_Inventory[[#This Row],[adj_res]]*Lookups!$H$48,-2)&lt;Wapato_Inventory[[#This Row],[min_res]],Wapato_Inventory[[#This Row],[min_res]],ROUND(Wapato_Inventory[[#This Row],[adj_res]]*Lookups!$H$48,-2))</f>
        <v>110000</v>
      </c>
      <c r="CD726" s="3">
        <f>ROUND(Wapato_Inventory[[#This Row],[det_value]]*Lookups!$H$48,-2)</f>
        <v>5900</v>
      </c>
      <c r="CE726" s="3">
        <f>Wapato_Inventory[[#This Row],[final_res]]+Wapato_Inventory[[#This Row],[final_det]]</f>
        <v>115900</v>
      </c>
      <c r="CF726" s="3">
        <f>Wapato_Inventory[[#This Row],[crop_value]]+Wapato_Inventory[[#This Row],[final_land]]+Wapato_Inventory[[#This Row],[final_imp]]</f>
        <v>166100</v>
      </c>
      <c r="CH726" t="str">
        <f t="shared" si="11"/>
        <v>update valuation set market_land =50200, market_bldg=115900, market_total =166100, market_mdno =405, market_date ='9/10/2023' where link_id = (select link_id from parcel where parcel_year = '2024' and parcel_id = '19111513542');</v>
      </c>
    </row>
    <row r="727" spans="1:86" x14ac:dyDescent="0.25">
      <c r="A727">
        <v>19111513543</v>
      </c>
      <c r="B727">
        <v>0.12</v>
      </c>
      <c r="C727">
        <v>5078</v>
      </c>
      <c r="D727" t="s">
        <v>144</v>
      </c>
      <c r="E727" t="s">
        <v>54</v>
      </c>
      <c r="F727" t="s">
        <v>54</v>
      </c>
      <c r="G727">
        <v>3</v>
      </c>
      <c r="H727" t="s">
        <v>55</v>
      </c>
      <c r="I727">
        <v>156000</v>
      </c>
      <c r="J727">
        <v>30800</v>
      </c>
      <c r="K727">
        <v>0.12</v>
      </c>
      <c r="L727">
        <f>IF(Wapato_Inventory[[#This Row],[parcel_acres]]-Wapato_Inventory[[#This Row],[non_valued_acres]] =0,0,LN(Wapato_Inventory[[#This Row],[parcel_acres]]-Wapato_Inventory[[#This Row],[non_valued_acres]]))</f>
        <v>-2.120263536200091</v>
      </c>
      <c r="M727">
        <v>0</v>
      </c>
      <c r="N727">
        <v>0</v>
      </c>
      <c r="O727">
        <v>0</v>
      </c>
      <c r="P727">
        <v>27904.037</v>
      </c>
      <c r="Q727">
        <v>74398</v>
      </c>
      <c r="R727" s="3">
        <f>(Wapato_Inventory[[#This Row],[ln_acres]]*Wapato_Inventory[[#This Row],[coeff]])+Wapato_Inventory[[#This Row],[const]]</f>
        <v>15234.08783612182</v>
      </c>
      <c r="S727" t="s">
        <v>66</v>
      </c>
      <c r="T727">
        <v>1</v>
      </c>
      <c r="U727" t="s">
        <v>75</v>
      </c>
      <c r="V727" t="s">
        <v>68</v>
      </c>
      <c r="W727">
        <v>0</v>
      </c>
      <c r="X727">
        <v>0</v>
      </c>
      <c r="Y727">
        <v>52</v>
      </c>
      <c r="Z727">
        <v>88</v>
      </c>
      <c r="AA727">
        <v>90</v>
      </c>
      <c r="AB727">
        <v>1500</v>
      </c>
      <c r="AC727">
        <v>1311</v>
      </c>
      <c r="AD727">
        <v>1311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459</v>
      </c>
      <c r="AL727">
        <v>0</v>
      </c>
      <c r="AM727">
        <v>16</v>
      </c>
      <c r="AN727">
        <v>0</v>
      </c>
      <c r="AO727">
        <v>16</v>
      </c>
      <c r="AP727">
        <v>7</v>
      </c>
      <c r="AQ727">
        <v>0</v>
      </c>
      <c r="AR727">
        <v>0</v>
      </c>
      <c r="AS727" t="s">
        <v>59</v>
      </c>
      <c r="AT727">
        <v>1</v>
      </c>
      <c r="AU727" t="s">
        <v>72</v>
      </c>
      <c r="AV727" t="s">
        <v>61</v>
      </c>
      <c r="AW727">
        <v>0</v>
      </c>
      <c r="AX727">
        <v>4</v>
      </c>
      <c r="AY727">
        <v>0</v>
      </c>
      <c r="AZ727">
        <v>0</v>
      </c>
      <c r="BA727">
        <v>100</v>
      </c>
      <c r="BB727">
        <v>100</v>
      </c>
      <c r="BC727">
        <v>100</v>
      </c>
      <c r="BD727">
        <v>100</v>
      </c>
      <c r="BE727">
        <v>1</v>
      </c>
      <c r="BF727">
        <v>15000</v>
      </c>
      <c r="BG727">
        <v>1000</v>
      </c>
      <c r="BH727" s="7">
        <f>ROUND(Wapato_Inventory[[#This Row],[detatched_value]]*Lookups!$B$22*Lookups!$H$48,-2)</f>
        <v>0</v>
      </c>
      <c r="BI727" s="7">
        <f>ROUND(((Wapato_Inventory[[#This Row],[land_extract]]*Lookups!$B$3) +(Lookups!$B$2*0.5))*Lookups!$H$48,-2)</f>
        <v>52500</v>
      </c>
      <c r="BJ727" s="7">
        <f>IF(Wapato_Inventory[[#This Row],[bldg_style]]="",0,Lookups!$B$2*0.5)</f>
        <v>53765.27</v>
      </c>
      <c r="BK727" s="7">
        <f>_xlfn.IFNA(VLOOKUP(Wapato_Inventory[[#This Row],[quality]],Lookups!$H$2:$J$14,3,FALSE),0)</f>
        <v>48043</v>
      </c>
      <c r="BL727" s="7">
        <f>_xlfn.IFNA(VLOOKUP(Wapato_Inventory[[#This Row],[condition]],Lookups!$H$17:$J$24,3,FALSE),0)</f>
        <v>52231</v>
      </c>
      <c r="BM727" s="7">
        <f>Wapato_Inventory[[#This Row],[Age]]*Lookups!$B$16</f>
        <v>-32619.461600000002</v>
      </c>
      <c r="BN727" s="7">
        <f>Wapato_Inventory[[#This Row],[Main Floor]]*Lookups!$B$17</f>
        <v>54800.768829000001</v>
      </c>
      <c r="BO727" s="7">
        <f>Wapato_Inventory[[#This Row],[Upper Floor]]*Lookups!$B$18</f>
        <v>0</v>
      </c>
      <c r="BP727" s="7">
        <f>Wapato_Inventory[[#This Row],[Fin BSMT]]*Lookups!$B$19</f>
        <v>0</v>
      </c>
      <c r="BQ727" s="7">
        <f>(Wapato_Inventory[[#This Row],[att_gar]]+Wapato_Inventory[[#This Row],[blt_gar]])*Lookups!$B$20</f>
        <v>0</v>
      </c>
      <c r="BR727" s="7">
        <f>Wapato_Inventory[[#This Row],[Patio]]*Lookups!$B$21</f>
        <v>693.18366400000002</v>
      </c>
      <c r="BS727" s="7">
        <f>SUM(Wapato_Inventory[[#This Row],[intercept]:[patio_value]])*Wapato_Inventory[[#This Row],[res_pct]]</f>
        <v>176913.760893</v>
      </c>
      <c r="BT727" s="7">
        <f>Wapato_Inventory[[#This Row],[land_value]]</f>
        <v>52500</v>
      </c>
      <c r="BU727" s="2">
        <f>_xlfn.IFNA(VLOOKUP(Wapato_Inventory[[#This Row],[quality]],Lookups!$A$28:$C$37,3,FALSE),1)</f>
        <v>0.98196844879778955</v>
      </c>
      <c r="BV727" s="2">
        <f>_xlfn.IFNA(VLOOKUP(Wapato_Inventory[[#This Row],[condition]],Lookups!$A$41:$C$48,3,FALSE),1)</f>
        <v>0.9832333997567807</v>
      </c>
      <c r="BW727" s="2">
        <f>IF(Wapato_Inventory[[#This Row],[decade]]="",1,_xlfn.IFNA(VLOOKUP(Wapato_Inventory[[#This Row],[decade]],Lookups!$F$28:$H$45,3,FALSE),1))</f>
        <v>0.94742695999815718</v>
      </c>
      <c r="BX727" s="2">
        <f>_xlfn.IFNA(VLOOKUP(Wapato_Inventory[[#This Row],[living_area_range]],Lookups!$K$28:$M$37,3,FALSE),1)</f>
        <v>1.0061411172456287</v>
      </c>
      <c r="BY727" s="2">
        <f>AVERAGE(Wapato_Inventory[[#This Row],[qual_adj]:[range_adj]])</f>
        <v>0.97969248144958898</v>
      </c>
      <c r="BZ727" s="7">
        <f>(Wapato_Inventory[[#This Row],[sum_land]]-IF(Wapato_Inventory[[#This Row],[no_utilities]]=1,12000,0))/IF(Wapato_Inventory[[#This Row],[unbuildable]]=1,2,1)</f>
        <v>52500</v>
      </c>
      <c r="CA727" s="7">
        <f>Wapato_Inventory[[#This Row],[pre_res]]*Wapato_Inventory[[#This Row],[overall_adj]]</f>
        <v>173321.08141184243</v>
      </c>
      <c r="CB727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727" s="3">
        <f>IF(ROUND(Wapato_Inventory[[#This Row],[adj_res]]*Lookups!$H$48,-2)&lt;Wapato_Inventory[[#This Row],[min_res]],Wapato_Inventory[[#This Row],[min_res]],ROUND(Wapato_Inventory[[#This Row],[adj_res]]*Lookups!$H$48,-2))</f>
        <v>164700</v>
      </c>
      <c r="CD727" s="3">
        <f>ROUND(Wapato_Inventory[[#This Row],[det_value]]*Lookups!$H$48,-2)</f>
        <v>0</v>
      </c>
      <c r="CE727" s="3">
        <f>Wapato_Inventory[[#This Row],[final_res]]+Wapato_Inventory[[#This Row],[final_det]]</f>
        <v>164700</v>
      </c>
      <c r="CF727" s="3">
        <f>Wapato_Inventory[[#This Row],[crop_value]]+Wapato_Inventory[[#This Row],[final_land]]+Wapato_Inventory[[#This Row],[final_imp]]</f>
        <v>214600</v>
      </c>
      <c r="CH727" t="str">
        <f t="shared" si="11"/>
        <v>update valuation set market_land =49900, market_bldg=164700, market_total =214600, market_mdno =405, market_date ='9/10/2023' where link_id = (select link_id from parcel where parcel_year = '2024' and parcel_id = '19111513543');</v>
      </c>
    </row>
    <row r="728" spans="1:86" x14ac:dyDescent="0.25">
      <c r="A728">
        <v>19111513544</v>
      </c>
      <c r="B728">
        <v>0.13</v>
      </c>
      <c r="C728">
        <v>5663</v>
      </c>
      <c r="D728" t="s">
        <v>144</v>
      </c>
      <c r="E728" t="s">
        <v>54</v>
      </c>
      <c r="F728" t="s">
        <v>54</v>
      </c>
      <c r="G728">
        <v>3</v>
      </c>
      <c r="H728" t="s">
        <v>55</v>
      </c>
      <c r="I728">
        <v>228300</v>
      </c>
      <c r="J728">
        <v>31400</v>
      </c>
      <c r="K728">
        <v>0.13</v>
      </c>
      <c r="L728">
        <f>IF(Wapato_Inventory[[#This Row],[parcel_acres]]-Wapato_Inventory[[#This Row],[non_valued_acres]] =0,0,LN(Wapato_Inventory[[#This Row],[parcel_acres]]-Wapato_Inventory[[#This Row],[non_valued_acres]]))</f>
        <v>-2.0402208285265546</v>
      </c>
      <c r="M728">
        <v>0</v>
      </c>
      <c r="N728">
        <v>0</v>
      </c>
      <c r="O728">
        <v>0</v>
      </c>
      <c r="P728">
        <v>27904.037</v>
      </c>
      <c r="Q728">
        <v>74398</v>
      </c>
      <c r="R728" s="3">
        <f>(Wapato_Inventory[[#This Row],[ln_acres]]*Wapato_Inventory[[#This Row],[coeff]])+Wapato_Inventory[[#This Row],[const]]</f>
        <v>17467.602512624362</v>
      </c>
      <c r="S728" t="s">
        <v>62</v>
      </c>
      <c r="T728">
        <v>1</v>
      </c>
      <c r="U728" t="s">
        <v>67</v>
      </c>
      <c r="V728" t="s">
        <v>69</v>
      </c>
      <c r="W728">
        <v>0</v>
      </c>
      <c r="X728">
        <v>0</v>
      </c>
      <c r="Y728">
        <v>29</v>
      </c>
      <c r="Z728">
        <v>29</v>
      </c>
      <c r="AA728">
        <v>30</v>
      </c>
      <c r="AB728">
        <v>2000</v>
      </c>
      <c r="AC728">
        <v>1578</v>
      </c>
      <c r="AD728">
        <v>1578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98</v>
      </c>
      <c r="AO728">
        <v>0</v>
      </c>
      <c r="AP728">
        <v>10</v>
      </c>
      <c r="AQ728">
        <v>0</v>
      </c>
      <c r="AR728">
        <v>0</v>
      </c>
      <c r="AS728" t="s">
        <v>59</v>
      </c>
      <c r="AT728">
        <v>1</v>
      </c>
      <c r="AU728" t="s">
        <v>76</v>
      </c>
      <c r="AV728" t="s">
        <v>61</v>
      </c>
      <c r="AW728">
        <v>0</v>
      </c>
      <c r="AX728">
        <v>4</v>
      </c>
      <c r="AY728">
        <v>0</v>
      </c>
      <c r="AZ728">
        <v>4600</v>
      </c>
      <c r="BA728">
        <v>100</v>
      </c>
      <c r="BB728">
        <v>100</v>
      </c>
      <c r="BC728">
        <v>100</v>
      </c>
      <c r="BD728">
        <v>100</v>
      </c>
      <c r="BE728">
        <v>1</v>
      </c>
      <c r="BF728">
        <v>15000</v>
      </c>
      <c r="BG728">
        <v>1000</v>
      </c>
      <c r="BH728" s="7">
        <f>ROUND(Wapato_Inventory[[#This Row],[detatched_value]]*Lookups!$B$22*Lookups!$H$48,-2)</f>
        <v>4100</v>
      </c>
      <c r="BI728" s="7">
        <f>ROUND(((Wapato_Inventory[[#This Row],[land_extract]]*Lookups!$B$3) +(Lookups!$B$2*0.5))*Lookups!$H$48,-2)</f>
        <v>52800</v>
      </c>
      <c r="BJ728" s="7">
        <f>IF(Wapato_Inventory[[#This Row],[bldg_style]]="",0,Lookups!$B$2*0.5)</f>
        <v>53765.27</v>
      </c>
      <c r="BK728" s="7">
        <f>_xlfn.IFNA(VLOOKUP(Wapato_Inventory[[#This Row],[quality]],Lookups!$H$2:$J$14,3,FALSE),0)</f>
        <v>50405</v>
      </c>
      <c r="BL728" s="7">
        <f>_xlfn.IFNA(VLOOKUP(Wapato_Inventory[[#This Row],[condition]],Lookups!$H$17:$J$24,3,FALSE),0)</f>
        <v>74543</v>
      </c>
      <c r="BM728" s="7">
        <f>Wapato_Inventory[[#This Row],[Age]]*Lookups!$B$16</f>
        <v>-10749.595300000001</v>
      </c>
      <c r="BN728" s="7">
        <f>Wapato_Inventory[[#This Row],[Main Floor]]*Lookups!$B$17</f>
        <v>65961.566141999996</v>
      </c>
      <c r="BO728" s="7">
        <f>Wapato_Inventory[[#This Row],[Upper Floor]]*Lookups!$B$18</f>
        <v>0</v>
      </c>
      <c r="BP728" s="7">
        <f>Wapato_Inventory[[#This Row],[Fin BSMT]]*Lookups!$B$19</f>
        <v>0</v>
      </c>
      <c r="BQ728" s="7">
        <f>(Wapato_Inventory[[#This Row],[att_gar]]+Wapato_Inventory[[#This Row],[blt_gar]])*Lookups!$B$20</f>
        <v>0</v>
      </c>
      <c r="BR728" s="7">
        <f>Wapato_Inventory[[#This Row],[Patio]]*Lookups!$B$21</f>
        <v>0</v>
      </c>
      <c r="BS728" s="7">
        <f>SUM(Wapato_Inventory[[#This Row],[intercept]:[patio_value]])*Wapato_Inventory[[#This Row],[res_pct]]</f>
        <v>233925.24084199997</v>
      </c>
      <c r="BT728" s="7">
        <f>Wapato_Inventory[[#This Row],[land_value]]</f>
        <v>52800</v>
      </c>
      <c r="BU728" s="2">
        <f>_xlfn.IFNA(VLOOKUP(Wapato_Inventory[[#This Row],[quality]],Lookups!$A$28:$C$37,3,FALSE),1)</f>
        <v>0.97993206410140754</v>
      </c>
      <c r="BV728" s="2">
        <f>_xlfn.IFNA(VLOOKUP(Wapato_Inventory[[#This Row],[condition]],Lookups!$A$41:$C$48,3,FALSE),1)</f>
        <v>0.98442438223270734</v>
      </c>
      <c r="BW728" s="2">
        <f>IF(Wapato_Inventory[[#This Row],[decade]]="",1,_xlfn.IFNA(VLOOKUP(Wapato_Inventory[[#This Row],[decade]],Lookups!$F$28:$H$45,3,FALSE),1))</f>
        <v>1.0490505496896987</v>
      </c>
      <c r="BX728" s="2">
        <f>_xlfn.IFNA(VLOOKUP(Wapato_Inventory[[#This Row],[living_area_range]],Lookups!$K$28:$M$37,3,FALSE),1)</f>
        <v>0.99330894324714125</v>
      </c>
      <c r="BY728" s="2">
        <f>AVERAGE(Wapato_Inventory[[#This Row],[qual_adj]:[range_adj]])</f>
        <v>1.0016789848177388</v>
      </c>
      <c r="BZ728" s="7">
        <f>(Wapato_Inventory[[#This Row],[sum_land]]-IF(Wapato_Inventory[[#This Row],[no_utilities]]=1,12000,0))/IF(Wapato_Inventory[[#This Row],[unbuildable]]=1,2,1)</f>
        <v>52800</v>
      </c>
      <c r="CA728" s="7">
        <f>Wapato_Inventory[[#This Row],[pre_res]]*Wapato_Inventory[[#This Row],[overall_adj]]</f>
        <v>234317.99776985956</v>
      </c>
      <c r="CB728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28" s="3">
        <f>IF(ROUND(Wapato_Inventory[[#This Row],[adj_res]]*Lookups!$H$48,-2)&lt;Wapato_Inventory[[#This Row],[min_res]],Wapato_Inventory[[#This Row],[min_res]],ROUND(Wapato_Inventory[[#This Row],[adj_res]]*Lookups!$H$48,-2))</f>
        <v>222600</v>
      </c>
      <c r="CD728" s="3">
        <f>ROUND(Wapato_Inventory[[#This Row],[det_value]]*Lookups!$H$48,-2)</f>
        <v>3900</v>
      </c>
      <c r="CE728" s="3">
        <f>Wapato_Inventory[[#This Row],[final_res]]+Wapato_Inventory[[#This Row],[final_det]]</f>
        <v>226500</v>
      </c>
      <c r="CF728" s="3">
        <f>Wapato_Inventory[[#This Row],[crop_value]]+Wapato_Inventory[[#This Row],[final_land]]+Wapato_Inventory[[#This Row],[final_imp]]</f>
        <v>276700</v>
      </c>
      <c r="CH728" t="str">
        <f t="shared" si="11"/>
        <v>update valuation set market_land =50200, market_bldg=226500, market_total =276700, market_mdno =405, market_date ='9/10/2023' where link_id = (select link_id from parcel where parcel_year = '2024' and parcel_id = '19111513544');</v>
      </c>
    </row>
    <row r="729" spans="1:86" x14ac:dyDescent="0.25">
      <c r="A729">
        <v>19111513545</v>
      </c>
      <c r="B729">
        <v>0.14000000000000001</v>
      </c>
      <c r="C729">
        <v>5968</v>
      </c>
      <c r="D729" t="s">
        <v>144</v>
      </c>
      <c r="E729" t="s">
        <v>54</v>
      </c>
      <c r="F729" t="s">
        <v>54</v>
      </c>
      <c r="G729">
        <v>3</v>
      </c>
      <c r="H729" t="s">
        <v>55</v>
      </c>
      <c r="I729">
        <v>65100</v>
      </c>
      <c r="J729">
        <v>31900</v>
      </c>
      <c r="K729">
        <v>0.14000000000000001</v>
      </c>
      <c r="L729">
        <f>IF(Wapato_Inventory[[#This Row],[parcel_acres]]-Wapato_Inventory[[#This Row],[non_valued_acres]] =0,0,LN(Wapato_Inventory[[#This Row],[parcel_acres]]-Wapato_Inventory[[#This Row],[non_valued_acres]]))</f>
        <v>-1.9661128563728327</v>
      </c>
      <c r="M729">
        <v>0</v>
      </c>
      <c r="N729">
        <v>0</v>
      </c>
      <c r="O729">
        <v>0</v>
      </c>
      <c r="P729">
        <v>27904.037</v>
      </c>
      <c r="Q729">
        <v>74398</v>
      </c>
      <c r="R729" s="3">
        <f>(Wapato_Inventory[[#This Row],[ln_acres]]*Wapato_Inventory[[#This Row],[coeff]])+Wapato_Inventory[[#This Row],[const]]</f>
        <v>19535.514109596792</v>
      </c>
      <c r="S729" t="s">
        <v>66</v>
      </c>
      <c r="T729">
        <v>1</v>
      </c>
      <c r="U729" t="s">
        <v>78</v>
      </c>
      <c r="V729" t="s">
        <v>73</v>
      </c>
      <c r="W729">
        <v>0</v>
      </c>
      <c r="X729">
        <v>0</v>
      </c>
      <c r="Y729">
        <v>57</v>
      </c>
      <c r="Z729">
        <v>103</v>
      </c>
      <c r="AA729">
        <v>110</v>
      </c>
      <c r="AB729">
        <v>1000</v>
      </c>
      <c r="AC729">
        <v>708</v>
      </c>
      <c r="AD729">
        <v>708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0</v>
      </c>
      <c r="AK729">
        <v>0</v>
      </c>
      <c r="AL729">
        <v>0</v>
      </c>
      <c r="AM729">
        <v>0</v>
      </c>
      <c r="AN729">
        <v>0</v>
      </c>
      <c r="AO729">
        <v>30</v>
      </c>
      <c r="AP729">
        <v>5</v>
      </c>
      <c r="AQ729">
        <v>0</v>
      </c>
      <c r="AR729">
        <v>0</v>
      </c>
      <c r="AS729" t="s">
        <v>59</v>
      </c>
      <c r="AT729">
        <v>1</v>
      </c>
      <c r="AU729" t="s">
        <v>76</v>
      </c>
      <c r="AV729" t="s">
        <v>61</v>
      </c>
      <c r="AW729">
        <v>0</v>
      </c>
      <c r="AX729">
        <v>2</v>
      </c>
      <c r="AY729">
        <v>0</v>
      </c>
      <c r="AZ729">
        <v>8700</v>
      </c>
      <c r="BA729">
        <v>100</v>
      </c>
      <c r="BB729">
        <v>100</v>
      </c>
      <c r="BC729">
        <v>100</v>
      </c>
      <c r="BD729">
        <v>100</v>
      </c>
      <c r="BE729">
        <v>1</v>
      </c>
      <c r="BF729">
        <v>15000</v>
      </c>
      <c r="BG729">
        <v>1000</v>
      </c>
      <c r="BH729" s="7">
        <f>ROUND(Wapato_Inventory[[#This Row],[detatched_value]]*Lookups!$B$22*Lookups!$H$48,-2)</f>
        <v>7800</v>
      </c>
      <c r="BI729" s="7">
        <f>ROUND(((Wapato_Inventory[[#This Row],[land_extract]]*Lookups!$B$3) +(Lookups!$B$2*0.5))*Lookups!$H$48,-2)</f>
        <v>53000</v>
      </c>
      <c r="BJ729" s="7">
        <f>IF(Wapato_Inventory[[#This Row],[bldg_style]]="",0,Lookups!$B$2*0.5)</f>
        <v>53765.27</v>
      </c>
      <c r="BK729" s="7">
        <f>_xlfn.IFNA(VLOOKUP(Wapato_Inventory[[#This Row],[quality]],Lookups!$H$2:$J$14,3,FALSE),0)</f>
        <v>23424</v>
      </c>
      <c r="BL729" s="7">
        <f>_xlfn.IFNA(VLOOKUP(Wapato_Inventory[[#This Row],[condition]],Lookups!$H$17:$J$24,3,FALSE),0)</f>
        <v>16276</v>
      </c>
      <c r="BM729" s="7">
        <f>Wapato_Inventory[[#This Row],[Age]]*Lookups!$B$16</f>
        <v>-38179.597099999999</v>
      </c>
      <c r="BN729" s="7">
        <f>Wapato_Inventory[[#This Row],[Main Floor]]*Lookups!$B$17</f>
        <v>29594.923212000002</v>
      </c>
      <c r="BO729" s="7">
        <f>Wapato_Inventory[[#This Row],[Upper Floor]]*Lookups!$B$18</f>
        <v>0</v>
      </c>
      <c r="BP729" s="7">
        <f>Wapato_Inventory[[#This Row],[Fin BSMT]]*Lookups!$B$19</f>
        <v>0</v>
      </c>
      <c r="BQ729" s="7">
        <f>(Wapato_Inventory[[#This Row],[att_gar]]+Wapato_Inventory[[#This Row],[blt_gar]])*Lookups!$B$20</f>
        <v>0</v>
      </c>
      <c r="BR729" s="7">
        <f>Wapato_Inventory[[#This Row],[Patio]]*Lookups!$B$21</f>
        <v>0</v>
      </c>
      <c r="BS729" s="7">
        <f>SUM(Wapato_Inventory[[#This Row],[intercept]:[patio_value]])*Wapato_Inventory[[#This Row],[res_pct]]</f>
        <v>84880.596111999999</v>
      </c>
      <c r="BT729" s="7">
        <f>Wapato_Inventory[[#This Row],[land_value]]</f>
        <v>53000</v>
      </c>
      <c r="BU729" s="2">
        <f>_xlfn.IFNA(VLOOKUP(Wapato_Inventory[[#This Row],[quality]],Lookups!$A$28:$C$37,3,FALSE),1)</f>
        <v>1.0091195562373767</v>
      </c>
      <c r="BV729" s="2">
        <f>_xlfn.IFNA(VLOOKUP(Wapato_Inventory[[#This Row],[condition]],Lookups!$A$41:$C$48,3,FALSE),1)</f>
        <v>0.93399385491337139</v>
      </c>
      <c r="BW729" s="2">
        <f>IF(Wapato_Inventory[[#This Row],[decade]]="",1,_xlfn.IFNA(VLOOKUP(Wapato_Inventory[[#This Row],[decade]],Lookups!$F$28:$H$45,3,FALSE),1))</f>
        <v>0.93664589651353292</v>
      </c>
      <c r="BX729" s="2">
        <f>_xlfn.IFNA(VLOOKUP(Wapato_Inventory[[#This Row],[living_area_range]],Lookups!$K$28:$M$37,3,FALSE),1)</f>
        <v>0.99022994770196116</v>
      </c>
      <c r="BY729" s="2">
        <f>AVERAGE(Wapato_Inventory[[#This Row],[qual_adj]:[range_adj]])</f>
        <v>0.96749731384156046</v>
      </c>
      <c r="BZ729" s="7">
        <f>(Wapato_Inventory[[#This Row],[sum_land]]-IF(Wapato_Inventory[[#This Row],[no_utilities]]=1,12000,0))/IF(Wapato_Inventory[[#This Row],[unbuildable]]=1,2,1)</f>
        <v>53000</v>
      </c>
      <c r="CA729" s="7">
        <f>Wapato_Inventory[[#This Row],[pre_res]]*Wapato_Inventory[[#This Row],[overall_adj]]</f>
        <v>82121.748735630405</v>
      </c>
      <c r="CB72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29" s="3">
        <f>IF(ROUND(Wapato_Inventory[[#This Row],[adj_res]]*Lookups!$H$48,-2)&lt;Wapato_Inventory[[#This Row],[min_res]],Wapato_Inventory[[#This Row],[min_res]],ROUND(Wapato_Inventory[[#This Row],[adj_res]]*Lookups!$H$48,-2))</f>
        <v>78000</v>
      </c>
      <c r="CD729" s="3">
        <f>ROUND(Wapato_Inventory[[#This Row],[det_value]]*Lookups!$H$48,-2)</f>
        <v>7400</v>
      </c>
      <c r="CE729" s="3">
        <f>Wapato_Inventory[[#This Row],[final_res]]+Wapato_Inventory[[#This Row],[final_det]]</f>
        <v>85400</v>
      </c>
      <c r="CF729" s="3">
        <f>Wapato_Inventory[[#This Row],[crop_value]]+Wapato_Inventory[[#This Row],[final_land]]+Wapato_Inventory[[#This Row],[final_imp]]</f>
        <v>135800</v>
      </c>
      <c r="CH729" t="str">
        <f t="shared" si="11"/>
        <v>update valuation set market_land =50400, market_bldg=85400, market_total =135800, market_mdno =405, market_date ='9/10/2023' where link_id = (select link_id from parcel where parcel_year = '2024' and parcel_id = '19111513545');</v>
      </c>
    </row>
    <row r="730" spans="1:86" x14ac:dyDescent="0.25">
      <c r="A730">
        <v>19111513546</v>
      </c>
      <c r="B730">
        <v>0.13</v>
      </c>
      <c r="C730">
        <v>5800</v>
      </c>
      <c r="D730" t="s">
        <v>144</v>
      </c>
      <c r="E730" t="s">
        <v>54</v>
      </c>
      <c r="F730" t="s">
        <v>54</v>
      </c>
      <c r="G730">
        <v>3</v>
      </c>
      <c r="H730" t="s">
        <v>55</v>
      </c>
      <c r="I730">
        <v>130500</v>
      </c>
      <c r="J730">
        <v>31400</v>
      </c>
      <c r="K730">
        <v>0.13</v>
      </c>
      <c r="L730">
        <f>IF(Wapato_Inventory[[#This Row],[parcel_acres]]-Wapato_Inventory[[#This Row],[non_valued_acres]] =0,0,LN(Wapato_Inventory[[#This Row],[parcel_acres]]-Wapato_Inventory[[#This Row],[non_valued_acres]]))</f>
        <v>-2.0402208285265546</v>
      </c>
      <c r="M730">
        <v>0</v>
      </c>
      <c r="N730">
        <v>0</v>
      </c>
      <c r="O730">
        <v>0</v>
      </c>
      <c r="P730">
        <v>27904.037</v>
      </c>
      <c r="Q730">
        <v>74398</v>
      </c>
      <c r="R730" s="3">
        <f>(Wapato_Inventory[[#This Row],[ln_acres]]*Wapato_Inventory[[#This Row],[coeff]])+Wapato_Inventory[[#This Row],[const]]</f>
        <v>17467.602512624362</v>
      </c>
      <c r="S730" t="s">
        <v>66</v>
      </c>
      <c r="T730">
        <v>1</v>
      </c>
      <c r="U730" t="s">
        <v>71</v>
      </c>
      <c r="V730" t="s">
        <v>69</v>
      </c>
      <c r="W730">
        <v>0</v>
      </c>
      <c r="X730">
        <v>0</v>
      </c>
      <c r="Y730">
        <v>65</v>
      </c>
      <c r="Z730">
        <v>113</v>
      </c>
      <c r="AA730">
        <v>120</v>
      </c>
      <c r="AB730">
        <v>1000</v>
      </c>
      <c r="AC730">
        <v>773</v>
      </c>
      <c r="AD730">
        <v>773</v>
      </c>
      <c r="AE730">
        <v>0</v>
      </c>
      <c r="AF730">
        <v>0</v>
      </c>
      <c r="AG730">
        <v>0</v>
      </c>
      <c r="AH730">
        <v>183</v>
      </c>
      <c r="AI730">
        <v>0</v>
      </c>
      <c r="AJ730">
        <v>0</v>
      </c>
      <c r="AK730">
        <v>0</v>
      </c>
      <c r="AL730">
        <v>162</v>
      </c>
      <c r="AM730">
        <v>0</v>
      </c>
      <c r="AN730">
        <v>0</v>
      </c>
      <c r="AO730">
        <v>162</v>
      </c>
      <c r="AP730">
        <v>5</v>
      </c>
      <c r="AQ730">
        <v>0</v>
      </c>
      <c r="AR730">
        <v>0</v>
      </c>
      <c r="AS730" t="s">
        <v>59</v>
      </c>
      <c r="AT730">
        <v>0</v>
      </c>
      <c r="AU730" t="s">
        <v>80</v>
      </c>
      <c r="AV730" t="s">
        <v>65</v>
      </c>
      <c r="AW730">
        <v>0</v>
      </c>
      <c r="AX730">
        <v>2</v>
      </c>
      <c r="AY730">
        <v>0</v>
      </c>
      <c r="AZ730">
        <v>5500</v>
      </c>
      <c r="BA730">
        <v>100</v>
      </c>
      <c r="BB730">
        <v>100</v>
      </c>
      <c r="BC730">
        <v>100</v>
      </c>
      <c r="BD730">
        <v>100</v>
      </c>
      <c r="BE730">
        <v>1</v>
      </c>
      <c r="BF730">
        <v>15000</v>
      </c>
      <c r="BG730">
        <v>1000</v>
      </c>
      <c r="BH730" s="7">
        <f>ROUND(Wapato_Inventory[[#This Row],[detatched_value]]*Lookups!$B$22*Lookups!$H$48,-2)</f>
        <v>4900</v>
      </c>
      <c r="BI730" s="7">
        <f>ROUND(((Wapato_Inventory[[#This Row],[land_extract]]*Lookups!$B$3) +(Lookups!$B$2*0.5))*Lookups!$H$48,-2)</f>
        <v>52800</v>
      </c>
      <c r="BJ730" s="7">
        <f>IF(Wapato_Inventory[[#This Row],[bldg_style]]="",0,Lookups!$B$2*0.5)</f>
        <v>53765.27</v>
      </c>
      <c r="BK730" s="7">
        <f>_xlfn.IFNA(VLOOKUP(Wapato_Inventory[[#This Row],[quality]],Lookups!$H$2:$J$14,3,FALSE),0)</f>
        <v>28034</v>
      </c>
      <c r="BL730" s="7">
        <f>_xlfn.IFNA(VLOOKUP(Wapato_Inventory[[#This Row],[condition]],Lookups!$H$17:$J$24,3,FALSE),0)</f>
        <v>74543</v>
      </c>
      <c r="BM730" s="7">
        <f>Wapato_Inventory[[#This Row],[Age]]*Lookups!$B$16</f>
        <v>-41886.354100000004</v>
      </c>
      <c r="BN730" s="7">
        <f>Wapato_Inventory[[#This Row],[Main Floor]]*Lookups!$B$17</f>
        <v>32311.971247000001</v>
      </c>
      <c r="BO730" s="7">
        <f>Wapato_Inventory[[#This Row],[Upper Floor]]*Lookups!$B$18</f>
        <v>0</v>
      </c>
      <c r="BP730" s="7">
        <f>Wapato_Inventory[[#This Row],[Fin BSMT]]*Lookups!$B$19</f>
        <v>0</v>
      </c>
      <c r="BQ730" s="7">
        <f>(Wapato_Inventory[[#This Row],[att_gar]]+Wapato_Inventory[[#This Row],[blt_gar]])*Lookups!$B$20</f>
        <v>0</v>
      </c>
      <c r="BR730" s="7">
        <f>Wapato_Inventory[[#This Row],[Patio]]*Lookups!$B$21</f>
        <v>0</v>
      </c>
      <c r="BS730" s="7">
        <f>SUM(Wapato_Inventory[[#This Row],[intercept]:[patio_value]])*Wapato_Inventory[[#This Row],[res_pct]]</f>
        <v>146767.887147</v>
      </c>
      <c r="BT730" s="7">
        <f>Wapato_Inventory[[#This Row],[land_value]]</f>
        <v>52800</v>
      </c>
      <c r="BU730" s="2">
        <f>_xlfn.IFNA(VLOOKUP(Wapato_Inventory[[#This Row],[quality]],Lookups!$A$28:$C$37,3,FALSE),1)</f>
        <v>0.96265813922927435</v>
      </c>
      <c r="BV730" s="2">
        <f>_xlfn.IFNA(VLOOKUP(Wapato_Inventory[[#This Row],[condition]],Lookups!$A$41:$C$48,3,FALSE),1)</f>
        <v>0.98442438223270734</v>
      </c>
      <c r="BW730" s="2">
        <f>IF(Wapato_Inventory[[#This Row],[decade]]="",1,_xlfn.IFNA(VLOOKUP(Wapato_Inventory[[#This Row],[decade]],Lookups!$F$28:$H$45,3,FALSE),1))</f>
        <v>0.93664589651353292</v>
      </c>
      <c r="BX730" s="2">
        <f>_xlfn.IFNA(VLOOKUP(Wapato_Inventory[[#This Row],[living_area_range]],Lookups!$K$28:$M$37,3,FALSE),1)</f>
        <v>0.99022994770196116</v>
      </c>
      <c r="BY730" s="2">
        <f>AVERAGE(Wapato_Inventory[[#This Row],[qual_adj]:[range_adj]])</f>
        <v>0.96848959141936886</v>
      </c>
      <c r="BZ730" s="7">
        <f>(Wapato_Inventory[[#This Row],[sum_land]]-IF(Wapato_Inventory[[#This Row],[no_utilities]]=1,12000,0))/IF(Wapato_Inventory[[#This Row],[unbuildable]]=1,2,1)</f>
        <v>52800</v>
      </c>
      <c r="CA730" s="7">
        <f>Wapato_Inventory[[#This Row],[pre_res]]*Wapato_Inventory[[#This Row],[overall_adj]]</f>
        <v>142143.17105648207</v>
      </c>
      <c r="CB730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30" s="3">
        <f>IF(ROUND(Wapato_Inventory[[#This Row],[adj_res]]*Lookups!$H$48,-2)&lt;Wapato_Inventory[[#This Row],[min_res]],Wapato_Inventory[[#This Row],[min_res]],ROUND(Wapato_Inventory[[#This Row],[adj_res]]*Lookups!$H$48,-2))</f>
        <v>135000</v>
      </c>
      <c r="CD730" s="3">
        <f>ROUND(Wapato_Inventory[[#This Row],[det_value]]*Lookups!$H$48,-2)</f>
        <v>4700</v>
      </c>
      <c r="CE730" s="3">
        <f>Wapato_Inventory[[#This Row],[final_res]]+Wapato_Inventory[[#This Row],[final_det]]</f>
        <v>139700</v>
      </c>
      <c r="CF730" s="3">
        <f>Wapato_Inventory[[#This Row],[crop_value]]+Wapato_Inventory[[#This Row],[final_land]]+Wapato_Inventory[[#This Row],[final_imp]]</f>
        <v>189900</v>
      </c>
      <c r="CH730" t="str">
        <f t="shared" si="11"/>
        <v>update valuation set market_land =50200, market_bldg=139700, market_total =189900, market_mdno =405, market_date ='9/10/2023' where link_id = (select link_id from parcel where parcel_year = '2024' and parcel_id = '19111513546');</v>
      </c>
    </row>
    <row r="731" spans="1:86" x14ac:dyDescent="0.25">
      <c r="A731">
        <v>19111513548</v>
      </c>
      <c r="B731">
        <v>0.16</v>
      </c>
      <c r="C731">
        <v>6871</v>
      </c>
      <c r="D731" t="s">
        <v>144</v>
      </c>
      <c r="E731" t="s">
        <v>54</v>
      </c>
      <c r="F731" t="s">
        <v>54</v>
      </c>
      <c r="G731">
        <v>3</v>
      </c>
      <c r="H731" t="s">
        <v>55</v>
      </c>
      <c r="I731">
        <v>139000</v>
      </c>
      <c r="J731">
        <v>32800</v>
      </c>
      <c r="K731">
        <v>0.16</v>
      </c>
      <c r="L731">
        <f>IF(Wapato_Inventory[[#This Row],[parcel_acres]]-Wapato_Inventory[[#This Row],[non_valued_acres]] =0,0,LN(Wapato_Inventory[[#This Row],[parcel_acres]]-Wapato_Inventory[[#This Row],[non_valued_acres]]))</f>
        <v>-1.8325814637483102</v>
      </c>
      <c r="M731">
        <v>0</v>
      </c>
      <c r="N731">
        <v>0</v>
      </c>
      <c r="O731">
        <v>0</v>
      </c>
      <c r="P731">
        <v>27904.037</v>
      </c>
      <c r="Q731">
        <v>74398</v>
      </c>
      <c r="R731" s="3">
        <f>(Wapato_Inventory[[#This Row],[ln_acres]]*Wapato_Inventory[[#This Row],[coeff]])+Wapato_Inventory[[#This Row],[const]]</f>
        <v>23261.579030052992</v>
      </c>
      <c r="S731" t="s">
        <v>66</v>
      </c>
      <c r="T731">
        <v>2</v>
      </c>
      <c r="U731" t="s">
        <v>71</v>
      </c>
      <c r="V731" t="s">
        <v>69</v>
      </c>
      <c r="W731">
        <v>0</v>
      </c>
      <c r="X731">
        <v>0</v>
      </c>
      <c r="Y731">
        <v>57</v>
      </c>
      <c r="Z731">
        <v>103</v>
      </c>
      <c r="AA731">
        <v>110</v>
      </c>
      <c r="AB731">
        <v>1500</v>
      </c>
      <c r="AC731">
        <v>1058</v>
      </c>
      <c r="AD731">
        <v>792</v>
      </c>
      <c r="AE731">
        <v>266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225</v>
      </c>
      <c r="AN731">
        <v>108</v>
      </c>
      <c r="AO731">
        <v>0</v>
      </c>
      <c r="AP731">
        <v>5</v>
      </c>
      <c r="AQ731">
        <v>0</v>
      </c>
      <c r="AR731">
        <v>1</v>
      </c>
      <c r="AS731" t="s">
        <v>82</v>
      </c>
      <c r="AT731">
        <v>1</v>
      </c>
      <c r="AU731" t="s">
        <v>76</v>
      </c>
      <c r="AV731" t="s">
        <v>65</v>
      </c>
      <c r="AW731">
        <v>0</v>
      </c>
      <c r="AX731">
        <v>2</v>
      </c>
      <c r="AY731">
        <v>0</v>
      </c>
      <c r="AZ731">
        <v>5200</v>
      </c>
      <c r="BA731">
        <v>100</v>
      </c>
      <c r="BB731">
        <v>100</v>
      </c>
      <c r="BC731">
        <v>100</v>
      </c>
      <c r="BD731">
        <v>100</v>
      </c>
      <c r="BE731">
        <v>1</v>
      </c>
      <c r="BF731">
        <v>15000</v>
      </c>
      <c r="BG731">
        <v>1000</v>
      </c>
      <c r="BH731" s="7">
        <f>ROUND(Wapato_Inventory[[#This Row],[detatched_value]]*Lookups!$B$22*Lookups!$H$48,-2)</f>
        <v>4600</v>
      </c>
      <c r="BI731" s="7">
        <f>ROUND(((Wapato_Inventory[[#This Row],[land_extract]]*Lookups!$B$3) +(Lookups!$B$2*0.5))*Lookups!$H$48,-2)</f>
        <v>53300</v>
      </c>
      <c r="BJ731" s="7">
        <f>IF(Wapato_Inventory[[#This Row],[bldg_style]]="",0,Lookups!$B$2*0.5)</f>
        <v>53765.27</v>
      </c>
      <c r="BK731" s="7">
        <f>_xlfn.IFNA(VLOOKUP(Wapato_Inventory[[#This Row],[quality]],Lookups!$H$2:$J$14,3,FALSE),0)</f>
        <v>28034</v>
      </c>
      <c r="BL731" s="7">
        <f>_xlfn.IFNA(VLOOKUP(Wapato_Inventory[[#This Row],[condition]],Lookups!$H$17:$J$24,3,FALSE),0)</f>
        <v>74543</v>
      </c>
      <c r="BM731" s="7">
        <f>Wapato_Inventory[[#This Row],[Age]]*Lookups!$B$16</f>
        <v>-38179.597099999999</v>
      </c>
      <c r="BN731" s="7">
        <f>Wapato_Inventory[[#This Row],[Main Floor]]*Lookups!$B$17</f>
        <v>33106.185288000001</v>
      </c>
      <c r="BO731" s="7">
        <f>Wapato_Inventory[[#This Row],[Upper Floor]]*Lookups!$B$18</f>
        <v>13193.902974000001</v>
      </c>
      <c r="BP731" s="7">
        <f>Wapato_Inventory[[#This Row],[Fin BSMT]]*Lookups!$B$19</f>
        <v>0</v>
      </c>
      <c r="BQ731" s="7">
        <f>(Wapato_Inventory[[#This Row],[att_gar]]+Wapato_Inventory[[#This Row],[blt_gar]])*Lookups!$B$20</f>
        <v>0</v>
      </c>
      <c r="BR731" s="7">
        <f>Wapato_Inventory[[#This Row],[Patio]]*Lookups!$B$21</f>
        <v>9747.8952750000008</v>
      </c>
      <c r="BS731" s="7">
        <f>SUM(Wapato_Inventory[[#This Row],[intercept]:[patio_value]])*Wapato_Inventory[[#This Row],[res_pct]]</f>
        <v>174210.65643699997</v>
      </c>
      <c r="BT731" s="7">
        <f>Wapato_Inventory[[#This Row],[land_value]]</f>
        <v>53300</v>
      </c>
      <c r="BU731" s="2">
        <f>_xlfn.IFNA(VLOOKUP(Wapato_Inventory[[#This Row],[quality]],Lookups!$A$28:$C$37,3,FALSE),1)</f>
        <v>0.96265813922927435</v>
      </c>
      <c r="BV731" s="2">
        <f>_xlfn.IFNA(VLOOKUP(Wapato_Inventory[[#This Row],[condition]],Lookups!$A$41:$C$48,3,FALSE),1)</f>
        <v>0.98442438223270734</v>
      </c>
      <c r="BW731" s="2">
        <f>IF(Wapato_Inventory[[#This Row],[decade]]="",1,_xlfn.IFNA(VLOOKUP(Wapato_Inventory[[#This Row],[decade]],Lookups!$F$28:$H$45,3,FALSE),1))</f>
        <v>0.93664589651353292</v>
      </c>
      <c r="BX731" s="2">
        <f>_xlfn.IFNA(VLOOKUP(Wapato_Inventory[[#This Row],[living_area_range]],Lookups!$K$28:$M$37,3,FALSE),1)</f>
        <v>1.0061411172456287</v>
      </c>
      <c r="BY731" s="2">
        <f>AVERAGE(Wapato_Inventory[[#This Row],[qual_adj]:[range_adj]])</f>
        <v>0.97246738380528575</v>
      </c>
      <c r="BZ731" s="7">
        <f>(Wapato_Inventory[[#This Row],[sum_land]]-IF(Wapato_Inventory[[#This Row],[no_utilities]]=1,12000,0))/IF(Wapato_Inventory[[#This Row],[unbuildable]]=1,2,1)</f>
        <v>53300</v>
      </c>
      <c r="CA731" s="7">
        <f>Wapato_Inventory[[#This Row],[pre_res]]*Wapato_Inventory[[#This Row],[overall_adj]]</f>
        <v>169414.18129629083</v>
      </c>
      <c r="CB731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731" s="3">
        <f>IF(ROUND(Wapato_Inventory[[#This Row],[adj_res]]*Lookups!$H$48,-2)&lt;Wapato_Inventory[[#This Row],[min_res]],Wapato_Inventory[[#This Row],[min_res]],ROUND(Wapato_Inventory[[#This Row],[adj_res]]*Lookups!$H$48,-2))</f>
        <v>160900</v>
      </c>
      <c r="CD731" s="3">
        <f>ROUND(Wapato_Inventory[[#This Row],[det_value]]*Lookups!$H$48,-2)</f>
        <v>4400</v>
      </c>
      <c r="CE731" s="3">
        <f>Wapato_Inventory[[#This Row],[final_res]]+Wapato_Inventory[[#This Row],[final_det]]</f>
        <v>165300</v>
      </c>
      <c r="CF731" s="3">
        <f>Wapato_Inventory[[#This Row],[crop_value]]+Wapato_Inventory[[#This Row],[final_land]]+Wapato_Inventory[[#This Row],[final_imp]]</f>
        <v>215900</v>
      </c>
      <c r="CH731" t="str">
        <f t="shared" si="11"/>
        <v>update valuation set market_land =50600, market_bldg=165300, market_total =215900, market_mdno =405, market_date ='9/10/2023' where link_id = (select link_id from parcel where parcel_year = '2024' and parcel_id = '19111513548');</v>
      </c>
    </row>
    <row r="732" spans="1:86" x14ac:dyDescent="0.25">
      <c r="A732">
        <v>19111513550</v>
      </c>
      <c r="B732">
        <v>0.14000000000000001</v>
      </c>
      <c r="C732">
        <v>5946</v>
      </c>
      <c r="D732" t="s">
        <v>144</v>
      </c>
      <c r="E732" t="s">
        <v>54</v>
      </c>
      <c r="F732" t="s">
        <v>54</v>
      </c>
      <c r="G732">
        <v>3</v>
      </c>
      <c r="H732" t="s">
        <v>55</v>
      </c>
      <c r="I732">
        <v>167900</v>
      </c>
      <c r="J732">
        <v>31900</v>
      </c>
      <c r="K732">
        <v>0.14000000000000001</v>
      </c>
      <c r="L732">
        <f>IF(Wapato_Inventory[[#This Row],[parcel_acres]]-Wapato_Inventory[[#This Row],[non_valued_acres]] =0,0,LN(Wapato_Inventory[[#This Row],[parcel_acres]]-Wapato_Inventory[[#This Row],[non_valued_acres]]))</f>
        <v>-1.9661128563728327</v>
      </c>
      <c r="M732">
        <v>0</v>
      </c>
      <c r="N732">
        <v>0</v>
      </c>
      <c r="O732">
        <v>0</v>
      </c>
      <c r="P732">
        <v>27904.037</v>
      </c>
      <c r="Q732">
        <v>74398</v>
      </c>
      <c r="R732" s="3">
        <f>(Wapato_Inventory[[#This Row],[ln_acres]]*Wapato_Inventory[[#This Row],[coeff]])+Wapato_Inventory[[#This Row],[const]]</f>
        <v>19535.514109596792</v>
      </c>
      <c r="S732" t="s">
        <v>66</v>
      </c>
      <c r="T732">
        <v>1</v>
      </c>
      <c r="U732" t="s">
        <v>71</v>
      </c>
      <c r="V732" t="s">
        <v>69</v>
      </c>
      <c r="W732">
        <v>0</v>
      </c>
      <c r="X732">
        <v>0</v>
      </c>
      <c r="Y732">
        <v>51</v>
      </c>
      <c r="Z732">
        <v>78</v>
      </c>
      <c r="AA732">
        <v>80</v>
      </c>
      <c r="AB732">
        <v>1500</v>
      </c>
      <c r="AC732">
        <v>1223</v>
      </c>
      <c r="AD732">
        <v>1223</v>
      </c>
      <c r="AE732">
        <v>0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5</v>
      </c>
      <c r="AQ732">
        <v>0</v>
      </c>
      <c r="AR732">
        <v>0</v>
      </c>
      <c r="AS732" t="s">
        <v>59</v>
      </c>
      <c r="AT732">
        <v>0</v>
      </c>
      <c r="AU732" t="s">
        <v>80</v>
      </c>
      <c r="AV732" t="s">
        <v>65</v>
      </c>
      <c r="AW732">
        <v>0</v>
      </c>
      <c r="AX732">
        <v>2</v>
      </c>
      <c r="AY732">
        <v>0</v>
      </c>
      <c r="AZ732">
        <v>5800</v>
      </c>
      <c r="BA732">
        <v>100</v>
      </c>
      <c r="BB732">
        <v>100</v>
      </c>
      <c r="BC732">
        <v>100</v>
      </c>
      <c r="BD732">
        <v>100</v>
      </c>
      <c r="BE732">
        <v>1</v>
      </c>
      <c r="BF732">
        <v>15000</v>
      </c>
      <c r="BG732">
        <v>1000</v>
      </c>
      <c r="BH732" s="7">
        <f>ROUND(Wapato_Inventory[[#This Row],[detatched_value]]*Lookups!$B$22*Lookups!$H$48,-2)</f>
        <v>5200</v>
      </c>
      <c r="BI732" s="7">
        <f>ROUND(((Wapato_Inventory[[#This Row],[land_extract]]*Lookups!$B$3) +(Lookups!$B$2*0.5))*Lookups!$H$48,-2)</f>
        <v>53000</v>
      </c>
      <c r="BJ732" s="7">
        <f>IF(Wapato_Inventory[[#This Row],[bldg_style]]="",0,Lookups!$B$2*0.5)</f>
        <v>53765.27</v>
      </c>
      <c r="BK732" s="7">
        <f>_xlfn.IFNA(VLOOKUP(Wapato_Inventory[[#This Row],[quality]],Lookups!$H$2:$J$14,3,FALSE),0)</f>
        <v>28034</v>
      </c>
      <c r="BL732" s="7">
        <f>_xlfn.IFNA(VLOOKUP(Wapato_Inventory[[#This Row],[condition]],Lookups!$H$17:$J$24,3,FALSE),0)</f>
        <v>74543</v>
      </c>
      <c r="BM732" s="7">
        <f>Wapato_Inventory[[#This Row],[Age]]*Lookups!$B$16</f>
        <v>-28912.704600000001</v>
      </c>
      <c r="BN732" s="7">
        <f>Wapato_Inventory[[#This Row],[Main Floor]]*Lookups!$B$17</f>
        <v>51122.303797</v>
      </c>
      <c r="BO732" s="7">
        <f>Wapato_Inventory[[#This Row],[Upper Floor]]*Lookups!$B$18</f>
        <v>0</v>
      </c>
      <c r="BP732" s="7">
        <f>Wapato_Inventory[[#This Row],[Fin BSMT]]*Lookups!$B$19</f>
        <v>0</v>
      </c>
      <c r="BQ732" s="7">
        <f>(Wapato_Inventory[[#This Row],[att_gar]]+Wapato_Inventory[[#This Row],[blt_gar]])*Lookups!$B$20</f>
        <v>0</v>
      </c>
      <c r="BR732" s="7">
        <f>Wapato_Inventory[[#This Row],[Patio]]*Lookups!$B$21</f>
        <v>0</v>
      </c>
      <c r="BS732" s="7">
        <f>SUM(Wapato_Inventory[[#This Row],[intercept]:[patio_value]])*Wapato_Inventory[[#This Row],[res_pct]]</f>
        <v>178551.86919699999</v>
      </c>
      <c r="BT732" s="7">
        <f>Wapato_Inventory[[#This Row],[land_value]]</f>
        <v>53000</v>
      </c>
      <c r="BU732" s="2">
        <f>_xlfn.IFNA(VLOOKUP(Wapato_Inventory[[#This Row],[quality]],Lookups!$A$28:$C$37,3,FALSE),1)</f>
        <v>0.96265813922927435</v>
      </c>
      <c r="BV732" s="2">
        <f>_xlfn.IFNA(VLOOKUP(Wapato_Inventory[[#This Row],[condition]],Lookups!$A$41:$C$48,3,FALSE),1)</f>
        <v>0.98442438223270734</v>
      </c>
      <c r="BW732" s="2">
        <f>IF(Wapato_Inventory[[#This Row],[decade]]="",1,_xlfn.IFNA(VLOOKUP(Wapato_Inventory[[#This Row],[decade]],Lookups!$F$28:$H$45,3,FALSE),1))</f>
        <v>0.8438929209510081</v>
      </c>
      <c r="BX732" s="2">
        <f>_xlfn.IFNA(VLOOKUP(Wapato_Inventory[[#This Row],[living_area_range]],Lookups!$K$28:$M$37,3,FALSE),1)</f>
        <v>1.0061411172456287</v>
      </c>
      <c r="BY732" s="2">
        <f>AVERAGE(Wapato_Inventory[[#This Row],[qual_adj]:[range_adj]])</f>
        <v>0.94927913991465462</v>
      </c>
      <c r="BZ732" s="7">
        <f>(Wapato_Inventory[[#This Row],[sum_land]]-IF(Wapato_Inventory[[#This Row],[no_utilities]]=1,12000,0))/IF(Wapato_Inventory[[#This Row],[unbuildable]]=1,2,1)</f>
        <v>53000</v>
      </c>
      <c r="CA732" s="7">
        <f>Wapato_Inventory[[#This Row],[pre_res]]*Wapato_Inventory[[#This Row],[overall_adj]]</f>
        <v>169495.56482148205</v>
      </c>
      <c r="CB73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32" s="3">
        <f>IF(ROUND(Wapato_Inventory[[#This Row],[adj_res]]*Lookups!$H$48,-2)&lt;Wapato_Inventory[[#This Row],[min_res]],Wapato_Inventory[[#This Row],[min_res]],ROUND(Wapato_Inventory[[#This Row],[adj_res]]*Lookups!$H$48,-2))</f>
        <v>161000</v>
      </c>
      <c r="CD732" s="3">
        <f>ROUND(Wapato_Inventory[[#This Row],[det_value]]*Lookups!$H$48,-2)</f>
        <v>4900</v>
      </c>
      <c r="CE732" s="3">
        <f>Wapato_Inventory[[#This Row],[final_res]]+Wapato_Inventory[[#This Row],[final_det]]</f>
        <v>165900</v>
      </c>
      <c r="CF732" s="3">
        <f>Wapato_Inventory[[#This Row],[crop_value]]+Wapato_Inventory[[#This Row],[final_land]]+Wapato_Inventory[[#This Row],[final_imp]]</f>
        <v>216300</v>
      </c>
      <c r="CH732" t="str">
        <f t="shared" si="11"/>
        <v>update valuation set market_land =50400, market_bldg=165900, market_total =216300, market_mdno =405, market_date ='9/10/2023' where link_id = (select link_id from parcel where parcel_year = '2024' and parcel_id = '19111513550');</v>
      </c>
    </row>
    <row r="733" spans="1:86" x14ac:dyDescent="0.25">
      <c r="A733">
        <v>19111513551</v>
      </c>
      <c r="B733">
        <v>0.13</v>
      </c>
      <c r="C733">
        <v>5446</v>
      </c>
      <c r="D733" t="s">
        <v>144</v>
      </c>
      <c r="E733" t="s">
        <v>54</v>
      </c>
      <c r="F733" t="s">
        <v>54</v>
      </c>
      <c r="G733">
        <v>3</v>
      </c>
      <c r="H733" t="s">
        <v>55</v>
      </c>
      <c r="I733">
        <v>96100</v>
      </c>
      <c r="J733">
        <v>31400</v>
      </c>
      <c r="K733">
        <v>0.13</v>
      </c>
      <c r="L733">
        <f>IF(Wapato_Inventory[[#This Row],[parcel_acres]]-Wapato_Inventory[[#This Row],[non_valued_acres]] =0,0,LN(Wapato_Inventory[[#This Row],[parcel_acres]]-Wapato_Inventory[[#This Row],[non_valued_acres]]))</f>
        <v>-2.0402208285265546</v>
      </c>
      <c r="M733">
        <v>0</v>
      </c>
      <c r="N733">
        <v>0</v>
      </c>
      <c r="O733">
        <v>0</v>
      </c>
      <c r="P733">
        <v>27904.037</v>
      </c>
      <c r="Q733">
        <v>74398</v>
      </c>
      <c r="R733" s="3">
        <f>(Wapato_Inventory[[#This Row],[ln_acres]]*Wapato_Inventory[[#This Row],[coeff]])+Wapato_Inventory[[#This Row],[const]]</f>
        <v>17467.602512624362</v>
      </c>
      <c r="S733" t="s">
        <v>66</v>
      </c>
      <c r="T733">
        <v>1</v>
      </c>
      <c r="U733" t="s">
        <v>71</v>
      </c>
      <c r="V733" t="s">
        <v>68</v>
      </c>
      <c r="W733">
        <v>0</v>
      </c>
      <c r="X733">
        <v>0</v>
      </c>
      <c r="Y733">
        <v>55</v>
      </c>
      <c r="Z733">
        <v>98</v>
      </c>
      <c r="AA733">
        <v>100</v>
      </c>
      <c r="AB733">
        <v>1000</v>
      </c>
      <c r="AC733">
        <v>832</v>
      </c>
      <c r="AD733">
        <v>832</v>
      </c>
      <c r="AE733">
        <v>0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80</v>
      </c>
      <c r="AN733">
        <v>0</v>
      </c>
      <c r="AO733">
        <v>0</v>
      </c>
      <c r="AP733">
        <v>5</v>
      </c>
      <c r="AQ733">
        <v>0</v>
      </c>
      <c r="AR733">
        <v>0</v>
      </c>
      <c r="AS733" t="s">
        <v>59</v>
      </c>
      <c r="AT733">
        <v>0</v>
      </c>
      <c r="AU733" t="s">
        <v>80</v>
      </c>
      <c r="AV733" t="s">
        <v>65</v>
      </c>
      <c r="AW733">
        <v>0</v>
      </c>
      <c r="AX733">
        <v>2</v>
      </c>
      <c r="AY733">
        <v>0</v>
      </c>
      <c r="AZ733">
        <v>0</v>
      </c>
      <c r="BA733">
        <v>100</v>
      </c>
      <c r="BB733">
        <v>100</v>
      </c>
      <c r="BC733">
        <v>100</v>
      </c>
      <c r="BD733">
        <v>100</v>
      </c>
      <c r="BE733">
        <v>1</v>
      </c>
      <c r="BF733">
        <v>15000</v>
      </c>
      <c r="BG733">
        <v>1000</v>
      </c>
      <c r="BH733" s="7">
        <f>ROUND(Wapato_Inventory[[#This Row],[detatched_value]]*Lookups!$B$22*Lookups!$H$48,-2)</f>
        <v>0</v>
      </c>
      <c r="BI733" s="7">
        <f>ROUND(((Wapato_Inventory[[#This Row],[land_extract]]*Lookups!$B$3) +(Lookups!$B$2*0.5))*Lookups!$H$48,-2)</f>
        <v>52800</v>
      </c>
      <c r="BJ733" s="7">
        <f>IF(Wapato_Inventory[[#This Row],[bldg_style]]="",0,Lookups!$B$2*0.5)</f>
        <v>53765.27</v>
      </c>
      <c r="BK733" s="7">
        <f>_xlfn.IFNA(VLOOKUP(Wapato_Inventory[[#This Row],[quality]],Lookups!$H$2:$J$14,3,FALSE),0)</f>
        <v>28034</v>
      </c>
      <c r="BL733" s="7">
        <f>_xlfn.IFNA(VLOOKUP(Wapato_Inventory[[#This Row],[condition]],Lookups!$H$17:$J$24,3,FALSE),0)</f>
        <v>52231</v>
      </c>
      <c r="BM733" s="7">
        <f>Wapato_Inventory[[#This Row],[Age]]*Lookups!$B$16</f>
        <v>-36326.2186</v>
      </c>
      <c r="BN733" s="7">
        <f>Wapato_Inventory[[#This Row],[Main Floor]]*Lookups!$B$17</f>
        <v>34778.214848000003</v>
      </c>
      <c r="BO733" s="7">
        <f>Wapato_Inventory[[#This Row],[Upper Floor]]*Lookups!$B$18</f>
        <v>0</v>
      </c>
      <c r="BP733" s="7">
        <f>Wapato_Inventory[[#This Row],[Fin BSMT]]*Lookups!$B$19</f>
        <v>0</v>
      </c>
      <c r="BQ733" s="7">
        <f>(Wapato_Inventory[[#This Row],[att_gar]]+Wapato_Inventory[[#This Row],[blt_gar]])*Lookups!$B$20</f>
        <v>0</v>
      </c>
      <c r="BR733" s="7">
        <f>Wapato_Inventory[[#This Row],[Patio]]*Lookups!$B$21</f>
        <v>3465.9183200000002</v>
      </c>
      <c r="BS733" s="7">
        <f>SUM(Wapato_Inventory[[#This Row],[intercept]:[patio_value]])*Wapato_Inventory[[#This Row],[res_pct]]</f>
        <v>135948.184568</v>
      </c>
      <c r="BT733" s="7">
        <f>Wapato_Inventory[[#This Row],[land_value]]</f>
        <v>52800</v>
      </c>
      <c r="BU733" s="2">
        <f>_xlfn.IFNA(VLOOKUP(Wapato_Inventory[[#This Row],[quality]],Lookups!$A$28:$C$37,3,FALSE),1)</f>
        <v>0.96265813922927435</v>
      </c>
      <c r="BV733" s="2">
        <f>_xlfn.IFNA(VLOOKUP(Wapato_Inventory[[#This Row],[condition]],Lookups!$A$41:$C$48,3,FALSE),1)</f>
        <v>0.9832333997567807</v>
      </c>
      <c r="BW733" s="2">
        <f>IF(Wapato_Inventory[[#This Row],[decade]]="",1,_xlfn.IFNA(VLOOKUP(Wapato_Inventory[[#This Row],[decade]],Lookups!$F$28:$H$45,3,FALSE),1))</f>
        <v>1.0114203040664467</v>
      </c>
      <c r="BX733" s="2">
        <f>_xlfn.IFNA(VLOOKUP(Wapato_Inventory[[#This Row],[living_area_range]],Lookups!$K$28:$M$37,3,FALSE),1)</f>
        <v>0.99022994770196116</v>
      </c>
      <c r="BY733" s="2">
        <f>AVERAGE(Wapato_Inventory[[#This Row],[qual_adj]:[range_adj]])</f>
        <v>0.98688544768861564</v>
      </c>
      <c r="BZ733" s="7">
        <f>(Wapato_Inventory[[#This Row],[sum_land]]-IF(Wapato_Inventory[[#This Row],[no_utilities]]=1,12000,0))/IF(Wapato_Inventory[[#This Row],[unbuildable]]=1,2,1)</f>
        <v>52800</v>
      </c>
      <c r="CA733" s="7">
        <f>Wapato_Inventory[[#This Row],[pre_res]]*Wapato_Inventory[[#This Row],[overall_adj]]</f>
        <v>134165.28498984521</v>
      </c>
      <c r="CB733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33" s="3">
        <f>IF(ROUND(Wapato_Inventory[[#This Row],[adj_res]]*Lookups!$H$48,-2)&lt;Wapato_Inventory[[#This Row],[min_res]],Wapato_Inventory[[#This Row],[min_res]],ROUND(Wapato_Inventory[[#This Row],[adj_res]]*Lookups!$H$48,-2))</f>
        <v>127500</v>
      </c>
      <c r="CD733" s="3">
        <f>ROUND(Wapato_Inventory[[#This Row],[det_value]]*Lookups!$H$48,-2)</f>
        <v>0</v>
      </c>
      <c r="CE733" s="3">
        <f>Wapato_Inventory[[#This Row],[final_res]]+Wapato_Inventory[[#This Row],[final_det]]</f>
        <v>127500</v>
      </c>
      <c r="CF733" s="3">
        <f>Wapato_Inventory[[#This Row],[crop_value]]+Wapato_Inventory[[#This Row],[final_land]]+Wapato_Inventory[[#This Row],[final_imp]]</f>
        <v>177700</v>
      </c>
      <c r="CH733" t="str">
        <f t="shared" si="11"/>
        <v>update valuation set market_land =50200, market_bldg=127500, market_total =177700, market_mdno =405, market_date ='9/10/2023' where link_id = (select link_id from parcel where parcel_year = '2024' and parcel_id = '19111513551');</v>
      </c>
    </row>
    <row r="734" spans="1:86" x14ac:dyDescent="0.25">
      <c r="A734">
        <v>19111513552</v>
      </c>
      <c r="B734">
        <v>0.13</v>
      </c>
      <c r="C734">
        <v>5648</v>
      </c>
      <c r="D734" t="s">
        <v>144</v>
      </c>
      <c r="E734" t="s">
        <v>54</v>
      </c>
      <c r="F734" t="s">
        <v>54</v>
      </c>
      <c r="G734">
        <v>3</v>
      </c>
      <c r="H734" t="s">
        <v>55</v>
      </c>
      <c r="I734">
        <v>203200</v>
      </c>
      <c r="J734">
        <v>31400</v>
      </c>
      <c r="K734">
        <v>0.13</v>
      </c>
      <c r="L734">
        <f>IF(Wapato_Inventory[[#This Row],[parcel_acres]]-Wapato_Inventory[[#This Row],[non_valued_acres]] =0,0,LN(Wapato_Inventory[[#This Row],[parcel_acres]]-Wapato_Inventory[[#This Row],[non_valued_acres]]))</f>
        <v>-2.0402208285265546</v>
      </c>
      <c r="M734">
        <v>0</v>
      </c>
      <c r="N734">
        <v>0</v>
      </c>
      <c r="O734">
        <v>0</v>
      </c>
      <c r="P734">
        <v>27904.037</v>
      </c>
      <c r="Q734">
        <v>74398</v>
      </c>
      <c r="R734" s="3">
        <f>(Wapato_Inventory[[#This Row],[ln_acres]]*Wapato_Inventory[[#This Row],[coeff]])+Wapato_Inventory[[#This Row],[const]]</f>
        <v>17467.602512624362</v>
      </c>
      <c r="S734" t="s">
        <v>66</v>
      </c>
      <c r="T734">
        <v>1</v>
      </c>
      <c r="U734" t="s">
        <v>75</v>
      </c>
      <c r="V734" t="s">
        <v>69</v>
      </c>
      <c r="W734">
        <v>0</v>
      </c>
      <c r="X734">
        <v>0</v>
      </c>
      <c r="Y734">
        <v>57</v>
      </c>
      <c r="Z734">
        <v>103</v>
      </c>
      <c r="AA734">
        <v>110</v>
      </c>
      <c r="AB734">
        <v>2000</v>
      </c>
      <c r="AC734">
        <v>1564</v>
      </c>
      <c r="AD734">
        <v>1564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240</v>
      </c>
      <c r="AN734">
        <v>0</v>
      </c>
      <c r="AO734">
        <v>240</v>
      </c>
      <c r="AP734">
        <v>7</v>
      </c>
      <c r="AQ734">
        <v>0</v>
      </c>
      <c r="AR734">
        <v>0</v>
      </c>
      <c r="AS734" t="s">
        <v>59</v>
      </c>
      <c r="AT734">
        <v>1</v>
      </c>
      <c r="AU734" t="s">
        <v>76</v>
      </c>
      <c r="AV734" t="s">
        <v>61</v>
      </c>
      <c r="AW734">
        <v>0</v>
      </c>
      <c r="AX734">
        <v>3</v>
      </c>
      <c r="AY734">
        <v>0</v>
      </c>
      <c r="AZ734">
        <v>5300</v>
      </c>
      <c r="BA734">
        <v>100</v>
      </c>
      <c r="BB734">
        <v>100</v>
      </c>
      <c r="BC734">
        <v>100</v>
      </c>
      <c r="BD734">
        <v>100</v>
      </c>
      <c r="BE734">
        <v>1</v>
      </c>
      <c r="BF734">
        <v>15000</v>
      </c>
      <c r="BG734">
        <v>1000</v>
      </c>
      <c r="BH734" s="7">
        <f>ROUND(Wapato_Inventory[[#This Row],[detatched_value]]*Lookups!$B$22*Lookups!$H$48,-2)</f>
        <v>4700</v>
      </c>
      <c r="BI734" s="7">
        <f>ROUND(((Wapato_Inventory[[#This Row],[land_extract]]*Lookups!$B$3) +(Lookups!$B$2*0.5))*Lookups!$H$48,-2)</f>
        <v>52800</v>
      </c>
      <c r="BJ734" s="7">
        <f>IF(Wapato_Inventory[[#This Row],[bldg_style]]="",0,Lookups!$B$2*0.5)</f>
        <v>53765.27</v>
      </c>
      <c r="BK734" s="7">
        <f>_xlfn.IFNA(VLOOKUP(Wapato_Inventory[[#This Row],[quality]],Lookups!$H$2:$J$14,3,FALSE),0)</f>
        <v>48043</v>
      </c>
      <c r="BL734" s="7">
        <f>_xlfn.IFNA(VLOOKUP(Wapato_Inventory[[#This Row],[condition]],Lookups!$H$17:$J$24,3,FALSE),0)</f>
        <v>74543</v>
      </c>
      <c r="BM734" s="7">
        <f>Wapato_Inventory[[#This Row],[Age]]*Lookups!$B$16</f>
        <v>-38179.597099999999</v>
      </c>
      <c r="BN734" s="7">
        <f>Wapato_Inventory[[#This Row],[Main Floor]]*Lookups!$B$17</f>
        <v>65376.355796000003</v>
      </c>
      <c r="BO734" s="7">
        <f>Wapato_Inventory[[#This Row],[Upper Floor]]*Lookups!$B$18</f>
        <v>0</v>
      </c>
      <c r="BP734" s="7">
        <f>Wapato_Inventory[[#This Row],[Fin BSMT]]*Lookups!$B$19</f>
        <v>0</v>
      </c>
      <c r="BQ734" s="7">
        <f>(Wapato_Inventory[[#This Row],[att_gar]]+Wapato_Inventory[[#This Row],[blt_gar]])*Lookups!$B$20</f>
        <v>0</v>
      </c>
      <c r="BR734" s="7">
        <f>Wapato_Inventory[[#This Row],[Patio]]*Lookups!$B$21</f>
        <v>10397.75496</v>
      </c>
      <c r="BS734" s="7">
        <f>SUM(Wapato_Inventory[[#This Row],[intercept]:[patio_value]])*Wapato_Inventory[[#This Row],[res_pct]]</f>
        <v>213945.78365599999</v>
      </c>
      <c r="BT734" s="7">
        <f>Wapato_Inventory[[#This Row],[land_value]]</f>
        <v>52800</v>
      </c>
      <c r="BU734" s="2">
        <f>_xlfn.IFNA(VLOOKUP(Wapato_Inventory[[#This Row],[quality]],Lookups!$A$28:$C$37,3,FALSE),1)</f>
        <v>0.98196844879778955</v>
      </c>
      <c r="BV734" s="2">
        <f>_xlfn.IFNA(VLOOKUP(Wapato_Inventory[[#This Row],[condition]],Lookups!$A$41:$C$48,3,FALSE),1)</f>
        <v>0.98442438223270734</v>
      </c>
      <c r="BW734" s="2">
        <f>IF(Wapato_Inventory[[#This Row],[decade]]="",1,_xlfn.IFNA(VLOOKUP(Wapato_Inventory[[#This Row],[decade]],Lookups!$F$28:$H$45,3,FALSE),1))</f>
        <v>0.93664589651353292</v>
      </c>
      <c r="BX734" s="2">
        <f>_xlfn.IFNA(VLOOKUP(Wapato_Inventory[[#This Row],[living_area_range]],Lookups!$K$28:$M$37,3,FALSE),1)</f>
        <v>0.99330894324714125</v>
      </c>
      <c r="BY734" s="2">
        <f>AVERAGE(Wapato_Inventory[[#This Row],[qual_adj]:[range_adj]])</f>
        <v>0.97408691769779276</v>
      </c>
      <c r="BZ734" s="7">
        <f>(Wapato_Inventory[[#This Row],[sum_land]]-IF(Wapato_Inventory[[#This Row],[no_utilities]]=1,12000,0))/IF(Wapato_Inventory[[#This Row],[unbuildable]]=1,2,1)</f>
        <v>52800</v>
      </c>
      <c r="CA734" s="7">
        <f>Wapato_Inventory[[#This Row],[pre_res]]*Wapato_Inventory[[#This Row],[overall_adj]]</f>
        <v>208401.78895591182</v>
      </c>
      <c r="CB734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34" s="3">
        <f>IF(ROUND(Wapato_Inventory[[#This Row],[adj_res]]*Lookups!$H$48,-2)&lt;Wapato_Inventory[[#This Row],[min_res]],Wapato_Inventory[[#This Row],[min_res]],ROUND(Wapato_Inventory[[#This Row],[adj_res]]*Lookups!$H$48,-2))</f>
        <v>198000</v>
      </c>
      <c r="CD734" s="3">
        <f>ROUND(Wapato_Inventory[[#This Row],[det_value]]*Lookups!$H$48,-2)</f>
        <v>4500</v>
      </c>
      <c r="CE734" s="3">
        <f>Wapato_Inventory[[#This Row],[final_res]]+Wapato_Inventory[[#This Row],[final_det]]</f>
        <v>202500</v>
      </c>
      <c r="CF734" s="3">
        <f>Wapato_Inventory[[#This Row],[crop_value]]+Wapato_Inventory[[#This Row],[final_land]]+Wapato_Inventory[[#This Row],[final_imp]]</f>
        <v>252700</v>
      </c>
      <c r="CH734" t="str">
        <f t="shared" si="11"/>
        <v>update valuation set market_land =50200, market_bldg=202500, market_total =252700, market_mdno =405, market_date ='9/10/2023' where link_id = (select link_id from parcel where parcel_year = '2024' and parcel_id = '19111513552');</v>
      </c>
    </row>
    <row r="735" spans="1:86" x14ac:dyDescent="0.25">
      <c r="A735">
        <v>19111513553</v>
      </c>
      <c r="B735">
        <v>0.12</v>
      </c>
      <c r="C735">
        <v>5211</v>
      </c>
      <c r="D735" t="s">
        <v>144</v>
      </c>
      <c r="E735" t="s">
        <v>54</v>
      </c>
      <c r="F735" t="s">
        <v>54</v>
      </c>
      <c r="G735">
        <v>3</v>
      </c>
      <c r="H735" t="s">
        <v>55</v>
      </c>
      <c r="I735">
        <v>168700</v>
      </c>
      <c r="J735">
        <v>30800</v>
      </c>
      <c r="K735">
        <v>0.12</v>
      </c>
      <c r="L735">
        <f>IF(Wapato_Inventory[[#This Row],[parcel_acres]]-Wapato_Inventory[[#This Row],[non_valued_acres]] =0,0,LN(Wapato_Inventory[[#This Row],[parcel_acres]]-Wapato_Inventory[[#This Row],[non_valued_acres]]))</f>
        <v>-2.120263536200091</v>
      </c>
      <c r="M735">
        <v>0</v>
      </c>
      <c r="N735">
        <v>0</v>
      </c>
      <c r="O735">
        <v>0</v>
      </c>
      <c r="P735">
        <v>27904.037</v>
      </c>
      <c r="Q735">
        <v>74398</v>
      </c>
      <c r="R735" s="3">
        <f>(Wapato_Inventory[[#This Row],[ln_acres]]*Wapato_Inventory[[#This Row],[coeff]])+Wapato_Inventory[[#This Row],[const]]</f>
        <v>15234.08783612182</v>
      </c>
      <c r="S735" t="s">
        <v>66</v>
      </c>
      <c r="T735">
        <v>1</v>
      </c>
      <c r="U735" t="s">
        <v>75</v>
      </c>
      <c r="V735" t="s">
        <v>69</v>
      </c>
      <c r="W735">
        <v>0</v>
      </c>
      <c r="X735">
        <v>0</v>
      </c>
      <c r="Y735">
        <v>53</v>
      </c>
      <c r="Z735">
        <v>93</v>
      </c>
      <c r="AA735">
        <v>100</v>
      </c>
      <c r="AB735">
        <v>1500</v>
      </c>
      <c r="AC735">
        <v>1024</v>
      </c>
      <c r="AD735">
        <v>1024</v>
      </c>
      <c r="AE735">
        <v>0</v>
      </c>
      <c r="AF735">
        <v>0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5</v>
      </c>
      <c r="AQ735">
        <v>0</v>
      </c>
      <c r="AR735">
        <v>0</v>
      </c>
      <c r="AS735" t="s">
        <v>59</v>
      </c>
      <c r="AT735">
        <v>1</v>
      </c>
      <c r="AU735" t="s">
        <v>72</v>
      </c>
      <c r="AV735" t="s">
        <v>65</v>
      </c>
      <c r="AW735">
        <v>0</v>
      </c>
      <c r="AX735">
        <v>2</v>
      </c>
      <c r="AY735">
        <v>0</v>
      </c>
      <c r="AZ735">
        <v>8100</v>
      </c>
      <c r="BA735">
        <v>100</v>
      </c>
      <c r="BB735">
        <v>100</v>
      </c>
      <c r="BC735">
        <v>100</v>
      </c>
      <c r="BD735">
        <v>100</v>
      </c>
      <c r="BE735">
        <v>1</v>
      </c>
      <c r="BF735">
        <v>15000</v>
      </c>
      <c r="BG735">
        <v>1000</v>
      </c>
      <c r="BH735" s="7">
        <f>ROUND(Wapato_Inventory[[#This Row],[detatched_value]]*Lookups!$B$22*Lookups!$H$48,-2)</f>
        <v>7200</v>
      </c>
      <c r="BI735" s="7">
        <f>ROUND(((Wapato_Inventory[[#This Row],[land_extract]]*Lookups!$B$3) +(Lookups!$B$2*0.5))*Lookups!$H$48,-2)</f>
        <v>52500</v>
      </c>
      <c r="BJ735" s="7">
        <f>IF(Wapato_Inventory[[#This Row],[bldg_style]]="",0,Lookups!$B$2*0.5)</f>
        <v>53765.27</v>
      </c>
      <c r="BK735" s="7">
        <f>_xlfn.IFNA(VLOOKUP(Wapato_Inventory[[#This Row],[quality]],Lookups!$H$2:$J$14,3,FALSE),0)</f>
        <v>48043</v>
      </c>
      <c r="BL735" s="7">
        <f>_xlfn.IFNA(VLOOKUP(Wapato_Inventory[[#This Row],[condition]],Lookups!$H$17:$J$24,3,FALSE),0)</f>
        <v>74543</v>
      </c>
      <c r="BM735" s="7">
        <f>Wapato_Inventory[[#This Row],[Age]]*Lookups!$B$16</f>
        <v>-34472.840100000001</v>
      </c>
      <c r="BN735" s="7">
        <f>Wapato_Inventory[[#This Row],[Main Floor]]*Lookups!$B$17</f>
        <v>42803.956736</v>
      </c>
      <c r="BO735" s="7">
        <f>Wapato_Inventory[[#This Row],[Upper Floor]]*Lookups!$B$18</f>
        <v>0</v>
      </c>
      <c r="BP735" s="7">
        <f>Wapato_Inventory[[#This Row],[Fin BSMT]]*Lookups!$B$19</f>
        <v>0</v>
      </c>
      <c r="BQ735" s="7">
        <f>(Wapato_Inventory[[#This Row],[att_gar]]+Wapato_Inventory[[#This Row],[blt_gar]])*Lookups!$B$20</f>
        <v>0</v>
      </c>
      <c r="BR735" s="7">
        <f>Wapato_Inventory[[#This Row],[Patio]]*Lookups!$B$21</f>
        <v>0</v>
      </c>
      <c r="BS735" s="7">
        <f>SUM(Wapato_Inventory[[#This Row],[intercept]:[patio_value]])*Wapato_Inventory[[#This Row],[res_pct]]</f>
        <v>184682.38663599998</v>
      </c>
      <c r="BT735" s="7">
        <f>Wapato_Inventory[[#This Row],[land_value]]</f>
        <v>52500</v>
      </c>
      <c r="BU735" s="2">
        <f>_xlfn.IFNA(VLOOKUP(Wapato_Inventory[[#This Row],[quality]],Lookups!$A$28:$C$37,3,FALSE),1)</f>
        <v>0.98196844879778955</v>
      </c>
      <c r="BV735" s="2">
        <f>_xlfn.IFNA(VLOOKUP(Wapato_Inventory[[#This Row],[condition]],Lookups!$A$41:$C$48,3,FALSE),1)</f>
        <v>0.98442438223270734</v>
      </c>
      <c r="BW735" s="2">
        <f>IF(Wapato_Inventory[[#This Row],[decade]]="",1,_xlfn.IFNA(VLOOKUP(Wapato_Inventory[[#This Row],[decade]],Lookups!$F$28:$H$45,3,FALSE),1))</f>
        <v>1.0114203040664467</v>
      </c>
      <c r="BX735" s="2">
        <f>_xlfn.IFNA(VLOOKUP(Wapato_Inventory[[#This Row],[living_area_range]],Lookups!$K$28:$M$37,3,FALSE),1)</f>
        <v>1.0061411172456287</v>
      </c>
      <c r="BY735" s="2">
        <f>AVERAGE(Wapato_Inventory[[#This Row],[qual_adj]:[range_adj]])</f>
        <v>0.9959885630856431</v>
      </c>
      <c r="BZ735" s="7">
        <f>(Wapato_Inventory[[#This Row],[sum_land]]-IF(Wapato_Inventory[[#This Row],[no_utilities]]=1,12000,0))/IF(Wapato_Inventory[[#This Row],[unbuildable]]=1,2,1)</f>
        <v>52500</v>
      </c>
      <c r="CA735" s="7">
        <f>Wapato_Inventory[[#This Row],[pre_res]]*Wapato_Inventory[[#This Row],[overall_adj]]</f>
        <v>183941.5448928168</v>
      </c>
      <c r="CB735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735" s="3">
        <f>IF(ROUND(Wapato_Inventory[[#This Row],[adj_res]]*Lookups!$H$48,-2)&lt;Wapato_Inventory[[#This Row],[min_res]],Wapato_Inventory[[#This Row],[min_res]],ROUND(Wapato_Inventory[[#This Row],[adj_res]]*Lookups!$H$48,-2))</f>
        <v>174700</v>
      </c>
      <c r="CD735" s="3">
        <f>ROUND(Wapato_Inventory[[#This Row],[det_value]]*Lookups!$H$48,-2)</f>
        <v>6800</v>
      </c>
      <c r="CE735" s="3">
        <f>Wapato_Inventory[[#This Row],[final_res]]+Wapato_Inventory[[#This Row],[final_det]]</f>
        <v>181500</v>
      </c>
      <c r="CF735" s="3">
        <f>Wapato_Inventory[[#This Row],[crop_value]]+Wapato_Inventory[[#This Row],[final_land]]+Wapato_Inventory[[#This Row],[final_imp]]</f>
        <v>231400</v>
      </c>
      <c r="CH735" t="str">
        <f t="shared" si="11"/>
        <v>update valuation set market_land =49900, market_bldg=181500, market_total =231400, market_mdno =405, market_date ='9/10/2023' where link_id = (select link_id from parcel where parcel_year = '2024' and parcel_id = '19111513553');</v>
      </c>
    </row>
    <row r="736" spans="1:86" x14ac:dyDescent="0.25">
      <c r="A736">
        <v>19111513554</v>
      </c>
      <c r="B736">
        <v>0.21</v>
      </c>
      <c r="C736">
        <v>8935</v>
      </c>
      <c r="D736" t="s">
        <v>144</v>
      </c>
      <c r="E736" t="s">
        <v>54</v>
      </c>
      <c r="F736" t="s">
        <v>54</v>
      </c>
      <c r="G736">
        <v>3</v>
      </c>
      <c r="H736" t="s">
        <v>55</v>
      </c>
      <c r="I736">
        <v>156000</v>
      </c>
      <c r="J736">
        <v>34800</v>
      </c>
      <c r="K736">
        <v>0.21</v>
      </c>
      <c r="L736">
        <f>IF(Wapato_Inventory[[#This Row],[parcel_acres]]-Wapato_Inventory[[#This Row],[non_valued_acres]] =0,0,LN(Wapato_Inventory[[#This Row],[parcel_acres]]-Wapato_Inventory[[#This Row],[non_valued_acres]]))</f>
        <v>-1.5606477482646683</v>
      </c>
      <c r="M736">
        <v>0</v>
      </c>
      <c r="N736">
        <v>0</v>
      </c>
      <c r="O736">
        <v>0</v>
      </c>
      <c r="P736">
        <v>27904.037</v>
      </c>
      <c r="Q736">
        <v>74398</v>
      </c>
      <c r="R736" s="3">
        <f>(Wapato_Inventory[[#This Row],[ln_acres]]*Wapato_Inventory[[#This Row],[coeff]])+Wapato_Inventory[[#This Row],[const]]</f>
        <v>30849.627488456012</v>
      </c>
      <c r="S736" t="s">
        <v>66</v>
      </c>
      <c r="T736">
        <v>1</v>
      </c>
      <c r="U736" t="s">
        <v>75</v>
      </c>
      <c r="V736" t="s">
        <v>68</v>
      </c>
      <c r="W736">
        <v>0</v>
      </c>
      <c r="X736">
        <v>0</v>
      </c>
      <c r="Y736">
        <v>51</v>
      </c>
      <c r="Z736">
        <v>83</v>
      </c>
      <c r="AA736">
        <v>90</v>
      </c>
      <c r="AB736">
        <v>1500</v>
      </c>
      <c r="AC736">
        <v>1124</v>
      </c>
      <c r="AD736">
        <v>1124</v>
      </c>
      <c r="AE736">
        <v>0</v>
      </c>
      <c r="AF736">
        <v>0</v>
      </c>
      <c r="AG736">
        <v>0</v>
      </c>
      <c r="AH736">
        <v>1124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5</v>
      </c>
      <c r="AQ736">
        <v>0</v>
      </c>
      <c r="AR736">
        <v>0</v>
      </c>
      <c r="AS736" t="s">
        <v>59</v>
      </c>
      <c r="AT736">
        <v>1</v>
      </c>
      <c r="AU736" t="s">
        <v>64</v>
      </c>
      <c r="AV736" t="s">
        <v>65</v>
      </c>
      <c r="AW736">
        <v>1</v>
      </c>
      <c r="AX736">
        <v>2</v>
      </c>
      <c r="AY736">
        <v>0</v>
      </c>
      <c r="AZ736">
        <v>8800</v>
      </c>
      <c r="BA736">
        <v>100</v>
      </c>
      <c r="BB736">
        <v>100</v>
      </c>
      <c r="BC736">
        <v>100</v>
      </c>
      <c r="BD736">
        <v>100</v>
      </c>
      <c r="BE736">
        <v>1</v>
      </c>
      <c r="BF736">
        <v>15000</v>
      </c>
      <c r="BG736">
        <v>1000</v>
      </c>
      <c r="BH736" s="7">
        <f>ROUND(Wapato_Inventory[[#This Row],[detatched_value]]*Lookups!$B$22*Lookups!$H$48,-2)</f>
        <v>7900</v>
      </c>
      <c r="BI736" s="7">
        <f>ROUND(((Wapato_Inventory[[#This Row],[land_extract]]*Lookups!$B$3) +(Lookups!$B$2*0.5))*Lookups!$H$48,-2)</f>
        <v>54100</v>
      </c>
      <c r="BJ736" s="7">
        <f>IF(Wapato_Inventory[[#This Row],[bldg_style]]="",0,Lookups!$B$2*0.5)</f>
        <v>53765.27</v>
      </c>
      <c r="BK736" s="7">
        <f>_xlfn.IFNA(VLOOKUP(Wapato_Inventory[[#This Row],[quality]],Lookups!$H$2:$J$14,3,FALSE),0)</f>
        <v>48043</v>
      </c>
      <c r="BL736" s="7">
        <f>_xlfn.IFNA(VLOOKUP(Wapato_Inventory[[#This Row],[condition]],Lookups!$H$17:$J$24,3,FALSE),0)</f>
        <v>52231</v>
      </c>
      <c r="BM736" s="7">
        <f>Wapato_Inventory[[#This Row],[Age]]*Lookups!$B$16</f>
        <v>-30766.0831</v>
      </c>
      <c r="BN736" s="7">
        <f>Wapato_Inventory[[#This Row],[Main Floor]]*Lookups!$B$17</f>
        <v>46984.030636000003</v>
      </c>
      <c r="BO736" s="7">
        <f>Wapato_Inventory[[#This Row],[Upper Floor]]*Lookups!$B$18</f>
        <v>0</v>
      </c>
      <c r="BP736" s="7">
        <f>Wapato_Inventory[[#This Row],[Fin BSMT]]*Lookups!$B$19</f>
        <v>0</v>
      </c>
      <c r="BQ736" s="7">
        <f>(Wapato_Inventory[[#This Row],[att_gar]]+Wapato_Inventory[[#This Row],[blt_gar]])*Lookups!$B$20</f>
        <v>0</v>
      </c>
      <c r="BR736" s="7">
        <f>Wapato_Inventory[[#This Row],[Patio]]*Lookups!$B$21</f>
        <v>0</v>
      </c>
      <c r="BS736" s="7">
        <f>SUM(Wapato_Inventory[[#This Row],[intercept]:[patio_value]])*Wapato_Inventory[[#This Row],[res_pct]]</f>
        <v>170257.21753599998</v>
      </c>
      <c r="BT736" s="7">
        <f>Wapato_Inventory[[#This Row],[land_value]]</f>
        <v>54100</v>
      </c>
      <c r="BU736" s="2">
        <f>_xlfn.IFNA(VLOOKUP(Wapato_Inventory[[#This Row],[quality]],Lookups!$A$28:$C$37,3,FALSE),1)</f>
        <v>0.98196844879778955</v>
      </c>
      <c r="BV736" s="2">
        <f>_xlfn.IFNA(VLOOKUP(Wapato_Inventory[[#This Row],[condition]],Lookups!$A$41:$C$48,3,FALSE),1)</f>
        <v>0.9832333997567807</v>
      </c>
      <c r="BW736" s="2">
        <f>IF(Wapato_Inventory[[#This Row],[decade]]="",1,_xlfn.IFNA(VLOOKUP(Wapato_Inventory[[#This Row],[decade]],Lookups!$F$28:$H$45,3,FALSE),1))</f>
        <v>0.94742695999815718</v>
      </c>
      <c r="BX736" s="2">
        <f>_xlfn.IFNA(VLOOKUP(Wapato_Inventory[[#This Row],[living_area_range]],Lookups!$K$28:$M$37,3,FALSE),1)</f>
        <v>1.0061411172456287</v>
      </c>
      <c r="BY736" s="2">
        <f>AVERAGE(Wapato_Inventory[[#This Row],[qual_adj]:[range_adj]])</f>
        <v>0.97969248144958898</v>
      </c>
      <c r="BZ736" s="7">
        <f>(Wapato_Inventory[[#This Row],[sum_land]]-IF(Wapato_Inventory[[#This Row],[no_utilities]]=1,12000,0))/IF(Wapato_Inventory[[#This Row],[unbuildable]]=1,2,1)</f>
        <v>54100</v>
      </c>
      <c r="CA736" s="7">
        <f>Wapato_Inventory[[#This Row],[pre_res]]*Wapato_Inventory[[#This Row],[overall_adj]]</f>
        <v>166799.7159325463</v>
      </c>
      <c r="CB736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736" s="3">
        <f>IF(ROUND(Wapato_Inventory[[#This Row],[adj_res]]*Lookups!$H$48,-2)&lt;Wapato_Inventory[[#This Row],[min_res]],Wapato_Inventory[[#This Row],[min_res]],ROUND(Wapato_Inventory[[#This Row],[adj_res]]*Lookups!$H$48,-2))</f>
        <v>158500</v>
      </c>
      <c r="CD736" s="3">
        <f>ROUND(Wapato_Inventory[[#This Row],[det_value]]*Lookups!$H$48,-2)</f>
        <v>7500</v>
      </c>
      <c r="CE736" s="3">
        <f>Wapato_Inventory[[#This Row],[final_res]]+Wapato_Inventory[[#This Row],[final_det]]</f>
        <v>166000</v>
      </c>
      <c r="CF736" s="3">
        <f>Wapato_Inventory[[#This Row],[crop_value]]+Wapato_Inventory[[#This Row],[final_land]]+Wapato_Inventory[[#This Row],[final_imp]]</f>
        <v>217400</v>
      </c>
      <c r="CH736" t="str">
        <f t="shared" si="11"/>
        <v>update valuation set market_land =51400, market_bldg=166000, market_total =217400, market_mdno =405, market_date ='9/10/2023' where link_id = (select link_id from parcel where parcel_year = '2024' and parcel_id = '19111513554');</v>
      </c>
    </row>
    <row r="737" spans="1:86" x14ac:dyDescent="0.25">
      <c r="A737">
        <v>19111513556</v>
      </c>
      <c r="B737">
        <v>0.21</v>
      </c>
      <c r="C737">
        <v>9164</v>
      </c>
      <c r="D737" t="s">
        <v>144</v>
      </c>
      <c r="E737" t="s">
        <v>54</v>
      </c>
      <c r="F737" t="s">
        <v>54</v>
      </c>
      <c r="G737">
        <v>3</v>
      </c>
      <c r="H737" t="s">
        <v>55</v>
      </c>
      <c r="I737">
        <v>198900</v>
      </c>
      <c r="J737">
        <v>34800</v>
      </c>
      <c r="K737">
        <v>0.21</v>
      </c>
      <c r="L737">
        <f>IF(Wapato_Inventory[[#This Row],[parcel_acres]]-Wapato_Inventory[[#This Row],[non_valued_acres]] =0,0,LN(Wapato_Inventory[[#This Row],[parcel_acres]]-Wapato_Inventory[[#This Row],[non_valued_acres]]))</f>
        <v>-1.5606477482646683</v>
      </c>
      <c r="M737">
        <v>0</v>
      </c>
      <c r="N737">
        <v>0</v>
      </c>
      <c r="O737">
        <v>0</v>
      </c>
      <c r="P737">
        <v>27904.037</v>
      </c>
      <c r="Q737">
        <v>74398</v>
      </c>
      <c r="R737" s="3">
        <f>(Wapato_Inventory[[#This Row],[ln_acres]]*Wapato_Inventory[[#This Row],[coeff]])+Wapato_Inventory[[#This Row],[const]]</f>
        <v>30849.627488456012</v>
      </c>
      <c r="S737" t="s">
        <v>150</v>
      </c>
      <c r="T737">
        <v>1</v>
      </c>
      <c r="U737" t="s">
        <v>75</v>
      </c>
      <c r="V737" t="s">
        <v>68</v>
      </c>
      <c r="W737">
        <v>0</v>
      </c>
      <c r="X737">
        <v>0</v>
      </c>
      <c r="Y737">
        <v>48</v>
      </c>
      <c r="Z737">
        <v>63</v>
      </c>
      <c r="AA737">
        <v>70</v>
      </c>
      <c r="AB737">
        <v>1500</v>
      </c>
      <c r="AC737">
        <v>1444</v>
      </c>
      <c r="AD737">
        <v>1444</v>
      </c>
      <c r="AE737">
        <v>0</v>
      </c>
      <c r="AF737">
        <v>0</v>
      </c>
      <c r="AG737">
        <v>0</v>
      </c>
      <c r="AH737">
        <v>784</v>
      </c>
      <c r="AI737">
        <v>0</v>
      </c>
      <c r="AJ737">
        <v>0</v>
      </c>
      <c r="AK737">
        <v>0</v>
      </c>
      <c r="AL737">
        <v>0</v>
      </c>
      <c r="AM737">
        <v>240</v>
      </c>
      <c r="AN737">
        <v>24</v>
      </c>
      <c r="AO737">
        <v>240</v>
      </c>
      <c r="AP737">
        <v>8</v>
      </c>
      <c r="AQ737">
        <v>0</v>
      </c>
      <c r="AR737">
        <v>0</v>
      </c>
      <c r="AS737" t="s">
        <v>59</v>
      </c>
      <c r="AT737">
        <v>1</v>
      </c>
      <c r="AU737" t="s">
        <v>64</v>
      </c>
      <c r="AV737" t="s">
        <v>61</v>
      </c>
      <c r="AW737">
        <v>0</v>
      </c>
      <c r="AX737">
        <v>4</v>
      </c>
      <c r="AY737">
        <v>0</v>
      </c>
      <c r="AZ737">
        <v>14100</v>
      </c>
      <c r="BA737">
        <v>100</v>
      </c>
      <c r="BB737">
        <v>100</v>
      </c>
      <c r="BC737">
        <v>100</v>
      </c>
      <c r="BD737">
        <v>100</v>
      </c>
      <c r="BE737">
        <v>1</v>
      </c>
      <c r="BF737">
        <v>15000</v>
      </c>
      <c r="BG737">
        <v>1000</v>
      </c>
      <c r="BH737" s="7">
        <f>ROUND(Wapato_Inventory[[#This Row],[detatched_value]]*Lookups!$B$22*Lookups!$H$48,-2)</f>
        <v>12600</v>
      </c>
      <c r="BI737" s="7">
        <f>ROUND(((Wapato_Inventory[[#This Row],[land_extract]]*Lookups!$B$3) +(Lookups!$B$2*0.5))*Lookups!$H$48,-2)</f>
        <v>54100</v>
      </c>
      <c r="BJ737" s="7">
        <f>IF(Wapato_Inventory[[#This Row],[bldg_style]]="",0,Lookups!$B$2*0.5)</f>
        <v>53765.27</v>
      </c>
      <c r="BK737" s="7">
        <f>_xlfn.IFNA(VLOOKUP(Wapato_Inventory[[#This Row],[quality]],Lookups!$H$2:$J$14,3,FALSE),0)</f>
        <v>48043</v>
      </c>
      <c r="BL737" s="7">
        <f>_xlfn.IFNA(VLOOKUP(Wapato_Inventory[[#This Row],[condition]],Lookups!$H$17:$J$24,3,FALSE),0)</f>
        <v>52231</v>
      </c>
      <c r="BM737" s="7">
        <f>Wapato_Inventory[[#This Row],[Age]]*Lookups!$B$16</f>
        <v>-23352.569100000001</v>
      </c>
      <c r="BN737" s="7">
        <f>Wapato_Inventory[[#This Row],[Main Floor]]*Lookups!$B$17</f>
        <v>60360.267116000003</v>
      </c>
      <c r="BO737" s="7">
        <f>Wapato_Inventory[[#This Row],[Upper Floor]]*Lookups!$B$18</f>
        <v>0</v>
      </c>
      <c r="BP737" s="7">
        <f>Wapato_Inventory[[#This Row],[Fin BSMT]]*Lookups!$B$19</f>
        <v>0</v>
      </c>
      <c r="BQ737" s="7">
        <f>(Wapato_Inventory[[#This Row],[att_gar]]+Wapato_Inventory[[#This Row],[blt_gar]])*Lookups!$B$20</f>
        <v>0</v>
      </c>
      <c r="BR737" s="7">
        <f>Wapato_Inventory[[#This Row],[Patio]]*Lookups!$B$21</f>
        <v>10397.75496</v>
      </c>
      <c r="BS737" s="7">
        <f>SUM(Wapato_Inventory[[#This Row],[intercept]:[patio_value]])*Wapato_Inventory[[#This Row],[res_pct]]</f>
        <v>201444.72297599999</v>
      </c>
      <c r="BT737" s="7">
        <f>Wapato_Inventory[[#This Row],[land_value]]</f>
        <v>54100</v>
      </c>
      <c r="BU737" s="2">
        <f>_xlfn.IFNA(VLOOKUP(Wapato_Inventory[[#This Row],[quality]],Lookups!$A$28:$C$37,3,FALSE),1)</f>
        <v>0.98196844879778955</v>
      </c>
      <c r="BV737" s="2">
        <f>_xlfn.IFNA(VLOOKUP(Wapato_Inventory[[#This Row],[condition]],Lookups!$A$41:$C$48,3,FALSE),1)</f>
        <v>0.9832333997567807</v>
      </c>
      <c r="BW737" s="2">
        <f>IF(Wapato_Inventory[[#This Row],[decade]]="",1,_xlfn.IFNA(VLOOKUP(Wapato_Inventory[[#This Row],[decade]],Lookups!$F$28:$H$45,3,FALSE),1))</f>
        <v>1.0012715221492001</v>
      </c>
      <c r="BX737" s="2">
        <f>_xlfn.IFNA(VLOOKUP(Wapato_Inventory[[#This Row],[living_area_range]],Lookups!$K$28:$M$37,3,FALSE),1)</f>
        <v>1.0061411172456287</v>
      </c>
      <c r="BY737" s="2">
        <f>AVERAGE(Wapato_Inventory[[#This Row],[qual_adj]:[range_adj]])</f>
        <v>0.9931536219873498</v>
      </c>
      <c r="BZ737" s="7">
        <f>(Wapato_Inventory[[#This Row],[sum_land]]-IF(Wapato_Inventory[[#This Row],[no_utilities]]=1,12000,0))/IF(Wapato_Inventory[[#This Row],[unbuildable]]=1,2,1)</f>
        <v>54100</v>
      </c>
      <c r="CA737" s="7">
        <f>Wapato_Inventory[[#This Row],[pre_res]]*Wapato_Inventory[[#This Row],[overall_adj]]</f>
        <v>200065.5562538527</v>
      </c>
      <c r="CB737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737" s="3">
        <f>IF(ROUND(Wapato_Inventory[[#This Row],[adj_res]]*Lookups!$H$48,-2)&lt;Wapato_Inventory[[#This Row],[min_res]],Wapato_Inventory[[#This Row],[min_res]],ROUND(Wapato_Inventory[[#This Row],[adj_res]]*Lookups!$H$48,-2))</f>
        <v>190100</v>
      </c>
      <c r="CD737" s="3">
        <f>ROUND(Wapato_Inventory[[#This Row],[det_value]]*Lookups!$H$48,-2)</f>
        <v>12000</v>
      </c>
      <c r="CE737" s="3">
        <f>Wapato_Inventory[[#This Row],[final_res]]+Wapato_Inventory[[#This Row],[final_det]]</f>
        <v>202100</v>
      </c>
      <c r="CF737" s="3">
        <f>Wapato_Inventory[[#This Row],[crop_value]]+Wapato_Inventory[[#This Row],[final_land]]+Wapato_Inventory[[#This Row],[final_imp]]</f>
        <v>253500</v>
      </c>
      <c r="CH737" t="str">
        <f t="shared" si="11"/>
        <v>update valuation set market_land =51400, market_bldg=202100, market_total =253500, market_mdno =405, market_date ='9/10/2023' where link_id = (select link_id from parcel where parcel_year = '2024' and parcel_id = '19111513556');</v>
      </c>
    </row>
    <row r="738" spans="1:86" x14ac:dyDescent="0.25">
      <c r="A738">
        <v>19111513557</v>
      </c>
      <c r="B738">
        <v>0.14000000000000001</v>
      </c>
      <c r="C738">
        <v>5990</v>
      </c>
      <c r="D738" t="s">
        <v>144</v>
      </c>
      <c r="E738" t="s">
        <v>54</v>
      </c>
      <c r="F738" t="s">
        <v>54</v>
      </c>
      <c r="G738">
        <v>3</v>
      </c>
      <c r="H738" t="s">
        <v>55</v>
      </c>
      <c r="I738">
        <v>201100</v>
      </c>
      <c r="J738">
        <v>31900</v>
      </c>
      <c r="K738">
        <v>0.14000000000000001</v>
      </c>
      <c r="L738">
        <f>IF(Wapato_Inventory[[#This Row],[parcel_acres]]-Wapato_Inventory[[#This Row],[non_valued_acres]] =0,0,LN(Wapato_Inventory[[#This Row],[parcel_acres]]-Wapato_Inventory[[#This Row],[non_valued_acres]]))</f>
        <v>-1.9661128563728327</v>
      </c>
      <c r="M738">
        <v>0</v>
      </c>
      <c r="N738">
        <v>0</v>
      </c>
      <c r="O738">
        <v>0</v>
      </c>
      <c r="P738">
        <v>27904.037</v>
      </c>
      <c r="Q738">
        <v>74398</v>
      </c>
      <c r="R738" s="3">
        <f>(Wapato_Inventory[[#This Row],[ln_acres]]*Wapato_Inventory[[#This Row],[coeff]])+Wapato_Inventory[[#This Row],[const]]</f>
        <v>19535.514109596792</v>
      </c>
      <c r="S738" t="s">
        <v>62</v>
      </c>
      <c r="T738">
        <v>1</v>
      </c>
      <c r="U738" t="s">
        <v>75</v>
      </c>
      <c r="V738" t="s">
        <v>68</v>
      </c>
      <c r="W738">
        <v>0</v>
      </c>
      <c r="X738">
        <v>0</v>
      </c>
      <c r="Y738">
        <v>47</v>
      </c>
      <c r="Z738">
        <v>58</v>
      </c>
      <c r="AA738">
        <v>60</v>
      </c>
      <c r="AB738">
        <v>2000</v>
      </c>
      <c r="AC738">
        <v>1890</v>
      </c>
      <c r="AD738">
        <v>1890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680</v>
      </c>
      <c r="AL738">
        <v>0</v>
      </c>
      <c r="AM738">
        <v>80</v>
      </c>
      <c r="AN738">
        <v>0</v>
      </c>
      <c r="AO738">
        <v>80</v>
      </c>
      <c r="AP738">
        <v>8</v>
      </c>
      <c r="AQ738">
        <v>0</v>
      </c>
      <c r="AR738">
        <v>0</v>
      </c>
      <c r="AS738" t="s">
        <v>59</v>
      </c>
      <c r="AT738">
        <v>1</v>
      </c>
      <c r="AU738" t="s">
        <v>64</v>
      </c>
      <c r="AV738" t="s">
        <v>65</v>
      </c>
      <c r="AW738">
        <v>0</v>
      </c>
      <c r="AX738">
        <v>3</v>
      </c>
      <c r="AY738">
        <v>0</v>
      </c>
      <c r="AZ738">
        <v>0</v>
      </c>
      <c r="BA738">
        <v>100</v>
      </c>
      <c r="BB738">
        <v>100</v>
      </c>
      <c r="BC738">
        <v>100</v>
      </c>
      <c r="BD738">
        <v>100</v>
      </c>
      <c r="BE738">
        <v>1</v>
      </c>
      <c r="BF738">
        <v>15000</v>
      </c>
      <c r="BG738">
        <v>1000</v>
      </c>
      <c r="BH738" s="7">
        <f>ROUND(Wapato_Inventory[[#This Row],[detatched_value]]*Lookups!$B$22*Lookups!$H$48,-2)</f>
        <v>0</v>
      </c>
      <c r="BI738" s="7">
        <f>ROUND(((Wapato_Inventory[[#This Row],[land_extract]]*Lookups!$B$3) +(Lookups!$B$2*0.5))*Lookups!$H$48,-2)</f>
        <v>53000</v>
      </c>
      <c r="BJ738" s="7">
        <f>IF(Wapato_Inventory[[#This Row],[bldg_style]]="",0,Lookups!$B$2*0.5)</f>
        <v>53765.27</v>
      </c>
      <c r="BK738" s="7">
        <f>_xlfn.IFNA(VLOOKUP(Wapato_Inventory[[#This Row],[quality]],Lookups!$H$2:$J$14,3,FALSE),0)</f>
        <v>48043</v>
      </c>
      <c r="BL738" s="7">
        <f>_xlfn.IFNA(VLOOKUP(Wapato_Inventory[[#This Row],[condition]],Lookups!$H$17:$J$24,3,FALSE),0)</f>
        <v>52231</v>
      </c>
      <c r="BM738" s="7">
        <f>Wapato_Inventory[[#This Row],[Age]]*Lookups!$B$16</f>
        <v>-21499.190600000002</v>
      </c>
      <c r="BN738" s="7">
        <f>Wapato_Inventory[[#This Row],[Main Floor]]*Lookups!$B$17</f>
        <v>79003.396710000001</v>
      </c>
      <c r="BO738" s="7">
        <f>Wapato_Inventory[[#This Row],[Upper Floor]]*Lookups!$B$18</f>
        <v>0</v>
      </c>
      <c r="BP738" s="7">
        <f>Wapato_Inventory[[#This Row],[Fin BSMT]]*Lookups!$B$19</f>
        <v>0</v>
      </c>
      <c r="BQ738" s="7">
        <f>(Wapato_Inventory[[#This Row],[att_gar]]+Wapato_Inventory[[#This Row],[blt_gar]])*Lookups!$B$20</f>
        <v>0</v>
      </c>
      <c r="BR738" s="7">
        <f>Wapato_Inventory[[#This Row],[Patio]]*Lookups!$B$21</f>
        <v>3465.9183200000002</v>
      </c>
      <c r="BS738" s="7">
        <f>SUM(Wapato_Inventory[[#This Row],[intercept]:[patio_value]])*Wapato_Inventory[[#This Row],[res_pct]]</f>
        <v>215009.39442999999</v>
      </c>
      <c r="BT738" s="7">
        <f>Wapato_Inventory[[#This Row],[land_value]]</f>
        <v>53000</v>
      </c>
      <c r="BU738" s="2">
        <f>_xlfn.IFNA(VLOOKUP(Wapato_Inventory[[#This Row],[quality]],Lookups!$A$28:$C$37,3,FALSE),1)</f>
        <v>0.98196844879778955</v>
      </c>
      <c r="BV738" s="2">
        <f>_xlfn.IFNA(VLOOKUP(Wapato_Inventory[[#This Row],[condition]],Lookups!$A$41:$C$48,3,FALSE),1)</f>
        <v>0.9832333997567807</v>
      </c>
      <c r="BW738" s="2">
        <f>IF(Wapato_Inventory[[#This Row],[decade]]="",1,_xlfn.IFNA(VLOOKUP(Wapato_Inventory[[#This Row],[decade]],Lookups!$F$28:$H$45,3,FALSE),1))</f>
        <v>1.035341704162583</v>
      </c>
      <c r="BX738" s="2">
        <f>_xlfn.IFNA(VLOOKUP(Wapato_Inventory[[#This Row],[living_area_range]],Lookups!$K$28:$M$37,3,FALSE),1)</f>
        <v>0.99330894324714125</v>
      </c>
      <c r="BY738" s="2">
        <f>AVERAGE(Wapato_Inventory[[#This Row],[qual_adj]:[range_adj]])</f>
        <v>0.99846312399107362</v>
      </c>
      <c r="BZ738" s="7">
        <f>(Wapato_Inventory[[#This Row],[sum_land]]-IF(Wapato_Inventory[[#This Row],[no_utilities]]=1,12000,0))/IF(Wapato_Inventory[[#This Row],[unbuildable]]=1,2,1)</f>
        <v>53000</v>
      </c>
      <c r="CA738" s="7">
        <f>Wapato_Inventory[[#This Row],[pre_res]]*Wapato_Inventory[[#This Row],[overall_adj]]</f>
        <v>214678.95165000673</v>
      </c>
      <c r="CB73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38" s="3">
        <f>IF(ROUND(Wapato_Inventory[[#This Row],[adj_res]]*Lookups!$H$48,-2)&lt;Wapato_Inventory[[#This Row],[min_res]],Wapato_Inventory[[#This Row],[min_res]],ROUND(Wapato_Inventory[[#This Row],[adj_res]]*Lookups!$H$48,-2))</f>
        <v>203900</v>
      </c>
      <c r="CD738" s="3">
        <f>ROUND(Wapato_Inventory[[#This Row],[det_value]]*Lookups!$H$48,-2)</f>
        <v>0</v>
      </c>
      <c r="CE738" s="3">
        <f>Wapato_Inventory[[#This Row],[final_res]]+Wapato_Inventory[[#This Row],[final_det]]</f>
        <v>203900</v>
      </c>
      <c r="CF738" s="3">
        <f>Wapato_Inventory[[#This Row],[crop_value]]+Wapato_Inventory[[#This Row],[final_land]]+Wapato_Inventory[[#This Row],[final_imp]]</f>
        <v>254300</v>
      </c>
      <c r="CH738" t="str">
        <f t="shared" si="11"/>
        <v>update valuation set market_land =50400, market_bldg=203900, market_total =254300, market_mdno =405, market_date ='9/10/2023' where link_id = (select link_id from parcel where parcel_year = '2024' and parcel_id = '19111513557');</v>
      </c>
    </row>
    <row r="739" spans="1:86" x14ac:dyDescent="0.25">
      <c r="A739">
        <v>19111513558</v>
      </c>
      <c r="B739">
        <v>0.09</v>
      </c>
      <c r="C739">
        <v>3892</v>
      </c>
      <c r="D739" t="s">
        <v>144</v>
      </c>
      <c r="E739" t="s">
        <v>54</v>
      </c>
      <c r="F739" t="s">
        <v>54</v>
      </c>
      <c r="G739">
        <v>3</v>
      </c>
      <c r="H739" t="s">
        <v>55</v>
      </c>
      <c r="I739">
        <v>96700</v>
      </c>
      <c r="J739">
        <v>28700</v>
      </c>
      <c r="K739">
        <v>0.09</v>
      </c>
      <c r="L739">
        <f>IF(Wapato_Inventory[[#This Row],[parcel_acres]]-Wapato_Inventory[[#This Row],[non_valued_acres]] =0,0,LN(Wapato_Inventory[[#This Row],[parcel_acres]]-Wapato_Inventory[[#This Row],[non_valued_acres]]))</f>
        <v>-2.4079456086518722</v>
      </c>
      <c r="M739">
        <v>0</v>
      </c>
      <c r="N739">
        <v>0</v>
      </c>
      <c r="O739">
        <v>0</v>
      </c>
      <c r="P739">
        <v>27904.037</v>
      </c>
      <c r="Q739">
        <v>74398</v>
      </c>
      <c r="R739" s="3">
        <f>(Wapato_Inventory[[#This Row],[ln_acres]]*Wapato_Inventory[[#This Row],[coeff]])+Wapato_Inventory[[#This Row],[const]]</f>
        <v>7206.5966421906342</v>
      </c>
      <c r="S739" t="s">
        <v>66</v>
      </c>
      <c r="T739">
        <v>1</v>
      </c>
      <c r="U739" t="s">
        <v>71</v>
      </c>
      <c r="V739" t="s">
        <v>68</v>
      </c>
      <c r="W739">
        <v>0</v>
      </c>
      <c r="X739">
        <v>0</v>
      </c>
      <c r="Y739">
        <v>57</v>
      </c>
      <c r="Z739">
        <v>103</v>
      </c>
      <c r="AA739">
        <v>110</v>
      </c>
      <c r="AB739">
        <v>1000</v>
      </c>
      <c r="AC739">
        <v>676</v>
      </c>
      <c r="AD739">
        <v>676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5</v>
      </c>
      <c r="AQ739">
        <v>0</v>
      </c>
      <c r="AR739">
        <v>0</v>
      </c>
      <c r="AS739" t="s">
        <v>59</v>
      </c>
      <c r="AT739">
        <v>0</v>
      </c>
      <c r="AU739" t="s">
        <v>80</v>
      </c>
      <c r="AV739" t="s">
        <v>61</v>
      </c>
      <c r="AW739">
        <v>0</v>
      </c>
      <c r="AX739">
        <v>2</v>
      </c>
      <c r="AY739">
        <v>0</v>
      </c>
      <c r="AZ739">
        <v>0</v>
      </c>
      <c r="BA739">
        <v>100</v>
      </c>
      <c r="BB739">
        <v>100</v>
      </c>
      <c r="BC739">
        <v>100</v>
      </c>
      <c r="BD739">
        <v>100</v>
      </c>
      <c r="BE739">
        <v>1</v>
      </c>
      <c r="BF739">
        <v>15000</v>
      </c>
      <c r="BG739">
        <v>1000</v>
      </c>
      <c r="BH739" s="7">
        <f>ROUND(Wapato_Inventory[[#This Row],[detatched_value]]*Lookups!$B$22*Lookups!$H$48,-2)</f>
        <v>0</v>
      </c>
      <c r="BI739" s="7">
        <f>ROUND(((Wapato_Inventory[[#This Row],[land_extract]]*Lookups!$B$3) +(Lookups!$B$2*0.5))*Lookups!$H$48,-2)</f>
        <v>51800</v>
      </c>
      <c r="BJ739" s="7">
        <f>IF(Wapato_Inventory[[#This Row],[bldg_style]]="",0,Lookups!$B$2*0.5)</f>
        <v>53765.27</v>
      </c>
      <c r="BK739" s="7">
        <f>_xlfn.IFNA(VLOOKUP(Wapato_Inventory[[#This Row],[quality]],Lookups!$H$2:$J$14,3,FALSE),0)</f>
        <v>28034</v>
      </c>
      <c r="BL739" s="7">
        <f>_xlfn.IFNA(VLOOKUP(Wapato_Inventory[[#This Row],[condition]],Lookups!$H$17:$J$24,3,FALSE),0)</f>
        <v>52231</v>
      </c>
      <c r="BM739" s="7">
        <f>Wapato_Inventory[[#This Row],[Age]]*Lookups!$B$16</f>
        <v>-38179.597099999999</v>
      </c>
      <c r="BN739" s="7">
        <f>Wapato_Inventory[[#This Row],[Main Floor]]*Lookups!$B$17</f>
        <v>28257.299564000001</v>
      </c>
      <c r="BO739" s="7">
        <f>Wapato_Inventory[[#This Row],[Upper Floor]]*Lookups!$B$18</f>
        <v>0</v>
      </c>
      <c r="BP739" s="7">
        <f>Wapato_Inventory[[#This Row],[Fin BSMT]]*Lookups!$B$19</f>
        <v>0</v>
      </c>
      <c r="BQ739" s="7">
        <f>(Wapato_Inventory[[#This Row],[att_gar]]+Wapato_Inventory[[#This Row],[blt_gar]])*Lookups!$B$20</f>
        <v>0</v>
      </c>
      <c r="BR739" s="7">
        <f>Wapato_Inventory[[#This Row],[Patio]]*Lookups!$B$21</f>
        <v>0</v>
      </c>
      <c r="BS739" s="7">
        <f>SUM(Wapato_Inventory[[#This Row],[intercept]:[patio_value]])*Wapato_Inventory[[#This Row],[res_pct]]</f>
        <v>124107.97246399999</v>
      </c>
      <c r="BT739" s="7">
        <f>Wapato_Inventory[[#This Row],[land_value]]</f>
        <v>51800</v>
      </c>
      <c r="BU739" s="2">
        <f>_xlfn.IFNA(VLOOKUP(Wapato_Inventory[[#This Row],[quality]],Lookups!$A$28:$C$37,3,FALSE),1)</f>
        <v>0.96265813922927435</v>
      </c>
      <c r="BV739" s="2">
        <f>_xlfn.IFNA(VLOOKUP(Wapato_Inventory[[#This Row],[condition]],Lookups!$A$41:$C$48,3,FALSE),1)</f>
        <v>0.9832333997567807</v>
      </c>
      <c r="BW739" s="2">
        <f>IF(Wapato_Inventory[[#This Row],[decade]]="",1,_xlfn.IFNA(VLOOKUP(Wapato_Inventory[[#This Row],[decade]],Lookups!$F$28:$H$45,3,FALSE),1))</f>
        <v>0.93664589651353292</v>
      </c>
      <c r="BX739" s="2">
        <f>_xlfn.IFNA(VLOOKUP(Wapato_Inventory[[#This Row],[living_area_range]],Lookups!$K$28:$M$37,3,FALSE),1)</f>
        <v>0.99022994770196116</v>
      </c>
      <c r="BY739" s="2">
        <f>AVERAGE(Wapato_Inventory[[#This Row],[qual_adj]:[range_adj]])</f>
        <v>0.9681918458003872</v>
      </c>
      <c r="BZ739" s="7">
        <f>(Wapato_Inventory[[#This Row],[sum_land]]-IF(Wapato_Inventory[[#This Row],[no_utilities]]=1,12000,0))/IF(Wapato_Inventory[[#This Row],[unbuildable]]=1,2,1)</f>
        <v>51800</v>
      </c>
      <c r="CA739" s="7">
        <f>Wapato_Inventory[[#This Row],[pre_res]]*Wapato_Inventory[[#This Row],[overall_adj]]</f>
        <v>120160.32693846378</v>
      </c>
      <c r="CB739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739" s="3">
        <f>IF(ROUND(Wapato_Inventory[[#This Row],[adj_res]]*Lookups!$H$48,-2)&lt;Wapato_Inventory[[#This Row],[min_res]],Wapato_Inventory[[#This Row],[min_res]],ROUND(Wapato_Inventory[[#This Row],[adj_res]]*Lookups!$H$48,-2))</f>
        <v>114200</v>
      </c>
      <c r="CD739" s="3">
        <f>ROUND(Wapato_Inventory[[#This Row],[det_value]]*Lookups!$H$48,-2)</f>
        <v>0</v>
      </c>
      <c r="CE739" s="3">
        <f>Wapato_Inventory[[#This Row],[final_res]]+Wapato_Inventory[[#This Row],[final_det]]</f>
        <v>114200</v>
      </c>
      <c r="CF739" s="3">
        <f>Wapato_Inventory[[#This Row],[crop_value]]+Wapato_Inventory[[#This Row],[final_land]]+Wapato_Inventory[[#This Row],[final_imp]]</f>
        <v>163400</v>
      </c>
      <c r="CH739" t="str">
        <f t="shared" si="11"/>
        <v>update valuation set market_land =49200, market_bldg=114200, market_total =163400, market_mdno =405, market_date ='9/10/2023' where link_id = (select link_id from parcel where parcel_year = '2024' and parcel_id = '19111513558');</v>
      </c>
    </row>
    <row r="740" spans="1:86" x14ac:dyDescent="0.25">
      <c r="A740">
        <v>19111513560</v>
      </c>
      <c r="B740">
        <v>0.15</v>
      </c>
      <c r="C740">
        <v>6632</v>
      </c>
      <c r="D740" t="s">
        <v>144</v>
      </c>
      <c r="E740" t="s">
        <v>54</v>
      </c>
      <c r="F740" t="s">
        <v>54</v>
      </c>
      <c r="G740">
        <v>3</v>
      </c>
      <c r="H740" t="s">
        <v>55</v>
      </c>
      <c r="I740">
        <v>189700</v>
      </c>
      <c r="J740">
        <v>32300</v>
      </c>
      <c r="K740">
        <v>0.15</v>
      </c>
      <c r="L740">
        <f>IF(Wapato_Inventory[[#This Row],[parcel_acres]]-Wapato_Inventory[[#This Row],[non_valued_acres]] =0,0,LN(Wapato_Inventory[[#This Row],[parcel_acres]]-Wapato_Inventory[[#This Row],[non_valued_acres]]))</f>
        <v>-1.8971199848858813</v>
      </c>
      <c r="M740">
        <v>0</v>
      </c>
      <c r="N740">
        <v>0</v>
      </c>
      <c r="O740">
        <v>0</v>
      </c>
      <c r="P740">
        <v>27904.037</v>
      </c>
      <c r="Q740">
        <v>74398</v>
      </c>
      <c r="R740" s="3">
        <f>(Wapato_Inventory[[#This Row],[ln_acres]]*Wapato_Inventory[[#This Row],[coeff]])+Wapato_Inventory[[#This Row],[const]]</f>
        <v>21460.693748304926</v>
      </c>
      <c r="S740" t="s">
        <v>66</v>
      </c>
      <c r="T740">
        <v>1</v>
      </c>
      <c r="U740" t="s">
        <v>71</v>
      </c>
      <c r="V740" t="s">
        <v>69</v>
      </c>
      <c r="W740">
        <v>0</v>
      </c>
      <c r="X740">
        <v>0</v>
      </c>
      <c r="Y740">
        <v>57</v>
      </c>
      <c r="Z740">
        <v>103</v>
      </c>
      <c r="AA740">
        <v>110</v>
      </c>
      <c r="AB740">
        <v>3000</v>
      </c>
      <c r="AC740">
        <v>2680</v>
      </c>
      <c r="AD740">
        <v>1396</v>
      </c>
      <c r="AE740">
        <v>0</v>
      </c>
      <c r="AF740">
        <v>0</v>
      </c>
      <c r="AG740">
        <v>1284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9</v>
      </c>
      <c r="AQ740">
        <v>0</v>
      </c>
      <c r="AR740">
        <v>0</v>
      </c>
      <c r="AS740" t="s">
        <v>59</v>
      </c>
      <c r="AT740">
        <v>0</v>
      </c>
      <c r="AU740" t="s">
        <v>80</v>
      </c>
      <c r="AV740" t="s">
        <v>61</v>
      </c>
      <c r="AW740">
        <v>0</v>
      </c>
      <c r="AX740">
        <v>3</v>
      </c>
      <c r="AY740">
        <v>0</v>
      </c>
      <c r="AZ740">
        <v>2300</v>
      </c>
      <c r="BA740">
        <v>100</v>
      </c>
      <c r="BB740">
        <v>100</v>
      </c>
      <c r="BC740">
        <v>100</v>
      </c>
      <c r="BD740">
        <v>100</v>
      </c>
      <c r="BE740">
        <v>1</v>
      </c>
      <c r="BF740">
        <v>15000</v>
      </c>
      <c r="BG740">
        <v>1000</v>
      </c>
      <c r="BH740" s="7">
        <f>ROUND(Wapato_Inventory[[#This Row],[detatched_value]]*Lookups!$B$22*Lookups!$H$48,-2)</f>
        <v>2100</v>
      </c>
      <c r="BI740" s="7">
        <f>ROUND(((Wapato_Inventory[[#This Row],[land_extract]]*Lookups!$B$3) +(Lookups!$B$2*0.5))*Lookups!$H$48,-2)</f>
        <v>53100</v>
      </c>
      <c r="BJ740" s="7">
        <f>IF(Wapato_Inventory[[#This Row],[bldg_style]]="",0,Lookups!$B$2*0.5)</f>
        <v>53765.27</v>
      </c>
      <c r="BK740" s="7">
        <f>_xlfn.IFNA(VLOOKUP(Wapato_Inventory[[#This Row],[quality]],Lookups!$H$2:$J$14,3,FALSE),0)</f>
        <v>28034</v>
      </c>
      <c r="BL740" s="7">
        <f>_xlfn.IFNA(VLOOKUP(Wapato_Inventory[[#This Row],[condition]],Lookups!$H$17:$J$24,3,FALSE),0)</f>
        <v>74543</v>
      </c>
      <c r="BM740" s="7">
        <f>Wapato_Inventory[[#This Row],[Age]]*Lookups!$B$16</f>
        <v>-38179.597099999999</v>
      </c>
      <c r="BN740" s="7">
        <f>Wapato_Inventory[[#This Row],[Main Floor]]*Lookups!$B$17</f>
        <v>58353.831643999998</v>
      </c>
      <c r="BO740" s="7">
        <f>Wapato_Inventory[[#This Row],[Upper Floor]]*Lookups!$B$18</f>
        <v>0</v>
      </c>
      <c r="BP740" s="7">
        <f>Wapato_Inventory[[#This Row],[Fin BSMT]]*Lookups!$B$19</f>
        <v>31286.89416</v>
      </c>
      <c r="BQ740" s="7">
        <f>(Wapato_Inventory[[#This Row],[att_gar]]+Wapato_Inventory[[#This Row],[blt_gar]])*Lookups!$B$20</f>
        <v>0</v>
      </c>
      <c r="BR740" s="7">
        <f>Wapato_Inventory[[#This Row],[Patio]]*Lookups!$B$21</f>
        <v>0</v>
      </c>
      <c r="BS740" s="7">
        <f>SUM(Wapato_Inventory[[#This Row],[intercept]:[patio_value]])*Wapato_Inventory[[#This Row],[res_pct]]</f>
        <v>207803.39870399999</v>
      </c>
      <c r="BT740" s="7">
        <f>Wapato_Inventory[[#This Row],[land_value]]</f>
        <v>53100</v>
      </c>
      <c r="BU740" s="2">
        <f>_xlfn.IFNA(VLOOKUP(Wapato_Inventory[[#This Row],[quality]],Lookups!$A$28:$C$37,3,FALSE),1)</f>
        <v>0.96265813922927435</v>
      </c>
      <c r="BV740" s="2">
        <f>_xlfn.IFNA(VLOOKUP(Wapato_Inventory[[#This Row],[condition]],Lookups!$A$41:$C$48,3,FALSE),1)</f>
        <v>0.98442438223270734</v>
      </c>
      <c r="BW740" s="2">
        <f>IF(Wapato_Inventory[[#This Row],[decade]]="",1,_xlfn.IFNA(VLOOKUP(Wapato_Inventory[[#This Row],[decade]],Lookups!$F$28:$H$45,3,FALSE),1))</f>
        <v>0.93664589651353292</v>
      </c>
      <c r="BX740" s="2">
        <f>_xlfn.IFNA(VLOOKUP(Wapato_Inventory[[#This Row],[living_area_range]],Lookups!$K$28:$M$37,3,FALSE),1)</f>
        <v>1.0155869662067822</v>
      </c>
      <c r="BY740" s="2">
        <f>AVERAGE(Wapato_Inventory[[#This Row],[qual_adj]:[range_adj]])</f>
        <v>0.97482884604557407</v>
      </c>
      <c r="BZ740" s="7">
        <f>(Wapato_Inventory[[#This Row],[sum_land]]-IF(Wapato_Inventory[[#This Row],[no_utilities]]=1,12000,0))/IF(Wapato_Inventory[[#This Row],[unbuildable]]=1,2,1)</f>
        <v>53100</v>
      </c>
      <c r="CA740" s="7">
        <f>Wapato_Inventory[[#This Row],[pre_res]]*Wapato_Inventory[[#This Row],[overall_adj]]</f>
        <v>202572.74736296866</v>
      </c>
      <c r="CB74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40" s="3">
        <f>IF(ROUND(Wapato_Inventory[[#This Row],[adj_res]]*Lookups!$H$48,-2)&lt;Wapato_Inventory[[#This Row],[min_res]],Wapato_Inventory[[#This Row],[min_res]],ROUND(Wapato_Inventory[[#This Row],[adj_res]]*Lookups!$H$48,-2))</f>
        <v>192400</v>
      </c>
      <c r="CD740" s="3">
        <f>ROUND(Wapato_Inventory[[#This Row],[det_value]]*Lookups!$H$48,-2)</f>
        <v>2000</v>
      </c>
      <c r="CE740" s="3">
        <f>Wapato_Inventory[[#This Row],[final_res]]+Wapato_Inventory[[#This Row],[final_det]]</f>
        <v>194400</v>
      </c>
      <c r="CF740" s="3">
        <f>Wapato_Inventory[[#This Row],[crop_value]]+Wapato_Inventory[[#This Row],[final_land]]+Wapato_Inventory[[#This Row],[final_imp]]</f>
        <v>244800</v>
      </c>
      <c r="CH740" t="str">
        <f t="shared" si="11"/>
        <v>update valuation set market_land =50400, market_bldg=194400, market_total =244800, market_mdno =405, market_date ='9/10/2023' where link_id = (select link_id from parcel where parcel_year = '2024' and parcel_id = '19111513560');</v>
      </c>
    </row>
    <row r="741" spans="1:86" x14ac:dyDescent="0.25">
      <c r="A741">
        <v>19111513561</v>
      </c>
      <c r="B741">
        <v>0.14000000000000001</v>
      </c>
      <c r="C741">
        <v>6217</v>
      </c>
      <c r="D741" t="s">
        <v>144</v>
      </c>
      <c r="E741" t="s">
        <v>54</v>
      </c>
      <c r="F741" t="s">
        <v>54</v>
      </c>
      <c r="G741">
        <v>3</v>
      </c>
      <c r="H741" t="s">
        <v>55</v>
      </c>
      <c r="I741">
        <v>97600</v>
      </c>
      <c r="J741">
        <v>31900</v>
      </c>
      <c r="K741">
        <v>0.14000000000000001</v>
      </c>
      <c r="L741">
        <f>IF(Wapato_Inventory[[#This Row],[parcel_acres]]-Wapato_Inventory[[#This Row],[non_valued_acres]] =0,0,LN(Wapato_Inventory[[#This Row],[parcel_acres]]-Wapato_Inventory[[#This Row],[non_valued_acres]]))</f>
        <v>-1.9661128563728327</v>
      </c>
      <c r="M741">
        <v>0</v>
      </c>
      <c r="N741">
        <v>0</v>
      </c>
      <c r="O741">
        <v>0</v>
      </c>
      <c r="P741">
        <v>27904.037</v>
      </c>
      <c r="Q741">
        <v>74398</v>
      </c>
      <c r="R741" s="3">
        <f>(Wapato_Inventory[[#This Row],[ln_acres]]*Wapato_Inventory[[#This Row],[coeff]])+Wapato_Inventory[[#This Row],[const]]</f>
        <v>19535.514109596792</v>
      </c>
      <c r="S741" t="s">
        <v>66</v>
      </c>
      <c r="T741">
        <v>1</v>
      </c>
      <c r="U741" t="s">
        <v>71</v>
      </c>
      <c r="V741" t="s">
        <v>68</v>
      </c>
      <c r="W741">
        <v>0</v>
      </c>
      <c r="X741">
        <v>0</v>
      </c>
      <c r="Y741">
        <v>53</v>
      </c>
      <c r="Z741">
        <v>93</v>
      </c>
      <c r="AA741">
        <v>100</v>
      </c>
      <c r="AB741">
        <v>1500</v>
      </c>
      <c r="AC741">
        <v>1388</v>
      </c>
      <c r="AD741">
        <v>694</v>
      </c>
      <c r="AE741">
        <v>0</v>
      </c>
      <c r="AF741">
        <v>0</v>
      </c>
      <c r="AG741">
        <v>694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32</v>
      </c>
      <c r="AO741">
        <v>0</v>
      </c>
      <c r="AP741">
        <v>5</v>
      </c>
      <c r="AQ741">
        <v>0</v>
      </c>
      <c r="AR741">
        <v>0</v>
      </c>
      <c r="AS741" t="s">
        <v>59</v>
      </c>
      <c r="AT741">
        <v>1</v>
      </c>
      <c r="AU741" t="s">
        <v>72</v>
      </c>
      <c r="AV741" t="s">
        <v>65</v>
      </c>
      <c r="AW741">
        <v>0</v>
      </c>
      <c r="AX741">
        <v>3</v>
      </c>
      <c r="AY741">
        <v>0</v>
      </c>
      <c r="AZ741">
        <v>12200</v>
      </c>
      <c r="BA741">
        <v>100</v>
      </c>
      <c r="BB741">
        <v>100</v>
      </c>
      <c r="BC741">
        <v>100</v>
      </c>
      <c r="BD741">
        <v>100</v>
      </c>
      <c r="BE741">
        <v>1</v>
      </c>
      <c r="BF741">
        <v>15000</v>
      </c>
      <c r="BG741">
        <v>1000</v>
      </c>
      <c r="BH741" s="7">
        <f>ROUND(Wapato_Inventory[[#This Row],[detatched_value]]*Lookups!$B$22*Lookups!$H$48,-2)</f>
        <v>10900</v>
      </c>
      <c r="BI741" s="7">
        <f>ROUND(((Wapato_Inventory[[#This Row],[land_extract]]*Lookups!$B$3) +(Lookups!$B$2*0.5))*Lookups!$H$48,-2)</f>
        <v>53000</v>
      </c>
      <c r="BJ741" s="7">
        <f>IF(Wapato_Inventory[[#This Row],[bldg_style]]="",0,Lookups!$B$2*0.5)</f>
        <v>53765.27</v>
      </c>
      <c r="BK741" s="7">
        <f>_xlfn.IFNA(VLOOKUP(Wapato_Inventory[[#This Row],[quality]],Lookups!$H$2:$J$14,3,FALSE),0)</f>
        <v>28034</v>
      </c>
      <c r="BL741" s="7">
        <f>_xlfn.IFNA(VLOOKUP(Wapato_Inventory[[#This Row],[condition]],Lookups!$H$17:$J$24,3,FALSE),0)</f>
        <v>52231</v>
      </c>
      <c r="BM741" s="7">
        <f>Wapato_Inventory[[#This Row],[Age]]*Lookups!$B$16</f>
        <v>-34472.840100000001</v>
      </c>
      <c r="BN741" s="7">
        <f>Wapato_Inventory[[#This Row],[Main Floor]]*Lookups!$B$17</f>
        <v>29009.712866000002</v>
      </c>
      <c r="BO741" s="7">
        <f>Wapato_Inventory[[#This Row],[Upper Floor]]*Lookups!$B$18</f>
        <v>0</v>
      </c>
      <c r="BP741" s="7">
        <f>Wapato_Inventory[[#This Row],[Fin BSMT]]*Lookups!$B$19</f>
        <v>16910.51756</v>
      </c>
      <c r="BQ741" s="7">
        <f>(Wapato_Inventory[[#This Row],[att_gar]]+Wapato_Inventory[[#This Row],[blt_gar]])*Lookups!$B$20</f>
        <v>0</v>
      </c>
      <c r="BR741" s="7">
        <f>Wapato_Inventory[[#This Row],[Patio]]*Lookups!$B$21</f>
        <v>0</v>
      </c>
      <c r="BS741" s="7">
        <f>SUM(Wapato_Inventory[[#This Row],[intercept]:[patio_value]])*Wapato_Inventory[[#This Row],[res_pct]]</f>
        <v>145477.66032599998</v>
      </c>
      <c r="BT741" s="7">
        <f>Wapato_Inventory[[#This Row],[land_value]]</f>
        <v>53000</v>
      </c>
      <c r="BU741" s="2">
        <f>_xlfn.IFNA(VLOOKUP(Wapato_Inventory[[#This Row],[quality]],Lookups!$A$28:$C$37,3,FALSE),1)</f>
        <v>0.96265813922927435</v>
      </c>
      <c r="BV741" s="2">
        <f>_xlfn.IFNA(VLOOKUP(Wapato_Inventory[[#This Row],[condition]],Lookups!$A$41:$C$48,3,FALSE),1)</f>
        <v>0.9832333997567807</v>
      </c>
      <c r="BW741" s="2">
        <f>IF(Wapato_Inventory[[#This Row],[decade]]="",1,_xlfn.IFNA(VLOOKUP(Wapato_Inventory[[#This Row],[decade]],Lookups!$F$28:$H$45,3,FALSE),1))</f>
        <v>1.0114203040664467</v>
      </c>
      <c r="BX741" s="2">
        <f>_xlfn.IFNA(VLOOKUP(Wapato_Inventory[[#This Row],[living_area_range]],Lookups!$K$28:$M$37,3,FALSE),1)</f>
        <v>1.0061411172456287</v>
      </c>
      <c r="BY741" s="2">
        <f>AVERAGE(Wapato_Inventory[[#This Row],[qual_adj]:[range_adj]])</f>
        <v>0.99086324007453253</v>
      </c>
      <c r="BZ741" s="7">
        <f>(Wapato_Inventory[[#This Row],[sum_land]]-IF(Wapato_Inventory[[#This Row],[no_utilities]]=1,12000,0))/IF(Wapato_Inventory[[#This Row],[unbuildable]]=1,2,1)</f>
        <v>53000</v>
      </c>
      <c r="CA741" s="7">
        <f>Wapato_Inventory[[#This Row],[pre_res]]*Wapato_Inventory[[#This Row],[overall_adj]]</f>
        <v>144148.4658690826</v>
      </c>
      <c r="CB74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41" s="3">
        <f>IF(ROUND(Wapato_Inventory[[#This Row],[adj_res]]*Lookups!$H$48,-2)&lt;Wapato_Inventory[[#This Row],[min_res]],Wapato_Inventory[[#This Row],[min_res]],ROUND(Wapato_Inventory[[#This Row],[adj_res]]*Lookups!$H$48,-2))</f>
        <v>136900</v>
      </c>
      <c r="CD741" s="3">
        <f>ROUND(Wapato_Inventory[[#This Row],[det_value]]*Lookups!$H$48,-2)</f>
        <v>10400</v>
      </c>
      <c r="CE741" s="3">
        <f>Wapato_Inventory[[#This Row],[final_res]]+Wapato_Inventory[[#This Row],[final_det]]</f>
        <v>147300</v>
      </c>
      <c r="CF741" s="3">
        <f>Wapato_Inventory[[#This Row],[crop_value]]+Wapato_Inventory[[#This Row],[final_land]]+Wapato_Inventory[[#This Row],[final_imp]]</f>
        <v>197700</v>
      </c>
      <c r="CH741" t="str">
        <f t="shared" si="11"/>
        <v>update valuation set market_land =50400, market_bldg=147300, market_total =197700, market_mdno =405, market_date ='9/10/2023' where link_id = (select link_id from parcel where parcel_year = '2024' and parcel_id = '19111513561');</v>
      </c>
    </row>
    <row r="742" spans="1:86" x14ac:dyDescent="0.25">
      <c r="A742">
        <v>19111513562</v>
      </c>
      <c r="B742">
        <v>0.13</v>
      </c>
      <c r="C742">
        <v>5767</v>
      </c>
      <c r="D742" t="s">
        <v>144</v>
      </c>
      <c r="E742" t="s">
        <v>54</v>
      </c>
      <c r="F742" t="s">
        <v>54</v>
      </c>
      <c r="G742">
        <v>3</v>
      </c>
      <c r="H742" t="s">
        <v>55</v>
      </c>
      <c r="I742">
        <v>197500</v>
      </c>
      <c r="J742">
        <v>31400</v>
      </c>
      <c r="K742">
        <v>0.13</v>
      </c>
      <c r="L742">
        <f>IF(Wapato_Inventory[[#This Row],[parcel_acres]]-Wapato_Inventory[[#This Row],[non_valued_acres]] =0,0,LN(Wapato_Inventory[[#This Row],[parcel_acres]]-Wapato_Inventory[[#This Row],[non_valued_acres]]))</f>
        <v>-2.0402208285265546</v>
      </c>
      <c r="M742">
        <v>0</v>
      </c>
      <c r="N742">
        <v>0</v>
      </c>
      <c r="O742">
        <v>0</v>
      </c>
      <c r="P742">
        <v>27904.037</v>
      </c>
      <c r="Q742">
        <v>74398</v>
      </c>
      <c r="R742" s="3">
        <f>(Wapato_Inventory[[#This Row],[ln_acres]]*Wapato_Inventory[[#This Row],[coeff]])+Wapato_Inventory[[#This Row],[const]]</f>
        <v>17467.602512624362</v>
      </c>
      <c r="S742" t="s">
        <v>66</v>
      </c>
      <c r="T742">
        <v>1</v>
      </c>
      <c r="U742" t="s">
        <v>75</v>
      </c>
      <c r="V742" t="s">
        <v>69</v>
      </c>
      <c r="W742">
        <v>0</v>
      </c>
      <c r="X742">
        <v>0</v>
      </c>
      <c r="Y742">
        <v>57</v>
      </c>
      <c r="Z742">
        <v>103</v>
      </c>
      <c r="AA742">
        <v>110</v>
      </c>
      <c r="AB742">
        <v>1500</v>
      </c>
      <c r="AC742">
        <v>1368</v>
      </c>
      <c r="AD742">
        <v>1368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294</v>
      </c>
      <c r="AL742">
        <v>240</v>
      </c>
      <c r="AM742">
        <v>528</v>
      </c>
      <c r="AN742">
        <v>0</v>
      </c>
      <c r="AO742">
        <v>60</v>
      </c>
      <c r="AP742">
        <v>8</v>
      </c>
      <c r="AQ742">
        <v>0</v>
      </c>
      <c r="AR742">
        <v>0</v>
      </c>
      <c r="AS742" t="s">
        <v>59</v>
      </c>
      <c r="AT742">
        <v>1</v>
      </c>
      <c r="AU742" t="s">
        <v>64</v>
      </c>
      <c r="AV742" t="s">
        <v>65</v>
      </c>
      <c r="AW742">
        <v>0</v>
      </c>
      <c r="AX742">
        <v>3</v>
      </c>
      <c r="AY742">
        <v>0</v>
      </c>
      <c r="AZ742">
        <v>2900</v>
      </c>
      <c r="BA742">
        <v>100</v>
      </c>
      <c r="BB742">
        <v>100</v>
      </c>
      <c r="BC742">
        <v>100</v>
      </c>
      <c r="BD742">
        <v>100</v>
      </c>
      <c r="BE742">
        <v>1</v>
      </c>
      <c r="BF742">
        <v>15000</v>
      </c>
      <c r="BG742">
        <v>1000</v>
      </c>
      <c r="BH742" s="7">
        <f>ROUND(Wapato_Inventory[[#This Row],[detatched_value]]*Lookups!$B$22*Lookups!$H$48,-2)</f>
        <v>2600</v>
      </c>
      <c r="BI742" s="7">
        <f>ROUND(((Wapato_Inventory[[#This Row],[land_extract]]*Lookups!$B$3) +(Lookups!$B$2*0.5))*Lookups!$H$48,-2)</f>
        <v>52800</v>
      </c>
      <c r="BJ742" s="7">
        <f>IF(Wapato_Inventory[[#This Row],[bldg_style]]="",0,Lookups!$B$2*0.5)</f>
        <v>53765.27</v>
      </c>
      <c r="BK742" s="7">
        <f>_xlfn.IFNA(VLOOKUP(Wapato_Inventory[[#This Row],[quality]],Lookups!$H$2:$J$14,3,FALSE),0)</f>
        <v>48043</v>
      </c>
      <c r="BL742" s="7">
        <f>_xlfn.IFNA(VLOOKUP(Wapato_Inventory[[#This Row],[condition]],Lookups!$H$17:$J$24,3,FALSE),0)</f>
        <v>74543</v>
      </c>
      <c r="BM742" s="7">
        <f>Wapato_Inventory[[#This Row],[Age]]*Lookups!$B$16</f>
        <v>-38179.597099999999</v>
      </c>
      <c r="BN742" s="7">
        <f>Wapato_Inventory[[#This Row],[Main Floor]]*Lookups!$B$17</f>
        <v>57183.410951999998</v>
      </c>
      <c r="BO742" s="7">
        <f>Wapato_Inventory[[#This Row],[Upper Floor]]*Lookups!$B$18</f>
        <v>0</v>
      </c>
      <c r="BP742" s="7">
        <f>Wapato_Inventory[[#This Row],[Fin BSMT]]*Lookups!$B$19</f>
        <v>0</v>
      </c>
      <c r="BQ742" s="7">
        <f>(Wapato_Inventory[[#This Row],[att_gar]]+Wapato_Inventory[[#This Row],[blt_gar]])*Lookups!$B$20</f>
        <v>0</v>
      </c>
      <c r="BR742" s="7">
        <f>Wapato_Inventory[[#This Row],[Patio]]*Lookups!$B$21</f>
        <v>22875.060912000001</v>
      </c>
      <c r="BS742" s="7">
        <f>SUM(Wapato_Inventory[[#This Row],[intercept]:[patio_value]])*Wapato_Inventory[[#This Row],[res_pct]]</f>
        <v>218230.14476400003</v>
      </c>
      <c r="BT742" s="7">
        <f>Wapato_Inventory[[#This Row],[land_value]]</f>
        <v>52800</v>
      </c>
      <c r="BU742" s="2">
        <f>_xlfn.IFNA(VLOOKUP(Wapato_Inventory[[#This Row],[quality]],Lookups!$A$28:$C$37,3,FALSE),1)</f>
        <v>0.98196844879778955</v>
      </c>
      <c r="BV742" s="2">
        <f>_xlfn.IFNA(VLOOKUP(Wapato_Inventory[[#This Row],[condition]],Lookups!$A$41:$C$48,3,FALSE),1)</f>
        <v>0.98442438223270734</v>
      </c>
      <c r="BW742" s="2">
        <f>IF(Wapato_Inventory[[#This Row],[decade]]="",1,_xlfn.IFNA(VLOOKUP(Wapato_Inventory[[#This Row],[decade]],Lookups!$F$28:$H$45,3,FALSE),1))</f>
        <v>0.93664589651353292</v>
      </c>
      <c r="BX742" s="2">
        <f>_xlfn.IFNA(VLOOKUP(Wapato_Inventory[[#This Row],[living_area_range]],Lookups!$K$28:$M$37,3,FALSE),1)</f>
        <v>1.0061411172456287</v>
      </c>
      <c r="BY742" s="2">
        <f>AVERAGE(Wapato_Inventory[[#This Row],[qual_adj]:[range_adj]])</f>
        <v>0.97729496119741466</v>
      </c>
      <c r="BZ742" s="7">
        <f>(Wapato_Inventory[[#This Row],[sum_land]]-IF(Wapato_Inventory[[#This Row],[no_utilities]]=1,12000,0))/IF(Wapato_Inventory[[#This Row],[unbuildable]]=1,2,1)</f>
        <v>52800</v>
      </c>
      <c r="CA742" s="7">
        <f>Wapato_Inventory[[#This Row],[pre_res]]*Wapato_Inventory[[#This Row],[overall_adj]]</f>
        <v>213275.22085923958</v>
      </c>
      <c r="CB742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42" s="3">
        <f>IF(ROUND(Wapato_Inventory[[#This Row],[adj_res]]*Lookups!$H$48,-2)&lt;Wapato_Inventory[[#This Row],[min_res]],Wapato_Inventory[[#This Row],[min_res]],ROUND(Wapato_Inventory[[#This Row],[adj_res]]*Lookups!$H$48,-2))</f>
        <v>202600</v>
      </c>
      <c r="CD742" s="3">
        <f>ROUND(Wapato_Inventory[[#This Row],[det_value]]*Lookups!$H$48,-2)</f>
        <v>2500</v>
      </c>
      <c r="CE742" s="3">
        <f>Wapato_Inventory[[#This Row],[final_res]]+Wapato_Inventory[[#This Row],[final_det]]</f>
        <v>205100</v>
      </c>
      <c r="CF742" s="3">
        <f>Wapato_Inventory[[#This Row],[crop_value]]+Wapato_Inventory[[#This Row],[final_land]]+Wapato_Inventory[[#This Row],[final_imp]]</f>
        <v>255300</v>
      </c>
      <c r="CH742" t="str">
        <f t="shared" si="11"/>
        <v>update valuation set market_land =50200, market_bldg=205100, market_total =255300, market_mdno =405, market_date ='9/10/2023' where link_id = (select link_id from parcel where parcel_year = '2024' and parcel_id = '19111513562');</v>
      </c>
    </row>
    <row r="743" spans="1:86" x14ac:dyDescent="0.25">
      <c r="A743">
        <v>19111513564</v>
      </c>
      <c r="B743">
        <v>0.13</v>
      </c>
      <c r="C743">
        <v>5782</v>
      </c>
      <c r="D743" t="s">
        <v>144</v>
      </c>
      <c r="E743" t="s">
        <v>54</v>
      </c>
      <c r="F743" t="s">
        <v>54</v>
      </c>
      <c r="G743">
        <v>3</v>
      </c>
      <c r="H743" t="s">
        <v>55</v>
      </c>
      <c r="I743">
        <v>139500</v>
      </c>
      <c r="J743">
        <v>31400</v>
      </c>
      <c r="K743">
        <v>0.13</v>
      </c>
      <c r="L743">
        <f>IF(Wapato_Inventory[[#This Row],[parcel_acres]]-Wapato_Inventory[[#This Row],[non_valued_acres]] =0,0,LN(Wapato_Inventory[[#This Row],[parcel_acres]]-Wapato_Inventory[[#This Row],[non_valued_acres]]))</f>
        <v>-2.0402208285265546</v>
      </c>
      <c r="M743">
        <v>0</v>
      </c>
      <c r="N743">
        <v>0</v>
      </c>
      <c r="O743">
        <v>0</v>
      </c>
      <c r="P743">
        <v>27904.037</v>
      </c>
      <c r="Q743">
        <v>74398</v>
      </c>
      <c r="R743" s="3">
        <f>(Wapato_Inventory[[#This Row],[ln_acres]]*Wapato_Inventory[[#This Row],[coeff]])+Wapato_Inventory[[#This Row],[const]]</f>
        <v>17467.602512624362</v>
      </c>
      <c r="S743" t="s">
        <v>66</v>
      </c>
      <c r="T743">
        <v>1</v>
      </c>
      <c r="U743" t="s">
        <v>71</v>
      </c>
      <c r="V743" t="s">
        <v>68</v>
      </c>
      <c r="W743">
        <v>0</v>
      </c>
      <c r="X743">
        <v>0</v>
      </c>
      <c r="Y743">
        <v>57</v>
      </c>
      <c r="Z743">
        <v>103</v>
      </c>
      <c r="AA743">
        <v>110</v>
      </c>
      <c r="AB743">
        <v>2000</v>
      </c>
      <c r="AC743">
        <v>1703</v>
      </c>
      <c r="AD743">
        <v>1135</v>
      </c>
      <c r="AE743">
        <v>0</v>
      </c>
      <c r="AF743">
        <v>0</v>
      </c>
      <c r="AG743">
        <v>568</v>
      </c>
      <c r="AH743">
        <v>567</v>
      </c>
      <c r="AI743">
        <v>0</v>
      </c>
      <c r="AJ743">
        <v>0</v>
      </c>
      <c r="AK743">
        <v>0</v>
      </c>
      <c r="AL743">
        <v>0</v>
      </c>
      <c r="AM743">
        <v>294</v>
      </c>
      <c r="AN743">
        <v>0</v>
      </c>
      <c r="AO743">
        <v>0</v>
      </c>
      <c r="AP743">
        <v>8</v>
      </c>
      <c r="AQ743">
        <v>0</v>
      </c>
      <c r="AR743">
        <v>0</v>
      </c>
      <c r="AS743" t="s">
        <v>59</v>
      </c>
      <c r="AT743">
        <v>0</v>
      </c>
      <c r="AU743" t="s">
        <v>80</v>
      </c>
      <c r="AV743" t="s">
        <v>65</v>
      </c>
      <c r="AW743">
        <v>0</v>
      </c>
      <c r="AX743">
        <v>3</v>
      </c>
      <c r="AY743">
        <v>0</v>
      </c>
      <c r="AZ743">
        <v>23800</v>
      </c>
      <c r="BA743">
        <v>100</v>
      </c>
      <c r="BB743">
        <v>100</v>
      </c>
      <c r="BC743">
        <v>100</v>
      </c>
      <c r="BD743">
        <v>100</v>
      </c>
      <c r="BE743">
        <v>1</v>
      </c>
      <c r="BF743">
        <v>15000</v>
      </c>
      <c r="BG743">
        <v>1000</v>
      </c>
      <c r="BH743" s="7">
        <f>ROUND(Wapato_Inventory[[#This Row],[detatched_value]]*Lookups!$B$22*Lookups!$H$48,-2)</f>
        <v>21300</v>
      </c>
      <c r="BI743" s="7">
        <f>ROUND(((Wapato_Inventory[[#This Row],[land_extract]]*Lookups!$B$3) +(Lookups!$B$2*0.5))*Lookups!$H$48,-2)</f>
        <v>52800</v>
      </c>
      <c r="BJ743" s="7">
        <f>IF(Wapato_Inventory[[#This Row],[bldg_style]]="",0,Lookups!$B$2*0.5)</f>
        <v>53765.27</v>
      </c>
      <c r="BK743" s="7">
        <f>_xlfn.IFNA(VLOOKUP(Wapato_Inventory[[#This Row],[quality]],Lookups!$H$2:$J$14,3,FALSE),0)</f>
        <v>28034</v>
      </c>
      <c r="BL743" s="7">
        <f>_xlfn.IFNA(VLOOKUP(Wapato_Inventory[[#This Row],[condition]],Lookups!$H$17:$J$24,3,FALSE),0)</f>
        <v>52231</v>
      </c>
      <c r="BM743" s="7">
        <f>Wapato_Inventory[[#This Row],[Age]]*Lookups!$B$16</f>
        <v>-38179.597099999999</v>
      </c>
      <c r="BN743" s="7">
        <f>Wapato_Inventory[[#This Row],[Main Floor]]*Lookups!$B$17</f>
        <v>47443.838765</v>
      </c>
      <c r="BO743" s="7">
        <f>Wapato_Inventory[[#This Row],[Upper Floor]]*Lookups!$B$18</f>
        <v>0</v>
      </c>
      <c r="BP743" s="7">
        <f>Wapato_Inventory[[#This Row],[Fin BSMT]]*Lookups!$B$19</f>
        <v>13840.30832</v>
      </c>
      <c r="BQ743" s="7">
        <f>(Wapato_Inventory[[#This Row],[att_gar]]+Wapato_Inventory[[#This Row],[blt_gar]])*Lookups!$B$20</f>
        <v>0</v>
      </c>
      <c r="BR743" s="7">
        <f>Wapato_Inventory[[#This Row],[Patio]]*Lookups!$B$21</f>
        <v>12737.249826000001</v>
      </c>
      <c r="BS743" s="7">
        <f>SUM(Wapato_Inventory[[#This Row],[intercept]:[patio_value]])*Wapato_Inventory[[#This Row],[res_pct]]</f>
        <v>169872.06981100002</v>
      </c>
      <c r="BT743" s="7">
        <f>Wapato_Inventory[[#This Row],[land_value]]</f>
        <v>52800</v>
      </c>
      <c r="BU743" s="2">
        <f>_xlfn.IFNA(VLOOKUP(Wapato_Inventory[[#This Row],[quality]],Lookups!$A$28:$C$37,3,FALSE),1)</f>
        <v>0.96265813922927435</v>
      </c>
      <c r="BV743" s="2">
        <f>_xlfn.IFNA(VLOOKUP(Wapato_Inventory[[#This Row],[condition]],Lookups!$A$41:$C$48,3,FALSE),1)</f>
        <v>0.9832333997567807</v>
      </c>
      <c r="BW743" s="2">
        <f>IF(Wapato_Inventory[[#This Row],[decade]]="",1,_xlfn.IFNA(VLOOKUP(Wapato_Inventory[[#This Row],[decade]],Lookups!$F$28:$H$45,3,FALSE),1))</f>
        <v>0.93664589651353292</v>
      </c>
      <c r="BX743" s="2">
        <f>_xlfn.IFNA(VLOOKUP(Wapato_Inventory[[#This Row],[living_area_range]],Lookups!$K$28:$M$37,3,FALSE),1)</f>
        <v>0.99330894324714125</v>
      </c>
      <c r="BY743" s="2">
        <f>AVERAGE(Wapato_Inventory[[#This Row],[qual_adj]:[range_adj]])</f>
        <v>0.96896159468668219</v>
      </c>
      <c r="BZ743" s="7">
        <f>(Wapato_Inventory[[#This Row],[sum_land]]-IF(Wapato_Inventory[[#This Row],[no_utilities]]=1,12000,0))/IF(Wapato_Inventory[[#This Row],[unbuildable]]=1,2,1)</f>
        <v>52800</v>
      </c>
      <c r="CA743" s="7">
        <f>Wapato_Inventory[[#This Row],[pre_res]]*Wapato_Inventory[[#This Row],[overall_adj]]</f>
        <v>164599.511656794</v>
      </c>
      <c r="CB743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43" s="3">
        <f>IF(ROUND(Wapato_Inventory[[#This Row],[adj_res]]*Lookups!$H$48,-2)&lt;Wapato_Inventory[[#This Row],[min_res]],Wapato_Inventory[[#This Row],[min_res]],ROUND(Wapato_Inventory[[#This Row],[adj_res]]*Lookups!$H$48,-2))</f>
        <v>156400</v>
      </c>
      <c r="CD743" s="3">
        <f>ROUND(Wapato_Inventory[[#This Row],[det_value]]*Lookups!$H$48,-2)</f>
        <v>20200</v>
      </c>
      <c r="CE743" s="3">
        <f>Wapato_Inventory[[#This Row],[final_res]]+Wapato_Inventory[[#This Row],[final_det]]</f>
        <v>176600</v>
      </c>
      <c r="CF743" s="3">
        <f>Wapato_Inventory[[#This Row],[crop_value]]+Wapato_Inventory[[#This Row],[final_land]]+Wapato_Inventory[[#This Row],[final_imp]]</f>
        <v>226800</v>
      </c>
      <c r="CH743" t="str">
        <f t="shared" si="11"/>
        <v>update valuation set market_land =50200, market_bldg=176600, market_total =226800, market_mdno =405, market_date ='9/10/2023' where link_id = (select link_id from parcel where parcel_year = '2024' and parcel_id = '19111513564');</v>
      </c>
    </row>
    <row r="744" spans="1:86" x14ac:dyDescent="0.25">
      <c r="A744">
        <v>19111513565</v>
      </c>
      <c r="B744">
        <v>0.16</v>
      </c>
      <c r="C744">
        <v>7037</v>
      </c>
      <c r="D744" t="s">
        <v>144</v>
      </c>
      <c r="E744" t="s">
        <v>54</v>
      </c>
      <c r="F744" t="s">
        <v>54</v>
      </c>
      <c r="G744">
        <v>3</v>
      </c>
      <c r="H744" t="s">
        <v>55</v>
      </c>
      <c r="I744">
        <v>178400</v>
      </c>
      <c r="J744">
        <v>32800</v>
      </c>
      <c r="K744">
        <v>0.16</v>
      </c>
      <c r="L744">
        <f>IF(Wapato_Inventory[[#This Row],[parcel_acres]]-Wapato_Inventory[[#This Row],[non_valued_acres]] =0,0,LN(Wapato_Inventory[[#This Row],[parcel_acres]]-Wapato_Inventory[[#This Row],[non_valued_acres]]))</f>
        <v>-1.8325814637483102</v>
      </c>
      <c r="M744">
        <v>0</v>
      </c>
      <c r="N744">
        <v>0</v>
      </c>
      <c r="O744">
        <v>0</v>
      </c>
      <c r="P744">
        <v>27904.037</v>
      </c>
      <c r="Q744">
        <v>74398</v>
      </c>
      <c r="R744" s="3">
        <f>(Wapato_Inventory[[#This Row],[ln_acres]]*Wapato_Inventory[[#This Row],[coeff]])+Wapato_Inventory[[#This Row],[const]]</f>
        <v>23261.579030052992</v>
      </c>
      <c r="S744" t="s">
        <v>66</v>
      </c>
      <c r="T744">
        <v>1</v>
      </c>
      <c r="U744" t="s">
        <v>78</v>
      </c>
      <c r="V744" t="s">
        <v>68</v>
      </c>
      <c r="W744">
        <v>0</v>
      </c>
      <c r="X744">
        <v>0</v>
      </c>
      <c r="Y744">
        <v>51</v>
      </c>
      <c r="Z744">
        <v>83</v>
      </c>
      <c r="AA744">
        <v>90</v>
      </c>
      <c r="AB744">
        <v>1000</v>
      </c>
      <c r="AC744">
        <v>738</v>
      </c>
      <c r="AD744">
        <v>738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5</v>
      </c>
      <c r="AQ744">
        <v>0</v>
      </c>
      <c r="AR744">
        <v>0</v>
      </c>
      <c r="AS744" t="s">
        <v>59</v>
      </c>
      <c r="AT744">
        <v>0</v>
      </c>
      <c r="AU744" t="s">
        <v>80</v>
      </c>
      <c r="AV744" t="s">
        <v>65</v>
      </c>
      <c r="AW744">
        <v>0</v>
      </c>
      <c r="AX744">
        <v>2</v>
      </c>
      <c r="AY744">
        <v>0</v>
      </c>
      <c r="AZ744">
        <v>59000</v>
      </c>
      <c r="BA744">
        <v>100</v>
      </c>
      <c r="BB744">
        <v>100</v>
      </c>
      <c r="BC744">
        <v>100</v>
      </c>
      <c r="BD744">
        <v>100</v>
      </c>
      <c r="BE744">
        <v>1</v>
      </c>
      <c r="BF744">
        <v>15000</v>
      </c>
      <c r="BG744">
        <v>1000</v>
      </c>
      <c r="BH744" s="7">
        <f>ROUND(Wapato_Inventory[[#This Row],[detatched_value]]*Lookups!$B$22*Lookups!$H$48,-2)</f>
        <v>52700</v>
      </c>
      <c r="BI744" s="7">
        <f>ROUND(((Wapato_Inventory[[#This Row],[land_extract]]*Lookups!$B$3) +(Lookups!$B$2*0.5))*Lookups!$H$48,-2)</f>
        <v>53300</v>
      </c>
      <c r="BJ744" s="7">
        <f>IF(Wapato_Inventory[[#This Row],[bldg_style]]="",0,Lookups!$B$2*0.5)</f>
        <v>53765.27</v>
      </c>
      <c r="BK744" s="7">
        <f>_xlfn.IFNA(VLOOKUP(Wapato_Inventory[[#This Row],[quality]],Lookups!$H$2:$J$14,3,FALSE),0)</f>
        <v>23424</v>
      </c>
      <c r="BL744" s="7">
        <f>_xlfn.IFNA(VLOOKUP(Wapato_Inventory[[#This Row],[condition]],Lookups!$H$17:$J$24,3,FALSE),0)</f>
        <v>52231</v>
      </c>
      <c r="BM744" s="7">
        <f>Wapato_Inventory[[#This Row],[Age]]*Lookups!$B$16</f>
        <v>-30766.0831</v>
      </c>
      <c r="BN744" s="7">
        <f>Wapato_Inventory[[#This Row],[Main Floor]]*Lookups!$B$17</f>
        <v>30848.945382000002</v>
      </c>
      <c r="BO744" s="7">
        <f>Wapato_Inventory[[#This Row],[Upper Floor]]*Lookups!$B$18</f>
        <v>0</v>
      </c>
      <c r="BP744" s="7">
        <f>Wapato_Inventory[[#This Row],[Fin BSMT]]*Lookups!$B$19</f>
        <v>0</v>
      </c>
      <c r="BQ744" s="7">
        <f>(Wapato_Inventory[[#This Row],[att_gar]]+Wapato_Inventory[[#This Row],[blt_gar]])*Lookups!$B$20</f>
        <v>0</v>
      </c>
      <c r="BR744" s="7">
        <f>Wapato_Inventory[[#This Row],[Patio]]*Lookups!$B$21</f>
        <v>0</v>
      </c>
      <c r="BS744" s="7">
        <f>SUM(Wapato_Inventory[[#This Row],[intercept]:[patio_value]])*Wapato_Inventory[[#This Row],[res_pct]]</f>
        <v>129503.13228199999</v>
      </c>
      <c r="BT744" s="7">
        <f>Wapato_Inventory[[#This Row],[land_value]]</f>
        <v>53300</v>
      </c>
      <c r="BU744" s="2">
        <f>_xlfn.IFNA(VLOOKUP(Wapato_Inventory[[#This Row],[quality]],Lookups!$A$28:$C$37,3,FALSE),1)</f>
        <v>1.0091195562373767</v>
      </c>
      <c r="BV744" s="2">
        <f>_xlfn.IFNA(VLOOKUP(Wapato_Inventory[[#This Row],[condition]],Lookups!$A$41:$C$48,3,FALSE),1)</f>
        <v>0.9832333997567807</v>
      </c>
      <c r="BW744" s="2">
        <f>IF(Wapato_Inventory[[#This Row],[decade]]="",1,_xlfn.IFNA(VLOOKUP(Wapato_Inventory[[#This Row],[decade]],Lookups!$F$28:$H$45,3,FALSE),1))</f>
        <v>0.94742695999815718</v>
      </c>
      <c r="BX744" s="2">
        <f>_xlfn.IFNA(VLOOKUP(Wapato_Inventory[[#This Row],[living_area_range]],Lookups!$K$28:$M$37,3,FALSE),1)</f>
        <v>0.99022994770196116</v>
      </c>
      <c r="BY744" s="2">
        <f>AVERAGE(Wapato_Inventory[[#This Row],[qual_adj]:[range_adj]])</f>
        <v>0.98250246592356894</v>
      </c>
      <c r="BZ744" s="7">
        <f>(Wapato_Inventory[[#This Row],[sum_land]]-IF(Wapato_Inventory[[#This Row],[no_utilities]]=1,12000,0))/IF(Wapato_Inventory[[#This Row],[unbuildable]]=1,2,1)</f>
        <v>53300</v>
      </c>
      <c r="CA744" s="7">
        <f>Wapato_Inventory[[#This Row],[pre_res]]*Wapato_Inventory[[#This Row],[overall_adj]]</f>
        <v>127237.14681189114</v>
      </c>
      <c r="CB744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744" s="3">
        <f>IF(ROUND(Wapato_Inventory[[#This Row],[adj_res]]*Lookups!$H$48,-2)&lt;Wapato_Inventory[[#This Row],[min_res]],Wapato_Inventory[[#This Row],[min_res]],ROUND(Wapato_Inventory[[#This Row],[adj_res]]*Lookups!$H$48,-2))</f>
        <v>120900</v>
      </c>
      <c r="CD744" s="3">
        <f>ROUND(Wapato_Inventory[[#This Row],[det_value]]*Lookups!$H$48,-2)</f>
        <v>50100</v>
      </c>
      <c r="CE744" s="3">
        <f>Wapato_Inventory[[#This Row],[final_res]]+Wapato_Inventory[[#This Row],[final_det]]</f>
        <v>171000</v>
      </c>
      <c r="CF744" s="3">
        <f>Wapato_Inventory[[#This Row],[crop_value]]+Wapato_Inventory[[#This Row],[final_land]]+Wapato_Inventory[[#This Row],[final_imp]]</f>
        <v>221600</v>
      </c>
      <c r="CH744" t="str">
        <f t="shared" si="11"/>
        <v>update valuation set market_land =50600, market_bldg=171000, market_total =221600, market_mdno =405, market_date ='9/10/2023' where link_id = (select link_id from parcel where parcel_year = '2024' and parcel_id = '19111513565');</v>
      </c>
    </row>
    <row r="745" spans="1:86" x14ac:dyDescent="0.25">
      <c r="A745">
        <v>19111513567</v>
      </c>
      <c r="B745">
        <v>0.09</v>
      </c>
      <c r="C745">
        <v>3739</v>
      </c>
      <c r="D745" t="s">
        <v>144</v>
      </c>
      <c r="E745" t="s">
        <v>54</v>
      </c>
      <c r="F745" t="s">
        <v>54</v>
      </c>
      <c r="G745">
        <v>3</v>
      </c>
      <c r="H745" t="s">
        <v>55</v>
      </c>
      <c r="I745">
        <v>156300</v>
      </c>
      <c r="J745">
        <v>28700</v>
      </c>
      <c r="K745">
        <v>0.09</v>
      </c>
      <c r="L745">
        <f>IF(Wapato_Inventory[[#This Row],[parcel_acres]]-Wapato_Inventory[[#This Row],[non_valued_acres]] =0,0,LN(Wapato_Inventory[[#This Row],[parcel_acres]]-Wapato_Inventory[[#This Row],[non_valued_acres]]))</f>
        <v>-2.4079456086518722</v>
      </c>
      <c r="M745">
        <v>0</v>
      </c>
      <c r="N745">
        <v>0</v>
      </c>
      <c r="O745">
        <v>0</v>
      </c>
      <c r="P745">
        <v>27904.037</v>
      </c>
      <c r="Q745">
        <v>74398</v>
      </c>
      <c r="R745" s="3">
        <f>(Wapato_Inventory[[#This Row],[ln_acres]]*Wapato_Inventory[[#This Row],[coeff]])+Wapato_Inventory[[#This Row],[const]]</f>
        <v>7206.5966421906342</v>
      </c>
      <c r="S745" t="s">
        <v>56</v>
      </c>
      <c r="T745">
        <v>2</v>
      </c>
      <c r="U745" t="s">
        <v>71</v>
      </c>
      <c r="V745" t="s">
        <v>68</v>
      </c>
      <c r="W745">
        <v>0</v>
      </c>
      <c r="X745">
        <v>0</v>
      </c>
      <c r="Y745">
        <v>65</v>
      </c>
      <c r="Z745">
        <v>113</v>
      </c>
      <c r="AA745">
        <v>120</v>
      </c>
      <c r="AB745">
        <v>1500</v>
      </c>
      <c r="AC745">
        <v>1384</v>
      </c>
      <c r="AD745">
        <v>984</v>
      </c>
      <c r="AE745">
        <v>400</v>
      </c>
      <c r="AF745">
        <v>0</v>
      </c>
      <c r="AG745">
        <v>0</v>
      </c>
      <c r="AH745">
        <v>750</v>
      </c>
      <c r="AI745">
        <v>0</v>
      </c>
      <c r="AJ745">
        <v>0</v>
      </c>
      <c r="AK745">
        <v>0</v>
      </c>
      <c r="AL745">
        <v>0</v>
      </c>
      <c r="AM745">
        <v>0</v>
      </c>
      <c r="AN745">
        <v>206</v>
      </c>
      <c r="AO745">
        <v>0</v>
      </c>
      <c r="AP745">
        <v>5</v>
      </c>
      <c r="AQ745">
        <v>0</v>
      </c>
      <c r="AR745">
        <v>0</v>
      </c>
      <c r="AS745" t="s">
        <v>59</v>
      </c>
      <c r="AT745">
        <v>1</v>
      </c>
      <c r="AU745" t="s">
        <v>60</v>
      </c>
      <c r="AV745" t="s">
        <v>61</v>
      </c>
      <c r="AW745">
        <v>1</v>
      </c>
      <c r="AX745">
        <v>5</v>
      </c>
      <c r="AY745">
        <v>0</v>
      </c>
      <c r="AZ745">
        <v>6800</v>
      </c>
      <c r="BA745">
        <v>100</v>
      </c>
      <c r="BB745">
        <v>100</v>
      </c>
      <c r="BC745">
        <v>100</v>
      </c>
      <c r="BD745">
        <v>100</v>
      </c>
      <c r="BE745">
        <v>1</v>
      </c>
      <c r="BF745">
        <v>15000</v>
      </c>
      <c r="BG745">
        <v>1000</v>
      </c>
      <c r="BH745" s="7">
        <f>ROUND(Wapato_Inventory[[#This Row],[detatched_value]]*Lookups!$B$22*Lookups!$H$48,-2)</f>
        <v>6100</v>
      </c>
      <c r="BI745" s="7">
        <f>ROUND(((Wapato_Inventory[[#This Row],[land_extract]]*Lookups!$B$3) +(Lookups!$B$2*0.5))*Lookups!$H$48,-2)</f>
        <v>51800</v>
      </c>
      <c r="BJ745" s="7">
        <f>IF(Wapato_Inventory[[#This Row],[bldg_style]]="",0,Lookups!$B$2*0.5)</f>
        <v>53765.27</v>
      </c>
      <c r="BK745" s="7">
        <f>_xlfn.IFNA(VLOOKUP(Wapato_Inventory[[#This Row],[quality]],Lookups!$H$2:$J$14,3,FALSE),0)</f>
        <v>28034</v>
      </c>
      <c r="BL745" s="7">
        <f>_xlfn.IFNA(VLOOKUP(Wapato_Inventory[[#This Row],[condition]],Lookups!$H$17:$J$24,3,FALSE),0)</f>
        <v>52231</v>
      </c>
      <c r="BM745" s="7">
        <f>Wapato_Inventory[[#This Row],[Age]]*Lookups!$B$16</f>
        <v>-41886.354100000004</v>
      </c>
      <c r="BN745" s="7">
        <f>Wapato_Inventory[[#This Row],[Main Floor]]*Lookups!$B$17</f>
        <v>41131.927175999997</v>
      </c>
      <c r="BO745" s="7">
        <f>Wapato_Inventory[[#This Row],[Upper Floor]]*Lookups!$B$18</f>
        <v>19840.455600000001</v>
      </c>
      <c r="BP745" s="7">
        <f>Wapato_Inventory[[#This Row],[Fin BSMT]]*Lookups!$B$19</f>
        <v>0</v>
      </c>
      <c r="BQ745" s="7">
        <f>(Wapato_Inventory[[#This Row],[att_gar]]+Wapato_Inventory[[#This Row],[blt_gar]])*Lookups!$B$20</f>
        <v>0</v>
      </c>
      <c r="BR745" s="7">
        <f>Wapato_Inventory[[#This Row],[Patio]]*Lookups!$B$21</f>
        <v>0</v>
      </c>
      <c r="BS745" s="7">
        <f>SUM(Wapato_Inventory[[#This Row],[intercept]:[patio_value]])*Wapato_Inventory[[#This Row],[res_pct]]</f>
        <v>153116.29867599998</v>
      </c>
      <c r="BT745" s="7">
        <f>Wapato_Inventory[[#This Row],[land_value]]</f>
        <v>51800</v>
      </c>
      <c r="BU745" s="2">
        <f>_xlfn.IFNA(VLOOKUP(Wapato_Inventory[[#This Row],[quality]],Lookups!$A$28:$C$37,3,FALSE),1)</f>
        <v>0.96265813922927435</v>
      </c>
      <c r="BV745" s="2">
        <f>_xlfn.IFNA(VLOOKUP(Wapato_Inventory[[#This Row],[condition]],Lookups!$A$41:$C$48,3,FALSE),1)</f>
        <v>0.9832333997567807</v>
      </c>
      <c r="BW745" s="2">
        <f>IF(Wapato_Inventory[[#This Row],[decade]]="",1,_xlfn.IFNA(VLOOKUP(Wapato_Inventory[[#This Row],[decade]],Lookups!$F$28:$H$45,3,FALSE),1))</f>
        <v>0.93664589651353292</v>
      </c>
      <c r="BX745" s="2">
        <f>_xlfn.IFNA(VLOOKUP(Wapato_Inventory[[#This Row],[living_area_range]],Lookups!$K$28:$M$37,3,FALSE),1)</f>
        <v>1.0061411172456287</v>
      </c>
      <c r="BY745" s="2">
        <f>AVERAGE(Wapato_Inventory[[#This Row],[qual_adj]:[range_adj]])</f>
        <v>0.97216963818630409</v>
      </c>
      <c r="BZ745" s="7">
        <f>(Wapato_Inventory[[#This Row],[sum_land]]-IF(Wapato_Inventory[[#This Row],[no_utilities]]=1,12000,0))/IF(Wapato_Inventory[[#This Row],[unbuildable]]=1,2,1)</f>
        <v>51800</v>
      </c>
      <c r="CA745" s="7">
        <f>Wapato_Inventory[[#This Row],[pre_res]]*Wapato_Inventory[[#This Row],[overall_adj]]</f>
        <v>148855.01668427297</v>
      </c>
      <c r="CB745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745" s="3">
        <f>IF(ROUND(Wapato_Inventory[[#This Row],[adj_res]]*Lookups!$H$48,-2)&lt;Wapato_Inventory[[#This Row],[min_res]],Wapato_Inventory[[#This Row],[min_res]],ROUND(Wapato_Inventory[[#This Row],[adj_res]]*Lookups!$H$48,-2))</f>
        <v>141400</v>
      </c>
      <c r="CD745" s="3">
        <f>ROUND(Wapato_Inventory[[#This Row],[det_value]]*Lookups!$H$48,-2)</f>
        <v>5800</v>
      </c>
      <c r="CE745" s="3">
        <f>Wapato_Inventory[[#This Row],[final_res]]+Wapato_Inventory[[#This Row],[final_det]]</f>
        <v>147200</v>
      </c>
      <c r="CF745" s="3">
        <f>Wapato_Inventory[[#This Row],[crop_value]]+Wapato_Inventory[[#This Row],[final_land]]+Wapato_Inventory[[#This Row],[final_imp]]</f>
        <v>196400</v>
      </c>
      <c r="CH745" t="str">
        <f t="shared" si="11"/>
        <v>update valuation set market_land =49200, market_bldg=147200, market_total =196400, market_mdno =405, market_date ='9/10/2023' where link_id = (select link_id from parcel where parcel_year = '2024' and parcel_id = '19111513567');</v>
      </c>
    </row>
    <row r="746" spans="1:86" x14ac:dyDescent="0.25">
      <c r="A746">
        <v>19111513568</v>
      </c>
      <c r="B746">
        <v>0.26</v>
      </c>
      <c r="C746">
        <v>11306</v>
      </c>
      <c r="D746" t="s">
        <v>144</v>
      </c>
      <c r="E746" t="s">
        <v>54</v>
      </c>
      <c r="F746" t="s">
        <v>54</v>
      </c>
      <c r="G746">
        <v>3</v>
      </c>
      <c r="H746" t="s">
        <v>55</v>
      </c>
      <c r="I746">
        <v>209100</v>
      </c>
      <c r="J746">
        <v>36300</v>
      </c>
      <c r="K746">
        <v>0.26</v>
      </c>
      <c r="L746">
        <f>IF(Wapato_Inventory[[#This Row],[parcel_acres]]-Wapato_Inventory[[#This Row],[non_valued_acres]] =0,0,LN(Wapato_Inventory[[#This Row],[parcel_acres]]-Wapato_Inventory[[#This Row],[non_valued_acres]]))</f>
        <v>-1.3470736479666092</v>
      </c>
      <c r="M746">
        <v>0</v>
      </c>
      <c r="N746">
        <v>0</v>
      </c>
      <c r="O746">
        <v>0</v>
      </c>
      <c r="P746">
        <v>27904.037</v>
      </c>
      <c r="Q746">
        <v>74398</v>
      </c>
      <c r="R746" s="3">
        <f>(Wapato_Inventory[[#This Row],[ln_acres]]*Wapato_Inventory[[#This Row],[coeff]])+Wapato_Inventory[[#This Row],[const]]</f>
        <v>36809.207085414761</v>
      </c>
      <c r="S746" t="s">
        <v>62</v>
      </c>
      <c r="T746">
        <v>1</v>
      </c>
      <c r="U746" t="s">
        <v>63</v>
      </c>
      <c r="V746" t="s">
        <v>69</v>
      </c>
      <c r="W746">
        <v>0</v>
      </c>
      <c r="X746">
        <v>0</v>
      </c>
      <c r="Y746">
        <v>49</v>
      </c>
      <c r="Z746">
        <v>69</v>
      </c>
      <c r="AA746">
        <v>70</v>
      </c>
      <c r="AB746">
        <v>2500</v>
      </c>
      <c r="AC746">
        <v>2340</v>
      </c>
      <c r="AD746">
        <v>1170</v>
      </c>
      <c r="AE746">
        <v>0</v>
      </c>
      <c r="AF746">
        <v>0</v>
      </c>
      <c r="AG746">
        <v>1170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7</v>
      </c>
      <c r="AQ746">
        <v>0</v>
      </c>
      <c r="AR746">
        <v>1</v>
      </c>
      <c r="AS746" t="s">
        <v>59</v>
      </c>
      <c r="AT746">
        <v>1</v>
      </c>
      <c r="AU746" t="s">
        <v>64</v>
      </c>
      <c r="AV746" t="s">
        <v>77</v>
      </c>
      <c r="AW746">
        <v>1</v>
      </c>
      <c r="AX746">
        <v>3</v>
      </c>
      <c r="AY746">
        <v>0</v>
      </c>
      <c r="AZ746">
        <v>10100</v>
      </c>
      <c r="BA746">
        <v>100</v>
      </c>
      <c r="BB746">
        <v>100</v>
      </c>
      <c r="BC746">
        <v>100</v>
      </c>
      <c r="BD746">
        <v>100</v>
      </c>
      <c r="BE746">
        <v>1</v>
      </c>
      <c r="BF746">
        <v>15000</v>
      </c>
      <c r="BG746">
        <v>1000</v>
      </c>
      <c r="BH746" s="7">
        <f>ROUND(Wapato_Inventory[[#This Row],[detatched_value]]*Lookups!$B$22*Lookups!$H$48,-2)</f>
        <v>9000</v>
      </c>
      <c r="BI746" s="7">
        <f>ROUND(((Wapato_Inventory[[#This Row],[land_extract]]*Lookups!$B$3) +(Lookups!$B$2*0.5))*Lookups!$H$48,-2)</f>
        <v>54600</v>
      </c>
      <c r="BJ746" s="7">
        <f>IF(Wapato_Inventory[[#This Row],[bldg_style]]="",0,Lookups!$B$2*0.5)</f>
        <v>53765.27</v>
      </c>
      <c r="BK746" s="7">
        <f>_xlfn.IFNA(VLOOKUP(Wapato_Inventory[[#This Row],[quality]],Lookups!$H$2:$J$14,3,FALSE),0)</f>
        <v>50594</v>
      </c>
      <c r="BL746" s="7">
        <f>_xlfn.IFNA(VLOOKUP(Wapato_Inventory[[#This Row],[condition]],Lookups!$H$17:$J$24,3,FALSE),0)</f>
        <v>74543</v>
      </c>
      <c r="BM746" s="7">
        <f>Wapato_Inventory[[#This Row],[Age]]*Lookups!$B$16</f>
        <v>-25576.623299999999</v>
      </c>
      <c r="BN746" s="7">
        <f>Wapato_Inventory[[#This Row],[Main Floor]]*Lookups!$B$17</f>
        <v>48906.864630000004</v>
      </c>
      <c r="BO746" s="7">
        <f>Wapato_Inventory[[#This Row],[Upper Floor]]*Lookups!$B$18</f>
        <v>0</v>
      </c>
      <c r="BP746" s="7">
        <f>Wapato_Inventory[[#This Row],[Fin BSMT]]*Lookups!$B$19</f>
        <v>28509.085800000001</v>
      </c>
      <c r="BQ746" s="7">
        <f>(Wapato_Inventory[[#This Row],[att_gar]]+Wapato_Inventory[[#This Row],[blt_gar]])*Lookups!$B$20</f>
        <v>0</v>
      </c>
      <c r="BR746" s="7">
        <f>Wapato_Inventory[[#This Row],[Patio]]*Lookups!$B$21</f>
        <v>0</v>
      </c>
      <c r="BS746" s="7">
        <f>SUM(Wapato_Inventory[[#This Row],[intercept]:[patio_value]])*Wapato_Inventory[[#This Row],[res_pct]]</f>
        <v>230741.59712999998</v>
      </c>
      <c r="BT746" s="7">
        <f>Wapato_Inventory[[#This Row],[land_value]]</f>
        <v>54600</v>
      </c>
      <c r="BU746" s="2">
        <f>_xlfn.IFNA(VLOOKUP(Wapato_Inventory[[#This Row],[quality]],Lookups!$A$28:$C$37,3,FALSE),1)</f>
        <v>0.99197423394367223</v>
      </c>
      <c r="BV746" s="2">
        <f>_xlfn.IFNA(VLOOKUP(Wapato_Inventory[[#This Row],[condition]],Lookups!$A$41:$C$48,3,FALSE),1)</f>
        <v>0.98442438223270734</v>
      </c>
      <c r="BW746" s="2">
        <f>IF(Wapato_Inventory[[#This Row],[decade]]="",1,_xlfn.IFNA(VLOOKUP(Wapato_Inventory[[#This Row],[decade]],Lookups!$F$28:$H$45,3,FALSE),1))</f>
        <v>1.0012715221492001</v>
      </c>
      <c r="BX746" s="2">
        <f>_xlfn.IFNA(VLOOKUP(Wapato_Inventory[[#This Row],[living_area_range]],Lookups!$K$28:$M$37,3,FALSE),1)</f>
        <v>0.90813907160181651</v>
      </c>
      <c r="BY746" s="2">
        <f>AVERAGE(Wapato_Inventory[[#This Row],[qual_adj]:[range_adj]])</f>
        <v>0.97145230248184911</v>
      </c>
      <c r="BZ746" s="7">
        <f>(Wapato_Inventory[[#This Row],[sum_land]]-IF(Wapato_Inventory[[#This Row],[no_utilities]]=1,12000,0))/IF(Wapato_Inventory[[#This Row],[unbuildable]]=1,2,1)</f>
        <v>54600</v>
      </c>
      <c r="CA746" s="7">
        <f>Wapato_Inventory[[#This Row],[pre_res]]*Wapato_Inventory[[#This Row],[overall_adj]]</f>
        <v>224154.45581027769</v>
      </c>
      <c r="CB746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746" s="3">
        <f>IF(ROUND(Wapato_Inventory[[#This Row],[adj_res]]*Lookups!$H$48,-2)&lt;Wapato_Inventory[[#This Row],[min_res]],Wapato_Inventory[[#This Row],[min_res]],ROUND(Wapato_Inventory[[#This Row],[adj_res]]*Lookups!$H$48,-2))</f>
        <v>212900</v>
      </c>
      <c r="CD746" s="3">
        <f>ROUND(Wapato_Inventory[[#This Row],[det_value]]*Lookups!$H$48,-2)</f>
        <v>8600</v>
      </c>
      <c r="CE746" s="3">
        <f>Wapato_Inventory[[#This Row],[final_res]]+Wapato_Inventory[[#This Row],[final_det]]</f>
        <v>221500</v>
      </c>
      <c r="CF746" s="3">
        <f>Wapato_Inventory[[#This Row],[crop_value]]+Wapato_Inventory[[#This Row],[final_land]]+Wapato_Inventory[[#This Row],[final_imp]]</f>
        <v>273400</v>
      </c>
      <c r="CH746" t="str">
        <f t="shared" si="11"/>
        <v>update valuation set market_land =51900, market_bldg=221500, market_total =273400, market_mdno =405, market_date ='9/10/2023' where link_id = (select link_id from parcel where parcel_year = '2024' and parcel_id = '19111513568');</v>
      </c>
    </row>
    <row r="747" spans="1:86" x14ac:dyDescent="0.25">
      <c r="A747">
        <v>19111513571</v>
      </c>
      <c r="B747">
        <v>7.0000000000000007E-2</v>
      </c>
      <c r="C747">
        <v>3196</v>
      </c>
      <c r="D747" t="s">
        <v>144</v>
      </c>
      <c r="E747" t="s">
        <v>54</v>
      </c>
      <c r="F747" t="s">
        <v>54</v>
      </c>
      <c r="G747">
        <v>3</v>
      </c>
      <c r="H747" t="s">
        <v>55</v>
      </c>
      <c r="I747">
        <v>223800</v>
      </c>
      <c r="J747">
        <v>26900</v>
      </c>
      <c r="K747">
        <v>7.0000000000000007E-2</v>
      </c>
      <c r="L747">
        <f>IF(Wapato_Inventory[[#This Row],[parcel_acres]]-Wapato_Inventory[[#This Row],[non_valued_acres]] =0,0,LN(Wapato_Inventory[[#This Row],[parcel_acres]]-Wapato_Inventory[[#This Row],[non_valued_acres]]))</f>
        <v>-2.6592600369327779</v>
      </c>
      <c r="M747">
        <v>0</v>
      </c>
      <c r="N747">
        <v>0</v>
      </c>
      <c r="O747">
        <v>0</v>
      </c>
      <c r="P747">
        <v>27904.037</v>
      </c>
      <c r="Q747">
        <v>74398</v>
      </c>
      <c r="R747" s="3">
        <f>(Wapato_Inventory[[#This Row],[ln_acres]]*Wapato_Inventory[[#This Row],[coeff]])+Wapato_Inventory[[#This Row],[const]]</f>
        <v>193.90953680640087</v>
      </c>
      <c r="S747" t="s">
        <v>66</v>
      </c>
      <c r="T747">
        <v>1</v>
      </c>
      <c r="U747" t="s">
        <v>75</v>
      </c>
      <c r="V747" t="s">
        <v>70</v>
      </c>
      <c r="W747">
        <v>0</v>
      </c>
      <c r="X747">
        <v>0</v>
      </c>
      <c r="Y747">
        <v>58</v>
      </c>
      <c r="Z747">
        <v>106</v>
      </c>
      <c r="AA747">
        <v>110</v>
      </c>
      <c r="AB747">
        <v>1000</v>
      </c>
      <c r="AC747">
        <v>978</v>
      </c>
      <c r="AD747">
        <v>978</v>
      </c>
      <c r="AE747">
        <v>0</v>
      </c>
      <c r="AF747">
        <v>0</v>
      </c>
      <c r="AG747">
        <v>0</v>
      </c>
      <c r="AH747">
        <v>0</v>
      </c>
      <c r="AI747">
        <v>420</v>
      </c>
      <c r="AJ747">
        <v>0</v>
      </c>
      <c r="AK747">
        <v>450</v>
      </c>
      <c r="AL747">
        <v>0</v>
      </c>
      <c r="AM747">
        <v>0</v>
      </c>
      <c r="AN747">
        <v>132</v>
      </c>
      <c r="AO747">
        <v>0</v>
      </c>
      <c r="AP747">
        <v>5</v>
      </c>
      <c r="AQ747">
        <v>0</v>
      </c>
      <c r="AR747">
        <v>0</v>
      </c>
      <c r="AS747" t="s">
        <v>59</v>
      </c>
      <c r="AT747">
        <v>1</v>
      </c>
      <c r="AU747" t="s">
        <v>64</v>
      </c>
      <c r="AV747" t="s">
        <v>61</v>
      </c>
      <c r="AW747">
        <v>0</v>
      </c>
      <c r="AX747">
        <v>2</v>
      </c>
      <c r="AY747">
        <v>0</v>
      </c>
      <c r="AZ747">
        <v>0</v>
      </c>
      <c r="BA747">
        <v>100</v>
      </c>
      <c r="BB747">
        <v>100</v>
      </c>
      <c r="BC747">
        <v>100</v>
      </c>
      <c r="BD747">
        <v>100</v>
      </c>
      <c r="BE747">
        <v>1</v>
      </c>
      <c r="BF747">
        <v>15000</v>
      </c>
      <c r="BG747">
        <v>1000</v>
      </c>
      <c r="BH747" s="7">
        <f>ROUND(Wapato_Inventory[[#This Row],[detatched_value]]*Lookups!$B$22*Lookups!$H$48,-2)</f>
        <v>0</v>
      </c>
      <c r="BI747" s="7">
        <f>ROUND(((Wapato_Inventory[[#This Row],[land_extract]]*Lookups!$B$3) +(Lookups!$B$2*0.5))*Lookups!$H$48,-2)</f>
        <v>51100</v>
      </c>
      <c r="BJ747" s="7">
        <f>IF(Wapato_Inventory[[#This Row],[bldg_style]]="",0,Lookups!$B$2*0.5)</f>
        <v>53765.27</v>
      </c>
      <c r="BK747" s="7">
        <f>_xlfn.IFNA(VLOOKUP(Wapato_Inventory[[#This Row],[quality]],Lookups!$H$2:$J$14,3,FALSE),0)</f>
        <v>48043</v>
      </c>
      <c r="BL747" s="7">
        <f>_xlfn.IFNA(VLOOKUP(Wapato_Inventory[[#This Row],[condition]],Lookups!$H$17:$J$24,3,FALSE),0)</f>
        <v>84338</v>
      </c>
      <c r="BM747" s="7">
        <f>Wapato_Inventory[[#This Row],[Age]]*Lookups!$B$16</f>
        <v>-39291.624199999998</v>
      </c>
      <c r="BN747" s="7">
        <f>Wapato_Inventory[[#This Row],[Main Floor]]*Lookups!$B$17</f>
        <v>40881.122742</v>
      </c>
      <c r="BO747" s="7">
        <f>Wapato_Inventory[[#This Row],[Upper Floor]]*Lookups!$B$18</f>
        <v>0</v>
      </c>
      <c r="BP747" s="7">
        <f>Wapato_Inventory[[#This Row],[Fin BSMT]]*Lookups!$B$19</f>
        <v>0</v>
      </c>
      <c r="BQ747" s="7">
        <f>(Wapato_Inventory[[#This Row],[att_gar]]+Wapato_Inventory[[#This Row],[blt_gar]])*Lookups!$B$20</f>
        <v>15543.67584</v>
      </c>
      <c r="BR747" s="7">
        <f>Wapato_Inventory[[#This Row],[Patio]]*Lookups!$B$21</f>
        <v>0</v>
      </c>
      <c r="BS747" s="7">
        <f>SUM(Wapato_Inventory[[#This Row],[intercept]:[patio_value]])*Wapato_Inventory[[#This Row],[res_pct]]</f>
        <v>203279.44438200002</v>
      </c>
      <c r="BT747" s="7">
        <f>Wapato_Inventory[[#This Row],[land_value]]</f>
        <v>51100</v>
      </c>
      <c r="BU747" s="2">
        <f>_xlfn.IFNA(VLOOKUP(Wapato_Inventory[[#This Row],[quality]],Lookups!$A$28:$C$37,3,FALSE),1)</f>
        <v>0.98196844879778955</v>
      </c>
      <c r="BV747" s="2">
        <f>_xlfn.IFNA(VLOOKUP(Wapato_Inventory[[#This Row],[condition]],Lookups!$A$41:$C$48,3,FALSE),1)</f>
        <v>0.99478075210508476</v>
      </c>
      <c r="BW747" s="2">
        <f>IF(Wapato_Inventory[[#This Row],[decade]]="",1,_xlfn.IFNA(VLOOKUP(Wapato_Inventory[[#This Row],[decade]],Lookups!$F$28:$H$45,3,FALSE),1))</f>
        <v>0.93664589651353292</v>
      </c>
      <c r="BX747" s="2">
        <f>_xlfn.IFNA(VLOOKUP(Wapato_Inventory[[#This Row],[living_area_range]],Lookups!$K$28:$M$37,3,FALSE),1)</f>
        <v>0.99022994770196116</v>
      </c>
      <c r="BY747" s="2">
        <f>AVERAGE(Wapato_Inventory[[#This Row],[qual_adj]:[range_adj]])</f>
        <v>0.97590626127959201</v>
      </c>
      <c r="BZ747" s="7">
        <f>(Wapato_Inventory[[#This Row],[sum_land]]-IF(Wapato_Inventory[[#This Row],[no_utilities]]=1,12000,0))/IF(Wapato_Inventory[[#This Row],[unbuildable]]=1,2,1)</f>
        <v>51100</v>
      </c>
      <c r="CA747" s="7">
        <f>Wapato_Inventory[[#This Row],[pre_res]]*Wapato_Inventory[[#This Row],[overall_adj]]</f>
        <v>198381.68256183041</v>
      </c>
      <c r="CB747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747" s="3">
        <f>IF(ROUND(Wapato_Inventory[[#This Row],[adj_res]]*Lookups!$H$48,-2)&lt;Wapato_Inventory[[#This Row],[min_res]],Wapato_Inventory[[#This Row],[min_res]],ROUND(Wapato_Inventory[[#This Row],[adj_res]]*Lookups!$H$48,-2))</f>
        <v>188500</v>
      </c>
      <c r="CD747" s="3">
        <f>ROUND(Wapato_Inventory[[#This Row],[det_value]]*Lookups!$H$48,-2)</f>
        <v>0</v>
      </c>
      <c r="CE747" s="3">
        <f>Wapato_Inventory[[#This Row],[final_res]]+Wapato_Inventory[[#This Row],[final_det]]</f>
        <v>188500</v>
      </c>
      <c r="CF747" s="3">
        <f>Wapato_Inventory[[#This Row],[crop_value]]+Wapato_Inventory[[#This Row],[final_land]]+Wapato_Inventory[[#This Row],[final_imp]]</f>
        <v>237000</v>
      </c>
      <c r="CH747" t="str">
        <f t="shared" si="11"/>
        <v>update valuation set market_land =48500, market_bldg=188500, market_total =237000, market_mdno =405, market_date ='9/10/2023' where link_id = (select link_id from parcel where parcel_year = '2024' and parcel_id = '19111513571');</v>
      </c>
    </row>
    <row r="748" spans="1:86" x14ac:dyDescent="0.25">
      <c r="A748">
        <v>19111513572</v>
      </c>
      <c r="B748">
        <v>7.0000000000000007E-2</v>
      </c>
      <c r="C748">
        <v>2976</v>
      </c>
      <c r="D748" t="s">
        <v>144</v>
      </c>
      <c r="E748" t="s">
        <v>54</v>
      </c>
      <c r="F748" t="s">
        <v>54</v>
      </c>
      <c r="G748">
        <v>3</v>
      </c>
      <c r="H748" t="s">
        <v>55</v>
      </c>
      <c r="I748">
        <v>86000</v>
      </c>
      <c r="J748">
        <v>26900</v>
      </c>
      <c r="K748">
        <v>7.0000000000000007E-2</v>
      </c>
      <c r="L748">
        <f>IF(Wapato_Inventory[[#This Row],[parcel_acres]]-Wapato_Inventory[[#This Row],[non_valued_acres]] =0,0,LN(Wapato_Inventory[[#This Row],[parcel_acres]]-Wapato_Inventory[[#This Row],[non_valued_acres]]))</f>
        <v>-2.6592600369327779</v>
      </c>
      <c r="M748">
        <v>0</v>
      </c>
      <c r="N748">
        <v>0</v>
      </c>
      <c r="O748">
        <v>0</v>
      </c>
      <c r="P748">
        <v>27904.037</v>
      </c>
      <c r="Q748">
        <v>74398</v>
      </c>
      <c r="R748" s="3">
        <f>(Wapato_Inventory[[#This Row],[ln_acres]]*Wapato_Inventory[[#This Row],[coeff]])+Wapato_Inventory[[#This Row],[const]]</f>
        <v>193.90953680640087</v>
      </c>
      <c r="S748" t="s">
        <v>66</v>
      </c>
      <c r="T748">
        <v>1</v>
      </c>
      <c r="U748" t="s">
        <v>71</v>
      </c>
      <c r="V748" t="s">
        <v>68</v>
      </c>
      <c r="W748">
        <v>0</v>
      </c>
      <c r="X748">
        <v>0</v>
      </c>
      <c r="Y748">
        <v>52</v>
      </c>
      <c r="Z748">
        <v>84</v>
      </c>
      <c r="AA748">
        <v>90</v>
      </c>
      <c r="AB748">
        <v>1000</v>
      </c>
      <c r="AC748">
        <v>513</v>
      </c>
      <c r="AD748">
        <v>513</v>
      </c>
      <c r="AE748">
        <v>0</v>
      </c>
      <c r="AF748">
        <v>0</v>
      </c>
      <c r="AG748">
        <v>0</v>
      </c>
      <c r="AH748">
        <v>228</v>
      </c>
      <c r="AI748">
        <v>0</v>
      </c>
      <c r="AJ748">
        <v>0</v>
      </c>
      <c r="AK748">
        <v>288</v>
      </c>
      <c r="AL748">
        <v>0</v>
      </c>
      <c r="AM748">
        <v>40</v>
      </c>
      <c r="AN748">
        <v>0</v>
      </c>
      <c r="AO748">
        <v>0</v>
      </c>
      <c r="AP748">
        <v>5</v>
      </c>
      <c r="AQ748">
        <v>0</v>
      </c>
      <c r="AR748">
        <v>0</v>
      </c>
      <c r="AS748" t="s">
        <v>59</v>
      </c>
      <c r="AT748">
        <v>1</v>
      </c>
      <c r="AU748" t="s">
        <v>72</v>
      </c>
      <c r="AV748" t="s">
        <v>61</v>
      </c>
      <c r="AW748">
        <v>0</v>
      </c>
      <c r="AX748">
        <v>1</v>
      </c>
      <c r="AY748">
        <v>0</v>
      </c>
      <c r="AZ748">
        <v>0</v>
      </c>
      <c r="BA748">
        <v>100</v>
      </c>
      <c r="BB748">
        <v>100</v>
      </c>
      <c r="BC748">
        <v>100</v>
      </c>
      <c r="BD748">
        <v>100</v>
      </c>
      <c r="BE748">
        <v>1</v>
      </c>
      <c r="BF748">
        <v>15000</v>
      </c>
      <c r="BG748">
        <v>1000</v>
      </c>
      <c r="BH748" s="7">
        <f>ROUND(Wapato_Inventory[[#This Row],[detatched_value]]*Lookups!$B$22*Lookups!$H$48,-2)</f>
        <v>0</v>
      </c>
      <c r="BI748" s="7">
        <f>ROUND(((Wapato_Inventory[[#This Row],[land_extract]]*Lookups!$B$3) +(Lookups!$B$2*0.5))*Lookups!$H$48,-2)</f>
        <v>51100</v>
      </c>
      <c r="BJ748" s="7">
        <f>IF(Wapato_Inventory[[#This Row],[bldg_style]]="",0,Lookups!$B$2*0.5)</f>
        <v>53765.27</v>
      </c>
      <c r="BK748" s="7">
        <f>_xlfn.IFNA(VLOOKUP(Wapato_Inventory[[#This Row],[quality]],Lookups!$H$2:$J$14,3,FALSE),0)</f>
        <v>28034</v>
      </c>
      <c r="BL748" s="7">
        <f>_xlfn.IFNA(VLOOKUP(Wapato_Inventory[[#This Row],[condition]],Lookups!$H$17:$J$24,3,FALSE),0)</f>
        <v>52231</v>
      </c>
      <c r="BM748" s="7">
        <f>Wapato_Inventory[[#This Row],[Age]]*Lookups!$B$16</f>
        <v>-31136.7588</v>
      </c>
      <c r="BN748" s="7">
        <f>Wapato_Inventory[[#This Row],[Main Floor]]*Lookups!$B$17</f>
        <v>21443.779106999998</v>
      </c>
      <c r="BO748" s="7">
        <f>Wapato_Inventory[[#This Row],[Upper Floor]]*Lookups!$B$18</f>
        <v>0</v>
      </c>
      <c r="BP748" s="7">
        <f>Wapato_Inventory[[#This Row],[Fin BSMT]]*Lookups!$B$19</f>
        <v>0</v>
      </c>
      <c r="BQ748" s="7">
        <f>(Wapato_Inventory[[#This Row],[att_gar]]+Wapato_Inventory[[#This Row],[blt_gar]])*Lookups!$B$20</f>
        <v>0</v>
      </c>
      <c r="BR748" s="7">
        <f>Wapato_Inventory[[#This Row],[Patio]]*Lookups!$B$21</f>
        <v>1732.9591600000001</v>
      </c>
      <c r="BS748" s="7">
        <f>SUM(Wapato_Inventory[[#This Row],[intercept]:[patio_value]])*Wapato_Inventory[[#This Row],[res_pct]]</f>
        <v>126070.24946699999</v>
      </c>
      <c r="BT748" s="7">
        <f>Wapato_Inventory[[#This Row],[land_value]]</f>
        <v>51100</v>
      </c>
      <c r="BU748" s="2">
        <f>_xlfn.IFNA(VLOOKUP(Wapato_Inventory[[#This Row],[quality]],Lookups!$A$28:$C$37,3,FALSE),1)</f>
        <v>0.96265813922927435</v>
      </c>
      <c r="BV748" s="2">
        <f>_xlfn.IFNA(VLOOKUP(Wapato_Inventory[[#This Row],[condition]],Lookups!$A$41:$C$48,3,FALSE),1)</f>
        <v>0.9832333997567807</v>
      </c>
      <c r="BW748" s="2">
        <f>IF(Wapato_Inventory[[#This Row],[decade]]="",1,_xlfn.IFNA(VLOOKUP(Wapato_Inventory[[#This Row],[decade]],Lookups!$F$28:$H$45,3,FALSE),1))</f>
        <v>0.94742695999815718</v>
      </c>
      <c r="BX748" s="2">
        <f>_xlfn.IFNA(VLOOKUP(Wapato_Inventory[[#This Row],[living_area_range]],Lookups!$K$28:$M$37,3,FALSE),1)</f>
        <v>0.99022994770196116</v>
      </c>
      <c r="BY748" s="2">
        <f>AVERAGE(Wapato_Inventory[[#This Row],[qual_adj]:[range_adj]])</f>
        <v>0.97088711167154329</v>
      </c>
      <c r="BZ748" s="7">
        <f>(Wapato_Inventory[[#This Row],[sum_land]]-IF(Wapato_Inventory[[#This Row],[no_utilities]]=1,12000,0))/IF(Wapato_Inventory[[#This Row],[unbuildable]]=1,2,1)</f>
        <v>51100</v>
      </c>
      <c r="CA748" s="7">
        <f>Wapato_Inventory[[#This Row],[pre_res]]*Wapato_Inventory[[#This Row],[overall_adj]]</f>
        <v>122399.98037272654</v>
      </c>
      <c r="CB748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748" s="3">
        <f>IF(ROUND(Wapato_Inventory[[#This Row],[adj_res]]*Lookups!$H$48,-2)&lt;Wapato_Inventory[[#This Row],[min_res]],Wapato_Inventory[[#This Row],[min_res]],ROUND(Wapato_Inventory[[#This Row],[adj_res]]*Lookups!$H$48,-2))</f>
        <v>116300</v>
      </c>
      <c r="CD748" s="3">
        <f>ROUND(Wapato_Inventory[[#This Row],[det_value]]*Lookups!$H$48,-2)</f>
        <v>0</v>
      </c>
      <c r="CE748" s="3">
        <f>Wapato_Inventory[[#This Row],[final_res]]+Wapato_Inventory[[#This Row],[final_det]]</f>
        <v>116300</v>
      </c>
      <c r="CF748" s="3">
        <f>Wapato_Inventory[[#This Row],[crop_value]]+Wapato_Inventory[[#This Row],[final_land]]+Wapato_Inventory[[#This Row],[final_imp]]</f>
        <v>164800</v>
      </c>
      <c r="CH748" t="str">
        <f t="shared" si="11"/>
        <v>update valuation set market_land =48500, market_bldg=116300, market_total =164800, market_mdno =405, market_date ='9/10/2023' where link_id = (select link_id from parcel where parcel_year = '2024' and parcel_id = '19111513572');</v>
      </c>
    </row>
    <row r="749" spans="1:86" x14ac:dyDescent="0.25">
      <c r="A749">
        <v>19111513575</v>
      </c>
      <c r="B749">
        <v>0.15</v>
      </c>
      <c r="C749">
        <v>6593</v>
      </c>
      <c r="D749" t="s">
        <v>144</v>
      </c>
      <c r="E749" t="s">
        <v>54</v>
      </c>
      <c r="F749" t="s">
        <v>54</v>
      </c>
      <c r="G749">
        <v>3</v>
      </c>
      <c r="H749" t="s">
        <v>55</v>
      </c>
      <c r="I749">
        <v>144300</v>
      </c>
      <c r="J749">
        <v>32300</v>
      </c>
      <c r="K749">
        <v>0.15</v>
      </c>
      <c r="L749">
        <f>IF(Wapato_Inventory[[#This Row],[parcel_acres]]-Wapato_Inventory[[#This Row],[non_valued_acres]] =0,0,LN(Wapato_Inventory[[#This Row],[parcel_acres]]-Wapato_Inventory[[#This Row],[non_valued_acres]]))</f>
        <v>-1.8971199848858813</v>
      </c>
      <c r="M749">
        <v>0</v>
      </c>
      <c r="N749">
        <v>0</v>
      </c>
      <c r="O749">
        <v>0</v>
      </c>
      <c r="P749">
        <v>27904.037</v>
      </c>
      <c r="Q749">
        <v>74398</v>
      </c>
      <c r="R749" s="3">
        <f>(Wapato_Inventory[[#This Row],[ln_acres]]*Wapato_Inventory[[#This Row],[coeff]])+Wapato_Inventory[[#This Row],[const]]</f>
        <v>21460.693748304926</v>
      </c>
      <c r="S749" t="s">
        <v>62</v>
      </c>
      <c r="T749">
        <v>1</v>
      </c>
      <c r="U749" t="s">
        <v>71</v>
      </c>
      <c r="V749" t="s">
        <v>68</v>
      </c>
      <c r="W749">
        <v>0</v>
      </c>
      <c r="X749">
        <v>0</v>
      </c>
      <c r="Y749">
        <v>50</v>
      </c>
      <c r="Z749">
        <v>73</v>
      </c>
      <c r="AA749">
        <v>80</v>
      </c>
      <c r="AB749">
        <v>1500</v>
      </c>
      <c r="AC749">
        <v>1140</v>
      </c>
      <c r="AD749">
        <v>1140</v>
      </c>
      <c r="AE749">
        <v>0</v>
      </c>
      <c r="AF749">
        <v>0</v>
      </c>
      <c r="AG749">
        <v>0</v>
      </c>
      <c r="AH749">
        <v>0</v>
      </c>
      <c r="AI749">
        <v>180</v>
      </c>
      <c r="AJ749">
        <v>0</v>
      </c>
      <c r="AK749">
        <v>0</v>
      </c>
      <c r="AL749">
        <v>0</v>
      </c>
      <c r="AM749">
        <v>192</v>
      </c>
      <c r="AN749">
        <v>0</v>
      </c>
      <c r="AO749">
        <v>192</v>
      </c>
      <c r="AP749">
        <v>5</v>
      </c>
      <c r="AQ749">
        <v>0</v>
      </c>
      <c r="AR749">
        <v>1</v>
      </c>
      <c r="AS749" t="s">
        <v>82</v>
      </c>
      <c r="AT749">
        <v>0</v>
      </c>
      <c r="AU749" t="s">
        <v>80</v>
      </c>
      <c r="AV749" t="s">
        <v>77</v>
      </c>
      <c r="AW749">
        <v>0</v>
      </c>
      <c r="AX749">
        <v>2</v>
      </c>
      <c r="AY749">
        <v>0</v>
      </c>
      <c r="AZ749">
        <v>2100</v>
      </c>
      <c r="BA749">
        <v>100</v>
      </c>
      <c r="BB749">
        <v>100</v>
      </c>
      <c r="BC749">
        <v>100</v>
      </c>
      <c r="BD749">
        <v>100</v>
      </c>
      <c r="BE749">
        <v>1</v>
      </c>
      <c r="BF749">
        <v>15000</v>
      </c>
      <c r="BG749">
        <v>1000</v>
      </c>
      <c r="BH749" s="7">
        <f>ROUND(Wapato_Inventory[[#This Row],[detatched_value]]*Lookups!$B$22*Lookups!$H$48,-2)</f>
        <v>1900</v>
      </c>
      <c r="BI749" s="7">
        <f>ROUND(((Wapato_Inventory[[#This Row],[land_extract]]*Lookups!$B$3) +(Lookups!$B$2*0.5))*Lookups!$H$48,-2)</f>
        <v>53100</v>
      </c>
      <c r="BJ749" s="7">
        <f>IF(Wapato_Inventory[[#This Row],[bldg_style]]="",0,Lookups!$B$2*0.5)</f>
        <v>53765.27</v>
      </c>
      <c r="BK749" s="7">
        <f>_xlfn.IFNA(VLOOKUP(Wapato_Inventory[[#This Row],[quality]],Lookups!$H$2:$J$14,3,FALSE),0)</f>
        <v>28034</v>
      </c>
      <c r="BL749" s="7">
        <f>_xlfn.IFNA(VLOOKUP(Wapato_Inventory[[#This Row],[condition]],Lookups!$H$17:$J$24,3,FALSE),0)</f>
        <v>52231</v>
      </c>
      <c r="BM749" s="7">
        <f>Wapato_Inventory[[#This Row],[Age]]*Lookups!$B$16</f>
        <v>-27059.326100000002</v>
      </c>
      <c r="BN749" s="7">
        <f>Wapato_Inventory[[#This Row],[Main Floor]]*Lookups!$B$17</f>
        <v>47652.84246</v>
      </c>
      <c r="BO749" s="7">
        <f>Wapato_Inventory[[#This Row],[Upper Floor]]*Lookups!$B$18</f>
        <v>0</v>
      </c>
      <c r="BP749" s="7">
        <f>Wapato_Inventory[[#This Row],[Fin BSMT]]*Lookups!$B$19</f>
        <v>0</v>
      </c>
      <c r="BQ749" s="7">
        <f>(Wapato_Inventory[[#This Row],[att_gar]]+Wapato_Inventory[[#This Row],[blt_gar]])*Lookups!$B$20</f>
        <v>6661.5753599999998</v>
      </c>
      <c r="BR749" s="7">
        <f>Wapato_Inventory[[#This Row],[Patio]]*Lookups!$B$21</f>
        <v>8318.2039679999998</v>
      </c>
      <c r="BS749" s="7">
        <f>SUM(Wapato_Inventory[[#This Row],[intercept]:[patio_value]])*Wapato_Inventory[[#This Row],[res_pct]]</f>
        <v>169603.56568799994</v>
      </c>
      <c r="BT749" s="7">
        <f>Wapato_Inventory[[#This Row],[land_value]]</f>
        <v>53100</v>
      </c>
      <c r="BU749" s="2">
        <f>_xlfn.IFNA(VLOOKUP(Wapato_Inventory[[#This Row],[quality]],Lookups!$A$28:$C$37,3,FALSE),1)</f>
        <v>0.96265813922927435</v>
      </c>
      <c r="BV749" s="2">
        <f>_xlfn.IFNA(VLOOKUP(Wapato_Inventory[[#This Row],[condition]],Lookups!$A$41:$C$48,3,FALSE),1)</f>
        <v>0.9832333997567807</v>
      </c>
      <c r="BW749" s="2">
        <f>IF(Wapato_Inventory[[#This Row],[decade]]="",1,_xlfn.IFNA(VLOOKUP(Wapato_Inventory[[#This Row],[decade]],Lookups!$F$28:$H$45,3,FALSE),1))</f>
        <v>0.8438929209510081</v>
      </c>
      <c r="BX749" s="2">
        <f>_xlfn.IFNA(VLOOKUP(Wapato_Inventory[[#This Row],[living_area_range]],Lookups!$K$28:$M$37,3,FALSE),1)</f>
        <v>1.0061411172456287</v>
      </c>
      <c r="BY749" s="2">
        <f>AVERAGE(Wapato_Inventory[[#This Row],[qual_adj]:[range_adj]])</f>
        <v>0.94898139429567296</v>
      </c>
      <c r="BZ749" s="7">
        <f>(Wapato_Inventory[[#This Row],[sum_land]]-IF(Wapato_Inventory[[#This Row],[no_utilities]]=1,12000,0))/IF(Wapato_Inventory[[#This Row],[unbuildable]]=1,2,1)</f>
        <v>53100</v>
      </c>
      <c r="CA749" s="7">
        <f>Wapato_Inventory[[#This Row],[pre_res]]*Wapato_Inventory[[#This Row],[overall_adj]]</f>
        <v>160950.62824411594</v>
      </c>
      <c r="CB74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49" s="3">
        <f>IF(ROUND(Wapato_Inventory[[#This Row],[adj_res]]*Lookups!$H$48,-2)&lt;Wapato_Inventory[[#This Row],[min_res]],Wapato_Inventory[[#This Row],[min_res]],ROUND(Wapato_Inventory[[#This Row],[adj_res]]*Lookups!$H$48,-2))</f>
        <v>152900</v>
      </c>
      <c r="CD749" s="3">
        <f>ROUND(Wapato_Inventory[[#This Row],[det_value]]*Lookups!$H$48,-2)</f>
        <v>1800</v>
      </c>
      <c r="CE749" s="3">
        <f>Wapato_Inventory[[#This Row],[final_res]]+Wapato_Inventory[[#This Row],[final_det]]</f>
        <v>154700</v>
      </c>
      <c r="CF749" s="3">
        <f>Wapato_Inventory[[#This Row],[crop_value]]+Wapato_Inventory[[#This Row],[final_land]]+Wapato_Inventory[[#This Row],[final_imp]]</f>
        <v>205100</v>
      </c>
      <c r="CH749" t="str">
        <f t="shared" si="11"/>
        <v>update valuation set market_land =50400, market_bldg=154700, market_total =205100, market_mdno =405, market_date ='9/10/2023' where link_id = (select link_id from parcel where parcel_year = '2024' and parcel_id = '19111513575');</v>
      </c>
    </row>
    <row r="750" spans="1:86" x14ac:dyDescent="0.25">
      <c r="A750">
        <v>19111513576</v>
      </c>
      <c r="B750">
        <v>0.13</v>
      </c>
      <c r="C750">
        <v>5606</v>
      </c>
      <c r="D750" t="s">
        <v>144</v>
      </c>
      <c r="E750" t="s">
        <v>54</v>
      </c>
      <c r="F750" t="s">
        <v>54</v>
      </c>
      <c r="G750">
        <v>3</v>
      </c>
      <c r="H750" t="s">
        <v>55</v>
      </c>
      <c r="I750">
        <v>253200</v>
      </c>
      <c r="J750">
        <v>31400</v>
      </c>
      <c r="K750">
        <v>0.13</v>
      </c>
      <c r="L750">
        <f>IF(Wapato_Inventory[[#This Row],[parcel_acres]]-Wapato_Inventory[[#This Row],[non_valued_acres]] =0,0,LN(Wapato_Inventory[[#This Row],[parcel_acres]]-Wapato_Inventory[[#This Row],[non_valued_acres]]))</f>
        <v>-2.0402208285265546</v>
      </c>
      <c r="M750">
        <v>0</v>
      </c>
      <c r="N750">
        <v>0</v>
      </c>
      <c r="O750">
        <v>0</v>
      </c>
      <c r="P750">
        <v>27904.037</v>
      </c>
      <c r="Q750">
        <v>74398</v>
      </c>
      <c r="R750" s="3">
        <f>(Wapato_Inventory[[#This Row],[ln_acres]]*Wapato_Inventory[[#This Row],[coeff]])+Wapato_Inventory[[#This Row],[const]]</f>
        <v>17467.602512624362</v>
      </c>
      <c r="S750" t="s">
        <v>62</v>
      </c>
      <c r="T750">
        <v>1</v>
      </c>
      <c r="U750" t="s">
        <v>75</v>
      </c>
      <c r="V750" t="s">
        <v>70</v>
      </c>
      <c r="W750">
        <v>0</v>
      </c>
      <c r="X750">
        <v>0</v>
      </c>
      <c r="Y750">
        <v>15</v>
      </c>
      <c r="Z750">
        <v>15</v>
      </c>
      <c r="AA750">
        <v>20</v>
      </c>
      <c r="AB750">
        <v>1500</v>
      </c>
      <c r="AC750">
        <v>1196</v>
      </c>
      <c r="AD750">
        <v>1196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57</v>
      </c>
      <c r="AO750">
        <v>0</v>
      </c>
      <c r="AP750">
        <v>5</v>
      </c>
      <c r="AQ750">
        <v>0</v>
      </c>
      <c r="AR750">
        <v>0</v>
      </c>
      <c r="AS750" t="s">
        <v>59</v>
      </c>
      <c r="AT750">
        <v>1</v>
      </c>
      <c r="AU750" t="s">
        <v>72</v>
      </c>
      <c r="AV750" t="s">
        <v>61</v>
      </c>
      <c r="AW750">
        <v>0</v>
      </c>
      <c r="AX750">
        <v>3</v>
      </c>
      <c r="AY750">
        <v>0</v>
      </c>
      <c r="AZ750">
        <v>8200</v>
      </c>
      <c r="BA750">
        <v>100</v>
      </c>
      <c r="BB750">
        <v>100</v>
      </c>
      <c r="BC750">
        <v>100</v>
      </c>
      <c r="BD750">
        <v>100</v>
      </c>
      <c r="BE750">
        <v>1</v>
      </c>
      <c r="BF750">
        <v>15000</v>
      </c>
      <c r="BG750">
        <v>1000</v>
      </c>
      <c r="BH750" s="7">
        <f>ROUND(Wapato_Inventory[[#This Row],[detatched_value]]*Lookups!$B$22*Lookups!$H$48,-2)</f>
        <v>7300</v>
      </c>
      <c r="BI750" s="7">
        <f>ROUND(((Wapato_Inventory[[#This Row],[land_extract]]*Lookups!$B$3) +(Lookups!$B$2*0.5))*Lookups!$H$48,-2)</f>
        <v>52800</v>
      </c>
      <c r="BJ750" s="7">
        <f>IF(Wapato_Inventory[[#This Row],[bldg_style]]="",0,Lookups!$B$2*0.5)</f>
        <v>53765.27</v>
      </c>
      <c r="BK750" s="7">
        <f>_xlfn.IFNA(VLOOKUP(Wapato_Inventory[[#This Row],[quality]],Lookups!$H$2:$J$14,3,FALSE),0)</f>
        <v>48043</v>
      </c>
      <c r="BL750" s="7">
        <f>_xlfn.IFNA(VLOOKUP(Wapato_Inventory[[#This Row],[condition]],Lookups!$H$17:$J$24,3,FALSE),0)</f>
        <v>84338</v>
      </c>
      <c r="BM750" s="7">
        <f>Wapato_Inventory[[#This Row],[Age]]*Lookups!$B$16</f>
        <v>-5560.1355000000003</v>
      </c>
      <c r="BN750" s="7">
        <f>Wapato_Inventory[[#This Row],[Main Floor]]*Lookups!$B$17</f>
        <v>49993.683843999999</v>
      </c>
      <c r="BO750" s="7">
        <f>Wapato_Inventory[[#This Row],[Upper Floor]]*Lookups!$B$18</f>
        <v>0</v>
      </c>
      <c r="BP750" s="7">
        <f>Wapato_Inventory[[#This Row],[Fin BSMT]]*Lookups!$B$19</f>
        <v>0</v>
      </c>
      <c r="BQ750" s="7">
        <f>(Wapato_Inventory[[#This Row],[att_gar]]+Wapato_Inventory[[#This Row],[blt_gar]])*Lookups!$B$20</f>
        <v>0</v>
      </c>
      <c r="BR750" s="7">
        <f>Wapato_Inventory[[#This Row],[Patio]]*Lookups!$B$21</f>
        <v>0</v>
      </c>
      <c r="BS750" s="7">
        <f>SUM(Wapato_Inventory[[#This Row],[intercept]:[patio_value]])*Wapato_Inventory[[#This Row],[res_pct]]</f>
        <v>230579.81834399997</v>
      </c>
      <c r="BT750" s="7">
        <f>Wapato_Inventory[[#This Row],[land_value]]</f>
        <v>52800</v>
      </c>
      <c r="BU750" s="2">
        <f>_xlfn.IFNA(VLOOKUP(Wapato_Inventory[[#This Row],[quality]],Lookups!$A$28:$C$37,3,FALSE),1)</f>
        <v>0.98196844879778955</v>
      </c>
      <c r="BV750" s="2">
        <f>_xlfn.IFNA(VLOOKUP(Wapato_Inventory[[#This Row],[condition]],Lookups!$A$41:$C$48,3,FALSE),1)</f>
        <v>0.99478075210508476</v>
      </c>
      <c r="BW750" s="2">
        <f>IF(Wapato_Inventory[[#This Row],[decade]]="",1,_xlfn.IFNA(VLOOKUP(Wapato_Inventory[[#This Row],[decade]],Lookups!$F$28:$H$45,3,FALSE),1))</f>
        <v>1.0658609603367226</v>
      </c>
      <c r="BX750" s="2">
        <f>_xlfn.IFNA(VLOOKUP(Wapato_Inventory[[#This Row],[living_area_range]],Lookups!$K$28:$M$37,3,FALSE),1)</f>
        <v>1.0061411172456287</v>
      </c>
      <c r="BY750" s="2">
        <f>AVERAGE(Wapato_Inventory[[#This Row],[qual_adj]:[range_adj]])</f>
        <v>1.0121878196213063</v>
      </c>
      <c r="BZ750" s="7">
        <f>(Wapato_Inventory[[#This Row],[sum_land]]-IF(Wapato_Inventory[[#This Row],[no_utilities]]=1,12000,0))/IF(Wapato_Inventory[[#This Row],[unbuildable]]=1,2,1)</f>
        <v>52800</v>
      </c>
      <c r="CA750" s="7">
        <f>Wapato_Inventory[[#This Row],[pre_res]]*Wapato_Inventory[[#This Row],[overall_adj]]</f>
        <v>233390.08357829021</v>
      </c>
      <c r="CB750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50" s="3">
        <f>IF(ROUND(Wapato_Inventory[[#This Row],[adj_res]]*Lookups!$H$48,-2)&lt;Wapato_Inventory[[#This Row],[min_res]],Wapato_Inventory[[#This Row],[min_res]],ROUND(Wapato_Inventory[[#This Row],[adj_res]]*Lookups!$H$48,-2))</f>
        <v>221700</v>
      </c>
      <c r="CD750" s="3">
        <f>ROUND(Wapato_Inventory[[#This Row],[det_value]]*Lookups!$H$48,-2)</f>
        <v>6900</v>
      </c>
      <c r="CE750" s="3">
        <f>Wapato_Inventory[[#This Row],[final_res]]+Wapato_Inventory[[#This Row],[final_det]]</f>
        <v>228600</v>
      </c>
      <c r="CF750" s="3">
        <f>Wapato_Inventory[[#This Row],[crop_value]]+Wapato_Inventory[[#This Row],[final_land]]+Wapato_Inventory[[#This Row],[final_imp]]</f>
        <v>278800</v>
      </c>
      <c r="CH750" t="str">
        <f t="shared" si="11"/>
        <v>update valuation set market_land =50200, market_bldg=228600, market_total =278800, market_mdno =405, market_date ='9/10/2023' where link_id = (select link_id from parcel where parcel_year = '2024' and parcel_id = '19111513576');</v>
      </c>
    </row>
    <row r="751" spans="1:86" x14ac:dyDescent="0.25">
      <c r="A751">
        <v>19111513579</v>
      </c>
      <c r="B751">
        <v>0.14000000000000001</v>
      </c>
      <c r="C751">
        <v>5999</v>
      </c>
      <c r="D751" t="s">
        <v>144</v>
      </c>
      <c r="E751" t="s">
        <v>54</v>
      </c>
      <c r="F751" t="s">
        <v>54</v>
      </c>
      <c r="G751">
        <v>3</v>
      </c>
      <c r="H751" t="s">
        <v>55</v>
      </c>
      <c r="I751">
        <v>112000</v>
      </c>
      <c r="J751">
        <v>31900</v>
      </c>
      <c r="K751">
        <v>0.14000000000000001</v>
      </c>
      <c r="L751">
        <f>IF(Wapato_Inventory[[#This Row],[parcel_acres]]-Wapato_Inventory[[#This Row],[non_valued_acres]] =0,0,LN(Wapato_Inventory[[#This Row],[parcel_acres]]-Wapato_Inventory[[#This Row],[non_valued_acres]]))</f>
        <v>-1.9661128563728327</v>
      </c>
      <c r="M751">
        <v>0</v>
      </c>
      <c r="N751">
        <v>0</v>
      </c>
      <c r="O751">
        <v>0</v>
      </c>
      <c r="P751">
        <v>27904.037</v>
      </c>
      <c r="Q751">
        <v>74398</v>
      </c>
      <c r="R751" s="3">
        <f>(Wapato_Inventory[[#This Row],[ln_acres]]*Wapato_Inventory[[#This Row],[coeff]])+Wapato_Inventory[[#This Row],[const]]</f>
        <v>19535.514109596792</v>
      </c>
      <c r="S751" t="s">
        <v>66</v>
      </c>
      <c r="T751">
        <v>1</v>
      </c>
      <c r="U751" t="s">
        <v>71</v>
      </c>
      <c r="V751" t="s">
        <v>68</v>
      </c>
      <c r="W751">
        <v>0</v>
      </c>
      <c r="X751">
        <v>0</v>
      </c>
      <c r="Y751">
        <v>51</v>
      </c>
      <c r="Z751">
        <v>83</v>
      </c>
      <c r="AA751">
        <v>90</v>
      </c>
      <c r="AB751">
        <v>1000</v>
      </c>
      <c r="AC751">
        <v>818</v>
      </c>
      <c r="AD751">
        <v>818</v>
      </c>
      <c r="AE751">
        <v>0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5</v>
      </c>
      <c r="AQ751">
        <v>1</v>
      </c>
      <c r="AR751">
        <v>0</v>
      </c>
      <c r="AS751" t="s">
        <v>59</v>
      </c>
      <c r="AT751">
        <v>0</v>
      </c>
      <c r="AU751" t="s">
        <v>80</v>
      </c>
      <c r="AV751" t="s">
        <v>65</v>
      </c>
      <c r="AW751">
        <v>0</v>
      </c>
      <c r="AX751">
        <v>3</v>
      </c>
      <c r="AY751">
        <v>0</v>
      </c>
      <c r="AZ751">
        <v>6300</v>
      </c>
      <c r="BA751">
        <v>100</v>
      </c>
      <c r="BB751">
        <v>100</v>
      </c>
      <c r="BC751">
        <v>100</v>
      </c>
      <c r="BD751">
        <v>100</v>
      </c>
      <c r="BE751">
        <v>1</v>
      </c>
      <c r="BF751">
        <v>15000</v>
      </c>
      <c r="BG751">
        <v>1000</v>
      </c>
      <c r="BH751" s="7">
        <f>ROUND(Wapato_Inventory[[#This Row],[detatched_value]]*Lookups!$B$22*Lookups!$H$48,-2)</f>
        <v>5600</v>
      </c>
      <c r="BI751" s="7">
        <f>ROUND(((Wapato_Inventory[[#This Row],[land_extract]]*Lookups!$B$3) +(Lookups!$B$2*0.5))*Lookups!$H$48,-2)</f>
        <v>53000</v>
      </c>
      <c r="BJ751" s="7">
        <f>IF(Wapato_Inventory[[#This Row],[bldg_style]]="",0,Lookups!$B$2*0.5)</f>
        <v>53765.27</v>
      </c>
      <c r="BK751" s="7">
        <f>_xlfn.IFNA(VLOOKUP(Wapato_Inventory[[#This Row],[quality]],Lookups!$H$2:$J$14,3,FALSE),0)</f>
        <v>28034</v>
      </c>
      <c r="BL751" s="7">
        <f>_xlfn.IFNA(VLOOKUP(Wapato_Inventory[[#This Row],[condition]],Lookups!$H$17:$J$24,3,FALSE),0)</f>
        <v>52231</v>
      </c>
      <c r="BM751" s="7">
        <f>Wapato_Inventory[[#This Row],[Age]]*Lookups!$B$16</f>
        <v>-30766.0831</v>
      </c>
      <c r="BN751" s="7">
        <f>Wapato_Inventory[[#This Row],[Main Floor]]*Lookups!$B$17</f>
        <v>34193.004502000003</v>
      </c>
      <c r="BO751" s="7">
        <f>Wapato_Inventory[[#This Row],[Upper Floor]]*Lookups!$B$18</f>
        <v>0</v>
      </c>
      <c r="BP751" s="7">
        <f>Wapato_Inventory[[#This Row],[Fin BSMT]]*Lookups!$B$19</f>
        <v>0</v>
      </c>
      <c r="BQ751" s="7">
        <f>(Wapato_Inventory[[#This Row],[att_gar]]+Wapato_Inventory[[#This Row],[blt_gar]])*Lookups!$B$20</f>
        <v>0</v>
      </c>
      <c r="BR751" s="7">
        <f>Wapato_Inventory[[#This Row],[Patio]]*Lookups!$B$21</f>
        <v>0</v>
      </c>
      <c r="BS751" s="7">
        <f>SUM(Wapato_Inventory[[#This Row],[intercept]:[patio_value]])*Wapato_Inventory[[#This Row],[res_pct]]</f>
        <v>137457.191402</v>
      </c>
      <c r="BT751" s="7">
        <f>Wapato_Inventory[[#This Row],[land_value]]</f>
        <v>53000</v>
      </c>
      <c r="BU751" s="2">
        <f>_xlfn.IFNA(VLOOKUP(Wapato_Inventory[[#This Row],[quality]],Lookups!$A$28:$C$37,3,FALSE),1)</f>
        <v>0.96265813922927435</v>
      </c>
      <c r="BV751" s="2">
        <f>_xlfn.IFNA(VLOOKUP(Wapato_Inventory[[#This Row],[condition]],Lookups!$A$41:$C$48,3,FALSE),1)</f>
        <v>0.9832333997567807</v>
      </c>
      <c r="BW751" s="2">
        <f>IF(Wapato_Inventory[[#This Row],[decade]]="",1,_xlfn.IFNA(VLOOKUP(Wapato_Inventory[[#This Row],[decade]],Lookups!$F$28:$H$45,3,FALSE),1))</f>
        <v>0.94742695999815718</v>
      </c>
      <c r="BX751" s="2">
        <f>_xlfn.IFNA(VLOOKUP(Wapato_Inventory[[#This Row],[living_area_range]],Lookups!$K$28:$M$37,3,FALSE),1)</f>
        <v>0.99022994770196116</v>
      </c>
      <c r="BY751" s="2">
        <f>AVERAGE(Wapato_Inventory[[#This Row],[qual_adj]:[range_adj]])</f>
        <v>0.97088711167154329</v>
      </c>
      <c r="BZ751" s="7">
        <f>(Wapato_Inventory[[#This Row],[sum_land]]-IF(Wapato_Inventory[[#This Row],[no_utilities]]=1,12000,0))/IF(Wapato_Inventory[[#This Row],[unbuildable]]=1,2,1)</f>
        <v>53000</v>
      </c>
      <c r="CA751" s="7">
        <f>Wapato_Inventory[[#This Row],[pre_res]]*Wapato_Inventory[[#This Row],[overall_adj]]</f>
        <v>133455.41553877026</v>
      </c>
      <c r="CB75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51" s="3">
        <f>IF(ROUND(Wapato_Inventory[[#This Row],[adj_res]]*Lookups!$H$48,-2)&lt;Wapato_Inventory[[#This Row],[min_res]],Wapato_Inventory[[#This Row],[min_res]],ROUND(Wapato_Inventory[[#This Row],[adj_res]]*Lookups!$H$48,-2))</f>
        <v>126800</v>
      </c>
      <c r="CD751" s="3">
        <f>ROUND(Wapato_Inventory[[#This Row],[det_value]]*Lookups!$H$48,-2)</f>
        <v>5300</v>
      </c>
      <c r="CE751" s="3">
        <f>Wapato_Inventory[[#This Row],[final_res]]+Wapato_Inventory[[#This Row],[final_det]]</f>
        <v>132100</v>
      </c>
      <c r="CF751" s="3">
        <f>Wapato_Inventory[[#This Row],[crop_value]]+Wapato_Inventory[[#This Row],[final_land]]+Wapato_Inventory[[#This Row],[final_imp]]</f>
        <v>182500</v>
      </c>
      <c r="CH751" t="str">
        <f t="shared" si="11"/>
        <v>update valuation set market_land =50400, market_bldg=132100, market_total =182500, market_mdno =405, market_date ='9/10/2023' where link_id = (select link_id from parcel where parcel_year = '2024' and parcel_id = '19111513579');</v>
      </c>
    </row>
    <row r="752" spans="1:86" x14ac:dyDescent="0.25">
      <c r="A752">
        <v>19111513582</v>
      </c>
      <c r="B752">
        <v>0.19</v>
      </c>
      <c r="C752">
        <v>8137</v>
      </c>
      <c r="D752" t="s">
        <v>144</v>
      </c>
      <c r="E752" t="s">
        <v>54</v>
      </c>
      <c r="F752" t="s">
        <v>54</v>
      </c>
      <c r="G752">
        <v>3</v>
      </c>
      <c r="H752" t="s">
        <v>55</v>
      </c>
      <c r="I752">
        <v>225700</v>
      </c>
      <c r="J752">
        <v>34100</v>
      </c>
      <c r="K752">
        <v>0.19</v>
      </c>
      <c r="L752">
        <f>IF(Wapato_Inventory[[#This Row],[parcel_acres]]-Wapato_Inventory[[#This Row],[non_valued_acres]] =0,0,LN(Wapato_Inventory[[#This Row],[parcel_acres]]-Wapato_Inventory[[#This Row],[non_valued_acres]]))</f>
        <v>-1.6607312068216509</v>
      </c>
      <c r="M752">
        <v>0</v>
      </c>
      <c r="N752">
        <v>0</v>
      </c>
      <c r="O752">
        <v>0</v>
      </c>
      <c r="P752">
        <v>27904.037</v>
      </c>
      <c r="Q752">
        <v>74398</v>
      </c>
      <c r="R752" s="3">
        <f>(Wapato_Inventory[[#This Row],[ln_acres]]*Wapato_Inventory[[#This Row],[coeff]])+Wapato_Inventory[[#This Row],[const]]</f>
        <v>28056.894957794</v>
      </c>
      <c r="S752" t="s">
        <v>62</v>
      </c>
      <c r="T752">
        <v>1</v>
      </c>
      <c r="U752" t="s">
        <v>67</v>
      </c>
      <c r="V752" t="s">
        <v>69</v>
      </c>
      <c r="W752">
        <v>0</v>
      </c>
      <c r="X752">
        <v>0</v>
      </c>
      <c r="Y752">
        <v>25</v>
      </c>
      <c r="Z752">
        <v>25</v>
      </c>
      <c r="AA752">
        <v>30</v>
      </c>
      <c r="AB752">
        <v>1500</v>
      </c>
      <c r="AC752">
        <v>1174</v>
      </c>
      <c r="AD752">
        <v>1174</v>
      </c>
      <c r="AE752">
        <v>0</v>
      </c>
      <c r="AF752">
        <v>0</v>
      </c>
      <c r="AG752">
        <v>0</v>
      </c>
      <c r="AH752">
        <v>0</v>
      </c>
      <c r="AI752">
        <v>440</v>
      </c>
      <c r="AJ752">
        <v>0</v>
      </c>
      <c r="AK752">
        <v>0</v>
      </c>
      <c r="AL752">
        <v>0</v>
      </c>
      <c r="AM752">
        <v>56</v>
      </c>
      <c r="AN752">
        <v>24</v>
      </c>
      <c r="AO752">
        <v>0</v>
      </c>
      <c r="AP752">
        <v>8</v>
      </c>
      <c r="AQ752">
        <v>0</v>
      </c>
      <c r="AR752">
        <v>0</v>
      </c>
      <c r="AS752" t="s">
        <v>59</v>
      </c>
      <c r="AT752">
        <v>1</v>
      </c>
      <c r="AU752" t="s">
        <v>64</v>
      </c>
      <c r="AV752" t="s">
        <v>65</v>
      </c>
      <c r="AW752">
        <v>1</v>
      </c>
      <c r="AX752">
        <v>3</v>
      </c>
      <c r="AY752">
        <v>0</v>
      </c>
      <c r="AZ752">
        <v>0</v>
      </c>
      <c r="BA752">
        <v>100</v>
      </c>
      <c r="BB752">
        <v>100</v>
      </c>
      <c r="BC752">
        <v>100</v>
      </c>
      <c r="BD752">
        <v>100</v>
      </c>
      <c r="BE752">
        <v>1</v>
      </c>
      <c r="BF752">
        <v>15000</v>
      </c>
      <c r="BG752">
        <v>1000</v>
      </c>
      <c r="BH752" s="7">
        <f>ROUND(Wapato_Inventory[[#This Row],[detatched_value]]*Lookups!$B$22*Lookups!$H$48,-2)</f>
        <v>0</v>
      </c>
      <c r="BI752" s="7">
        <f>ROUND(((Wapato_Inventory[[#This Row],[land_extract]]*Lookups!$B$3) +(Lookups!$B$2*0.5))*Lookups!$H$48,-2)</f>
        <v>53800</v>
      </c>
      <c r="BJ752" s="7">
        <f>IF(Wapato_Inventory[[#This Row],[bldg_style]]="",0,Lookups!$B$2*0.5)</f>
        <v>53765.27</v>
      </c>
      <c r="BK752" s="7">
        <f>_xlfn.IFNA(VLOOKUP(Wapato_Inventory[[#This Row],[quality]],Lookups!$H$2:$J$14,3,FALSE),0)</f>
        <v>50405</v>
      </c>
      <c r="BL752" s="7">
        <f>_xlfn.IFNA(VLOOKUP(Wapato_Inventory[[#This Row],[condition]],Lookups!$H$17:$J$24,3,FALSE),0)</f>
        <v>74543</v>
      </c>
      <c r="BM752" s="7">
        <f>Wapato_Inventory[[#This Row],[Age]]*Lookups!$B$16</f>
        <v>-9266.8924999999999</v>
      </c>
      <c r="BN752" s="7">
        <f>Wapato_Inventory[[#This Row],[Main Floor]]*Lookups!$B$17</f>
        <v>49074.067585999997</v>
      </c>
      <c r="BO752" s="7">
        <f>Wapato_Inventory[[#This Row],[Upper Floor]]*Lookups!$B$18</f>
        <v>0</v>
      </c>
      <c r="BP752" s="7">
        <f>Wapato_Inventory[[#This Row],[Fin BSMT]]*Lookups!$B$19</f>
        <v>0</v>
      </c>
      <c r="BQ752" s="7">
        <f>(Wapato_Inventory[[#This Row],[att_gar]]+Wapato_Inventory[[#This Row],[blt_gar]])*Lookups!$B$20</f>
        <v>16283.85088</v>
      </c>
      <c r="BR752" s="7">
        <f>Wapato_Inventory[[#This Row],[Patio]]*Lookups!$B$21</f>
        <v>2426.142824</v>
      </c>
      <c r="BS752" s="7">
        <f>SUM(Wapato_Inventory[[#This Row],[intercept]:[patio_value]])*Wapato_Inventory[[#This Row],[res_pct]]</f>
        <v>237230.43879000001</v>
      </c>
      <c r="BT752" s="7">
        <f>Wapato_Inventory[[#This Row],[land_value]]</f>
        <v>53800</v>
      </c>
      <c r="BU752" s="2">
        <f>_xlfn.IFNA(VLOOKUP(Wapato_Inventory[[#This Row],[quality]],Lookups!$A$28:$C$37,3,FALSE),1)</f>
        <v>0.97993206410140754</v>
      </c>
      <c r="BV752" s="2">
        <f>_xlfn.IFNA(VLOOKUP(Wapato_Inventory[[#This Row],[condition]],Lookups!$A$41:$C$48,3,FALSE),1)</f>
        <v>0.98442438223270734</v>
      </c>
      <c r="BW752" s="2">
        <f>IF(Wapato_Inventory[[#This Row],[decade]]="",1,_xlfn.IFNA(VLOOKUP(Wapato_Inventory[[#This Row],[decade]],Lookups!$F$28:$H$45,3,FALSE),1))</f>
        <v>1.0490505496896987</v>
      </c>
      <c r="BX752" s="2">
        <f>_xlfn.IFNA(VLOOKUP(Wapato_Inventory[[#This Row],[living_area_range]],Lookups!$K$28:$M$37,3,FALSE),1)</f>
        <v>1.0061411172456287</v>
      </c>
      <c r="BY752" s="2">
        <f>AVERAGE(Wapato_Inventory[[#This Row],[qual_adj]:[range_adj]])</f>
        <v>1.0048870283173605</v>
      </c>
      <c r="BZ752" s="7">
        <f>(Wapato_Inventory[[#This Row],[sum_land]]-IF(Wapato_Inventory[[#This Row],[no_utilities]]=1,12000,0))/IF(Wapato_Inventory[[#This Row],[unbuildable]]=1,2,1)</f>
        <v>53800</v>
      </c>
      <c r="CA752" s="7">
        <f>Wapato_Inventory[[#This Row],[pre_res]]*Wapato_Inventory[[#This Row],[overall_adj]]</f>
        <v>238389.79066210662</v>
      </c>
      <c r="CB752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752" s="3">
        <f>IF(ROUND(Wapato_Inventory[[#This Row],[adj_res]]*Lookups!$H$48,-2)&lt;Wapato_Inventory[[#This Row],[min_res]],Wapato_Inventory[[#This Row],[min_res]],ROUND(Wapato_Inventory[[#This Row],[adj_res]]*Lookups!$H$48,-2))</f>
        <v>226500</v>
      </c>
      <c r="CD752" s="3">
        <f>ROUND(Wapato_Inventory[[#This Row],[det_value]]*Lookups!$H$48,-2)</f>
        <v>0</v>
      </c>
      <c r="CE752" s="3">
        <f>Wapato_Inventory[[#This Row],[final_res]]+Wapato_Inventory[[#This Row],[final_det]]</f>
        <v>226500</v>
      </c>
      <c r="CF752" s="3">
        <f>Wapato_Inventory[[#This Row],[crop_value]]+Wapato_Inventory[[#This Row],[final_land]]+Wapato_Inventory[[#This Row],[final_imp]]</f>
        <v>277600</v>
      </c>
      <c r="CH752" t="str">
        <f t="shared" si="11"/>
        <v>update valuation set market_land =51100, market_bldg=226500, market_total =277600, market_mdno =405, market_date ='9/10/2023' where link_id = (select link_id from parcel where parcel_year = '2024' and parcel_id = '19111513582');</v>
      </c>
    </row>
    <row r="753" spans="1:86" x14ac:dyDescent="0.25">
      <c r="A753">
        <v>19111513583</v>
      </c>
      <c r="B753">
        <v>0.2</v>
      </c>
      <c r="C753">
        <v>8510</v>
      </c>
      <c r="D753" t="s">
        <v>144</v>
      </c>
      <c r="E753" t="s">
        <v>54</v>
      </c>
      <c r="F753" t="s">
        <v>54</v>
      </c>
      <c r="G753">
        <v>3</v>
      </c>
      <c r="H753" t="s">
        <v>55</v>
      </c>
      <c r="I753">
        <v>225400</v>
      </c>
      <c r="J753">
        <v>34400</v>
      </c>
      <c r="K753">
        <v>0.2</v>
      </c>
      <c r="L753">
        <f>IF(Wapato_Inventory[[#This Row],[parcel_acres]]-Wapato_Inventory[[#This Row],[non_valued_acres]] =0,0,LN(Wapato_Inventory[[#This Row],[parcel_acres]]-Wapato_Inventory[[#This Row],[non_valued_acres]]))</f>
        <v>-1.6094379124341003</v>
      </c>
      <c r="M753">
        <v>0</v>
      </c>
      <c r="N753">
        <v>0</v>
      </c>
      <c r="O753">
        <v>0</v>
      </c>
      <c r="P753">
        <v>27904.037</v>
      </c>
      <c r="Q753">
        <v>74398</v>
      </c>
      <c r="R753" s="3">
        <f>(Wapato_Inventory[[#This Row],[ln_acres]]*Wapato_Inventory[[#This Row],[coeff]])+Wapato_Inventory[[#This Row],[const]]</f>
        <v>29488.184942236105</v>
      </c>
      <c r="S753" t="s">
        <v>62</v>
      </c>
      <c r="T753">
        <v>1</v>
      </c>
      <c r="U753" t="s">
        <v>67</v>
      </c>
      <c r="V753" t="s">
        <v>69</v>
      </c>
      <c r="W753">
        <v>0</v>
      </c>
      <c r="X753">
        <v>0</v>
      </c>
      <c r="Y753">
        <v>25</v>
      </c>
      <c r="Z753">
        <v>25</v>
      </c>
      <c r="AA753">
        <v>30</v>
      </c>
      <c r="AB753">
        <v>1500</v>
      </c>
      <c r="AC753">
        <v>1170</v>
      </c>
      <c r="AD753">
        <v>1170</v>
      </c>
      <c r="AE753">
        <v>0</v>
      </c>
      <c r="AF753">
        <v>0</v>
      </c>
      <c r="AG753">
        <v>0</v>
      </c>
      <c r="AH753">
        <v>0</v>
      </c>
      <c r="AI753">
        <v>440</v>
      </c>
      <c r="AJ753">
        <v>0</v>
      </c>
      <c r="AK753">
        <v>0</v>
      </c>
      <c r="AL753">
        <v>0</v>
      </c>
      <c r="AM753">
        <v>56</v>
      </c>
      <c r="AN753">
        <v>24</v>
      </c>
      <c r="AO753">
        <v>0</v>
      </c>
      <c r="AP753">
        <v>8</v>
      </c>
      <c r="AQ753">
        <v>0</v>
      </c>
      <c r="AR753">
        <v>0</v>
      </c>
      <c r="AS753" t="s">
        <v>59</v>
      </c>
      <c r="AT753">
        <v>1</v>
      </c>
      <c r="AU753" t="s">
        <v>64</v>
      </c>
      <c r="AV753" t="s">
        <v>65</v>
      </c>
      <c r="AW753">
        <v>1</v>
      </c>
      <c r="AX753">
        <v>3</v>
      </c>
      <c r="AY753">
        <v>0</v>
      </c>
      <c r="AZ753">
        <v>0</v>
      </c>
      <c r="BA753">
        <v>100</v>
      </c>
      <c r="BB753">
        <v>100</v>
      </c>
      <c r="BC753">
        <v>100</v>
      </c>
      <c r="BD753">
        <v>100</v>
      </c>
      <c r="BE753">
        <v>1</v>
      </c>
      <c r="BF753">
        <v>15000</v>
      </c>
      <c r="BG753">
        <v>1000</v>
      </c>
      <c r="BH753" s="7">
        <f>ROUND(Wapato_Inventory[[#This Row],[detatched_value]]*Lookups!$B$22*Lookups!$H$48,-2)</f>
        <v>0</v>
      </c>
      <c r="BI753" s="7">
        <f>ROUND(((Wapato_Inventory[[#This Row],[land_extract]]*Lookups!$B$3) +(Lookups!$B$2*0.5))*Lookups!$H$48,-2)</f>
        <v>53900</v>
      </c>
      <c r="BJ753" s="7">
        <f>IF(Wapato_Inventory[[#This Row],[bldg_style]]="",0,Lookups!$B$2*0.5)</f>
        <v>53765.27</v>
      </c>
      <c r="BK753" s="7">
        <f>_xlfn.IFNA(VLOOKUP(Wapato_Inventory[[#This Row],[quality]],Lookups!$H$2:$J$14,3,FALSE),0)</f>
        <v>50405</v>
      </c>
      <c r="BL753" s="7">
        <f>_xlfn.IFNA(VLOOKUP(Wapato_Inventory[[#This Row],[condition]],Lookups!$H$17:$J$24,3,FALSE),0)</f>
        <v>74543</v>
      </c>
      <c r="BM753" s="7">
        <f>Wapato_Inventory[[#This Row],[Age]]*Lookups!$B$16</f>
        <v>-9266.8924999999999</v>
      </c>
      <c r="BN753" s="7">
        <f>Wapato_Inventory[[#This Row],[Main Floor]]*Lookups!$B$17</f>
        <v>48906.864630000004</v>
      </c>
      <c r="BO753" s="7">
        <f>Wapato_Inventory[[#This Row],[Upper Floor]]*Lookups!$B$18</f>
        <v>0</v>
      </c>
      <c r="BP753" s="7">
        <f>Wapato_Inventory[[#This Row],[Fin BSMT]]*Lookups!$B$19</f>
        <v>0</v>
      </c>
      <c r="BQ753" s="7">
        <f>(Wapato_Inventory[[#This Row],[att_gar]]+Wapato_Inventory[[#This Row],[blt_gar]])*Lookups!$B$20</f>
        <v>16283.85088</v>
      </c>
      <c r="BR753" s="7">
        <f>Wapato_Inventory[[#This Row],[Patio]]*Lookups!$B$21</f>
        <v>2426.142824</v>
      </c>
      <c r="BS753" s="7">
        <f>SUM(Wapato_Inventory[[#This Row],[intercept]:[patio_value]])*Wapato_Inventory[[#This Row],[res_pct]]</f>
        <v>237063.23583400002</v>
      </c>
      <c r="BT753" s="7">
        <f>Wapato_Inventory[[#This Row],[land_value]]</f>
        <v>53900</v>
      </c>
      <c r="BU753" s="2">
        <f>_xlfn.IFNA(VLOOKUP(Wapato_Inventory[[#This Row],[quality]],Lookups!$A$28:$C$37,3,FALSE),1)</f>
        <v>0.97993206410140754</v>
      </c>
      <c r="BV753" s="2">
        <f>_xlfn.IFNA(VLOOKUP(Wapato_Inventory[[#This Row],[condition]],Lookups!$A$41:$C$48,3,FALSE),1)</f>
        <v>0.98442438223270734</v>
      </c>
      <c r="BW753" s="2">
        <f>IF(Wapato_Inventory[[#This Row],[decade]]="",1,_xlfn.IFNA(VLOOKUP(Wapato_Inventory[[#This Row],[decade]],Lookups!$F$28:$H$45,3,FALSE),1))</f>
        <v>1.0490505496896987</v>
      </c>
      <c r="BX753" s="2">
        <f>_xlfn.IFNA(VLOOKUP(Wapato_Inventory[[#This Row],[living_area_range]],Lookups!$K$28:$M$37,3,FALSE),1)</f>
        <v>1.0061411172456287</v>
      </c>
      <c r="BY753" s="2">
        <f>AVERAGE(Wapato_Inventory[[#This Row],[qual_adj]:[range_adj]])</f>
        <v>1.0048870283173605</v>
      </c>
      <c r="BZ753" s="7">
        <f>(Wapato_Inventory[[#This Row],[sum_land]]-IF(Wapato_Inventory[[#This Row],[no_utilities]]=1,12000,0))/IF(Wapato_Inventory[[#This Row],[unbuildable]]=1,2,1)</f>
        <v>53900</v>
      </c>
      <c r="CA753" s="7">
        <f>Wapato_Inventory[[#This Row],[pre_res]]*Wapato_Inventory[[#This Row],[overall_adj]]</f>
        <v>238221.77058052589</v>
      </c>
      <c r="CB753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753" s="3">
        <f>IF(ROUND(Wapato_Inventory[[#This Row],[adj_res]]*Lookups!$H$48,-2)&lt;Wapato_Inventory[[#This Row],[min_res]],Wapato_Inventory[[#This Row],[min_res]],ROUND(Wapato_Inventory[[#This Row],[adj_res]]*Lookups!$H$48,-2))</f>
        <v>226300</v>
      </c>
      <c r="CD753" s="3">
        <f>ROUND(Wapato_Inventory[[#This Row],[det_value]]*Lookups!$H$48,-2)</f>
        <v>0</v>
      </c>
      <c r="CE753" s="3">
        <f>Wapato_Inventory[[#This Row],[final_res]]+Wapato_Inventory[[#This Row],[final_det]]</f>
        <v>226300</v>
      </c>
      <c r="CF753" s="3">
        <f>Wapato_Inventory[[#This Row],[crop_value]]+Wapato_Inventory[[#This Row],[final_land]]+Wapato_Inventory[[#This Row],[final_imp]]</f>
        <v>277500</v>
      </c>
      <c r="CH753" t="str">
        <f t="shared" si="11"/>
        <v>update valuation set market_land =51200, market_bldg=226300, market_total =277500, market_mdno =405, market_date ='9/10/2023' where link_id = (select link_id from parcel where parcel_year = '2024' and parcel_id = '19111513583');</v>
      </c>
    </row>
    <row r="754" spans="1:86" x14ac:dyDescent="0.25">
      <c r="A754">
        <v>19111513584</v>
      </c>
      <c r="B754">
        <v>0.13</v>
      </c>
      <c r="C754">
        <v>5806</v>
      </c>
      <c r="D754" t="s">
        <v>144</v>
      </c>
      <c r="E754" t="s">
        <v>54</v>
      </c>
      <c r="F754" t="s">
        <v>54</v>
      </c>
      <c r="G754">
        <v>3</v>
      </c>
      <c r="H754" t="s">
        <v>55</v>
      </c>
      <c r="I754">
        <v>256700</v>
      </c>
      <c r="J754">
        <v>31400</v>
      </c>
      <c r="K754">
        <v>0.13</v>
      </c>
      <c r="L754">
        <f>IF(Wapato_Inventory[[#This Row],[parcel_acres]]-Wapato_Inventory[[#This Row],[non_valued_acres]] =0,0,LN(Wapato_Inventory[[#This Row],[parcel_acres]]-Wapato_Inventory[[#This Row],[non_valued_acres]]))</f>
        <v>-2.0402208285265546</v>
      </c>
      <c r="M754">
        <v>0</v>
      </c>
      <c r="N754">
        <v>0</v>
      </c>
      <c r="O754">
        <v>0</v>
      </c>
      <c r="P754">
        <v>27904.037</v>
      </c>
      <c r="Q754">
        <v>74398</v>
      </c>
      <c r="R754" s="3">
        <f>(Wapato_Inventory[[#This Row],[ln_acres]]*Wapato_Inventory[[#This Row],[coeff]])+Wapato_Inventory[[#This Row],[const]]</f>
        <v>17467.602512624362</v>
      </c>
      <c r="S754" t="s">
        <v>56</v>
      </c>
      <c r="T754">
        <v>2</v>
      </c>
      <c r="U754" t="s">
        <v>67</v>
      </c>
      <c r="V754" t="s">
        <v>70</v>
      </c>
      <c r="W754">
        <v>0</v>
      </c>
      <c r="X754">
        <v>0</v>
      </c>
      <c r="Y754">
        <v>40</v>
      </c>
      <c r="Z754">
        <v>113</v>
      </c>
      <c r="AA754">
        <v>120</v>
      </c>
      <c r="AB754">
        <v>2000</v>
      </c>
      <c r="AC754">
        <v>1653</v>
      </c>
      <c r="AD754">
        <v>1099</v>
      </c>
      <c r="AE754">
        <v>554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125</v>
      </c>
      <c r="AN754">
        <v>0</v>
      </c>
      <c r="AO754">
        <v>0</v>
      </c>
      <c r="AP754">
        <v>6</v>
      </c>
      <c r="AQ754">
        <v>0</v>
      </c>
      <c r="AR754">
        <v>1</v>
      </c>
      <c r="AS754" t="s">
        <v>59</v>
      </c>
      <c r="AT754">
        <v>1</v>
      </c>
      <c r="AU754" t="s">
        <v>60</v>
      </c>
      <c r="AV754" t="s">
        <v>61</v>
      </c>
      <c r="AW754">
        <v>1</v>
      </c>
      <c r="AX754">
        <v>3</v>
      </c>
      <c r="AY754">
        <v>0</v>
      </c>
      <c r="AZ754">
        <v>0</v>
      </c>
      <c r="BA754">
        <v>100</v>
      </c>
      <c r="BB754">
        <v>100</v>
      </c>
      <c r="BC754">
        <v>100</v>
      </c>
      <c r="BD754">
        <v>100</v>
      </c>
      <c r="BE754">
        <v>1</v>
      </c>
      <c r="BF754">
        <v>15000</v>
      </c>
      <c r="BG754">
        <v>1000</v>
      </c>
      <c r="BH754" s="7">
        <f>ROUND(Wapato_Inventory[[#This Row],[detatched_value]]*Lookups!$B$22*Lookups!$H$48,-2)</f>
        <v>0</v>
      </c>
      <c r="BI754" s="7">
        <f>ROUND(((Wapato_Inventory[[#This Row],[land_extract]]*Lookups!$B$3) +(Lookups!$B$2*0.5))*Lookups!$H$48,-2)</f>
        <v>52800</v>
      </c>
      <c r="BJ754" s="7">
        <f>IF(Wapato_Inventory[[#This Row],[bldg_style]]="",0,Lookups!$B$2*0.5)</f>
        <v>53765.27</v>
      </c>
      <c r="BK754" s="7">
        <f>_xlfn.IFNA(VLOOKUP(Wapato_Inventory[[#This Row],[quality]],Lookups!$H$2:$J$14,3,FALSE),0)</f>
        <v>50405</v>
      </c>
      <c r="BL754" s="7">
        <f>_xlfn.IFNA(VLOOKUP(Wapato_Inventory[[#This Row],[condition]],Lookups!$H$17:$J$24,3,FALSE),0)</f>
        <v>84338</v>
      </c>
      <c r="BM754" s="7">
        <f>Wapato_Inventory[[#This Row],[Age]]*Lookups!$B$16</f>
        <v>-41886.354100000004</v>
      </c>
      <c r="BN754" s="7">
        <f>Wapato_Inventory[[#This Row],[Main Floor]]*Lookups!$B$17</f>
        <v>45939.012160999999</v>
      </c>
      <c r="BO754" s="7">
        <f>Wapato_Inventory[[#This Row],[Upper Floor]]*Lookups!$B$18</f>
        <v>27479.031006000001</v>
      </c>
      <c r="BP754" s="7">
        <f>Wapato_Inventory[[#This Row],[Fin BSMT]]*Lookups!$B$19</f>
        <v>0</v>
      </c>
      <c r="BQ754" s="7">
        <f>(Wapato_Inventory[[#This Row],[att_gar]]+Wapato_Inventory[[#This Row],[blt_gar]])*Lookups!$B$20</f>
        <v>0</v>
      </c>
      <c r="BR754" s="7">
        <f>Wapato_Inventory[[#This Row],[Patio]]*Lookups!$B$21</f>
        <v>5415.4973749999999</v>
      </c>
      <c r="BS754" s="7">
        <f>SUM(Wapato_Inventory[[#This Row],[intercept]:[patio_value]])*Wapato_Inventory[[#This Row],[res_pct]]</f>
        <v>225455.456442</v>
      </c>
      <c r="BT754" s="7">
        <f>Wapato_Inventory[[#This Row],[land_value]]</f>
        <v>52800</v>
      </c>
      <c r="BU754" s="2">
        <f>_xlfn.IFNA(VLOOKUP(Wapato_Inventory[[#This Row],[quality]],Lookups!$A$28:$C$37,3,FALSE),1)</f>
        <v>0.97993206410140754</v>
      </c>
      <c r="BV754" s="2">
        <f>_xlfn.IFNA(VLOOKUP(Wapato_Inventory[[#This Row],[condition]],Lookups!$A$41:$C$48,3,FALSE),1)</f>
        <v>0.99478075210508476</v>
      </c>
      <c r="BW754" s="2">
        <f>IF(Wapato_Inventory[[#This Row],[decade]]="",1,_xlfn.IFNA(VLOOKUP(Wapato_Inventory[[#This Row],[decade]],Lookups!$F$28:$H$45,3,FALSE),1))</f>
        <v>0.93664589651353292</v>
      </c>
      <c r="BX754" s="2">
        <f>_xlfn.IFNA(VLOOKUP(Wapato_Inventory[[#This Row],[living_area_range]],Lookups!$K$28:$M$37,3,FALSE),1)</f>
        <v>0.99330894324714125</v>
      </c>
      <c r="BY754" s="2">
        <f>AVERAGE(Wapato_Inventory[[#This Row],[qual_adj]:[range_adj]])</f>
        <v>0.97616691399179156</v>
      </c>
      <c r="BZ754" s="7">
        <f>(Wapato_Inventory[[#This Row],[sum_land]]-IF(Wapato_Inventory[[#This Row],[no_utilities]]=1,12000,0))/IF(Wapato_Inventory[[#This Row],[unbuildable]]=1,2,1)</f>
        <v>52800</v>
      </c>
      <c r="CA754" s="7">
        <f>Wapato_Inventory[[#This Row],[pre_res]]*Wapato_Inventory[[#This Row],[overall_adj]]</f>
        <v>220082.15715759792</v>
      </c>
      <c r="CB754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54" s="3">
        <f>IF(ROUND(Wapato_Inventory[[#This Row],[adj_res]]*Lookups!$H$48,-2)&lt;Wapato_Inventory[[#This Row],[min_res]],Wapato_Inventory[[#This Row],[min_res]],ROUND(Wapato_Inventory[[#This Row],[adj_res]]*Lookups!$H$48,-2))</f>
        <v>209100</v>
      </c>
      <c r="CD754" s="3">
        <f>ROUND(Wapato_Inventory[[#This Row],[det_value]]*Lookups!$H$48,-2)</f>
        <v>0</v>
      </c>
      <c r="CE754" s="3">
        <f>Wapato_Inventory[[#This Row],[final_res]]+Wapato_Inventory[[#This Row],[final_det]]</f>
        <v>209100</v>
      </c>
      <c r="CF754" s="3">
        <f>Wapato_Inventory[[#This Row],[crop_value]]+Wapato_Inventory[[#This Row],[final_land]]+Wapato_Inventory[[#This Row],[final_imp]]</f>
        <v>259300</v>
      </c>
      <c r="CH754" t="str">
        <f t="shared" si="11"/>
        <v>update valuation set market_land =50200, market_bldg=209100, market_total =259300, market_mdno =405, market_date ='9/10/2023' where link_id = (select link_id from parcel where parcel_year = '2024' and parcel_id = '19111513584');</v>
      </c>
    </row>
    <row r="755" spans="1:86" x14ac:dyDescent="0.25">
      <c r="A755">
        <v>19111513585</v>
      </c>
      <c r="B755">
        <v>0.13</v>
      </c>
      <c r="C755">
        <v>5823</v>
      </c>
      <c r="D755" t="s">
        <v>144</v>
      </c>
      <c r="E755" t="s">
        <v>54</v>
      </c>
      <c r="F755" t="s">
        <v>54</v>
      </c>
      <c r="G755">
        <v>3</v>
      </c>
      <c r="H755" t="s">
        <v>55</v>
      </c>
      <c r="I755">
        <v>275500</v>
      </c>
      <c r="J755">
        <v>31400</v>
      </c>
      <c r="K755">
        <v>0.13</v>
      </c>
      <c r="L755">
        <f>IF(Wapato_Inventory[[#This Row],[parcel_acres]]-Wapato_Inventory[[#This Row],[non_valued_acres]] =0,0,LN(Wapato_Inventory[[#This Row],[parcel_acres]]-Wapato_Inventory[[#This Row],[non_valued_acres]]))</f>
        <v>-2.0402208285265546</v>
      </c>
      <c r="M755">
        <v>0</v>
      </c>
      <c r="N755">
        <v>0</v>
      </c>
      <c r="O755">
        <v>0</v>
      </c>
      <c r="P755">
        <v>27904.037</v>
      </c>
      <c r="Q755">
        <v>74398</v>
      </c>
      <c r="R755" s="3">
        <f>(Wapato_Inventory[[#This Row],[ln_acres]]*Wapato_Inventory[[#This Row],[coeff]])+Wapato_Inventory[[#This Row],[const]]</f>
        <v>17467.602512624362</v>
      </c>
      <c r="S755" t="s">
        <v>56</v>
      </c>
      <c r="T755">
        <v>1</v>
      </c>
      <c r="U755" t="s">
        <v>67</v>
      </c>
      <c r="V755" t="s">
        <v>70</v>
      </c>
      <c r="W755">
        <v>0</v>
      </c>
      <c r="X755">
        <v>0</v>
      </c>
      <c r="Y755">
        <v>14</v>
      </c>
      <c r="Z755">
        <v>14</v>
      </c>
      <c r="AA755">
        <v>20</v>
      </c>
      <c r="AB755">
        <v>1500</v>
      </c>
      <c r="AC755">
        <v>1260</v>
      </c>
      <c r="AD755">
        <v>1260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180</v>
      </c>
      <c r="AO755">
        <v>180</v>
      </c>
      <c r="AP755">
        <v>8</v>
      </c>
      <c r="AQ755">
        <v>0</v>
      </c>
      <c r="AR755">
        <v>0</v>
      </c>
      <c r="AS755" t="s">
        <v>59</v>
      </c>
      <c r="AT755">
        <v>1</v>
      </c>
      <c r="AU755" t="s">
        <v>60</v>
      </c>
      <c r="AV755" t="s">
        <v>61</v>
      </c>
      <c r="AW755">
        <v>1</v>
      </c>
      <c r="AX755">
        <v>3</v>
      </c>
      <c r="AY755">
        <v>0</v>
      </c>
      <c r="AZ755">
        <v>0</v>
      </c>
      <c r="BA755">
        <v>100</v>
      </c>
      <c r="BB755">
        <v>100</v>
      </c>
      <c r="BC755">
        <v>100</v>
      </c>
      <c r="BD755">
        <v>100</v>
      </c>
      <c r="BE755">
        <v>1</v>
      </c>
      <c r="BF755">
        <v>15000</v>
      </c>
      <c r="BG755">
        <v>1000</v>
      </c>
      <c r="BH755" s="7">
        <f>ROUND(Wapato_Inventory[[#This Row],[detatched_value]]*Lookups!$B$22*Lookups!$H$48,-2)</f>
        <v>0</v>
      </c>
      <c r="BI755" s="7">
        <f>ROUND(((Wapato_Inventory[[#This Row],[land_extract]]*Lookups!$B$3) +(Lookups!$B$2*0.5))*Lookups!$H$48,-2)</f>
        <v>52800</v>
      </c>
      <c r="BJ755" s="7">
        <f>IF(Wapato_Inventory[[#This Row],[bldg_style]]="",0,Lookups!$B$2*0.5)</f>
        <v>53765.27</v>
      </c>
      <c r="BK755" s="7">
        <f>_xlfn.IFNA(VLOOKUP(Wapato_Inventory[[#This Row],[quality]],Lookups!$H$2:$J$14,3,FALSE),0)</f>
        <v>50405</v>
      </c>
      <c r="BL755" s="7">
        <f>_xlfn.IFNA(VLOOKUP(Wapato_Inventory[[#This Row],[condition]],Lookups!$H$17:$J$24,3,FALSE),0)</f>
        <v>84338</v>
      </c>
      <c r="BM755" s="7">
        <f>Wapato_Inventory[[#This Row],[Age]]*Lookups!$B$16</f>
        <v>-5189.4598000000005</v>
      </c>
      <c r="BN755" s="7">
        <f>Wapato_Inventory[[#This Row],[Main Floor]]*Lookups!$B$17</f>
        <v>52668.931140000001</v>
      </c>
      <c r="BO755" s="7">
        <f>Wapato_Inventory[[#This Row],[Upper Floor]]*Lookups!$B$18</f>
        <v>0</v>
      </c>
      <c r="BP755" s="7">
        <f>Wapato_Inventory[[#This Row],[Fin BSMT]]*Lookups!$B$19</f>
        <v>0</v>
      </c>
      <c r="BQ755" s="7">
        <f>(Wapato_Inventory[[#This Row],[att_gar]]+Wapato_Inventory[[#This Row],[blt_gar]])*Lookups!$B$20</f>
        <v>0</v>
      </c>
      <c r="BR755" s="7">
        <f>Wapato_Inventory[[#This Row],[Patio]]*Lookups!$B$21</f>
        <v>0</v>
      </c>
      <c r="BS755" s="7">
        <f>SUM(Wapato_Inventory[[#This Row],[intercept]:[patio_value]])*Wapato_Inventory[[#This Row],[res_pct]]</f>
        <v>235987.74133999998</v>
      </c>
      <c r="BT755" s="7">
        <f>Wapato_Inventory[[#This Row],[land_value]]</f>
        <v>52800</v>
      </c>
      <c r="BU755" s="2">
        <f>_xlfn.IFNA(VLOOKUP(Wapato_Inventory[[#This Row],[quality]],Lookups!$A$28:$C$37,3,FALSE),1)</f>
        <v>0.97993206410140754</v>
      </c>
      <c r="BV755" s="2">
        <f>_xlfn.IFNA(VLOOKUP(Wapato_Inventory[[#This Row],[condition]],Lookups!$A$41:$C$48,3,FALSE),1)</f>
        <v>0.99478075210508476</v>
      </c>
      <c r="BW755" s="2">
        <f>IF(Wapato_Inventory[[#This Row],[decade]]="",1,_xlfn.IFNA(VLOOKUP(Wapato_Inventory[[#This Row],[decade]],Lookups!$F$28:$H$45,3,FALSE),1))</f>
        <v>1.0658609603367226</v>
      </c>
      <c r="BX755" s="2">
        <f>_xlfn.IFNA(VLOOKUP(Wapato_Inventory[[#This Row],[living_area_range]],Lookups!$K$28:$M$37,3,FALSE),1)</f>
        <v>1.0061411172456287</v>
      </c>
      <c r="BY755" s="2">
        <f>AVERAGE(Wapato_Inventory[[#This Row],[qual_adj]:[range_adj]])</f>
        <v>1.0116787234472109</v>
      </c>
      <c r="BZ755" s="7">
        <f>(Wapato_Inventory[[#This Row],[sum_land]]-IF(Wapato_Inventory[[#This Row],[no_utilities]]=1,12000,0))/IF(Wapato_Inventory[[#This Row],[unbuildable]]=1,2,1)</f>
        <v>52800</v>
      </c>
      <c r="CA755" s="7">
        <f>Wapato_Inventory[[#This Row],[pre_res]]*Wapato_Inventory[[#This Row],[overall_adj]]</f>
        <v>238743.77690804176</v>
      </c>
      <c r="CB755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55" s="3">
        <f>IF(ROUND(Wapato_Inventory[[#This Row],[adj_res]]*Lookups!$H$48,-2)&lt;Wapato_Inventory[[#This Row],[min_res]],Wapato_Inventory[[#This Row],[min_res]],ROUND(Wapato_Inventory[[#This Row],[adj_res]]*Lookups!$H$48,-2))</f>
        <v>226800</v>
      </c>
      <c r="CD755" s="3">
        <f>ROUND(Wapato_Inventory[[#This Row],[det_value]]*Lookups!$H$48,-2)</f>
        <v>0</v>
      </c>
      <c r="CE755" s="3">
        <f>Wapato_Inventory[[#This Row],[final_res]]+Wapato_Inventory[[#This Row],[final_det]]</f>
        <v>226800</v>
      </c>
      <c r="CF755" s="3">
        <f>Wapato_Inventory[[#This Row],[crop_value]]+Wapato_Inventory[[#This Row],[final_land]]+Wapato_Inventory[[#This Row],[final_imp]]</f>
        <v>277000</v>
      </c>
      <c r="CH755" t="str">
        <f t="shared" si="11"/>
        <v>update valuation set market_land =50200, market_bldg=226800, market_total =277000, market_mdno =405, market_date ='9/10/2023' where link_id = (select link_id from parcel where parcel_year = '2024' and parcel_id = '19111513585');</v>
      </c>
    </row>
    <row r="756" spans="1:86" x14ac:dyDescent="0.25">
      <c r="A756">
        <v>19111514402</v>
      </c>
      <c r="B756">
        <v>0.14000000000000001</v>
      </c>
      <c r="C756">
        <v>6100</v>
      </c>
      <c r="D756" t="s">
        <v>144</v>
      </c>
      <c r="E756" t="s">
        <v>54</v>
      </c>
      <c r="F756" t="s">
        <v>54</v>
      </c>
      <c r="G756">
        <v>3</v>
      </c>
      <c r="H756" t="s">
        <v>55</v>
      </c>
      <c r="I756">
        <v>198900</v>
      </c>
      <c r="J756">
        <v>31900</v>
      </c>
      <c r="K756">
        <v>0.14000000000000001</v>
      </c>
      <c r="L756">
        <f>IF(Wapato_Inventory[[#This Row],[parcel_acres]]-Wapato_Inventory[[#This Row],[non_valued_acres]] =0,0,LN(Wapato_Inventory[[#This Row],[parcel_acres]]-Wapato_Inventory[[#This Row],[non_valued_acres]]))</f>
        <v>-1.9661128563728327</v>
      </c>
      <c r="M756">
        <v>0</v>
      </c>
      <c r="N756">
        <v>0</v>
      </c>
      <c r="O756">
        <v>0</v>
      </c>
      <c r="P756">
        <v>27904.037</v>
      </c>
      <c r="Q756">
        <v>74398</v>
      </c>
      <c r="R756" s="3">
        <f>(Wapato_Inventory[[#This Row],[ln_acres]]*Wapato_Inventory[[#This Row],[coeff]])+Wapato_Inventory[[#This Row],[const]]</f>
        <v>19535.514109596792</v>
      </c>
      <c r="S756" t="s">
        <v>66</v>
      </c>
      <c r="T756">
        <v>1</v>
      </c>
      <c r="U756" t="s">
        <v>75</v>
      </c>
      <c r="V756" t="s">
        <v>69</v>
      </c>
      <c r="W756">
        <v>0</v>
      </c>
      <c r="X756">
        <v>0</v>
      </c>
      <c r="Y756">
        <v>52</v>
      </c>
      <c r="Z756">
        <v>88</v>
      </c>
      <c r="AA756">
        <v>90</v>
      </c>
      <c r="AB756">
        <v>2000</v>
      </c>
      <c r="AC756">
        <v>1540</v>
      </c>
      <c r="AD756">
        <v>1140</v>
      </c>
      <c r="AE756">
        <v>0</v>
      </c>
      <c r="AF756">
        <v>0</v>
      </c>
      <c r="AG756">
        <v>400</v>
      </c>
      <c r="AH756">
        <v>416</v>
      </c>
      <c r="AI756">
        <v>0</v>
      </c>
      <c r="AJ756">
        <v>0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5</v>
      </c>
      <c r="AQ756">
        <v>0</v>
      </c>
      <c r="AR756">
        <v>1</v>
      </c>
      <c r="AS756" t="s">
        <v>59</v>
      </c>
      <c r="AT756">
        <v>1</v>
      </c>
      <c r="AU756" t="s">
        <v>76</v>
      </c>
      <c r="AV756" t="s">
        <v>61</v>
      </c>
      <c r="AW756">
        <v>0</v>
      </c>
      <c r="AX756">
        <v>2</v>
      </c>
      <c r="AY756">
        <v>0</v>
      </c>
      <c r="AZ756">
        <v>7300</v>
      </c>
      <c r="BA756">
        <v>100</v>
      </c>
      <c r="BB756">
        <v>100</v>
      </c>
      <c r="BC756">
        <v>100</v>
      </c>
      <c r="BD756">
        <v>100</v>
      </c>
      <c r="BE756">
        <v>1</v>
      </c>
      <c r="BF756">
        <v>15000</v>
      </c>
      <c r="BG756">
        <v>1000</v>
      </c>
      <c r="BH756" s="7">
        <f>ROUND(Wapato_Inventory[[#This Row],[detatched_value]]*Lookups!$B$22*Lookups!$H$48,-2)</f>
        <v>6500</v>
      </c>
      <c r="BI756" s="7">
        <f>ROUND(((Wapato_Inventory[[#This Row],[land_extract]]*Lookups!$B$3) +(Lookups!$B$2*0.5))*Lookups!$H$48,-2)</f>
        <v>53000</v>
      </c>
      <c r="BJ756" s="7">
        <f>IF(Wapato_Inventory[[#This Row],[bldg_style]]="",0,Lookups!$B$2*0.5)</f>
        <v>53765.27</v>
      </c>
      <c r="BK756" s="7">
        <f>_xlfn.IFNA(VLOOKUP(Wapato_Inventory[[#This Row],[quality]],Lookups!$H$2:$J$14,3,FALSE),0)</f>
        <v>48043</v>
      </c>
      <c r="BL756" s="7">
        <f>_xlfn.IFNA(VLOOKUP(Wapato_Inventory[[#This Row],[condition]],Lookups!$H$17:$J$24,3,FALSE),0)</f>
        <v>74543</v>
      </c>
      <c r="BM756" s="7">
        <f>Wapato_Inventory[[#This Row],[Age]]*Lookups!$B$16</f>
        <v>-32619.461600000002</v>
      </c>
      <c r="BN756" s="7">
        <f>Wapato_Inventory[[#This Row],[Main Floor]]*Lookups!$B$17</f>
        <v>47652.84246</v>
      </c>
      <c r="BO756" s="7">
        <f>Wapato_Inventory[[#This Row],[Upper Floor]]*Lookups!$B$18</f>
        <v>0</v>
      </c>
      <c r="BP756" s="7">
        <f>Wapato_Inventory[[#This Row],[Fin BSMT]]*Lookups!$B$19</f>
        <v>9746.6959999999999</v>
      </c>
      <c r="BQ756" s="7">
        <f>(Wapato_Inventory[[#This Row],[att_gar]]+Wapato_Inventory[[#This Row],[blt_gar]])*Lookups!$B$20</f>
        <v>0</v>
      </c>
      <c r="BR756" s="7">
        <f>Wapato_Inventory[[#This Row],[Patio]]*Lookups!$B$21</f>
        <v>0</v>
      </c>
      <c r="BS756" s="7">
        <f>SUM(Wapato_Inventory[[#This Row],[intercept]:[patio_value]])*Wapato_Inventory[[#This Row],[res_pct]]</f>
        <v>201131.34685999999</v>
      </c>
      <c r="BT756" s="7">
        <f>Wapato_Inventory[[#This Row],[land_value]]</f>
        <v>53000</v>
      </c>
      <c r="BU756" s="2">
        <f>_xlfn.IFNA(VLOOKUP(Wapato_Inventory[[#This Row],[quality]],Lookups!$A$28:$C$37,3,FALSE),1)</f>
        <v>0.98196844879778955</v>
      </c>
      <c r="BV756" s="2">
        <f>_xlfn.IFNA(VLOOKUP(Wapato_Inventory[[#This Row],[condition]],Lookups!$A$41:$C$48,3,FALSE),1)</f>
        <v>0.98442438223270734</v>
      </c>
      <c r="BW756" s="2">
        <f>IF(Wapato_Inventory[[#This Row],[decade]]="",1,_xlfn.IFNA(VLOOKUP(Wapato_Inventory[[#This Row],[decade]],Lookups!$F$28:$H$45,3,FALSE),1))</f>
        <v>0.94742695999815718</v>
      </c>
      <c r="BX756" s="2">
        <f>_xlfn.IFNA(VLOOKUP(Wapato_Inventory[[#This Row],[living_area_range]],Lookups!$K$28:$M$37,3,FALSE),1)</f>
        <v>0.99330894324714125</v>
      </c>
      <c r="BY756" s="2">
        <f>AVERAGE(Wapato_Inventory[[#This Row],[qual_adj]:[range_adj]])</f>
        <v>0.97678218356894875</v>
      </c>
      <c r="BZ756" s="7">
        <f>(Wapato_Inventory[[#This Row],[sum_land]]-IF(Wapato_Inventory[[#This Row],[no_utilities]]=1,12000,0))/IF(Wapato_Inventory[[#This Row],[unbuildable]]=1,2,1)</f>
        <v>53000</v>
      </c>
      <c r="CA756" s="7">
        <f>Wapato_Inventory[[#This Row],[pre_res]]*Wapato_Inventory[[#This Row],[overall_adj]]</f>
        <v>196461.51617007441</v>
      </c>
      <c r="CB75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56" s="3">
        <f>IF(ROUND(Wapato_Inventory[[#This Row],[adj_res]]*Lookups!$H$48,-2)&lt;Wapato_Inventory[[#This Row],[min_res]],Wapato_Inventory[[#This Row],[min_res]],ROUND(Wapato_Inventory[[#This Row],[adj_res]]*Lookups!$H$48,-2))</f>
        <v>186600</v>
      </c>
      <c r="CD756" s="3">
        <f>ROUND(Wapato_Inventory[[#This Row],[det_value]]*Lookups!$H$48,-2)</f>
        <v>6200</v>
      </c>
      <c r="CE756" s="3">
        <f>Wapato_Inventory[[#This Row],[final_res]]+Wapato_Inventory[[#This Row],[final_det]]</f>
        <v>192800</v>
      </c>
      <c r="CF756" s="3">
        <f>Wapato_Inventory[[#This Row],[crop_value]]+Wapato_Inventory[[#This Row],[final_land]]+Wapato_Inventory[[#This Row],[final_imp]]</f>
        <v>243200</v>
      </c>
      <c r="CH756" t="str">
        <f t="shared" si="11"/>
        <v>update valuation set market_land =50400, market_bldg=192800, market_total =243200, market_mdno =405, market_date ='9/10/2023' where link_id = (select link_id from parcel where parcel_year = '2024' and parcel_id = '19111514402');</v>
      </c>
    </row>
    <row r="757" spans="1:86" x14ac:dyDescent="0.25">
      <c r="A757">
        <v>19111514403</v>
      </c>
      <c r="B757">
        <v>0.13</v>
      </c>
      <c r="C757">
        <v>5712</v>
      </c>
      <c r="D757" t="s">
        <v>144</v>
      </c>
      <c r="E757" t="s">
        <v>54</v>
      </c>
      <c r="F757" t="s">
        <v>54</v>
      </c>
      <c r="G757">
        <v>3</v>
      </c>
      <c r="H757" t="s">
        <v>55</v>
      </c>
      <c r="I757">
        <v>219700</v>
      </c>
      <c r="J757">
        <v>31400</v>
      </c>
      <c r="K757">
        <v>0.13</v>
      </c>
      <c r="L757">
        <f>IF(Wapato_Inventory[[#This Row],[parcel_acres]]-Wapato_Inventory[[#This Row],[non_valued_acres]] =0,0,LN(Wapato_Inventory[[#This Row],[parcel_acres]]-Wapato_Inventory[[#This Row],[non_valued_acres]]))</f>
        <v>-2.0402208285265546</v>
      </c>
      <c r="M757">
        <v>0</v>
      </c>
      <c r="N757">
        <v>0</v>
      </c>
      <c r="O757">
        <v>0</v>
      </c>
      <c r="P757">
        <v>27904.037</v>
      </c>
      <c r="Q757">
        <v>74398</v>
      </c>
      <c r="R757" s="3">
        <f>(Wapato_Inventory[[#This Row],[ln_acres]]*Wapato_Inventory[[#This Row],[coeff]])+Wapato_Inventory[[#This Row],[const]]</f>
        <v>17467.602512624362</v>
      </c>
      <c r="S757" t="s">
        <v>56</v>
      </c>
      <c r="T757">
        <v>2</v>
      </c>
      <c r="U757" t="s">
        <v>75</v>
      </c>
      <c r="V757" t="s">
        <v>68</v>
      </c>
      <c r="W757">
        <v>0</v>
      </c>
      <c r="X757">
        <v>0</v>
      </c>
      <c r="Y757">
        <v>55</v>
      </c>
      <c r="Z757">
        <v>98</v>
      </c>
      <c r="AA757">
        <v>100</v>
      </c>
      <c r="AB757">
        <v>2500</v>
      </c>
      <c r="AC757">
        <v>2408</v>
      </c>
      <c r="AD757">
        <v>1448</v>
      </c>
      <c r="AE757">
        <v>960</v>
      </c>
      <c r="AF757">
        <v>0</v>
      </c>
      <c r="AG757">
        <v>0</v>
      </c>
      <c r="AH757">
        <v>0</v>
      </c>
      <c r="AI757">
        <v>0</v>
      </c>
      <c r="AJ757">
        <v>576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8</v>
      </c>
      <c r="AQ757">
        <v>0</v>
      </c>
      <c r="AR757">
        <v>0</v>
      </c>
      <c r="AS757" t="s">
        <v>59</v>
      </c>
      <c r="AT757">
        <v>1</v>
      </c>
      <c r="AU757" t="s">
        <v>72</v>
      </c>
      <c r="AV757" t="s">
        <v>65</v>
      </c>
      <c r="AW757">
        <v>0</v>
      </c>
      <c r="AX757">
        <v>3</v>
      </c>
      <c r="AY757">
        <v>0</v>
      </c>
      <c r="AZ757">
        <v>0</v>
      </c>
      <c r="BA757">
        <v>100</v>
      </c>
      <c r="BB757">
        <v>100</v>
      </c>
      <c r="BC757">
        <v>100</v>
      </c>
      <c r="BD757">
        <v>100</v>
      </c>
      <c r="BE757">
        <v>1</v>
      </c>
      <c r="BF757">
        <v>15000</v>
      </c>
      <c r="BG757">
        <v>1000</v>
      </c>
      <c r="BH757" s="7">
        <f>ROUND(Wapato_Inventory[[#This Row],[detatched_value]]*Lookups!$B$22*Lookups!$H$48,-2)</f>
        <v>0</v>
      </c>
      <c r="BI757" s="7">
        <f>ROUND(((Wapato_Inventory[[#This Row],[land_extract]]*Lookups!$B$3) +(Lookups!$B$2*0.5))*Lookups!$H$48,-2)</f>
        <v>52800</v>
      </c>
      <c r="BJ757" s="7">
        <f>IF(Wapato_Inventory[[#This Row],[bldg_style]]="",0,Lookups!$B$2*0.5)</f>
        <v>53765.27</v>
      </c>
      <c r="BK757" s="7">
        <f>_xlfn.IFNA(VLOOKUP(Wapato_Inventory[[#This Row],[quality]],Lookups!$H$2:$J$14,3,FALSE),0)</f>
        <v>48043</v>
      </c>
      <c r="BL757" s="7">
        <f>_xlfn.IFNA(VLOOKUP(Wapato_Inventory[[#This Row],[condition]],Lookups!$H$17:$J$24,3,FALSE),0)</f>
        <v>52231</v>
      </c>
      <c r="BM757" s="7">
        <f>Wapato_Inventory[[#This Row],[Age]]*Lookups!$B$16</f>
        <v>-36326.2186</v>
      </c>
      <c r="BN757" s="7">
        <f>Wapato_Inventory[[#This Row],[Main Floor]]*Lookups!$B$17</f>
        <v>60527.470072000004</v>
      </c>
      <c r="BO757" s="7">
        <f>Wapato_Inventory[[#This Row],[Upper Floor]]*Lookups!$B$18</f>
        <v>47617.093440000004</v>
      </c>
      <c r="BP757" s="7">
        <f>Wapato_Inventory[[#This Row],[Fin BSMT]]*Lookups!$B$19</f>
        <v>0</v>
      </c>
      <c r="BQ757" s="7">
        <f>(Wapato_Inventory[[#This Row],[att_gar]]+Wapato_Inventory[[#This Row],[blt_gar]])*Lookups!$B$20</f>
        <v>21317.041152000002</v>
      </c>
      <c r="BR757" s="7">
        <f>Wapato_Inventory[[#This Row],[Patio]]*Lookups!$B$21</f>
        <v>0</v>
      </c>
      <c r="BS757" s="7">
        <f>SUM(Wapato_Inventory[[#This Row],[intercept]:[patio_value]])*Wapato_Inventory[[#This Row],[res_pct]]</f>
        <v>247174.65606399998</v>
      </c>
      <c r="BT757" s="7">
        <f>Wapato_Inventory[[#This Row],[land_value]]</f>
        <v>52800</v>
      </c>
      <c r="BU757" s="2">
        <f>_xlfn.IFNA(VLOOKUP(Wapato_Inventory[[#This Row],[quality]],Lookups!$A$28:$C$37,3,FALSE),1)</f>
        <v>0.98196844879778955</v>
      </c>
      <c r="BV757" s="2">
        <f>_xlfn.IFNA(VLOOKUP(Wapato_Inventory[[#This Row],[condition]],Lookups!$A$41:$C$48,3,FALSE),1)</f>
        <v>0.9832333997567807</v>
      </c>
      <c r="BW757" s="2">
        <f>IF(Wapato_Inventory[[#This Row],[decade]]="",1,_xlfn.IFNA(VLOOKUP(Wapato_Inventory[[#This Row],[decade]],Lookups!$F$28:$H$45,3,FALSE),1))</f>
        <v>1.0114203040664467</v>
      </c>
      <c r="BX757" s="2">
        <f>_xlfn.IFNA(VLOOKUP(Wapato_Inventory[[#This Row],[living_area_range]],Lookups!$K$28:$M$37,3,FALSE),1)</f>
        <v>0.90813907160181651</v>
      </c>
      <c r="BY757" s="2">
        <f>AVERAGE(Wapato_Inventory[[#This Row],[qual_adj]:[range_adj]])</f>
        <v>0.97119030605570833</v>
      </c>
      <c r="BZ757" s="7">
        <f>(Wapato_Inventory[[#This Row],[sum_land]]-IF(Wapato_Inventory[[#This Row],[no_utilities]]=1,12000,0))/IF(Wapato_Inventory[[#This Row],[unbuildable]]=1,2,1)</f>
        <v>52800</v>
      </c>
      <c r="CA757" s="7">
        <f>Wapato_Inventory[[#This Row],[pre_res]]*Wapato_Inventory[[#This Row],[overall_adj]]</f>
        <v>240053.62987201058</v>
      </c>
      <c r="CB75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57" s="3">
        <f>IF(ROUND(Wapato_Inventory[[#This Row],[adj_res]]*Lookups!$H$48,-2)&lt;Wapato_Inventory[[#This Row],[min_res]],Wapato_Inventory[[#This Row],[min_res]],ROUND(Wapato_Inventory[[#This Row],[adj_res]]*Lookups!$H$48,-2))</f>
        <v>228100</v>
      </c>
      <c r="CD757" s="3">
        <f>ROUND(Wapato_Inventory[[#This Row],[det_value]]*Lookups!$H$48,-2)</f>
        <v>0</v>
      </c>
      <c r="CE757" s="3">
        <f>Wapato_Inventory[[#This Row],[final_res]]+Wapato_Inventory[[#This Row],[final_det]]</f>
        <v>228100</v>
      </c>
      <c r="CF757" s="3">
        <f>Wapato_Inventory[[#This Row],[crop_value]]+Wapato_Inventory[[#This Row],[final_land]]+Wapato_Inventory[[#This Row],[final_imp]]</f>
        <v>278300</v>
      </c>
      <c r="CH757" t="str">
        <f t="shared" si="11"/>
        <v>update valuation set market_land =50200, market_bldg=228100, market_total =278300, market_mdno =405, market_date ='9/10/2023' where link_id = (select link_id from parcel where parcel_year = '2024' and parcel_id = '19111514403');</v>
      </c>
    </row>
    <row r="758" spans="1:86" x14ac:dyDescent="0.25">
      <c r="A758">
        <v>19111514404</v>
      </c>
      <c r="B758">
        <v>0.28000000000000003</v>
      </c>
      <c r="C758">
        <v>12165</v>
      </c>
      <c r="D758" t="s">
        <v>144</v>
      </c>
      <c r="E758" t="s">
        <v>54</v>
      </c>
      <c r="F758" t="s">
        <v>54</v>
      </c>
      <c r="G758">
        <v>3</v>
      </c>
      <c r="H758" t="s">
        <v>55</v>
      </c>
      <c r="I758">
        <v>168900</v>
      </c>
      <c r="J758">
        <v>36800</v>
      </c>
      <c r="K758">
        <v>0.28000000000000003</v>
      </c>
      <c r="L758">
        <f>IF(Wapato_Inventory[[#This Row],[parcel_acres]]-Wapato_Inventory[[#This Row],[non_valued_acres]] =0,0,LN(Wapato_Inventory[[#This Row],[parcel_acres]]-Wapato_Inventory[[#This Row],[non_valued_acres]]))</f>
        <v>-1.2729656758128873</v>
      </c>
      <c r="M758">
        <v>0</v>
      </c>
      <c r="N758">
        <v>0</v>
      </c>
      <c r="O758">
        <v>0</v>
      </c>
      <c r="P758">
        <v>27904.037</v>
      </c>
      <c r="Q758">
        <v>74398</v>
      </c>
      <c r="R758" s="3">
        <f>(Wapato_Inventory[[#This Row],[ln_acres]]*Wapato_Inventory[[#This Row],[coeff]])+Wapato_Inventory[[#This Row],[const]]</f>
        <v>38877.118682387183</v>
      </c>
      <c r="S758" t="s">
        <v>66</v>
      </c>
      <c r="T758">
        <v>1</v>
      </c>
      <c r="U758" t="s">
        <v>67</v>
      </c>
      <c r="V758" t="s">
        <v>69</v>
      </c>
      <c r="W758">
        <v>0</v>
      </c>
      <c r="X758">
        <v>0</v>
      </c>
      <c r="Y758">
        <v>57</v>
      </c>
      <c r="Z758">
        <v>103</v>
      </c>
      <c r="AA758">
        <v>110</v>
      </c>
      <c r="AB758">
        <v>1500</v>
      </c>
      <c r="AC758">
        <v>1015</v>
      </c>
      <c r="AD758">
        <v>1015</v>
      </c>
      <c r="AE758">
        <v>0</v>
      </c>
      <c r="AF758">
        <v>0</v>
      </c>
      <c r="AG758">
        <v>0</v>
      </c>
      <c r="AH758">
        <v>100</v>
      </c>
      <c r="AI758">
        <v>0</v>
      </c>
      <c r="AJ758">
        <v>0</v>
      </c>
      <c r="AK758">
        <v>0</v>
      </c>
      <c r="AL758">
        <v>111</v>
      </c>
      <c r="AM758">
        <v>0</v>
      </c>
      <c r="AN758">
        <v>232</v>
      </c>
      <c r="AO758">
        <v>0</v>
      </c>
      <c r="AP758">
        <v>5</v>
      </c>
      <c r="AQ758">
        <v>0</v>
      </c>
      <c r="AR758">
        <v>0</v>
      </c>
      <c r="AS758" t="s">
        <v>59</v>
      </c>
      <c r="AT758">
        <v>1</v>
      </c>
      <c r="AU758" t="s">
        <v>72</v>
      </c>
      <c r="AV758" t="s">
        <v>61</v>
      </c>
      <c r="AW758">
        <v>0</v>
      </c>
      <c r="AX758">
        <v>2</v>
      </c>
      <c r="AY758">
        <v>0</v>
      </c>
      <c r="AZ758">
        <v>3700</v>
      </c>
      <c r="BA758">
        <v>100</v>
      </c>
      <c r="BB758">
        <v>100</v>
      </c>
      <c r="BC758">
        <v>100</v>
      </c>
      <c r="BD758">
        <v>100</v>
      </c>
      <c r="BE758">
        <v>1</v>
      </c>
      <c r="BF758">
        <v>15000</v>
      </c>
      <c r="BG758">
        <v>1000</v>
      </c>
      <c r="BH758" s="7">
        <f>ROUND(Wapato_Inventory[[#This Row],[detatched_value]]*Lookups!$B$22*Lookups!$H$48,-2)</f>
        <v>3300</v>
      </c>
      <c r="BI758" s="7">
        <f>ROUND(((Wapato_Inventory[[#This Row],[land_extract]]*Lookups!$B$3) +(Lookups!$B$2*0.5))*Lookups!$H$48,-2)</f>
        <v>54800</v>
      </c>
      <c r="BJ758" s="7">
        <f>IF(Wapato_Inventory[[#This Row],[bldg_style]]="",0,Lookups!$B$2*0.5)</f>
        <v>53765.27</v>
      </c>
      <c r="BK758" s="7">
        <f>_xlfn.IFNA(VLOOKUP(Wapato_Inventory[[#This Row],[quality]],Lookups!$H$2:$J$14,3,FALSE),0)</f>
        <v>50405</v>
      </c>
      <c r="BL758" s="7">
        <f>_xlfn.IFNA(VLOOKUP(Wapato_Inventory[[#This Row],[condition]],Lookups!$H$17:$J$24,3,FALSE),0)</f>
        <v>74543</v>
      </c>
      <c r="BM758" s="7">
        <f>Wapato_Inventory[[#This Row],[Age]]*Lookups!$B$16</f>
        <v>-38179.597099999999</v>
      </c>
      <c r="BN758" s="7">
        <f>Wapato_Inventory[[#This Row],[Main Floor]]*Lookups!$B$17</f>
        <v>42427.750085</v>
      </c>
      <c r="BO758" s="7">
        <f>Wapato_Inventory[[#This Row],[Upper Floor]]*Lookups!$B$18</f>
        <v>0</v>
      </c>
      <c r="BP758" s="7">
        <f>Wapato_Inventory[[#This Row],[Fin BSMT]]*Lookups!$B$19</f>
        <v>0</v>
      </c>
      <c r="BQ758" s="7">
        <f>(Wapato_Inventory[[#This Row],[att_gar]]+Wapato_Inventory[[#This Row],[blt_gar]])*Lookups!$B$20</f>
        <v>0</v>
      </c>
      <c r="BR758" s="7">
        <f>Wapato_Inventory[[#This Row],[Patio]]*Lookups!$B$21</f>
        <v>0</v>
      </c>
      <c r="BS758" s="7">
        <f>SUM(Wapato_Inventory[[#This Row],[intercept]:[patio_value]])*Wapato_Inventory[[#This Row],[res_pct]]</f>
        <v>182961.42298500001</v>
      </c>
      <c r="BT758" s="7">
        <f>Wapato_Inventory[[#This Row],[land_value]]</f>
        <v>54800</v>
      </c>
      <c r="BU758" s="2">
        <f>_xlfn.IFNA(VLOOKUP(Wapato_Inventory[[#This Row],[quality]],Lookups!$A$28:$C$37,3,FALSE),1)</f>
        <v>0.97993206410140754</v>
      </c>
      <c r="BV758" s="2">
        <f>_xlfn.IFNA(VLOOKUP(Wapato_Inventory[[#This Row],[condition]],Lookups!$A$41:$C$48,3,FALSE),1)</f>
        <v>0.98442438223270734</v>
      </c>
      <c r="BW758" s="2">
        <f>IF(Wapato_Inventory[[#This Row],[decade]]="",1,_xlfn.IFNA(VLOOKUP(Wapato_Inventory[[#This Row],[decade]],Lookups!$F$28:$H$45,3,FALSE),1))</f>
        <v>0.93664589651353292</v>
      </c>
      <c r="BX758" s="2">
        <f>_xlfn.IFNA(VLOOKUP(Wapato_Inventory[[#This Row],[living_area_range]],Lookups!$K$28:$M$37,3,FALSE),1)</f>
        <v>1.0061411172456287</v>
      </c>
      <c r="BY758" s="2">
        <f>AVERAGE(Wapato_Inventory[[#This Row],[qual_adj]:[range_adj]])</f>
        <v>0.97678586502331921</v>
      </c>
      <c r="BZ758" s="7">
        <f>(Wapato_Inventory[[#This Row],[sum_land]]-IF(Wapato_Inventory[[#This Row],[no_utilities]]=1,12000,0))/IF(Wapato_Inventory[[#This Row],[unbuildable]]=1,2,1)</f>
        <v>54800</v>
      </c>
      <c r="CA758" s="7">
        <f>Wapato_Inventory[[#This Row],[pre_res]]*Wapato_Inventory[[#This Row],[overall_adj]]</f>
        <v>178714.13181630062</v>
      </c>
      <c r="CB758" s="3">
        <f>IF(ROUND(Wapato_Inventory[[#This Row],[adj_land]]*Lookups!$H$48,-2)&lt;Wapato_Inventory[[#This Row],[min_land]],Wapato_Inventory[[#This Row],[min_land]],ROUND(Wapato_Inventory[[#This Row],[adj_land]]*Lookups!$H$48,-2))</f>
        <v>52100</v>
      </c>
      <c r="CC758" s="3">
        <f>IF(ROUND(Wapato_Inventory[[#This Row],[adj_res]]*Lookups!$H$48,-2)&lt;Wapato_Inventory[[#This Row],[min_res]],Wapato_Inventory[[#This Row],[min_res]],ROUND(Wapato_Inventory[[#This Row],[adj_res]]*Lookups!$H$48,-2))</f>
        <v>169800</v>
      </c>
      <c r="CD758" s="3">
        <f>ROUND(Wapato_Inventory[[#This Row],[det_value]]*Lookups!$H$48,-2)</f>
        <v>3100</v>
      </c>
      <c r="CE758" s="3">
        <f>Wapato_Inventory[[#This Row],[final_res]]+Wapato_Inventory[[#This Row],[final_det]]</f>
        <v>172900</v>
      </c>
      <c r="CF758" s="3">
        <f>Wapato_Inventory[[#This Row],[crop_value]]+Wapato_Inventory[[#This Row],[final_land]]+Wapato_Inventory[[#This Row],[final_imp]]</f>
        <v>225000</v>
      </c>
      <c r="CH758" t="str">
        <f t="shared" si="11"/>
        <v>update valuation set market_land =52100, market_bldg=172900, market_total =225000, market_mdno =405, market_date ='9/10/2023' where link_id = (select link_id from parcel where parcel_year = '2024' and parcel_id = '19111514404');</v>
      </c>
    </row>
    <row r="759" spans="1:86" x14ac:dyDescent="0.25">
      <c r="A759">
        <v>19111514405</v>
      </c>
      <c r="B759">
        <v>0.14000000000000001</v>
      </c>
      <c r="C759">
        <v>5920</v>
      </c>
      <c r="D759" t="s">
        <v>144</v>
      </c>
      <c r="E759" t="s">
        <v>54</v>
      </c>
      <c r="F759" t="s">
        <v>54</v>
      </c>
      <c r="G759">
        <v>3</v>
      </c>
      <c r="H759" t="s">
        <v>55</v>
      </c>
      <c r="I759">
        <v>234300</v>
      </c>
      <c r="J759">
        <v>31900</v>
      </c>
      <c r="K759">
        <v>0.14000000000000001</v>
      </c>
      <c r="L759">
        <f>IF(Wapato_Inventory[[#This Row],[parcel_acres]]-Wapato_Inventory[[#This Row],[non_valued_acres]] =0,0,LN(Wapato_Inventory[[#This Row],[parcel_acres]]-Wapato_Inventory[[#This Row],[non_valued_acres]]))</f>
        <v>-1.9661128563728327</v>
      </c>
      <c r="M759">
        <v>0</v>
      </c>
      <c r="N759">
        <v>0</v>
      </c>
      <c r="O759">
        <v>0</v>
      </c>
      <c r="P759">
        <v>27904.037</v>
      </c>
      <c r="Q759">
        <v>74398</v>
      </c>
      <c r="R759" s="3">
        <f>(Wapato_Inventory[[#This Row],[ln_acres]]*Wapato_Inventory[[#This Row],[coeff]])+Wapato_Inventory[[#This Row],[const]]</f>
        <v>19535.514109596792</v>
      </c>
      <c r="S759" t="s">
        <v>66</v>
      </c>
      <c r="T759">
        <v>1</v>
      </c>
      <c r="U759" t="s">
        <v>71</v>
      </c>
      <c r="V759" t="s">
        <v>70</v>
      </c>
      <c r="W759">
        <v>0</v>
      </c>
      <c r="X759">
        <v>0</v>
      </c>
      <c r="Y759">
        <v>55</v>
      </c>
      <c r="Z759">
        <v>98</v>
      </c>
      <c r="AA759">
        <v>100</v>
      </c>
      <c r="AB759">
        <v>1500</v>
      </c>
      <c r="AC759">
        <v>1420</v>
      </c>
      <c r="AD759">
        <v>1420</v>
      </c>
      <c r="AE759">
        <v>0</v>
      </c>
      <c r="AF759">
        <v>0</v>
      </c>
      <c r="AG759">
        <v>0</v>
      </c>
      <c r="AH759">
        <v>0</v>
      </c>
      <c r="AI759">
        <v>456</v>
      </c>
      <c r="AJ759">
        <v>0</v>
      </c>
      <c r="AK759">
        <v>0</v>
      </c>
      <c r="AL759">
        <v>0</v>
      </c>
      <c r="AM759">
        <v>0</v>
      </c>
      <c r="AN759">
        <v>638</v>
      </c>
      <c r="AO759">
        <v>0</v>
      </c>
      <c r="AP759">
        <v>5</v>
      </c>
      <c r="AQ759">
        <v>0</v>
      </c>
      <c r="AR759">
        <v>0</v>
      </c>
      <c r="AS759" t="s">
        <v>59</v>
      </c>
      <c r="AT759">
        <v>1</v>
      </c>
      <c r="AU759" t="s">
        <v>76</v>
      </c>
      <c r="AV759" t="s">
        <v>61</v>
      </c>
      <c r="AW759">
        <v>0</v>
      </c>
      <c r="AX759">
        <v>2</v>
      </c>
      <c r="AY759">
        <v>0</v>
      </c>
      <c r="AZ759">
        <v>26700</v>
      </c>
      <c r="BA759">
        <v>100</v>
      </c>
      <c r="BB759">
        <v>100</v>
      </c>
      <c r="BC759">
        <v>100</v>
      </c>
      <c r="BD759">
        <v>100</v>
      </c>
      <c r="BE759">
        <v>1</v>
      </c>
      <c r="BF759">
        <v>15000</v>
      </c>
      <c r="BG759">
        <v>1000</v>
      </c>
      <c r="BH759" s="7">
        <f>ROUND(Wapato_Inventory[[#This Row],[detatched_value]]*Lookups!$B$22*Lookups!$H$48,-2)</f>
        <v>23800</v>
      </c>
      <c r="BI759" s="7">
        <f>ROUND(((Wapato_Inventory[[#This Row],[land_extract]]*Lookups!$B$3) +(Lookups!$B$2*0.5))*Lookups!$H$48,-2)</f>
        <v>53000</v>
      </c>
      <c r="BJ759" s="7">
        <f>IF(Wapato_Inventory[[#This Row],[bldg_style]]="",0,Lookups!$B$2*0.5)</f>
        <v>53765.27</v>
      </c>
      <c r="BK759" s="7">
        <f>_xlfn.IFNA(VLOOKUP(Wapato_Inventory[[#This Row],[quality]],Lookups!$H$2:$J$14,3,FALSE),0)</f>
        <v>28034</v>
      </c>
      <c r="BL759" s="7">
        <f>_xlfn.IFNA(VLOOKUP(Wapato_Inventory[[#This Row],[condition]],Lookups!$H$17:$J$24,3,FALSE),0)</f>
        <v>84338</v>
      </c>
      <c r="BM759" s="7">
        <f>Wapato_Inventory[[#This Row],[Age]]*Lookups!$B$16</f>
        <v>-36326.2186</v>
      </c>
      <c r="BN759" s="7">
        <f>Wapato_Inventory[[#This Row],[Main Floor]]*Lookups!$B$17</f>
        <v>59357.049379999997</v>
      </c>
      <c r="BO759" s="7">
        <f>Wapato_Inventory[[#This Row],[Upper Floor]]*Lookups!$B$18</f>
        <v>0</v>
      </c>
      <c r="BP759" s="7">
        <f>Wapato_Inventory[[#This Row],[Fin BSMT]]*Lookups!$B$19</f>
        <v>0</v>
      </c>
      <c r="BQ759" s="7">
        <f>(Wapato_Inventory[[#This Row],[att_gar]]+Wapato_Inventory[[#This Row],[blt_gar]])*Lookups!$B$20</f>
        <v>16875.990912000001</v>
      </c>
      <c r="BR759" s="7">
        <f>Wapato_Inventory[[#This Row],[Patio]]*Lookups!$B$21</f>
        <v>0</v>
      </c>
      <c r="BS759" s="7">
        <f>SUM(Wapato_Inventory[[#This Row],[intercept]:[patio_value]])*Wapato_Inventory[[#This Row],[res_pct]]</f>
        <v>206044.09169199999</v>
      </c>
      <c r="BT759" s="7">
        <f>Wapato_Inventory[[#This Row],[land_value]]</f>
        <v>53000</v>
      </c>
      <c r="BU759" s="2">
        <f>_xlfn.IFNA(VLOOKUP(Wapato_Inventory[[#This Row],[quality]],Lookups!$A$28:$C$37,3,FALSE),1)</f>
        <v>0.96265813922927435</v>
      </c>
      <c r="BV759" s="2">
        <f>_xlfn.IFNA(VLOOKUP(Wapato_Inventory[[#This Row],[condition]],Lookups!$A$41:$C$48,3,FALSE),1)</f>
        <v>0.99478075210508476</v>
      </c>
      <c r="BW759" s="2">
        <f>IF(Wapato_Inventory[[#This Row],[decade]]="",1,_xlfn.IFNA(VLOOKUP(Wapato_Inventory[[#This Row],[decade]],Lookups!$F$28:$H$45,3,FALSE),1))</f>
        <v>1.0114203040664467</v>
      </c>
      <c r="BX759" s="2">
        <f>_xlfn.IFNA(VLOOKUP(Wapato_Inventory[[#This Row],[living_area_range]],Lookups!$K$28:$M$37,3,FALSE),1)</f>
        <v>1.0061411172456287</v>
      </c>
      <c r="BY759" s="2">
        <f>AVERAGE(Wapato_Inventory[[#This Row],[qual_adj]:[range_adj]])</f>
        <v>0.99375007816160865</v>
      </c>
      <c r="BZ759" s="7">
        <f>(Wapato_Inventory[[#This Row],[sum_land]]-IF(Wapato_Inventory[[#This Row],[no_utilities]]=1,12000,0))/IF(Wapato_Inventory[[#This Row],[unbuildable]]=1,2,1)</f>
        <v>53000</v>
      </c>
      <c r="CA759" s="7">
        <f>Wapato_Inventory[[#This Row],[pre_res]]*Wapato_Inventory[[#This Row],[overall_adj]]</f>
        <v>204756.33222366264</v>
      </c>
      <c r="CB75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59" s="3">
        <f>IF(ROUND(Wapato_Inventory[[#This Row],[adj_res]]*Lookups!$H$48,-2)&lt;Wapato_Inventory[[#This Row],[min_res]],Wapato_Inventory[[#This Row],[min_res]],ROUND(Wapato_Inventory[[#This Row],[adj_res]]*Lookups!$H$48,-2))</f>
        <v>194500</v>
      </c>
      <c r="CD759" s="3">
        <f>ROUND(Wapato_Inventory[[#This Row],[det_value]]*Lookups!$H$48,-2)</f>
        <v>22600</v>
      </c>
      <c r="CE759" s="3">
        <f>Wapato_Inventory[[#This Row],[final_res]]+Wapato_Inventory[[#This Row],[final_det]]</f>
        <v>217100</v>
      </c>
      <c r="CF759" s="3">
        <f>Wapato_Inventory[[#This Row],[crop_value]]+Wapato_Inventory[[#This Row],[final_land]]+Wapato_Inventory[[#This Row],[final_imp]]</f>
        <v>267500</v>
      </c>
      <c r="CH759" t="str">
        <f t="shared" si="11"/>
        <v>update valuation set market_land =50400, market_bldg=217100, market_total =267500, market_mdno =405, market_date ='9/10/2023' where link_id = (select link_id from parcel where parcel_year = '2024' and parcel_id = '19111514405');</v>
      </c>
    </row>
    <row r="760" spans="1:86" x14ac:dyDescent="0.25">
      <c r="A760">
        <v>19111514406</v>
      </c>
      <c r="B760">
        <v>0.14000000000000001</v>
      </c>
      <c r="C760">
        <v>6277</v>
      </c>
      <c r="D760" t="s">
        <v>144</v>
      </c>
      <c r="E760" t="s">
        <v>54</v>
      </c>
      <c r="F760" t="s">
        <v>54</v>
      </c>
      <c r="G760">
        <v>3</v>
      </c>
      <c r="H760" t="s">
        <v>55</v>
      </c>
      <c r="I760">
        <v>170300</v>
      </c>
      <c r="J760">
        <v>31900</v>
      </c>
      <c r="K760">
        <v>0.14000000000000001</v>
      </c>
      <c r="L760">
        <f>IF(Wapato_Inventory[[#This Row],[parcel_acres]]-Wapato_Inventory[[#This Row],[non_valued_acres]] =0,0,LN(Wapato_Inventory[[#This Row],[parcel_acres]]-Wapato_Inventory[[#This Row],[non_valued_acres]]))</f>
        <v>-1.9661128563728327</v>
      </c>
      <c r="M760">
        <v>0</v>
      </c>
      <c r="N760">
        <v>0</v>
      </c>
      <c r="O760">
        <v>0</v>
      </c>
      <c r="P760">
        <v>27904.037</v>
      </c>
      <c r="Q760">
        <v>74398</v>
      </c>
      <c r="R760" s="3">
        <f>(Wapato_Inventory[[#This Row],[ln_acres]]*Wapato_Inventory[[#This Row],[coeff]])+Wapato_Inventory[[#This Row],[const]]</f>
        <v>19535.514109596792</v>
      </c>
      <c r="S760" t="s">
        <v>155</v>
      </c>
      <c r="T760">
        <v>2</v>
      </c>
      <c r="U760" t="s">
        <v>67</v>
      </c>
      <c r="V760" t="s">
        <v>68</v>
      </c>
      <c r="W760">
        <v>0</v>
      </c>
      <c r="X760">
        <v>0</v>
      </c>
      <c r="Y760">
        <v>52</v>
      </c>
      <c r="Z760">
        <v>88</v>
      </c>
      <c r="AA760">
        <v>90</v>
      </c>
      <c r="AB760">
        <v>2000</v>
      </c>
      <c r="AC760">
        <v>1557</v>
      </c>
      <c r="AD760">
        <v>1066</v>
      </c>
      <c r="AE760">
        <v>384</v>
      </c>
      <c r="AF760">
        <v>0</v>
      </c>
      <c r="AG760">
        <v>107</v>
      </c>
      <c r="AH760">
        <v>941</v>
      </c>
      <c r="AI760">
        <v>0</v>
      </c>
      <c r="AJ760">
        <v>0</v>
      </c>
      <c r="AK760">
        <v>0</v>
      </c>
      <c r="AL760">
        <v>0</v>
      </c>
      <c r="AM760">
        <v>200</v>
      </c>
      <c r="AN760">
        <v>0</v>
      </c>
      <c r="AO760">
        <v>200</v>
      </c>
      <c r="AP760">
        <v>7</v>
      </c>
      <c r="AQ760">
        <v>0</v>
      </c>
      <c r="AR760">
        <v>1</v>
      </c>
      <c r="AS760" t="s">
        <v>59</v>
      </c>
      <c r="AT760">
        <v>1</v>
      </c>
      <c r="AU760" t="s">
        <v>72</v>
      </c>
      <c r="AV760" t="s">
        <v>61</v>
      </c>
      <c r="AW760">
        <v>0</v>
      </c>
      <c r="AX760">
        <v>3</v>
      </c>
      <c r="AY760">
        <v>0</v>
      </c>
      <c r="AZ760">
        <v>6700</v>
      </c>
      <c r="BA760">
        <v>100</v>
      </c>
      <c r="BB760">
        <v>100</v>
      </c>
      <c r="BC760">
        <v>100</v>
      </c>
      <c r="BD760">
        <v>100</v>
      </c>
      <c r="BE760">
        <v>1</v>
      </c>
      <c r="BF760">
        <v>15000</v>
      </c>
      <c r="BG760">
        <v>1000</v>
      </c>
      <c r="BH760" s="7">
        <f>ROUND(Wapato_Inventory[[#This Row],[detatched_value]]*Lookups!$B$22*Lookups!$H$48,-2)</f>
        <v>6000</v>
      </c>
      <c r="BI760" s="7">
        <f>ROUND(((Wapato_Inventory[[#This Row],[land_extract]]*Lookups!$B$3) +(Lookups!$B$2*0.5))*Lookups!$H$48,-2)</f>
        <v>53000</v>
      </c>
      <c r="BJ760" s="7">
        <f>IF(Wapato_Inventory[[#This Row],[bldg_style]]="",0,Lookups!$B$2*0.5)</f>
        <v>53765.27</v>
      </c>
      <c r="BK760" s="7">
        <f>_xlfn.IFNA(VLOOKUP(Wapato_Inventory[[#This Row],[quality]],Lookups!$H$2:$J$14,3,FALSE),0)</f>
        <v>50405</v>
      </c>
      <c r="BL760" s="7">
        <f>_xlfn.IFNA(VLOOKUP(Wapato_Inventory[[#This Row],[condition]],Lookups!$H$17:$J$24,3,FALSE),0)</f>
        <v>52231</v>
      </c>
      <c r="BM760" s="7">
        <f>Wapato_Inventory[[#This Row],[Age]]*Lookups!$B$16</f>
        <v>-32619.461600000002</v>
      </c>
      <c r="BN760" s="7">
        <f>Wapato_Inventory[[#This Row],[Main Floor]]*Lookups!$B$17</f>
        <v>44559.587774</v>
      </c>
      <c r="BO760" s="7">
        <f>Wapato_Inventory[[#This Row],[Upper Floor]]*Lookups!$B$18</f>
        <v>19046.837376000003</v>
      </c>
      <c r="BP760" s="7">
        <f>Wapato_Inventory[[#This Row],[Fin BSMT]]*Lookups!$B$19</f>
        <v>2607.24118</v>
      </c>
      <c r="BQ760" s="7">
        <f>(Wapato_Inventory[[#This Row],[att_gar]]+Wapato_Inventory[[#This Row],[blt_gar]])*Lookups!$B$20</f>
        <v>0</v>
      </c>
      <c r="BR760" s="7">
        <f>Wapato_Inventory[[#This Row],[Patio]]*Lookups!$B$21</f>
        <v>8664.7957999999999</v>
      </c>
      <c r="BS760" s="7">
        <f>SUM(Wapato_Inventory[[#This Row],[intercept]:[patio_value]])*Wapato_Inventory[[#This Row],[res_pct]]</f>
        <v>198660.27053000001</v>
      </c>
      <c r="BT760" s="7">
        <f>Wapato_Inventory[[#This Row],[land_value]]</f>
        <v>53000</v>
      </c>
      <c r="BU760" s="2">
        <f>_xlfn.IFNA(VLOOKUP(Wapato_Inventory[[#This Row],[quality]],Lookups!$A$28:$C$37,3,FALSE),1)</f>
        <v>0.97993206410140754</v>
      </c>
      <c r="BV760" s="2">
        <f>_xlfn.IFNA(VLOOKUP(Wapato_Inventory[[#This Row],[condition]],Lookups!$A$41:$C$48,3,FALSE),1)</f>
        <v>0.9832333997567807</v>
      </c>
      <c r="BW760" s="2">
        <f>IF(Wapato_Inventory[[#This Row],[decade]]="",1,_xlfn.IFNA(VLOOKUP(Wapato_Inventory[[#This Row],[decade]],Lookups!$F$28:$H$45,3,FALSE),1))</f>
        <v>0.94742695999815718</v>
      </c>
      <c r="BX760" s="2">
        <f>_xlfn.IFNA(VLOOKUP(Wapato_Inventory[[#This Row],[living_area_range]],Lookups!$K$28:$M$37,3,FALSE),1)</f>
        <v>0.99330894324714125</v>
      </c>
      <c r="BY760" s="2">
        <f>AVERAGE(Wapato_Inventory[[#This Row],[qual_adj]:[range_adj]])</f>
        <v>0.97597534177587164</v>
      </c>
      <c r="BZ760" s="7">
        <f>(Wapato_Inventory[[#This Row],[sum_land]]-IF(Wapato_Inventory[[#This Row],[no_utilities]]=1,12000,0))/IF(Wapato_Inventory[[#This Row],[unbuildable]]=1,2,1)</f>
        <v>53000</v>
      </c>
      <c r="CA760" s="7">
        <f>Wapato_Inventory[[#This Row],[pre_res]]*Wapato_Inventory[[#This Row],[overall_adj]]</f>
        <v>193887.52542780389</v>
      </c>
      <c r="CB76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60" s="3">
        <f>IF(ROUND(Wapato_Inventory[[#This Row],[adj_res]]*Lookups!$H$48,-2)&lt;Wapato_Inventory[[#This Row],[min_res]],Wapato_Inventory[[#This Row],[min_res]],ROUND(Wapato_Inventory[[#This Row],[adj_res]]*Lookups!$H$48,-2))</f>
        <v>184200</v>
      </c>
      <c r="CD760" s="3">
        <f>ROUND(Wapato_Inventory[[#This Row],[det_value]]*Lookups!$H$48,-2)</f>
        <v>5700</v>
      </c>
      <c r="CE760" s="3">
        <f>Wapato_Inventory[[#This Row],[final_res]]+Wapato_Inventory[[#This Row],[final_det]]</f>
        <v>189900</v>
      </c>
      <c r="CF760" s="3">
        <f>Wapato_Inventory[[#This Row],[crop_value]]+Wapato_Inventory[[#This Row],[final_land]]+Wapato_Inventory[[#This Row],[final_imp]]</f>
        <v>240300</v>
      </c>
      <c r="CH760" t="str">
        <f t="shared" si="11"/>
        <v>update valuation set market_land =50400, market_bldg=189900, market_total =240300, market_mdno =405, market_date ='9/10/2023' where link_id = (select link_id from parcel where parcel_year = '2024' and parcel_id = '19111514406');</v>
      </c>
    </row>
    <row r="761" spans="1:86" x14ac:dyDescent="0.25">
      <c r="A761">
        <v>19111514407</v>
      </c>
      <c r="B761">
        <v>0.14000000000000001</v>
      </c>
      <c r="C761">
        <v>6115</v>
      </c>
      <c r="D761" t="s">
        <v>144</v>
      </c>
      <c r="E761" t="s">
        <v>54</v>
      </c>
      <c r="F761" t="s">
        <v>54</v>
      </c>
      <c r="G761">
        <v>3</v>
      </c>
      <c r="H761" t="s">
        <v>55</v>
      </c>
      <c r="I761">
        <v>139400</v>
      </c>
      <c r="J761">
        <v>31900</v>
      </c>
      <c r="K761">
        <v>0.14000000000000001</v>
      </c>
      <c r="L761">
        <f>IF(Wapato_Inventory[[#This Row],[parcel_acres]]-Wapato_Inventory[[#This Row],[non_valued_acres]] =0,0,LN(Wapato_Inventory[[#This Row],[parcel_acres]]-Wapato_Inventory[[#This Row],[non_valued_acres]]))</f>
        <v>-1.9661128563728327</v>
      </c>
      <c r="M761">
        <v>0</v>
      </c>
      <c r="N761">
        <v>0</v>
      </c>
      <c r="O761">
        <v>0</v>
      </c>
      <c r="P761">
        <v>27904.037</v>
      </c>
      <c r="Q761">
        <v>74398</v>
      </c>
      <c r="R761" s="3">
        <f>(Wapato_Inventory[[#This Row],[ln_acres]]*Wapato_Inventory[[#This Row],[coeff]])+Wapato_Inventory[[#This Row],[const]]</f>
        <v>19535.514109596792</v>
      </c>
      <c r="S761" t="s">
        <v>66</v>
      </c>
      <c r="T761">
        <v>1</v>
      </c>
      <c r="U761" t="s">
        <v>75</v>
      </c>
      <c r="V761" t="s">
        <v>68</v>
      </c>
      <c r="W761">
        <v>0</v>
      </c>
      <c r="X761">
        <v>0</v>
      </c>
      <c r="Y761">
        <v>55</v>
      </c>
      <c r="Z761">
        <v>99</v>
      </c>
      <c r="AA761">
        <v>100</v>
      </c>
      <c r="AB761">
        <v>1000</v>
      </c>
      <c r="AC761">
        <v>990</v>
      </c>
      <c r="AD761">
        <v>900</v>
      </c>
      <c r="AE761">
        <v>0</v>
      </c>
      <c r="AF761">
        <v>0</v>
      </c>
      <c r="AG761">
        <v>90</v>
      </c>
      <c r="AH761">
        <v>810</v>
      </c>
      <c r="AI761">
        <v>0</v>
      </c>
      <c r="AJ761">
        <v>0</v>
      </c>
      <c r="AK761">
        <v>506</v>
      </c>
      <c r="AL761">
        <v>0</v>
      </c>
      <c r="AM761">
        <v>0</v>
      </c>
      <c r="AN761">
        <v>80</v>
      </c>
      <c r="AO761">
        <v>0</v>
      </c>
      <c r="AP761">
        <v>5</v>
      </c>
      <c r="AQ761">
        <v>1</v>
      </c>
      <c r="AR761">
        <v>0</v>
      </c>
      <c r="AS761" t="s">
        <v>59</v>
      </c>
      <c r="AT761">
        <v>1</v>
      </c>
      <c r="AU761" t="s">
        <v>72</v>
      </c>
      <c r="AV761" t="s">
        <v>61</v>
      </c>
      <c r="AW761">
        <v>0</v>
      </c>
      <c r="AX761">
        <v>3</v>
      </c>
      <c r="AY761">
        <v>0</v>
      </c>
      <c r="AZ761">
        <v>4100</v>
      </c>
      <c r="BA761">
        <v>100</v>
      </c>
      <c r="BB761">
        <v>100</v>
      </c>
      <c r="BC761">
        <v>100</v>
      </c>
      <c r="BD761">
        <v>100</v>
      </c>
      <c r="BE761">
        <v>1</v>
      </c>
      <c r="BF761">
        <v>15000</v>
      </c>
      <c r="BG761">
        <v>1000</v>
      </c>
      <c r="BH761" s="7">
        <f>ROUND(Wapato_Inventory[[#This Row],[detatched_value]]*Lookups!$B$22*Lookups!$H$48,-2)</f>
        <v>3700</v>
      </c>
      <c r="BI761" s="7">
        <f>ROUND(((Wapato_Inventory[[#This Row],[land_extract]]*Lookups!$B$3) +(Lookups!$B$2*0.5))*Lookups!$H$48,-2)</f>
        <v>53000</v>
      </c>
      <c r="BJ761" s="7">
        <f>IF(Wapato_Inventory[[#This Row],[bldg_style]]="",0,Lookups!$B$2*0.5)</f>
        <v>53765.27</v>
      </c>
      <c r="BK761" s="7">
        <f>_xlfn.IFNA(VLOOKUP(Wapato_Inventory[[#This Row],[quality]],Lookups!$H$2:$J$14,3,FALSE),0)</f>
        <v>48043</v>
      </c>
      <c r="BL761" s="7">
        <f>_xlfn.IFNA(VLOOKUP(Wapato_Inventory[[#This Row],[condition]],Lookups!$H$17:$J$24,3,FALSE),0)</f>
        <v>52231</v>
      </c>
      <c r="BM761" s="7">
        <f>Wapato_Inventory[[#This Row],[Age]]*Lookups!$B$16</f>
        <v>-36696.8943</v>
      </c>
      <c r="BN761" s="7">
        <f>Wapato_Inventory[[#This Row],[Main Floor]]*Lookups!$B$17</f>
        <v>37620.665099999998</v>
      </c>
      <c r="BO761" s="7">
        <f>Wapato_Inventory[[#This Row],[Upper Floor]]*Lookups!$B$18</f>
        <v>0</v>
      </c>
      <c r="BP761" s="7">
        <f>Wapato_Inventory[[#This Row],[Fin BSMT]]*Lookups!$B$19</f>
        <v>2193.0066000000002</v>
      </c>
      <c r="BQ761" s="7">
        <f>(Wapato_Inventory[[#This Row],[att_gar]]+Wapato_Inventory[[#This Row],[blt_gar]])*Lookups!$B$20</f>
        <v>0</v>
      </c>
      <c r="BR761" s="7">
        <f>Wapato_Inventory[[#This Row],[Patio]]*Lookups!$B$21</f>
        <v>0</v>
      </c>
      <c r="BS761" s="7">
        <f>SUM(Wapato_Inventory[[#This Row],[intercept]:[patio_value]])*Wapato_Inventory[[#This Row],[res_pct]]</f>
        <v>157156.04739999998</v>
      </c>
      <c r="BT761" s="7">
        <f>Wapato_Inventory[[#This Row],[land_value]]</f>
        <v>53000</v>
      </c>
      <c r="BU761" s="2">
        <f>_xlfn.IFNA(VLOOKUP(Wapato_Inventory[[#This Row],[quality]],Lookups!$A$28:$C$37,3,FALSE),1)</f>
        <v>0.98196844879778955</v>
      </c>
      <c r="BV761" s="2">
        <f>_xlfn.IFNA(VLOOKUP(Wapato_Inventory[[#This Row],[condition]],Lookups!$A$41:$C$48,3,FALSE),1)</f>
        <v>0.9832333997567807</v>
      </c>
      <c r="BW761" s="2">
        <f>IF(Wapato_Inventory[[#This Row],[decade]]="",1,_xlfn.IFNA(VLOOKUP(Wapato_Inventory[[#This Row],[decade]],Lookups!$F$28:$H$45,3,FALSE),1))</f>
        <v>1.0114203040664467</v>
      </c>
      <c r="BX761" s="2">
        <f>_xlfn.IFNA(VLOOKUP(Wapato_Inventory[[#This Row],[living_area_range]],Lookups!$K$28:$M$37,3,FALSE),1)</f>
        <v>0.99022994770196116</v>
      </c>
      <c r="BY761" s="2">
        <f>AVERAGE(Wapato_Inventory[[#This Row],[qual_adj]:[range_adj]])</f>
        <v>0.99171302508074455</v>
      </c>
      <c r="BZ761" s="7">
        <f>(Wapato_Inventory[[#This Row],[sum_land]]-IF(Wapato_Inventory[[#This Row],[no_utilities]]=1,12000,0))/IF(Wapato_Inventory[[#This Row],[unbuildable]]=1,2,1)</f>
        <v>53000</v>
      </c>
      <c r="CA761" s="7">
        <f>Wapato_Inventory[[#This Row],[pre_res]]*Wapato_Inventory[[#This Row],[overall_adj]]</f>
        <v>155853.69917678687</v>
      </c>
      <c r="CB76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61" s="3">
        <f>IF(ROUND(Wapato_Inventory[[#This Row],[adj_res]]*Lookups!$H$48,-2)&lt;Wapato_Inventory[[#This Row],[min_res]],Wapato_Inventory[[#This Row],[min_res]],ROUND(Wapato_Inventory[[#This Row],[adj_res]]*Lookups!$H$48,-2))</f>
        <v>148100</v>
      </c>
      <c r="CD761" s="3">
        <f>ROUND(Wapato_Inventory[[#This Row],[det_value]]*Lookups!$H$48,-2)</f>
        <v>3500</v>
      </c>
      <c r="CE761" s="3">
        <f>Wapato_Inventory[[#This Row],[final_res]]+Wapato_Inventory[[#This Row],[final_det]]</f>
        <v>151600</v>
      </c>
      <c r="CF761" s="3">
        <f>Wapato_Inventory[[#This Row],[crop_value]]+Wapato_Inventory[[#This Row],[final_land]]+Wapato_Inventory[[#This Row],[final_imp]]</f>
        <v>202000</v>
      </c>
      <c r="CH761" t="str">
        <f t="shared" si="11"/>
        <v>update valuation set market_land =50400, market_bldg=151600, market_total =202000, market_mdno =405, market_date ='9/10/2023' where link_id = (select link_id from parcel where parcel_year = '2024' and parcel_id = '19111514407');</v>
      </c>
    </row>
    <row r="762" spans="1:86" x14ac:dyDescent="0.25">
      <c r="A762">
        <v>19111514408</v>
      </c>
      <c r="B762">
        <v>0.14000000000000001</v>
      </c>
      <c r="C762">
        <v>6014</v>
      </c>
      <c r="D762" t="s">
        <v>144</v>
      </c>
      <c r="E762" t="s">
        <v>54</v>
      </c>
      <c r="F762" t="s">
        <v>54</v>
      </c>
      <c r="G762">
        <v>3</v>
      </c>
      <c r="H762" t="s">
        <v>55</v>
      </c>
      <c r="I762">
        <v>63100</v>
      </c>
      <c r="J762">
        <v>31900</v>
      </c>
      <c r="K762">
        <v>0.14000000000000001</v>
      </c>
      <c r="L762">
        <f>IF(Wapato_Inventory[[#This Row],[parcel_acres]]-Wapato_Inventory[[#This Row],[non_valued_acres]] =0,0,LN(Wapato_Inventory[[#This Row],[parcel_acres]]-Wapato_Inventory[[#This Row],[non_valued_acres]]))</f>
        <v>-1.9661128563728327</v>
      </c>
      <c r="M762">
        <v>0</v>
      </c>
      <c r="N762">
        <v>0</v>
      </c>
      <c r="O762">
        <v>0</v>
      </c>
      <c r="P762">
        <v>27904.037</v>
      </c>
      <c r="Q762">
        <v>74398</v>
      </c>
      <c r="R762" s="3">
        <f>(Wapato_Inventory[[#This Row],[ln_acres]]*Wapato_Inventory[[#This Row],[coeff]])+Wapato_Inventory[[#This Row],[const]]</f>
        <v>19535.514109596792</v>
      </c>
      <c r="S762" t="s">
        <v>66</v>
      </c>
      <c r="T762">
        <v>1</v>
      </c>
      <c r="U762" t="s">
        <v>71</v>
      </c>
      <c r="V762" t="s">
        <v>73</v>
      </c>
      <c r="W762">
        <v>0</v>
      </c>
      <c r="X762">
        <v>0</v>
      </c>
      <c r="Y762">
        <v>60</v>
      </c>
      <c r="Z762">
        <v>108</v>
      </c>
      <c r="AA762">
        <v>110</v>
      </c>
      <c r="AB762">
        <v>1000</v>
      </c>
      <c r="AC762">
        <v>896</v>
      </c>
      <c r="AD762">
        <v>896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312</v>
      </c>
      <c r="AL762">
        <v>0</v>
      </c>
      <c r="AM762">
        <v>0</v>
      </c>
      <c r="AN762">
        <v>48</v>
      </c>
      <c r="AO762">
        <v>0</v>
      </c>
      <c r="AP762">
        <v>5</v>
      </c>
      <c r="AQ762">
        <v>0</v>
      </c>
      <c r="AR762">
        <v>0</v>
      </c>
      <c r="AS762" t="s">
        <v>59</v>
      </c>
      <c r="AT762">
        <v>0</v>
      </c>
      <c r="AU762" t="s">
        <v>80</v>
      </c>
      <c r="AV762" t="s">
        <v>65</v>
      </c>
      <c r="AW762">
        <v>0</v>
      </c>
      <c r="AX762">
        <v>2</v>
      </c>
      <c r="AY762">
        <v>0</v>
      </c>
      <c r="AZ762">
        <v>0</v>
      </c>
      <c r="BA762">
        <v>100</v>
      </c>
      <c r="BB762">
        <v>100</v>
      </c>
      <c r="BC762">
        <v>100</v>
      </c>
      <c r="BD762">
        <v>100</v>
      </c>
      <c r="BE762">
        <v>1</v>
      </c>
      <c r="BF762">
        <v>15000</v>
      </c>
      <c r="BG762">
        <v>1000</v>
      </c>
      <c r="BH762" s="7">
        <f>ROUND(Wapato_Inventory[[#This Row],[detatched_value]]*Lookups!$B$22*Lookups!$H$48,-2)</f>
        <v>0</v>
      </c>
      <c r="BI762" s="7">
        <f>ROUND(((Wapato_Inventory[[#This Row],[land_extract]]*Lookups!$B$3) +(Lookups!$B$2*0.5))*Lookups!$H$48,-2)</f>
        <v>53000</v>
      </c>
      <c r="BJ762" s="7">
        <f>IF(Wapato_Inventory[[#This Row],[bldg_style]]="",0,Lookups!$B$2*0.5)</f>
        <v>53765.27</v>
      </c>
      <c r="BK762" s="7">
        <f>_xlfn.IFNA(VLOOKUP(Wapato_Inventory[[#This Row],[quality]],Lookups!$H$2:$J$14,3,FALSE),0)</f>
        <v>28034</v>
      </c>
      <c r="BL762" s="7">
        <f>_xlfn.IFNA(VLOOKUP(Wapato_Inventory[[#This Row],[condition]],Lookups!$H$17:$J$24,3,FALSE),0)</f>
        <v>16276</v>
      </c>
      <c r="BM762" s="7">
        <f>Wapato_Inventory[[#This Row],[Age]]*Lookups!$B$16</f>
        <v>-40032.975599999998</v>
      </c>
      <c r="BN762" s="7">
        <f>Wapato_Inventory[[#This Row],[Main Floor]]*Lookups!$B$17</f>
        <v>37453.462143999997</v>
      </c>
      <c r="BO762" s="7">
        <f>Wapato_Inventory[[#This Row],[Upper Floor]]*Lookups!$B$18</f>
        <v>0</v>
      </c>
      <c r="BP762" s="7">
        <f>Wapato_Inventory[[#This Row],[Fin BSMT]]*Lookups!$B$19</f>
        <v>0</v>
      </c>
      <c r="BQ762" s="7">
        <f>(Wapato_Inventory[[#This Row],[att_gar]]+Wapato_Inventory[[#This Row],[blt_gar]])*Lookups!$B$20</f>
        <v>0</v>
      </c>
      <c r="BR762" s="7">
        <f>Wapato_Inventory[[#This Row],[Patio]]*Lookups!$B$21</f>
        <v>0</v>
      </c>
      <c r="BS762" s="7">
        <f>SUM(Wapato_Inventory[[#This Row],[intercept]:[patio_value]])*Wapato_Inventory[[#This Row],[res_pct]]</f>
        <v>95495.756543999989</v>
      </c>
      <c r="BT762" s="7">
        <f>Wapato_Inventory[[#This Row],[land_value]]</f>
        <v>53000</v>
      </c>
      <c r="BU762" s="2">
        <f>_xlfn.IFNA(VLOOKUP(Wapato_Inventory[[#This Row],[quality]],Lookups!$A$28:$C$37,3,FALSE),1)</f>
        <v>0.96265813922927435</v>
      </c>
      <c r="BV762" s="2">
        <f>_xlfn.IFNA(VLOOKUP(Wapato_Inventory[[#This Row],[condition]],Lookups!$A$41:$C$48,3,FALSE),1)</f>
        <v>0.93399385491337139</v>
      </c>
      <c r="BW762" s="2">
        <f>IF(Wapato_Inventory[[#This Row],[decade]]="",1,_xlfn.IFNA(VLOOKUP(Wapato_Inventory[[#This Row],[decade]],Lookups!$F$28:$H$45,3,FALSE),1))</f>
        <v>0.93664589651353292</v>
      </c>
      <c r="BX762" s="2">
        <f>_xlfn.IFNA(VLOOKUP(Wapato_Inventory[[#This Row],[living_area_range]],Lookups!$K$28:$M$37,3,FALSE),1)</f>
        <v>0.99022994770196116</v>
      </c>
      <c r="BY762" s="2">
        <f>AVERAGE(Wapato_Inventory[[#This Row],[qual_adj]:[range_adj]])</f>
        <v>0.95588195958953504</v>
      </c>
      <c r="BZ762" s="7">
        <f>(Wapato_Inventory[[#This Row],[sum_land]]-IF(Wapato_Inventory[[#This Row],[no_utilities]]=1,12000,0))/IF(Wapato_Inventory[[#This Row],[unbuildable]]=1,2,1)</f>
        <v>53000</v>
      </c>
      <c r="CA762" s="7">
        <f>Wapato_Inventory[[#This Row],[pre_res]]*Wapato_Inventory[[#This Row],[overall_adj]]</f>
        <v>91282.670897763877</v>
      </c>
      <c r="CB76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62" s="3">
        <f>IF(ROUND(Wapato_Inventory[[#This Row],[adj_res]]*Lookups!$H$48,-2)&lt;Wapato_Inventory[[#This Row],[min_res]],Wapato_Inventory[[#This Row],[min_res]],ROUND(Wapato_Inventory[[#This Row],[adj_res]]*Lookups!$H$48,-2))</f>
        <v>86700</v>
      </c>
      <c r="CD762" s="3">
        <f>ROUND(Wapato_Inventory[[#This Row],[det_value]]*Lookups!$H$48,-2)</f>
        <v>0</v>
      </c>
      <c r="CE762" s="3">
        <f>Wapato_Inventory[[#This Row],[final_res]]+Wapato_Inventory[[#This Row],[final_det]]</f>
        <v>86700</v>
      </c>
      <c r="CF762" s="3">
        <f>Wapato_Inventory[[#This Row],[crop_value]]+Wapato_Inventory[[#This Row],[final_land]]+Wapato_Inventory[[#This Row],[final_imp]]</f>
        <v>137100</v>
      </c>
      <c r="CH762" t="str">
        <f t="shared" si="11"/>
        <v>update valuation set market_land =50400, market_bldg=86700, market_total =137100, market_mdno =405, market_date ='9/10/2023' where link_id = (select link_id from parcel where parcel_year = '2024' and parcel_id = '19111514408');</v>
      </c>
    </row>
    <row r="763" spans="1:86" x14ac:dyDescent="0.25">
      <c r="A763">
        <v>19111514409</v>
      </c>
      <c r="B763">
        <v>0.14000000000000001</v>
      </c>
      <c r="C763">
        <v>6046</v>
      </c>
      <c r="D763" t="s">
        <v>144</v>
      </c>
      <c r="E763" t="s">
        <v>54</v>
      </c>
      <c r="F763" t="s">
        <v>54</v>
      </c>
      <c r="G763">
        <v>3</v>
      </c>
      <c r="H763" t="s">
        <v>55</v>
      </c>
      <c r="I763">
        <v>179900</v>
      </c>
      <c r="J763">
        <v>31900</v>
      </c>
      <c r="K763">
        <v>0.14000000000000001</v>
      </c>
      <c r="L763">
        <f>IF(Wapato_Inventory[[#This Row],[parcel_acres]]-Wapato_Inventory[[#This Row],[non_valued_acres]] =0,0,LN(Wapato_Inventory[[#This Row],[parcel_acres]]-Wapato_Inventory[[#This Row],[non_valued_acres]]))</f>
        <v>-1.9661128563728327</v>
      </c>
      <c r="M763">
        <v>0</v>
      </c>
      <c r="N763">
        <v>0</v>
      </c>
      <c r="O763">
        <v>0</v>
      </c>
      <c r="P763">
        <v>27904.037</v>
      </c>
      <c r="Q763">
        <v>74398</v>
      </c>
      <c r="R763" s="3">
        <f>(Wapato_Inventory[[#This Row],[ln_acres]]*Wapato_Inventory[[#This Row],[coeff]])+Wapato_Inventory[[#This Row],[const]]</f>
        <v>19535.514109596792</v>
      </c>
      <c r="S763" t="s">
        <v>66</v>
      </c>
      <c r="T763">
        <v>1</v>
      </c>
      <c r="U763" t="s">
        <v>75</v>
      </c>
      <c r="V763" t="s">
        <v>69</v>
      </c>
      <c r="W763">
        <v>0</v>
      </c>
      <c r="X763">
        <v>0</v>
      </c>
      <c r="Y763">
        <v>55</v>
      </c>
      <c r="Z763">
        <v>113</v>
      </c>
      <c r="AA763">
        <v>120</v>
      </c>
      <c r="AB763">
        <v>1500</v>
      </c>
      <c r="AC763">
        <v>1200</v>
      </c>
      <c r="AD763">
        <v>1200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138</v>
      </c>
      <c r="AO763">
        <v>0</v>
      </c>
      <c r="AP763">
        <v>5</v>
      </c>
      <c r="AQ763">
        <v>0</v>
      </c>
      <c r="AR763">
        <v>0</v>
      </c>
      <c r="AS763" t="s">
        <v>59</v>
      </c>
      <c r="AT763">
        <v>1</v>
      </c>
      <c r="AU763" t="s">
        <v>72</v>
      </c>
      <c r="AV763" t="s">
        <v>61</v>
      </c>
      <c r="AW763">
        <v>0</v>
      </c>
      <c r="AX763">
        <v>2</v>
      </c>
      <c r="AY763">
        <v>0</v>
      </c>
      <c r="AZ763">
        <v>3900</v>
      </c>
      <c r="BA763">
        <v>100</v>
      </c>
      <c r="BB763">
        <v>100</v>
      </c>
      <c r="BC763">
        <v>100</v>
      </c>
      <c r="BD763">
        <v>100</v>
      </c>
      <c r="BE763">
        <v>1</v>
      </c>
      <c r="BF763">
        <v>15000</v>
      </c>
      <c r="BG763">
        <v>1000</v>
      </c>
      <c r="BH763" s="7">
        <f>ROUND(Wapato_Inventory[[#This Row],[detatched_value]]*Lookups!$B$22*Lookups!$H$48,-2)</f>
        <v>3500</v>
      </c>
      <c r="BI763" s="7">
        <f>ROUND(((Wapato_Inventory[[#This Row],[land_extract]]*Lookups!$B$3) +(Lookups!$B$2*0.5))*Lookups!$H$48,-2)</f>
        <v>53000</v>
      </c>
      <c r="BJ763" s="7">
        <f>IF(Wapato_Inventory[[#This Row],[bldg_style]]="",0,Lookups!$B$2*0.5)</f>
        <v>53765.27</v>
      </c>
      <c r="BK763" s="7">
        <f>_xlfn.IFNA(VLOOKUP(Wapato_Inventory[[#This Row],[quality]],Lookups!$H$2:$J$14,3,FALSE),0)</f>
        <v>48043</v>
      </c>
      <c r="BL763" s="7">
        <f>_xlfn.IFNA(VLOOKUP(Wapato_Inventory[[#This Row],[condition]],Lookups!$H$17:$J$24,3,FALSE),0)</f>
        <v>74543</v>
      </c>
      <c r="BM763" s="7">
        <f>Wapato_Inventory[[#This Row],[Age]]*Lookups!$B$16</f>
        <v>-41886.354100000004</v>
      </c>
      <c r="BN763" s="7">
        <f>Wapato_Inventory[[#This Row],[Main Floor]]*Lookups!$B$17</f>
        <v>50160.8868</v>
      </c>
      <c r="BO763" s="7">
        <f>Wapato_Inventory[[#This Row],[Upper Floor]]*Lookups!$B$18</f>
        <v>0</v>
      </c>
      <c r="BP763" s="7">
        <f>Wapato_Inventory[[#This Row],[Fin BSMT]]*Lookups!$B$19</f>
        <v>0</v>
      </c>
      <c r="BQ763" s="7">
        <f>(Wapato_Inventory[[#This Row],[att_gar]]+Wapato_Inventory[[#This Row],[blt_gar]])*Lookups!$B$20</f>
        <v>0</v>
      </c>
      <c r="BR763" s="7">
        <f>Wapato_Inventory[[#This Row],[Patio]]*Lookups!$B$21</f>
        <v>0</v>
      </c>
      <c r="BS763" s="7">
        <f>SUM(Wapato_Inventory[[#This Row],[intercept]:[patio_value]])*Wapato_Inventory[[#This Row],[res_pct]]</f>
        <v>184625.8027</v>
      </c>
      <c r="BT763" s="7">
        <f>Wapato_Inventory[[#This Row],[land_value]]</f>
        <v>53000</v>
      </c>
      <c r="BU763" s="2">
        <f>_xlfn.IFNA(VLOOKUP(Wapato_Inventory[[#This Row],[quality]],Lookups!$A$28:$C$37,3,FALSE),1)</f>
        <v>0.98196844879778955</v>
      </c>
      <c r="BV763" s="2">
        <f>_xlfn.IFNA(VLOOKUP(Wapato_Inventory[[#This Row],[condition]],Lookups!$A$41:$C$48,3,FALSE),1)</f>
        <v>0.98442438223270734</v>
      </c>
      <c r="BW763" s="2">
        <f>IF(Wapato_Inventory[[#This Row],[decade]]="",1,_xlfn.IFNA(VLOOKUP(Wapato_Inventory[[#This Row],[decade]],Lookups!$F$28:$H$45,3,FALSE),1))</f>
        <v>0.93664589651353292</v>
      </c>
      <c r="BX763" s="2">
        <f>_xlfn.IFNA(VLOOKUP(Wapato_Inventory[[#This Row],[living_area_range]],Lookups!$K$28:$M$37,3,FALSE),1)</f>
        <v>1.0061411172456287</v>
      </c>
      <c r="BY763" s="2">
        <f>AVERAGE(Wapato_Inventory[[#This Row],[qual_adj]:[range_adj]])</f>
        <v>0.97729496119741466</v>
      </c>
      <c r="BZ763" s="7">
        <f>(Wapato_Inventory[[#This Row],[sum_land]]-IF(Wapato_Inventory[[#This Row],[no_utilities]]=1,12000,0))/IF(Wapato_Inventory[[#This Row],[unbuildable]]=1,2,1)</f>
        <v>53000</v>
      </c>
      <c r="CA763" s="7">
        <f>Wapato_Inventory[[#This Row],[pre_res]]*Wapato_Inventory[[#This Row],[overall_adj]]</f>
        <v>180433.86668573803</v>
      </c>
      <c r="CB76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63" s="3">
        <f>IF(ROUND(Wapato_Inventory[[#This Row],[adj_res]]*Lookups!$H$48,-2)&lt;Wapato_Inventory[[#This Row],[min_res]],Wapato_Inventory[[#This Row],[min_res]],ROUND(Wapato_Inventory[[#This Row],[adj_res]]*Lookups!$H$48,-2))</f>
        <v>171400</v>
      </c>
      <c r="CD763" s="3">
        <f>ROUND(Wapato_Inventory[[#This Row],[det_value]]*Lookups!$H$48,-2)</f>
        <v>3300</v>
      </c>
      <c r="CE763" s="3">
        <f>Wapato_Inventory[[#This Row],[final_res]]+Wapato_Inventory[[#This Row],[final_det]]</f>
        <v>174700</v>
      </c>
      <c r="CF763" s="3">
        <f>Wapato_Inventory[[#This Row],[crop_value]]+Wapato_Inventory[[#This Row],[final_land]]+Wapato_Inventory[[#This Row],[final_imp]]</f>
        <v>225100</v>
      </c>
      <c r="CH763" t="str">
        <f t="shared" si="11"/>
        <v>update valuation set market_land =50400, market_bldg=174700, market_total =225100, market_mdno =405, market_date ='9/10/2023' where link_id = (select link_id from parcel where parcel_year = '2024' and parcel_id = '19111514409');</v>
      </c>
    </row>
    <row r="764" spans="1:86" x14ac:dyDescent="0.25">
      <c r="A764">
        <v>19111514410</v>
      </c>
      <c r="B764">
        <v>0.14000000000000001</v>
      </c>
      <c r="C764">
        <v>6047</v>
      </c>
      <c r="D764" t="s">
        <v>144</v>
      </c>
      <c r="E764" t="s">
        <v>54</v>
      </c>
      <c r="F764" t="s">
        <v>54</v>
      </c>
      <c r="G764">
        <v>3</v>
      </c>
      <c r="H764" t="s">
        <v>55</v>
      </c>
      <c r="I764">
        <v>253600</v>
      </c>
      <c r="J764">
        <v>31900</v>
      </c>
      <c r="K764">
        <v>0.14000000000000001</v>
      </c>
      <c r="L764">
        <f>IF(Wapato_Inventory[[#This Row],[parcel_acres]]-Wapato_Inventory[[#This Row],[non_valued_acres]] =0,0,LN(Wapato_Inventory[[#This Row],[parcel_acres]]-Wapato_Inventory[[#This Row],[non_valued_acres]]))</f>
        <v>-1.9661128563728327</v>
      </c>
      <c r="M764">
        <v>0</v>
      </c>
      <c r="N764">
        <v>0</v>
      </c>
      <c r="O764">
        <v>0</v>
      </c>
      <c r="P764">
        <v>27904.037</v>
      </c>
      <c r="Q764">
        <v>74398</v>
      </c>
      <c r="R764" s="3">
        <f>(Wapato_Inventory[[#This Row],[ln_acres]]*Wapato_Inventory[[#This Row],[coeff]])+Wapato_Inventory[[#This Row],[const]]</f>
        <v>19535.514109596792</v>
      </c>
      <c r="S764" t="s">
        <v>66</v>
      </c>
      <c r="T764">
        <v>1</v>
      </c>
      <c r="U764" t="s">
        <v>75</v>
      </c>
      <c r="V764" t="s">
        <v>69</v>
      </c>
      <c r="W764">
        <v>0</v>
      </c>
      <c r="X764">
        <v>0</v>
      </c>
      <c r="Y764">
        <v>65</v>
      </c>
      <c r="Z764">
        <v>113</v>
      </c>
      <c r="AA764">
        <v>120</v>
      </c>
      <c r="AB764">
        <v>1500</v>
      </c>
      <c r="AC764">
        <v>1056</v>
      </c>
      <c r="AD764">
        <v>1056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192</v>
      </c>
      <c r="AN764">
        <v>96</v>
      </c>
      <c r="AO764">
        <v>192</v>
      </c>
      <c r="AP764">
        <v>5</v>
      </c>
      <c r="AQ764">
        <v>0</v>
      </c>
      <c r="AR764">
        <v>0</v>
      </c>
      <c r="AS764" t="s">
        <v>59</v>
      </c>
      <c r="AT764">
        <v>0</v>
      </c>
      <c r="AU764" t="s">
        <v>80</v>
      </c>
      <c r="AV764" t="s">
        <v>77</v>
      </c>
      <c r="AW764">
        <v>0</v>
      </c>
      <c r="AX764">
        <v>2</v>
      </c>
      <c r="AY764">
        <v>0</v>
      </c>
      <c r="AZ764">
        <v>49600</v>
      </c>
      <c r="BA764">
        <v>100</v>
      </c>
      <c r="BB764">
        <v>100</v>
      </c>
      <c r="BC764">
        <v>100</v>
      </c>
      <c r="BD764">
        <v>100</v>
      </c>
      <c r="BE764">
        <v>1</v>
      </c>
      <c r="BF764">
        <v>15000</v>
      </c>
      <c r="BG764">
        <v>1000</v>
      </c>
      <c r="BH764" s="7">
        <f>ROUND(Wapato_Inventory[[#This Row],[detatched_value]]*Lookups!$B$22*Lookups!$H$48,-2)</f>
        <v>44300</v>
      </c>
      <c r="BI764" s="7">
        <f>ROUND(((Wapato_Inventory[[#This Row],[land_extract]]*Lookups!$B$3) +(Lookups!$B$2*0.5))*Lookups!$H$48,-2)</f>
        <v>53000</v>
      </c>
      <c r="BJ764" s="7">
        <f>IF(Wapato_Inventory[[#This Row],[bldg_style]]="",0,Lookups!$B$2*0.5)</f>
        <v>53765.27</v>
      </c>
      <c r="BK764" s="7">
        <f>_xlfn.IFNA(VLOOKUP(Wapato_Inventory[[#This Row],[quality]],Lookups!$H$2:$J$14,3,FALSE),0)</f>
        <v>48043</v>
      </c>
      <c r="BL764" s="7">
        <f>_xlfn.IFNA(VLOOKUP(Wapato_Inventory[[#This Row],[condition]],Lookups!$H$17:$J$24,3,FALSE),0)</f>
        <v>74543</v>
      </c>
      <c r="BM764" s="7">
        <f>Wapato_Inventory[[#This Row],[Age]]*Lookups!$B$16</f>
        <v>-41886.354100000004</v>
      </c>
      <c r="BN764" s="7">
        <f>Wapato_Inventory[[#This Row],[Main Floor]]*Lookups!$B$17</f>
        <v>44141.580384000001</v>
      </c>
      <c r="BO764" s="7">
        <f>Wapato_Inventory[[#This Row],[Upper Floor]]*Lookups!$B$18</f>
        <v>0</v>
      </c>
      <c r="BP764" s="7">
        <f>Wapato_Inventory[[#This Row],[Fin BSMT]]*Lookups!$B$19</f>
        <v>0</v>
      </c>
      <c r="BQ764" s="7">
        <f>(Wapato_Inventory[[#This Row],[att_gar]]+Wapato_Inventory[[#This Row],[blt_gar]])*Lookups!$B$20</f>
        <v>0</v>
      </c>
      <c r="BR764" s="7">
        <f>Wapato_Inventory[[#This Row],[Patio]]*Lookups!$B$21</f>
        <v>8318.2039679999998</v>
      </c>
      <c r="BS764" s="7">
        <f>SUM(Wapato_Inventory[[#This Row],[intercept]:[patio_value]])*Wapato_Inventory[[#This Row],[res_pct]]</f>
        <v>186924.70025199998</v>
      </c>
      <c r="BT764" s="7">
        <f>Wapato_Inventory[[#This Row],[land_value]]</f>
        <v>53000</v>
      </c>
      <c r="BU764" s="2">
        <f>_xlfn.IFNA(VLOOKUP(Wapato_Inventory[[#This Row],[quality]],Lookups!$A$28:$C$37,3,FALSE),1)</f>
        <v>0.98196844879778955</v>
      </c>
      <c r="BV764" s="2">
        <f>_xlfn.IFNA(VLOOKUP(Wapato_Inventory[[#This Row],[condition]],Lookups!$A$41:$C$48,3,FALSE),1)</f>
        <v>0.98442438223270734</v>
      </c>
      <c r="BW764" s="2">
        <f>IF(Wapato_Inventory[[#This Row],[decade]]="",1,_xlfn.IFNA(VLOOKUP(Wapato_Inventory[[#This Row],[decade]],Lookups!$F$28:$H$45,3,FALSE),1))</f>
        <v>0.93664589651353292</v>
      </c>
      <c r="BX764" s="2">
        <f>_xlfn.IFNA(VLOOKUP(Wapato_Inventory[[#This Row],[living_area_range]],Lookups!$K$28:$M$37,3,FALSE),1)</f>
        <v>1.0061411172456287</v>
      </c>
      <c r="BY764" s="2">
        <f>AVERAGE(Wapato_Inventory[[#This Row],[qual_adj]:[range_adj]])</f>
        <v>0.97729496119741466</v>
      </c>
      <c r="BZ764" s="7">
        <f>(Wapato_Inventory[[#This Row],[sum_land]]-IF(Wapato_Inventory[[#This Row],[no_utilities]]=1,12000,0))/IF(Wapato_Inventory[[#This Row],[unbuildable]]=1,2,1)</f>
        <v>53000</v>
      </c>
      <c r="CA764" s="7">
        <f>Wapato_Inventory[[#This Row],[pre_res]]*Wapato_Inventory[[#This Row],[overall_adj]]</f>
        <v>182680.56767961668</v>
      </c>
      <c r="CB76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64" s="3">
        <f>IF(ROUND(Wapato_Inventory[[#This Row],[adj_res]]*Lookups!$H$48,-2)&lt;Wapato_Inventory[[#This Row],[min_res]],Wapato_Inventory[[#This Row],[min_res]],ROUND(Wapato_Inventory[[#This Row],[adj_res]]*Lookups!$H$48,-2))</f>
        <v>173500</v>
      </c>
      <c r="CD764" s="3">
        <f>ROUND(Wapato_Inventory[[#This Row],[det_value]]*Lookups!$H$48,-2)</f>
        <v>42100</v>
      </c>
      <c r="CE764" s="3">
        <f>Wapato_Inventory[[#This Row],[final_res]]+Wapato_Inventory[[#This Row],[final_det]]</f>
        <v>215600</v>
      </c>
      <c r="CF764" s="3">
        <f>Wapato_Inventory[[#This Row],[crop_value]]+Wapato_Inventory[[#This Row],[final_land]]+Wapato_Inventory[[#This Row],[final_imp]]</f>
        <v>266000</v>
      </c>
      <c r="CH764" t="str">
        <f t="shared" si="11"/>
        <v>update valuation set market_land =50400, market_bldg=215600, market_total =266000, market_mdno =405, market_date ='9/10/2023' where link_id = (select link_id from parcel where parcel_year = '2024' and parcel_id = '19111514410');</v>
      </c>
    </row>
    <row r="765" spans="1:86" x14ac:dyDescent="0.25">
      <c r="A765">
        <v>19111514411</v>
      </c>
      <c r="B765">
        <v>0.15</v>
      </c>
      <c r="C765">
        <v>6675</v>
      </c>
      <c r="D765" t="s">
        <v>144</v>
      </c>
      <c r="E765" t="s">
        <v>54</v>
      </c>
      <c r="F765" t="s">
        <v>54</v>
      </c>
      <c r="G765">
        <v>3</v>
      </c>
      <c r="H765" t="s">
        <v>55</v>
      </c>
      <c r="I765">
        <v>127300</v>
      </c>
      <c r="J765">
        <v>32300</v>
      </c>
      <c r="K765">
        <v>0.15</v>
      </c>
      <c r="L765">
        <f>IF(Wapato_Inventory[[#This Row],[parcel_acres]]-Wapato_Inventory[[#This Row],[non_valued_acres]] =0,0,LN(Wapato_Inventory[[#This Row],[parcel_acres]]-Wapato_Inventory[[#This Row],[non_valued_acres]]))</f>
        <v>-1.8971199848858813</v>
      </c>
      <c r="M765">
        <v>0</v>
      </c>
      <c r="N765">
        <v>0</v>
      </c>
      <c r="O765">
        <v>0</v>
      </c>
      <c r="P765">
        <v>27904.037</v>
      </c>
      <c r="Q765">
        <v>74398</v>
      </c>
      <c r="R765" s="3">
        <f>(Wapato_Inventory[[#This Row],[ln_acres]]*Wapato_Inventory[[#This Row],[coeff]])+Wapato_Inventory[[#This Row],[const]]</f>
        <v>21460.693748304926</v>
      </c>
      <c r="S765" t="s">
        <v>66</v>
      </c>
      <c r="T765">
        <v>1</v>
      </c>
      <c r="U765" t="s">
        <v>75</v>
      </c>
      <c r="V765" t="s">
        <v>68</v>
      </c>
      <c r="W765">
        <v>0</v>
      </c>
      <c r="X765">
        <v>0</v>
      </c>
      <c r="Y765">
        <v>65</v>
      </c>
      <c r="Z765">
        <v>113</v>
      </c>
      <c r="AA765">
        <v>120</v>
      </c>
      <c r="AB765">
        <v>1500</v>
      </c>
      <c r="AC765">
        <v>1012</v>
      </c>
      <c r="AD765">
        <v>1012</v>
      </c>
      <c r="AE765">
        <v>0</v>
      </c>
      <c r="AF765">
        <v>0</v>
      </c>
      <c r="AG765">
        <v>0</v>
      </c>
      <c r="AH765">
        <v>0</v>
      </c>
      <c r="AI765">
        <v>200</v>
      </c>
      <c r="AJ765">
        <v>0</v>
      </c>
      <c r="AK765">
        <v>0</v>
      </c>
      <c r="AL765">
        <v>0</v>
      </c>
      <c r="AM765">
        <v>60</v>
      </c>
      <c r="AN765">
        <v>16</v>
      </c>
      <c r="AO765">
        <v>60</v>
      </c>
      <c r="AP765">
        <v>5</v>
      </c>
      <c r="AQ765">
        <v>0</v>
      </c>
      <c r="AR765">
        <v>0</v>
      </c>
      <c r="AS765" t="s">
        <v>59</v>
      </c>
      <c r="AT765">
        <v>1</v>
      </c>
      <c r="AU765" t="s">
        <v>72</v>
      </c>
      <c r="AV765" t="s">
        <v>65</v>
      </c>
      <c r="AW765">
        <v>0</v>
      </c>
      <c r="AX765">
        <v>3</v>
      </c>
      <c r="AY765">
        <v>0</v>
      </c>
      <c r="AZ765">
        <v>2500</v>
      </c>
      <c r="BA765">
        <v>100</v>
      </c>
      <c r="BB765">
        <v>100</v>
      </c>
      <c r="BC765">
        <v>100</v>
      </c>
      <c r="BD765">
        <v>100</v>
      </c>
      <c r="BE765">
        <v>1</v>
      </c>
      <c r="BF765">
        <v>15000</v>
      </c>
      <c r="BG765">
        <v>1000</v>
      </c>
      <c r="BH765" s="7">
        <f>ROUND(Wapato_Inventory[[#This Row],[detatched_value]]*Lookups!$B$22*Lookups!$H$48,-2)</f>
        <v>2200</v>
      </c>
      <c r="BI765" s="7">
        <f>ROUND(((Wapato_Inventory[[#This Row],[land_extract]]*Lookups!$B$3) +(Lookups!$B$2*0.5))*Lookups!$H$48,-2)</f>
        <v>53100</v>
      </c>
      <c r="BJ765" s="7">
        <f>IF(Wapato_Inventory[[#This Row],[bldg_style]]="",0,Lookups!$B$2*0.5)</f>
        <v>53765.27</v>
      </c>
      <c r="BK765" s="7">
        <f>_xlfn.IFNA(VLOOKUP(Wapato_Inventory[[#This Row],[quality]],Lookups!$H$2:$J$14,3,FALSE),0)</f>
        <v>48043</v>
      </c>
      <c r="BL765" s="7">
        <f>_xlfn.IFNA(VLOOKUP(Wapato_Inventory[[#This Row],[condition]],Lookups!$H$17:$J$24,3,FALSE),0)</f>
        <v>52231</v>
      </c>
      <c r="BM765" s="7">
        <f>Wapato_Inventory[[#This Row],[Age]]*Lookups!$B$16</f>
        <v>-41886.354100000004</v>
      </c>
      <c r="BN765" s="7">
        <f>Wapato_Inventory[[#This Row],[Main Floor]]*Lookups!$B$17</f>
        <v>42302.347867999997</v>
      </c>
      <c r="BO765" s="7">
        <f>Wapato_Inventory[[#This Row],[Upper Floor]]*Lookups!$B$18</f>
        <v>0</v>
      </c>
      <c r="BP765" s="7">
        <f>Wapato_Inventory[[#This Row],[Fin BSMT]]*Lookups!$B$19</f>
        <v>0</v>
      </c>
      <c r="BQ765" s="7">
        <f>(Wapato_Inventory[[#This Row],[att_gar]]+Wapato_Inventory[[#This Row],[blt_gar]])*Lookups!$B$20</f>
        <v>7401.7503999999999</v>
      </c>
      <c r="BR765" s="7">
        <f>Wapato_Inventory[[#This Row],[Patio]]*Lookups!$B$21</f>
        <v>2599.4387400000001</v>
      </c>
      <c r="BS765" s="7">
        <f>SUM(Wapato_Inventory[[#This Row],[intercept]:[patio_value]])*Wapato_Inventory[[#This Row],[res_pct]]</f>
        <v>164456.45290800001</v>
      </c>
      <c r="BT765" s="7">
        <f>Wapato_Inventory[[#This Row],[land_value]]</f>
        <v>53100</v>
      </c>
      <c r="BU765" s="2">
        <f>_xlfn.IFNA(VLOOKUP(Wapato_Inventory[[#This Row],[quality]],Lookups!$A$28:$C$37,3,FALSE),1)</f>
        <v>0.98196844879778955</v>
      </c>
      <c r="BV765" s="2">
        <f>_xlfn.IFNA(VLOOKUP(Wapato_Inventory[[#This Row],[condition]],Lookups!$A$41:$C$48,3,FALSE),1)</f>
        <v>0.9832333997567807</v>
      </c>
      <c r="BW765" s="2">
        <f>IF(Wapato_Inventory[[#This Row],[decade]]="",1,_xlfn.IFNA(VLOOKUP(Wapato_Inventory[[#This Row],[decade]],Lookups!$F$28:$H$45,3,FALSE),1))</f>
        <v>0.93664589651353292</v>
      </c>
      <c r="BX765" s="2">
        <f>_xlfn.IFNA(VLOOKUP(Wapato_Inventory[[#This Row],[living_area_range]],Lookups!$K$28:$M$37,3,FALSE),1)</f>
        <v>1.0061411172456287</v>
      </c>
      <c r="BY765" s="2">
        <f>AVERAGE(Wapato_Inventory[[#This Row],[qual_adj]:[range_adj]])</f>
        <v>0.976997215578433</v>
      </c>
      <c r="BZ765" s="7">
        <f>(Wapato_Inventory[[#This Row],[sum_land]]-IF(Wapato_Inventory[[#This Row],[no_utilities]]=1,12000,0))/IF(Wapato_Inventory[[#This Row],[unbuildable]]=1,2,1)</f>
        <v>53100</v>
      </c>
      <c r="CA765" s="7">
        <f>Wapato_Inventory[[#This Row],[pre_res]]*Wapato_Inventory[[#This Row],[overall_adj]]</f>
        <v>160673.49657502171</v>
      </c>
      <c r="CB76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65" s="3">
        <f>IF(ROUND(Wapato_Inventory[[#This Row],[adj_res]]*Lookups!$H$48,-2)&lt;Wapato_Inventory[[#This Row],[min_res]],Wapato_Inventory[[#This Row],[min_res]],ROUND(Wapato_Inventory[[#This Row],[adj_res]]*Lookups!$H$48,-2))</f>
        <v>152600</v>
      </c>
      <c r="CD765" s="3">
        <f>ROUND(Wapato_Inventory[[#This Row],[det_value]]*Lookups!$H$48,-2)</f>
        <v>2100</v>
      </c>
      <c r="CE765" s="3">
        <f>Wapato_Inventory[[#This Row],[final_res]]+Wapato_Inventory[[#This Row],[final_det]]</f>
        <v>154700</v>
      </c>
      <c r="CF765" s="3">
        <f>Wapato_Inventory[[#This Row],[crop_value]]+Wapato_Inventory[[#This Row],[final_land]]+Wapato_Inventory[[#This Row],[final_imp]]</f>
        <v>205100</v>
      </c>
      <c r="CH765" t="str">
        <f t="shared" si="11"/>
        <v>update valuation set market_land =50400, market_bldg=154700, market_total =205100, market_mdno =405, market_date ='9/10/2023' where link_id = (select link_id from parcel where parcel_year = '2024' and parcel_id = '19111514411');</v>
      </c>
    </row>
    <row r="766" spans="1:86" x14ac:dyDescent="0.25">
      <c r="A766">
        <v>19111514412</v>
      </c>
      <c r="B766">
        <v>0.14000000000000001</v>
      </c>
      <c r="C766">
        <v>6082</v>
      </c>
      <c r="D766" t="s">
        <v>144</v>
      </c>
      <c r="E766" t="s">
        <v>54</v>
      </c>
      <c r="F766" t="s">
        <v>54</v>
      </c>
      <c r="G766">
        <v>3</v>
      </c>
      <c r="H766" t="s">
        <v>55</v>
      </c>
      <c r="I766">
        <v>138400</v>
      </c>
      <c r="J766">
        <v>31900</v>
      </c>
      <c r="K766">
        <v>0.14000000000000001</v>
      </c>
      <c r="L766">
        <f>IF(Wapato_Inventory[[#This Row],[parcel_acres]]-Wapato_Inventory[[#This Row],[non_valued_acres]] =0,0,LN(Wapato_Inventory[[#This Row],[parcel_acres]]-Wapato_Inventory[[#This Row],[non_valued_acres]]))</f>
        <v>-1.9661128563728327</v>
      </c>
      <c r="M766">
        <v>0</v>
      </c>
      <c r="N766">
        <v>0</v>
      </c>
      <c r="O766">
        <v>0</v>
      </c>
      <c r="P766">
        <v>27904.037</v>
      </c>
      <c r="Q766">
        <v>74398</v>
      </c>
      <c r="R766" s="3">
        <f>(Wapato_Inventory[[#This Row],[ln_acres]]*Wapato_Inventory[[#This Row],[coeff]])+Wapato_Inventory[[#This Row],[const]]</f>
        <v>19535.514109596792</v>
      </c>
      <c r="S766" t="s">
        <v>66</v>
      </c>
      <c r="T766">
        <v>1</v>
      </c>
      <c r="U766" t="s">
        <v>75</v>
      </c>
      <c r="V766" t="s">
        <v>68</v>
      </c>
      <c r="W766">
        <v>0</v>
      </c>
      <c r="X766">
        <v>0</v>
      </c>
      <c r="Y766">
        <v>65</v>
      </c>
      <c r="Z766">
        <v>113</v>
      </c>
      <c r="AA766">
        <v>120</v>
      </c>
      <c r="AB766">
        <v>1500</v>
      </c>
      <c r="AC766">
        <v>1151</v>
      </c>
      <c r="AD766">
        <v>1151</v>
      </c>
      <c r="AE766">
        <v>0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119</v>
      </c>
      <c r="AO766">
        <v>0</v>
      </c>
      <c r="AP766">
        <v>5</v>
      </c>
      <c r="AQ766">
        <v>0</v>
      </c>
      <c r="AR766">
        <v>0</v>
      </c>
      <c r="AS766" t="s">
        <v>59</v>
      </c>
      <c r="AT766">
        <v>1</v>
      </c>
      <c r="AU766" t="s">
        <v>72</v>
      </c>
      <c r="AV766" t="s">
        <v>61</v>
      </c>
      <c r="AW766">
        <v>0</v>
      </c>
      <c r="AX766">
        <v>2</v>
      </c>
      <c r="AY766">
        <v>0</v>
      </c>
      <c r="AZ766">
        <v>2900</v>
      </c>
      <c r="BA766">
        <v>100</v>
      </c>
      <c r="BB766">
        <v>100</v>
      </c>
      <c r="BC766">
        <v>100</v>
      </c>
      <c r="BD766">
        <v>100</v>
      </c>
      <c r="BE766">
        <v>1</v>
      </c>
      <c r="BF766">
        <v>15000</v>
      </c>
      <c r="BG766">
        <v>1000</v>
      </c>
      <c r="BH766" s="7">
        <f>ROUND(Wapato_Inventory[[#This Row],[detatched_value]]*Lookups!$B$22*Lookups!$H$48,-2)</f>
        <v>2600</v>
      </c>
      <c r="BI766" s="7">
        <f>ROUND(((Wapato_Inventory[[#This Row],[land_extract]]*Lookups!$B$3) +(Lookups!$B$2*0.5))*Lookups!$H$48,-2)</f>
        <v>53000</v>
      </c>
      <c r="BJ766" s="7">
        <f>IF(Wapato_Inventory[[#This Row],[bldg_style]]="",0,Lookups!$B$2*0.5)</f>
        <v>53765.27</v>
      </c>
      <c r="BK766" s="7">
        <f>_xlfn.IFNA(VLOOKUP(Wapato_Inventory[[#This Row],[quality]],Lookups!$H$2:$J$14,3,FALSE),0)</f>
        <v>48043</v>
      </c>
      <c r="BL766" s="7">
        <f>_xlfn.IFNA(VLOOKUP(Wapato_Inventory[[#This Row],[condition]],Lookups!$H$17:$J$24,3,FALSE),0)</f>
        <v>52231</v>
      </c>
      <c r="BM766" s="7">
        <f>Wapato_Inventory[[#This Row],[Age]]*Lookups!$B$16</f>
        <v>-41886.354100000004</v>
      </c>
      <c r="BN766" s="7">
        <f>Wapato_Inventory[[#This Row],[Main Floor]]*Lookups!$B$17</f>
        <v>48112.650588999997</v>
      </c>
      <c r="BO766" s="7">
        <f>Wapato_Inventory[[#This Row],[Upper Floor]]*Lookups!$B$18</f>
        <v>0</v>
      </c>
      <c r="BP766" s="7">
        <f>Wapato_Inventory[[#This Row],[Fin BSMT]]*Lookups!$B$19</f>
        <v>0</v>
      </c>
      <c r="BQ766" s="7">
        <f>(Wapato_Inventory[[#This Row],[att_gar]]+Wapato_Inventory[[#This Row],[blt_gar]])*Lookups!$B$20</f>
        <v>0</v>
      </c>
      <c r="BR766" s="7">
        <f>Wapato_Inventory[[#This Row],[Patio]]*Lookups!$B$21</f>
        <v>0</v>
      </c>
      <c r="BS766" s="7">
        <f>SUM(Wapato_Inventory[[#This Row],[intercept]:[patio_value]])*Wapato_Inventory[[#This Row],[res_pct]]</f>
        <v>160265.56648899999</v>
      </c>
      <c r="BT766" s="7">
        <f>Wapato_Inventory[[#This Row],[land_value]]</f>
        <v>53000</v>
      </c>
      <c r="BU766" s="2">
        <f>_xlfn.IFNA(VLOOKUP(Wapato_Inventory[[#This Row],[quality]],Lookups!$A$28:$C$37,3,FALSE),1)</f>
        <v>0.98196844879778955</v>
      </c>
      <c r="BV766" s="2">
        <f>_xlfn.IFNA(VLOOKUP(Wapato_Inventory[[#This Row],[condition]],Lookups!$A$41:$C$48,3,FALSE),1)</f>
        <v>0.9832333997567807</v>
      </c>
      <c r="BW766" s="2">
        <f>IF(Wapato_Inventory[[#This Row],[decade]]="",1,_xlfn.IFNA(VLOOKUP(Wapato_Inventory[[#This Row],[decade]],Lookups!$F$28:$H$45,3,FALSE),1))</f>
        <v>0.93664589651353292</v>
      </c>
      <c r="BX766" s="2">
        <f>_xlfn.IFNA(VLOOKUP(Wapato_Inventory[[#This Row],[living_area_range]],Lookups!$K$28:$M$37,3,FALSE),1)</f>
        <v>1.0061411172456287</v>
      </c>
      <c r="BY766" s="2">
        <f>AVERAGE(Wapato_Inventory[[#This Row],[qual_adj]:[range_adj]])</f>
        <v>0.976997215578433</v>
      </c>
      <c r="BZ766" s="7">
        <f>(Wapato_Inventory[[#This Row],[sum_land]]-IF(Wapato_Inventory[[#This Row],[no_utilities]]=1,12000,0))/IF(Wapato_Inventory[[#This Row],[unbuildable]]=1,2,1)</f>
        <v>53000</v>
      </c>
      <c r="CA766" s="7">
        <f>Wapato_Inventory[[#This Row],[pre_res]]*Wapato_Inventory[[#This Row],[overall_adj]]</f>
        <v>156579.01221285321</v>
      </c>
      <c r="CB76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66" s="3">
        <f>IF(ROUND(Wapato_Inventory[[#This Row],[adj_res]]*Lookups!$H$48,-2)&lt;Wapato_Inventory[[#This Row],[min_res]],Wapato_Inventory[[#This Row],[min_res]],ROUND(Wapato_Inventory[[#This Row],[adj_res]]*Lookups!$H$48,-2))</f>
        <v>148800</v>
      </c>
      <c r="CD766" s="3">
        <f>ROUND(Wapato_Inventory[[#This Row],[det_value]]*Lookups!$H$48,-2)</f>
        <v>2500</v>
      </c>
      <c r="CE766" s="3">
        <f>Wapato_Inventory[[#This Row],[final_res]]+Wapato_Inventory[[#This Row],[final_det]]</f>
        <v>151300</v>
      </c>
      <c r="CF766" s="3">
        <f>Wapato_Inventory[[#This Row],[crop_value]]+Wapato_Inventory[[#This Row],[final_land]]+Wapato_Inventory[[#This Row],[final_imp]]</f>
        <v>201700</v>
      </c>
      <c r="CH766" t="str">
        <f t="shared" si="11"/>
        <v>update valuation set market_land =50400, market_bldg=151300, market_total =201700, market_mdno =405, market_date ='9/10/2023' where link_id = (select link_id from parcel where parcel_year = '2024' and parcel_id = '19111514412');</v>
      </c>
    </row>
    <row r="767" spans="1:86" x14ac:dyDescent="0.25">
      <c r="A767">
        <v>19111514413</v>
      </c>
      <c r="B767">
        <v>0.15</v>
      </c>
      <c r="C767">
        <v>6656</v>
      </c>
      <c r="D767" t="s">
        <v>144</v>
      </c>
      <c r="E767" t="s">
        <v>54</v>
      </c>
      <c r="F767" t="s">
        <v>54</v>
      </c>
      <c r="G767">
        <v>3</v>
      </c>
      <c r="H767" t="s">
        <v>55</v>
      </c>
      <c r="I767">
        <v>88300</v>
      </c>
      <c r="J767">
        <v>32300</v>
      </c>
      <c r="K767">
        <v>0.15</v>
      </c>
      <c r="L767">
        <f>IF(Wapato_Inventory[[#This Row],[parcel_acres]]-Wapato_Inventory[[#This Row],[non_valued_acres]] =0,0,LN(Wapato_Inventory[[#This Row],[parcel_acres]]-Wapato_Inventory[[#This Row],[non_valued_acres]]))</f>
        <v>-1.8971199848858813</v>
      </c>
      <c r="M767">
        <v>0</v>
      </c>
      <c r="N767">
        <v>0</v>
      </c>
      <c r="O767">
        <v>0</v>
      </c>
      <c r="P767">
        <v>27904.037</v>
      </c>
      <c r="Q767">
        <v>74398</v>
      </c>
      <c r="R767" s="3">
        <f>(Wapato_Inventory[[#This Row],[ln_acres]]*Wapato_Inventory[[#This Row],[coeff]])+Wapato_Inventory[[#This Row],[const]]</f>
        <v>21460.693748304926</v>
      </c>
      <c r="S767" t="s">
        <v>66</v>
      </c>
      <c r="T767">
        <v>1</v>
      </c>
      <c r="U767" t="s">
        <v>78</v>
      </c>
      <c r="V767" t="s">
        <v>73</v>
      </c>
      <c r="W767">
        <v>0</v>
      </c>
      <c r="X767">
        <v>0</v>
      </c>
      <c r="Y767">
        <v>57</v>
      </c>
      <c r="Z767">
        <v>103</v>
      </c>
      <c r="AA767">
        <v>110</v>
      </c>
      <c r="AB767">
        <v>1000</v>
      </c>
      <c r="AC767">
        <v>964</v>
      </c>
      <c r="AD767">
        <v>964</v>
      </c>
      <c r="AE767">
        <v>0</v>
      </c>
      <c r="AF767">
        <v>0</v>
      </c>
      <c r="AG767">
        <v>0</v>
      </c>
      <c r="AH767">
        <v>0</v>
      </c>
      <c r="AI767">
        <v>200</v>
      </c>
      <c r="AJ767">
        <v>0</v>
      </c>
      <c r="AK767">
        <v>0</v>
      </c>
      <c r="AL767">
        <v>0</v>
      </c>
      <c r="AM767">
        <v>264</v>
      </c>
      <c r="AN767">
        <v>0</v>
      </c>
      <c r="AO767">
        <v>264</v>
      </c>
      <c r="AP767">
        <v>5</v>
      </c>
      <c r="AQ767">
        <v>0</v>
      </c>
      <c r="AR767">
        <v>0</v>
      </c>
      <c r="AS767" t="s">
        <v>59</v>
      </c>
      <c r="AT767">
        <v>1</v>
      </c>
      <c r="AU767" t="s">
        <v>72</v>
      </c>
      <c r="AV767" t="s">
        <v>61</v>
      </c>
      <c r="AW767">
        <v>0</v>
      </c>
      <c r="AX767">
        <v>2</v>
      </c>
      <c r="AY767">
        <v>0</v>
      </c>
      <c r="AZ767">
        <v>0</v>
      </c>
      <c r="BA767">
        <v>100</v>
      </c>
      <c r="BB767">
        <v>100</v>
      </c>
      <c r="BC767">
        <v>100</v>
      </c>
      <c r="BD767">
        <v>100</v>
      </c>
      <c r="BE767">
        <v>1</v>
      </c>
      <c r="BF767">
        <v>15000</v>
      </c>
      <c r="BG767">
        <v>1000</v>
      </c>
      <c r="BH767" s="7">
        <f>ROUND(Wapato_Inventory[[#This Row],[detatched_value]]*Lookups!$B$22*Lookups!$H$48,-2)</f>
        <v>0</v>
      </c>
      <c r="BI767" s="7">
        <f>ROUND(((Wapato_Inventory[[#This Row],[land_extract]]*Lookups!$B$3) +(Lookups!$B$2*0.5))*Lookups!$H$48,-2)</f>
        <v>53100</v>
      </c>
      <c r="BJ767" s="7">
        <f>IF(Wapato_Inventory[[#This Row],[bldg_style]]="",0,Lookups!$B$2*0.5)</f>
        <v>53765.27</v>
      </c>
      <c r="BK767" s="7">
        <f>_xlfn.IFNA(VLOOKUP(Wapato_Inventory[[#This Row],[quality]],Lookups!$H$2:$J$14,3,FALSE),0)</f>
        <v>23424</v>
      </c>
      <c r="BL767" s="7">
        <f>_xlfn.IFNA(VLOOKUP(Wapato_Inventory[[#This Row],[condition]],Lookups!$H$17:$J$24,3,FALSE),0)</f>
        <v>16276</v>
      </c>
      <c r="BM767" s="7">
        <f>Wapato_Inventory[[#This Row],[Age]]*Lookups!$B$16</f>
        <v>-38179.597099999999</v>
      </c>
      <c r="BN767" s="7">
        <f>Wapato_Inventory[[#This Row],[Main Floor]]*Lookups!$B$17</f>
        <v>40295.912396</v>
      </c>
      <c r="BO767" s="7">
        <f>Wapato_Inventory[[#This Row],[Upper Floor]]*Lookups!$B$18</f>
        <v>0</v>
      </c>
      <c r="BP767" s="7">
        <f>Wapato_Inventory[[#This Row],[Fin BSMT]]*Lookups!$B$19</f>
        <v>0</v>
      </c>
      <c r="BQ767" s="7">
        <f>(Wapato_Inventory[[#This Row],[att_gar]]+Wapato_Inventory[[#This Row],[blt_gar]])*Lookups!$B$20</f>
        <v>7401.7503999999999</v>
      </c>
      <c r="BR767" s="7">
        <f>Wapato_Inventory[[#This Row],[Patio]]*Lookups!$B$21</f>
        <v>11437.530456</v>
      </c>
      <c r="BS767" s="7">
        <f>SUM(Wapato_Inventory[[#This Row],[intercept]:[patio_value]])*Wapato_Inventory[[#This Row],[res_pct]]</f>
        <v>114420.866152</v>
      </c>
      <c r="BT767" s="7">
        <f>Wapato_Inventory[[#This Row],[land_value]]</f>
        <v>53100</v>
      </c>
      <c r="BU767" s="2">
        <f>_xlfn.IFNA(VLOOKUP(Wapato_Inventory[[#This Row],[quality]],Lookups!$A$28:$C$37,3,FALSE),1)</f>
        <v>1.0091195562373767</v>
      </c>
      <c r="BV767" s="2">
        <f>_xlfn.IFNA(VLOOKUP(Wapato_Inventory[[#This Row],[condition]],Lookups!$A$41:$C$48,3,FALSE),1)</f>
        <v>0.93399385491337139</v>
      </c>
      <c r="BW767" s="2">
        <f>IF(Wapato_Inventory[[#This Row],[decade]]="",1,_xlfn.IFNA(VLOOKUP(Wapato_Inventory[[#This Row],[decade]],Lookups!$F$28:$H$45,3,FALSE),1))</f>
        <v>0.93664589651353292</v>
      </c>
      <c r="BX767" s="2">
        <f>_xlfn.IFNA(VLOOKUP(Wapato_Inventory[[#This Row],[living_area_range]],Lookups!$K$28:$M$37,3,FALSE),1)</f>
        <v>0.99022994770196116</v>
      </c>
      <c r="BY767" s="2">
        <f>AVERAGE(Wapato_Inventory[[#This Row],[qual_adj]:[range_adj]])</f>
        <v>0.96749731384156046</v>
      </c>
      <c r="BZ767" s="7">
        <f>(Wapato_Inventory[[#This Row],[sum_land]]-IF(Wapato_Inventory[[#This Row],[no_utilities]]=1,12000,0))/IF(Wapato_Inventory[[#This Row],[unbuildable]]=1,2,1)</f>
        <v>53100</v>
      </c>
      <c r="CA767" s="7">
        <f>Wapato_Inventory[[#This Row],[pre_res]]*Wapato_Inventory[[#This Row],[overall_adj]]</f>
        <v>110701.88064948472</v>
      </c>
      <c r="CB76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67" s="3">
        <f>IF(ROUND(Wapato_Inventory[[#This Row],[adj_res]]*Lookups!$H$48,-2)&lt;Wapato_Inventory[[#This Row],[min_res]],Wapato_Inventory[[#This Row],[min_res]],ROUND(Wapato_Inventory[[#This Row],[adj_res]]*Lookups!$H$48,-2))</f>
        <v>105200</v>
      </c>
      <c r="CD767" s="3">
        <f>ROUND(Wapato_Inventory[[#This Row],[det_value]]*Lookups!$H$48,-2)</f>
        <v>0</v>
      </c>
      <c r="CE767" s="3">
        <f>Wapato_Inventory[[#This Row],[final_res]]+Wapato_Inventory[[#This Row],[final_det]]</f>
        <v>105200</v>
      </c>
      <c r="CF767" s="3">
        <f>Wapato_Inventory[[#This Row],[crop_value]]+Wapato_Inventory[[#This Row],[final_land]]+Wapato_Inventory[[#This Row],[final_imp]]</f>
        <v>155600</v>
      </c>
      <c r="CH767" t="str">
        <f t="shared" si="11"/>
        <v>update valuation set market_land =50400, market_bldg=105200, market_total =155600, market_mdno =405, market_date ='9/10/2023' where link_id = (select link_id from parcel where parcel_year = '2024' and parcel_id = '19111514413');</v>
      </c>
    </row>
    <row r="768" spans="1:86" x14ac:dyDescent="0.25">
      <c r="A768">
        <v>19111514414</v>
      </c>
      <c r="B768">
        <v>0.14000000000000001</v>
      </c>
      <c r="C768">
        <v>6136</v>
      </c>
      <c r="D768" t="s">
        <v>144</v>
      </c>
      <c r="E768" t="s">
        <v>54</v>
      </c>
      <c r="F768" t="s">
        <v>54</v>
      </c>
      <c r="G768">
        <v>3</v>
      </c>
      <c r="H768" t="s">
        <v>55</v>
      </c>
      <c r="I768">
        <v>162700</v>
      </c>
      <c r="J768">
        <v>31900</v>
      </c>
      <c r="K768">
        <v>0.14000000000000001</v>
      </c>
      <c r="L768">
        <f>IF(Wapato_Inventory[[#This Row],[parcel_acres]]-Wapato_Inventory[[#This Row],[non_valued_acres]] =0,0,LN(Wapato_Inventory[[#This Row],[parcel_acres]]-Wapato_Inventory[[#This Row],[non_valued_acres]]))</f>
        <v>-1.9661128563728327</v>
      </c>
      <c r="M768">
        <v>0</v>
      </c>
      <c r="N768">
        <v>0</v>
      </c>
      <c r="O768">
        <v>0</v>
      </c>
      <c r="P768">
        <v>27904.037</v>
      </c>
      <c r="Q768">
        <v>74398</v>
      </c>
      <c r="R768" s="3">
        <f>(Wapato_Inventory[[#This Row],[ln_acres]]*Wapato_Inventory[[#This Row],[coeff]])+Wapato_Inventory[[#This Row],[const]]</f>
        <v>19535.514109596792</v>
      </c>
      <c r="S768" t="s">
        <v>56</v>
      </c>
      <c r="T768">
        <v>2</v>
      </c>
      <c r="U768" t="s">
        <v>75</v>
      </c>
      <c r="V768" t="s">
        <v>68</v>
      </c>
      <c r="W768">
        <v>0</v>
      </c>
      <c r="X768">
        <v>0</v>
      </c>
      <c r="Y768">
        <v>60</v>
      </c>
      <c r="Z768">
        <v>108</v>
      </c>
      <c r="AA768">
        <v>110</v>
      </c>
      <c r="AB768">
        <v>1500</v>
      </c>
      <c r="AC768">
        <v>1424</v>
      </c>
      <c r="AD768">
        <v>1084</v>
      </c>
      <c r="AE768">
        <v>340</v>
      </c>
      <c r="AF768">
        <v>0</v>
      </c>
      <c r="AG768">
        <v>0</v>
      </c>
      <c r="AH768">
        <v>332</v>
      </c>
      <c r="AI768">
        <v>0</v>
      </c>
      <c r="AJ768">
        <v>0</v>
      </c>
      <c r="AK768">
        <v>0</v>
      </c>
      <c r="AL768">
        <v>0</v>
      </c>
      <c r="AM768">
        <v>112</v>
      </c>
      <c r="AN768">
        <v>91</v>
      </c>
      <c r="AO768">
        <v>112</v>
      </c>
      <c r="AP768">
        <v>7</v>
      </c>
      <c r="AQ768">
        <v>1</v>
      </c>
      <c r="AR768">
        <v>0</v>
      </c>
      <c r="AS768" t="s">
        <v>59</v>
      </c>
      <c r="AT768">
        <v>1</v>
      </c>
      <c r="AU768" t="s">
        <v>72</v>
      </c>
      <c r="AV768" t="s">
        <v>61</v>
      </c>
      <c r="AW768">
        <v>0</v>
      </c>
      <c r="AX768">
        <v>3</v>
      </c>
      <c r="AY768">
        <v>0</v>
      </c>
      <c r="AZ768">
        <v>7900</v>
      </c>
      <c r="BA768">
        <v>100</v>
      </c>
      <c r="BB768">
        <v>100</v>
      </c>
      <c r="BC768">
        <v>100</v>
      </c>
      <c r="BD768">
        <v>100</v>
      </c>
      <c r="BE768">
        <v>1</v>
      </c>
      <c r="BF768">
        <v>15000</v>
      </c>
      <c r="BG768">
        <v>1000</v>
      </c>
      <c r="BH768" s="7">
        <f>ROUND(Wapato_Inventory[[#This Row],[detatched_value]]*Lookups!$B$22*Lookups!$H$48,-2)</f>
        <v>7100</v>
      </c>
      <c r="BI768" s="7">
        <f>ROUND(((Wapato_Inventory[[#This Row],[land_extract]]*Lookups!$B$3) +(Lookups!$B$2*0.5))*Lookups!$H$48,-2)</f>
        <v>53000</v>
      </c>
      <c r="BJ768" s="7">
        <f>IF(Wapato_Inventory[[#This Row],[bldg_style]]="",0,Lookups!$B$2*0.5)</f>
        <v>53765.27</v>
      </c>
      <c r="BK768" s="7">
        <f>_xlfn.IFNA(VLOOKUP(Wapato_Inventory[[#This Row],[quality]],Lookups!$H$2:$J$14,3,FALSE),0)</f>
        <v>48043</v>
      </c>
      <c r="BL768" s="7">
        <f>_xlfn.IFNA(VLOOKUP(Wapato_Inventory[[#This Row],[condition]],Lookups!$H$17:$J$24,3,FALSE),0)</f>
        <v>52231</v>
      </c>
      <c r="BM768" s="7">
        <f>Wapato_Inventory[[#This Row],[Age]]*Lookups!$B$16</f>
        <v>-40032.975599999998</v>
      </c>
      <c r="BN768" s="7">
        <f>Wapato_Inventory[[#This Row],[Main Floor]]*Lookups!$B$17</f>
        <v>45312.001076</v>
      </c>
      <c r="BO768" s="7">
        <f>Wapato_Inventory[[#This Row],[Upper Floor]]*Lookups!$B$18</f>
        <v>16864.38726</v>
      </c>
      <c r="BP768" s="7">
        <f>Wapato_Inventory[[#This Row],[Fin BSMT]]*Lookups!$B$19</f>
        <v>0</v>
      </c>
      <c r="BQ768" s="7">
        <f>(Wapato_Inventory[[#This Row],[att_gar]]+Wapato_Inventory[[#This Row],[blt_gar]])*Lookups!$B$20</f>
        <v>0</v>
      </c>
      <c r="BR768" s="7">
        <f>Wapato_Inventory[[#This Row],[Patio]]*Lookups!$B$21</f>
        <v>4852.285648</v>
      </c>
      <c r="BS768" s="7">
        <f>SUM(Wapato_Inventory[[#This Row],[intercept]:[patio_value]])*Wapato_Inventory[[#This Row],[res_pct]]</f>
        <v>181034.96838399998</v>
      </c>
      <c r="BT768" s="7">
        <f>Wapato_Inventory[[#This Row],[land_value]]</f>
        <v>53000</v>
      </c>
      <c r="BU768" s="2">
        <f>_xlfn.IFNA(VLOOKUP(Wapato_Inventory[[#This Row],[quality]],Lookups!$A$28:$C$37,3,FALSE),1)</f>
        <v>0.98196844879778955</v>
      </c>
      <c r="BV768" s="2">
        <f>_xlfn.IFNA(VLOOKUP(Wapato_Inventory[[#This Row],[condition]],Lookups!$A$41:$C$48,3,FALSE),1)</f>
        <v>0.9832333997567807</v>
      </c>
      <c r="BW768" s="2">
        <f>IF(Wapato_Inventory[[#This Row],[decade]]="",1,_xlfn.IFNA(VLOOKUP(Wapato_Inventory[[#This Row],[decade]],Lookups!$F$28:$H$45,3,FALSE),1))</f>
        <v>0.93664589651353292</v>
      </c>
      <c r="BX768" s="2">
        <f>_xlfn.IFNA(VLOOKUP(Wapato_Inventory[[#This Row],[living_area_range]],Lookups!$K$28:$M$37,3,FALSE),1)</f>
        <v>1.0061411172456287</v>
      </c>
      <c r="BY768" s="2">
        <f>AVERAGE(Wapato_Inventory[[#This Row],[qual_adj]:[range_adj]])</f>
        <v>0.976997215578433</v>
      </c>
      <c r="BZ768" s="7">
        <f>(Wapato_Inventory[[#This Row],[sum_land]]-IF(Wapato_Inventory[[#This Row],[no_utilities]]=1,12000,0))/IF(Wapato_Inventory[[#This Row],[unbuildable]]=1,2,1)</f>
        <v>53000</v>
      </c>
      <c r="CA768" s="7">
        <f>Wapato_Inventory[[#This Row],[pre_res]]*Wapato_Inventory[[#This Row],[overall_adj]]</f>
        <v>176870.66003349764</v>
      </c>
      <c r="CB76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68" s="3">
        <f>IF(ROUND(Wapato_Inventory[[#This Row],[adj_res]]*Lookups!$H$48,-2)&lt;Wapato_Inventory[[#This Row],[min_res]],Wapato_Inventory[[#This Row],[min_res]],ROUND(Wapato_Inventory[[#This Row],[adj_res]]*Lookups!$H$48,-2))</f>
        <v>168000</v>
      </c>
      <c r="CD768" s="3">
        <f>ROUND(Wapato_Inventory[[#This Row],[det_value]]*Lookups!$H$48,-2)</f>
        <v>6700</v>
      </c>
      <c r="CE768" s="3">
        <f>Wapato_Inventory[[#This Row],[final_res]]+Wapato_Inventory[[#This Row],[final_det]]</f>
        <v>174700</v>
      </c>
      <c r="CF768" s="3">
        <f>Wapato_Inventory[[#This Row],[crop_value]]+Wapato_Inventory[[#This Row],[final_land]]+Wapato_Inventory[[#This Row],[final_imp]]</f>
        <v>225100</v>
      </c>
      <c r="CH768" t="str">
        <f t="shared" si="11"/>
        <v>update valuation set market_land =50400, market_bldg=174700, market_total =225100, market_mdno =405, market_date ='9/10/2023' where link_id = (select link_id from parcel where parcel_year = '2024' and parcel_id = '19111514414');</v>
      </c>
    </row>
    <row r="769" spans="1:86" x14ac:dyDescent="0.25">
      <c r="A769">
        <v>19111514418</v>
      </c>
      <c r="B769">
        <v>0.14000000000000001</v>
      </c>
      <c r="C769">
        <v>6138</v>
      </c>
      <c r="D769" t="s">
        <v>144</v>
      </c>
      <c r="E769" t="s">
        <v>54</v>
      </c>
      <c r="F769" t="s">
        <v>54</v>
      </c>
      <c r="G769">
        <v>3</v>
      </c>
      <c r="H769" t="s">
        <v>55</v>
      </c>
      <c r="I769">
        <v>78000</v>
      </c>
      <c r="J769">
        <v>31900</v>
      </c>
      <c r="K769">
        <v>0.14000000000000001</v>
      </c>
      <c r="L769">
        <f>IF(Wapato_Inventory[[#This Row],[parcel_acres]]-Wapato_Inventory[[#This Row],[non_valued_acres]] =0,0,LN(Wapato_Inventory[[#This Row],[parcel_acres]]-Wapato_Inventory[[#This Row],[non_valued_acres]]))</f>
        <v>-1.9661128563728327</v>
      </c>
      <c r="M769">
        <v>0</v>
      </c>
      <c r="N769">
        <v>0</v>
      </c>
      <c r="O769">
        <v>0</v>
      </c>
      <c r="P769">
        <v>27904.037</v>
      </c>
      <c r="Q769">
        <v>74398</v>
      </c>
      <c r="R769" s="3">
        <f>(Wapato_Inventory[[#This Row],[ln_acres]]*Wapato_Inventory[[#This Row],[coeff]])+Wapato_Inventory[[#This Row],[const]]</f>
        <v>19535.514109596792</v>
      </c>
      <c r="S769" t="s">
        <v>66</v>
      </c>
      <c r="T769">
        <v>1</v>
      </c>
      <c r="U769" t="s">
        <v>71</v>
      </c>
      <c r="V769" t="s">
        <v>73</v>
      </c>
      <c r="W769">
        <v>0</v>
      </c>
      <c r="X769">
        <v>0</v>
      </c>
      <c r="Y769">
        <v>57</v>
      </c>
      <c r="Z769">
        <v>103</v>
      </c>
      <c r="AA769">
        <v>110</v>
      </c>
      <c r="AB769">
        <v>1500</v>
      </c>
      <c r="AC769">
        <v>1344</v>
      </c>
      <c r="AD769">
        <v>672</v>
      </c>
      <c r="AE769">
        <v>0</v>
      </c>
      <c r="AF769">
        <v>0</v>
      </c>
      <c r="AG769">
        <v>672</v>
      </c>
      <c r="AH769">
        <v>0</v>
      </c>
      <c r="AI769">
        <v>0</v>
      </c>
      <c r="AJ769">
        <v>0</v>
      </c>
      <c r="AK769">
        <v>0</v>
      </c>
      <c r="AL769">
        <v>0</v>
      </c>
      <c r="AM769">
        <v>0</v>
      </c>
      <c r="AN769">
        <v>35</v>
      </c>
      <c r="AO769">
        <v>96</v>
      </c>
      <c r="AP769">
        <v>5</v>
      </c>
      <c r="AQ769">
        <v>0</v>
      </c>
      <c r="AR769">
        <v>0</v>
      </c>
      <c r="AS769" t="s">
        <v>59</v>
      </c>
      <c r="AT769">
        <v>1</v>
      </c>
      <c r="AU769" t="s">
        <v>64</v>
      </c>
      <c r="AV769" t="s">
        <v>65</v>
      </c>
      <c r="AW769">
        <v>0</v>
      </c>
      <c r="AX769">
        <v>1</v>
      </c>
      <c r="AY769">
        <v>0</v>
      </c>
      <c r="AZ769">
        <v>15500</v>
      </c>
      <c r="BA769">
        <v>100</v>
      </c>
      <c r="BB769">
        <v>100</v>
      </c>
      <c r="BC769">
        <v>100</v>
      </c>
      <c r="BD769">
        <v>100</v>
      </c>
      <c r="BE769">
        <v>1</v>
      </c>
      <c r="BF769">
        <v>15000</v>
      </c>
      <c r="BG769">
        <v>1000</v>
      </c>
      <c r="BH769" s="7">
        <f>ROUND(Wapato_Inventory[[#This Row],[detatched_value]]*Lookups!$B$22*Lookups!$H$48,-2)</f>
        <v>13800</v>
      </c>
      <c r="BI769" s="7">
        <f>ROUND(((Wapato_Inventory[[#This Row],[land_extract]]*Lookups!$B$3) +(Lookups!$B$2*0.5))*Lookups!$H$48,-2)</f>
        <v>53000</v>
      </c>
      <c r="BJ769" s="7">
        <f>IF(Wapato_Inventory[[#This Row],[bldg_style]]="",0,Lookups!$B$2*0.5)</f>
        <v>53765.27</v>
      </c>
      <c r="BK769" s="7">
        <f>_xlfn.IFNA(VLOOKUP(Wapato_Inventory[[#This Row],[quality]],Lookups!$H$2:$J$14,3,FALSE),0)</f>
        <v>28034</v>
      </c>
      <c r="BL769" s="7">
        <f>_xlfn.IFNA(VLOOKUP(Wapato_Inventory[[#This Row],[condition]],Lookups!$H$17:$J$24,3,FALSE),0)</f>
        <v>16276</v>
      </c>
      <c r="BM769" s="7">
        <f>Wapato_Inventory[[#This Row],[Age]]*Lookups!$B$16</f>
        <v>-38179.597099999999</v>
      </c>
      <c r="BN769" s="7">
        <f>Wapato_Inventory[[#This Row],[Main Floor]]*Lookups!$B$17</f>
        <v>28090.096608</v>
      </c>
      <c r="BO769" s="7">
        <f>Wapato_Inventory[[#This Row],[Upper Floor]]*Lookups!$B$18</f>
        <v>0</v>
      </c>
      <c r="BP769" s="7">
        <f>Wapato_Inventory[[#This Row],[Fin BSMT]]*Lookups!$B$19</f>
        <v>16374.449280000001</v>
      </c>
      <c r="BQ769" s="7">
        <f>(Wapato_Inventory[[#This Row],[att_gar]]+Wapato_Inventory[[#This Row],[blt_gar]])*Lookups!$B$20</f>
        <v>0</v>
      </c>
      <c r="BR769" s="7">
        <f>Wapato_Inventory[[#This Row],[Patio]]*Lookups!$B$21</f>
        <v>0</v>
      </c>
      <c r="BS769" s="7">
        <f>SUM(Wapato_Inventory[[#This Row],[intercept]:[patio_value]])*Wapato_Inventory[[#This Row],[res_pct]]</f>
        <v>104360.218788</v>
      </c>
      <c r="BT769" s="7">
        <f>Wapato_Inventory[[#This Row],[land_value]]</f>
        <v>53000</v>
      </c>
      <c r="BU769" s="2">
        <f>_xlfn.IFNA(VLOOKUP(Wapato_Inventory[[#This Row],[quality]],Lookups!$A$28:$C$37,3,FALSE),1)</f>
        <v>0.96265813922927435</v>
      </c>
      <c r="BV769" s="2">
        <f>_xlfn.IFNA(VLOOKUP(Wapato_Inventory[[#This Row],[condition]],Lookups!$A$41:$C$48,3,FALSE),1)</f>
        <v>0.93399385491337139</v>
      </c>
      <c r="BW769" s="2">
        <f>IF(Wapato_Inventory[[#This Row],[decade]]="",1,_xlfn.IFNA(VLOOKUP(Wapato_Inventory[[#This Row],[decade]],Lookups!$F$28:$H$45,3,FALSE),1))</f>
        <v>0.93664589651353292</v>
      </c>
      <c r="BX769" s="2">
        <f>_xlfn.IFNA(VLOOKUP(Wapato_Inventory[[#This Row],[living_area_range]],Lookups!$K$28:$M$37,3,FALSE),1)</f>
        <v>1.0061411172456287</v>
      </c>
      <c r="BY769" s="2">
        <f>AVERAGE(Wapato_Inventory[[#This Row],[qual_adj]:[range_adj]])</f>
        <v>0.95985975197545192</v>
      </c>
      <c r="BZ769" s="7">
        <f>(Wapato_Inventory[[#This Row],[sum_land]]-IF(Wapato_Inventory[[#This Row],[no_utilities]]=1,12000,0))/IF(Wapato_Inventory[[#This Row],[unbuildable]]=1,2,1)</f>
        <v>53000</v>
      </c>
      <c r="CA769" s="7">
        <f>Wapato_Inventory[[#This Row],[pre_res]]*Wapato_Inventory[[#This Row],[overall_adj]]</f>
        <v>100171.17372195357</v>
      </c>
      <c r="CB76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69" s="3">
        <f>IF(ROUND(Wapato_Inventory[[#This Row],[adj_res]]*Lookups!$H$48,-2)&lt;Wapato_Inventory[[#This Row],[min_res]],Wapato_Inventory[[#This Row],[min_res]],ROUND(Wapato_Inventory[[#This Row],[adj_res]]*Lookups!$H$48,-2))</f>
        <v>95200</v>
      </c>
      <c r="CD769" s="3">
        <f>ROUND(Wapato_Inventory[[#This Row],[det_value]]*Lookups!$H$48,-2)</f>
        <v>13100</v>
      </c>
      <c r="CE769" s="3">
        <f>Wapato_Inventory[[#This Row],[final_res]]+Wapato_Inventory[[#This Row],[final_det]]</f>
        <v>108300</v>
      </c>
      <c r="CF769" s="3">
        <f>Wapato_Inventory[[#This Row],[crop_value]]+Wapato_Inventory[[#This Row],[final_land]]+Wapato_Inventory[[#This Row],[final_imp]]</f>
        <v>158700</v>
      </c>
      <c r="CH769" t="str">
        <f t="shared" si="11"/>
        <v>update valuation set market_land =50400, market_bldg=108300, market_total =158700, market_mdno =405, market_date ='9/10/2023' where link_id = (select link_id from parcel where parcel_year = '2024' and parcel_id = '19111514418');</v>
      </c>
    </row>
    <row r="770" spans="1:86" x14ac:dyDescent="0.25">
      <c r="A770">
        <v>19111514419</v>
      </c>
      <c r="B770">
        <v>0.15</v>
      </c>
      <c r="C770">
        <v>6732</v>
      </c>
      <c r="D770" t="s">
        <v>144</v>
      </c>
      <c r="E770" t="s">
        <v>54</v>
      </c>
      <c r="F770" t="s">
        <v>54</v>
      </c>
      <c r="G770">
        <v>3</v>
      </c>
      <c r="H770" t="s">
        <v>55</v>
      </c>
      <c r="I770">
        <v>109100</v>
      </c>
      <c r="J770">
        <v>32300</v>
      </c>
      <c r="K770">
        <v>0.15</v>
      </c>
      <c r="L770">
        <f>IF(Wapato_Inventory[[#This Row],[parcel_acres]]-Wapato_Inventory[[#This Row],[non_valued_acres]] =0,0,LN(Wapato_Inventory[[#This Row],[parcel_acres]]-Wapato_Inventory[[#This Row],[non_valued_acres]]))</f>
        <v>-1.8971199848858813</v>
      </c>
      <c r="M770">
        <v>0</v>
      </c>
      <c r="N770">
        <v>0</v>
      </c>
      <c r="O770">
        <v>0</v>
      </c>
      <c r="P770">
        <v>27904.037</v>
      </c>
      <c r="Q770">
        <v>74398</v>
      </c>
      <c r="R770" s="3">
        <f>(Wapato_Inventory[[#This Row],[ln_acres]]*Wapato_Inventory[[#This Row],[coeff]])+Wapato_Inventory[[#This Row],[const]]</f>
        <v>21460.693748304926</v>
      </c>
      <c r="S770" t="s">
        <v>145</v>
      </c>
      <c r="T770">
        <v>1</v>
      </c>
      <c r="U770" t="s">
        <v>71</v>
      </c>
      <c r="V770" t="s">
        <v>73</v>
      </c>
      <c r="W770">
        <v>0</v>
      </c>
      <c r="X770">
        <v>0</v>
      </c>
      <c r="Y770">
        <v>57</v>
      </c>
      <c r="Z770">
        <v>103</v>
      </c>
      <c r="AA770">
        <v>110</v>
      </c>
      <c r="AB770">
        <v>500</v>
      </c>
      <c r="AC770">
        <v>473</v>
      </c>
      <c r="AD770">
        <v>473</v>
      </c>
      <c r="AE770">
        <v>0</v>
      </c>
      <c r="AF770">
        <v>0</v>
      </c>
      <c r="AG770">
        <v>0</v>
      </c>
      <c r="AH770">
        <v>80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16</v>
      </c>
      <c r="AO770">
        <v>0</v>
      </c>
      <c r="AP770">
        <v>5</v>
      </c>
      <c r="AQ770">
        <v>0</v>
      </c>
      <c r="AR770">
        <v>0</v>
      </c>
      <c r="AS770" t="s">
        <v>59</v>
      </c>
      <c r="AT770">
        <v>1</v>
      </c>
      <c r="AU770" t="s">
        <v>72</v>
      </c>
      <c r="AV770" t="s">
        <v>65</v>
      </c>
      <c r="AW770">
        <v>0</v>
      </c>
      <c r="AX770">
        <v>1</v>
      </c>
      <c r="AY770">
        <v>0</v>
      </c>
      <c r="AZ770">
        <v>28300</v>
      </c>
      <c r="BA770">
        <v>100</v>
      </c>
      <c r="BB770">
        <v>100</v>
      </c>
      <c r="BC770">
        <v>100</v>
      </c>
      <c r="BD770">
        <v>100</v>
      </c>
      <c r="BE770">
        <v>1</v>
      </c>
      <c r="BF770">
        <v>15000</v>
      </c>
      <c r="BG770">
        <v>1000</v>
      </c>
      <c r="BH770" s="7">
        <f>ROUND(Wapato_Inventory[[#This Row],[detatched_value]]*Lookups!$B$22*Lookups!$H$48,-2)</f>
        <v>25300</v>
      </c>
      <c r="BI770" s="7">
        <f>ROUND(((Wapato_Inventory[[#This Row],[land_extract]]*Lookups!$B$3) +(Lookups!$B$2*0.5))*Lookups!$H$48,-2)</f>
        <v>53100</v>
      </c>
      <c r="BJ770" s="7">
        <f>IF(Wapato_Inventory[[#This Row],[bldg_style]]="",0,Lookups!$B$2*0.5)</f>
        <v>53765.27</v>
      </c>
      <c r="BK770" s="7">
        <f>_xlfn.IFNA(VLOOKUP(Wapato_Inventory[[#This Row],[quality]],Lookups!$H$2:$J$14,3,FALSE),0)</f>
        <v>28034</v>
      </c>
      <c r="BL770" s="7">
        <f>_xlfn.IFNA(VLOOKUP(Wapato_Inventory[[#This Row],[condition]],Lookups!$H$17:$J$24,3,FALSE),0)</f>
        <v>16276</v>
      </c>
      <c r="BM770" s="7">
        <f>Wapato_Inventory[[#This Row],[Age]]*Lookups!$B$16</f>
        <v>-38179.597099999999</v>
      </c>
      <c r="BN770" s="7">
        <f>Wapato_Inventory[[#This Row],[Main Floor]]*Lookups!$B$17</f>
        <v>19771.749546999999</v>
      </c>
      <c r="BO770" s="7">
        <f>Wapato_Inventory[[#This Row],[Upper Floor]]*Lookups!$B$18</f>
        <v>0</v>
      </c>
      <c r="BP770" s="7">
        <f>Wapato_Inventory[[#This Row],[Fin BSMT]]*Lookups!$B$19</f>
        <v>0</v>
      </c>
      <c r="BQ770" s="7">
        <f>(Wapato_Inventory[[#This Row],[att_gar]]+Wapato_Inventory[[#This Row],[blt_gar]])*Lookups!$B$20</f>
        <v>0</v>
      </c>
      <c r="BR770" s="7">
        <f>Wapato_Inventory[[#This Row],[Patio]]*Lookups!$B$21</f>
        <v>0</v>
      </c>
      <c r="BS770" s="7">
        <f>SUM(Wapato_Inventory[[#This Row],[intercept]:[patio_value]])*Wapato_Inventory[[#This Row],[res_pct]]</f>
        <v>79667.42244699999</v>
      </c>
      <c r="BT770" s="7">
        <f>Wapato_Inventory[[#This Row],[land_value]]</f>
        <v>53100</v>
      </c>
      <c r="BU770" s="2">
        <f>_xlfn.IFNA(VLOOKUP(Wapato_Inventory[[#This Row],[quality]],Lookups!$A$28:$C$37,3,FALSE),1)</f>
        <v>0.96265813922927435</v>
      </c>
      <c r="BV770" s="2">
        <f>_xlfn.IFNA(VLOOKUP(Wapato_Inventory[[#This Row],[condition]],Lookups!$A$41:$C$48,3,FALSE),1)</f>
        <v>0.93399385491337139</v>
      </c>
      <c r="BW770" s="2">
        <f>IF(Wapato_Inventory[[#This Row],[decade]]="",1,_xlfn.IFNA(VLOOKUP(Wapato_Inventory[[#This Row],[decade]],Lookups!$F$28:$H$45,3,FALSE),1))</f>
        <v>0.93664589651353292</v>
      </c>
      <c r="BX770" s="2">
        <f>_xlfn.IFNA(VLOOKUP(Wapato_Inventory[[#This Row],[living_area_range]],Lookups!$K$28:$M$37,3,FALSE),1)</f>
        <v>0.62984720518148585</v>
      </c>
      <c r="BY770" s="2">
        <f>AVERAGE(Wapato_Inventory[[#This Row],[qual_adj]:[range_adj]])</f>
        <v>0.86578627395941621</v>
      </c>
      <c r="BZ770" s="7">
        <f>(Wapato_Inventory[[#This Row],[sum_land]]-IF(Wapato_Inventory[[#This Row],[no_utilities]]=1,12000,0))/IF(Wapato_Inventory[[#This Row],[unbuildable]]=1,2,1)</f>
        <v>53100</v>
      </c>
      <c r="CA770" s="7">
        <f>Wapato_Inventory[[#This Row],[pre_res]]*Wapato_Inventory[[#This Row],[overall_adj]]</f>
        <v>68974.960836338883</v>
      </c>
      <c r="CB77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70" s="3">
        <f>IF(ROUND(Wapato_Inventory[[#This Row],[adj_res]]*Lookups!$H$48,-2)&lt;Wapato_Inventory[[#This Row],[min_res]],Wapato_Inventory[[#This Row],[min_res]],ROUND(Wapato_Inventory[[#This Row],[adj_res]]*Lookups!$H$48,-2))</f>
        <v>65500</v>
      </c>
      <c r="CD770" s="3">
        <f>ROUND(Wapato_Inventory[[#This Row],[det_value]]*Lookups!$H$48,-2)</f>
        <v>24000</v>
      </c>
      <c r="CE770" s="3">
        <f>Wapato_Inventory[[#This Row],[final_res]]+Wapato_Inventory[[#This Row],[final_det]]</f>
        <v>89500</v>
      </c>
      <c r="CF770" s="3">
        <f>Wapato_Inventory[[#This Row],[crop_value]]+Wapato_Inventory[[#This Row],[final_land]]+Wapato_Inventory[[#This Row],[final_imp]]</f>
        <v>139900</v>
      </c>
      <c r="CH770" t="str">
        <f t="shared" ref="CH770:CH833" si="12">"update valuation set market_land ="&amp;CB770&amp;", market_bldg="&amp;CE770&amp;", market_total ="&amp;CF770&amp;", market_mdno ="&amp;$CH$1&amp;", market_date ='"&amp;TEXT($CI$1,"m/d/yyyy")&amp;"' where link_id = (select link_id from parcel where parcel_year = '2024' and parcel_id = '"&amp;A770&amp;"');"</f>
        <v>update valuation set market_land =50400, market_bldg=89500, market_total =139900, market_mdno =405, market_date ='9/10/2023' where link_id = (select link_id from parcel where parcel_year = '2024' and parcel_id = '19111514419');</v>
      </c>
    </row>
    <row r="771" spans="1:86" x14ac:dyDescent="0.25">
      <c r="A771">
        <v>19111514420</v>
      </c>
      <c r="B771">
        <v>0.14000000000000001</v>
      </c>
      <c r="C771">
        <v>6288</v>
      </c>
      <c r="D771" t="s">
        <v>144</v>
      </c>
      <c r="E771" t="s">
        <v>54</v>
      </c>
      <c r="F771" t="s">
        <v>54</v>
      </c>
      <c r="G771">
        <v>3</v>
      </c>
      <c r="H771" t="s">
        <v>55</v>
      </c>
      <c r="I771">
        <v>169600</v>
      </c>
      <c r="J771">
        <v>31900</v>
      </c>
      <c r="K771">
        <v>0.14000000000000001</v>
      </c>
      <c r="L771">
        <f>IF(Wapato_Inventory[[#This Row],[parcel_acres]]-Wapato_Inventory[[#This Row],[non_valued_acres]] =0,0,LN(Wapato_Inventory[[#This Row],[parcel_acres]]-Wapato_Inventory[[#This Row],[non_valued_acres]]))</f>
        <v>-1.9661128563728327</v>
      </c>
      <c r="M771">
        <v>0</v>
      </c>
      <c r="N771">
        <v>0</v>
      </c>
      <c r="O771">
        <v>0</v>
      </c>
      <c r="P771">
        <v>27904.037</v>
      </c>
      <c r="Q771">
        <v>74398</v>
      </c>
      <c r="R771" s="3">
        <f>(Wapato_Inventory[[#This Row],[ln_acres]]*Wapato_Inventory[[#This Row],[coeff]])+Wapato_Inventory[[#This Row],[const]]</f>
        <v>19535.514109596792</v>
      </c>
      <c r="S771" t="s">
        <v>56</v>
      </c>
      <c r="T771">
        <v>2</v>
      </c>
      <c r="U771" t="s">
        <v>75</v>
      </c>
      <c r="V771" t="s">
        <v>68</v>
      </c>
      <c r="W771">
        <v>0</v>
      </c>
      <c r="X771">
        <v>0</v>
      </c>
      <c r="Y771">
        <v>57</v>
      </c>
      <c r="Z771">
        <v>103</v>
      </c>
      <c r="AA771">
        <v>110</v>
      </c>
      <c r="AB771">
        <v>2000</v>
      </c>
      <c r="AC771">
        <v>1760</v>
      </c>
      <c r="AD771">
        <v>1144</v>
      </c>
      <c r="AE771">
        <v>616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180</v>
      </c>
      <c r="AO771">
        <v>0</v>
      </c>
      <c r="AP771">
        <v>5</v>
      </c>
      <c r="AQ771">
        <v>0</v>
      </c>
      <c r="AR771">
        <v>0</v>
      </c>
      <c r="AS771" t="s">
        <v>59</v>
      </c>
      <c r="AT771">
        <v>1</v>
      </c>
      <c r="AU771" t="s">
        <v>64</v>
      </c>
      <c r="AV771" t="s">
        <v>65</v>
      </c>
      <c r="AW771">
        <v>0</v>
      </c>
      <c r="AX771">
        <v>5</v>
      </c>
      <c r="AY771">
        <v>0</v>
      </c>
      <c r="AZ771">
        <v>5000</v>
      </c>
      <c r="BA771">
        <v>100</v>
      </c>
      <c r="BB771">
        <v>100</v>
      </c>
      <c r="BC771">
        <v>100</v>
      </c>
      <c r="BD771">
        <v>100</v>
      </c>
      <c r="BE771">
        <v>1</v>
      </c>
      <c r="BF771">
        <v>15000</v>
      </c>
      <c r="BG771">
        <v>1000</v>
      </c>
      <c r="BH771" s="7">
        <f>ROUND(Wapato_Inventory[[#This Row],[detatched_value]]*Lookups!$B$22*Lookups!$H$48,-2)</f>
        <v>4500</v>
      </c>
      <c r="BI771" s="7">
        <f>ROUND(((Wapato_Inventory[[#This Row],[land_extract]]*Lookups!$B$3) +(Lookups!$B$2*0.5))*Lookups!$H$48,-2)</f>
        <v>53000</v>
      </c>
      <c r="BJ771" s="7">
        <f>IF(Wapato_Inventory[[#This Row],[bldg_style]]="",0,Lookups!$B$2*0.5)</f>
        <v>53765.27</v>
      </c>
      <c r="BK771" s="7">
        <f>_xlfn.IFNA(VLOOKUP(Wapato_Inventory[[#This Row],[quality]],Lookups!$H$2:$J$14,3,FALSE),0)</f>
        <v>48043</v>
      </c>
      <c r="BL771" s="7">
        <f>_xlfn.IFNA(VLOOKUP(Wapato_Inventory[[#This Row],[condition]],Lookups!$H$17:$J$24,3,FALSE),0)</f>
        <v>52231</v>
      </c>
      <c r="BM771" s="7">
        <f>Wapato_Inventory[[#This Row],[Age]]*Lookups!$B$16</f>
        <v>-38179.597099999999</v>
      </c>
      <c r="BN771" s="7">
        <f>Wapato_Inventory[[#This Row],[Main Floor]]*Lookups!$B$17</f>
        <v>47820.045416000001</v>
      </c>
      <c r="BO771" s="7">
        <f>Wapato_Inventory[[#This Row],[Upper Floor]]*Lookups!$B$18</f>
        <v>30554.301624000003</v>
      </c>
      <c r="BP771" s="7">
        <f>Wapato_Inventory[[#This Row],[Fin BSMT]]*Lookups!$B$19</f>
        <v>0</v>
      </c>
      <c r="BQ771" s="7">
        <f>(Wapato_Inventory[[#This Row],[att_gar]]+Wapato_Inventory[[#This Row],[blt_gar]])*Lookups!$B$20</f>
        <v>0</v>
      </c>
      <c r="BR771" s="7">
        <f>Wapato_Inventory[[#This Row],[Patio]]*Lookups!$B$21</f>
        <v>0</v>
      </c>
      <c r="BS771" s="7">
        <f>SUM(Wapato_Inventory[[#This Row],[intercept]:[patio_value]])*Wapato_Inventory[[#This Row],[res_pct]]</f>
        <v>194234.01994</v>
      </c>
      <c r="BT771" s="7">
        <f>Wapato_Inventory[[#This Row],[land_value]]</f>
        <v>53000</v>
      </c>
      <c r="BU771" s="2">
        <f>_xlfn.IFNA(VLOOKUP(Wapato_Inventory[[#This Row],[quality]],Lookups!$A$28:$C$37,3,FALSE),1)</f>
        <v>0.98196844879778955</v>
      </c>
      <c r="BV771" s="2">
        <f>_xlfn.IFNA(VLOOKUP(Wapato_Inventory[[#This Row],[condition]],Lookups!$A$41:$C$48,3,FALSE),1)</f>
        <v>0.9832333997567807</v>
      </c>
      <c r="BW771" s="2">
        <f>IF(Wapato_Inventory[[#This Row],[decade]]="",1,_xlfn.IFNA(VLOOKUP(Wapato_Inventory[[#This Row],[decade]],Lookups!$F$28:$H$45,3,FALSE),1))</f>
        <v>0.93664589651353292</v>
      </c>
      <c r="BX771" s="2">
        <f>_xlfn.IFNA(VLOOKUP(Wapato_Inventory[[#This Row],[living_area_range]],Lookups!$K$28:$M$37,3,FALSE),1)</f>
        <v>0.99330894324714125</v>
      </c>
      <c r="BY771" s="2">
        <f>AVERAGE(Wapato_Inventory[[#This Row],[qual_adj]:[range_adj]])</f>
        <v>0.9737891720788111</v>
      </c>
      <c r="BZ771" s="7">
        <f>(Wapato_Inventory[[#This Row],[sum_land]]-IF(Wapato_Inventory[[#This Row],[no_utilities]]=1,12000,0))/IF(Wapato_Inventory[[#This Row],[unbuildable]]=1,2,1)</f>
        <v>53000</v>
      </c>
      <c r="CA771" s="7">
        <f>Wapato_Inventory[[#This Row],[pre_res]]*Wapato_Inventory[[#This Row],[overall_adj]]</f>
        <v>189142.98546691189</v>
      </c>
      <c r="CB77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71" s="3">
        <f>IF(ROUND(Wapato_Inventory[[#This Row],[adj_res]]*Lookups!$H$48,-2)&lt;Wapato_Inventory[[#This Row],[min_res]],Wapato_Inventory[[#This Row],[min_res]],ROUND(Wapato_Inventory[[#This Row],[adj_res]]*Lookups!$H$48,-2))</f>
        <v>179700</v>
      </c>
      <c r="CD771" s="3">
        <f>ROUND(Wapato_Inventory[[#This Row],[det_value]]*Lookups!$H$48,-2)</f>
        <v>4300</v>
      </c>
      <c r="CE771" s="3">
        <f>Wapato_Inventory[[#This Row],[final_res]]+Wapato_Inventory[[#This Row],[final_det]]</f>
        <v>184000</v>
      </c>
      <c r="CF771" s="3">
        <f>Wapato_Inventory[[#This Row],[crop_value]]+Wapato_Inventory[[#This Row],[final_land]]+Wapato_Inventory[[#This Row],[final_imp]]</f>
        <v>234400</v>
      </c>
      <c r="CH771" t="str">
        <f t="shared" si="12"/>
        <v>update valuation set market_land =50400, market_bldg=184000, market_total =234400, market_mdno =405, market_date ='9/10/2023' where link_id = (select link_id from parcel where parcel_year = '2024' and parcel_id = '19111514420');</v>
      </c>
    </row>
    <row r="772" spans="1:86" x14ac:dyDescent="0.25">
      <c r="A772">
        <v>19111514425</v>
      </c>
      <c r="B772">
        <v>0.14000000000000001</v>
      </c>
      <c r="C772">
        <v>6213</v>
      </c>
      <c r="D772" t="s">
        <v>144</v>
      </c>
      <c r="E772" t="s">
        <v>54</v>
      </c>
      <c r="F772" t="s">
        <v>54</v>
      </c>
      <c r="G772">
        <v>3</v>
      </c>
      <c r="H772" t="s">
        <v>55</v>
      </c>
      <c r="I772">
        <v>182700</v>
      </c>
      <c r="J772">
        <v>31900</v>
      </c>
      <c r="K772">
        <v>0.14000000000000001</v>
      </c>
      <c r="L772">
        <f>IF(Wapato_Inventory[[#This Row],[parcel_acres]]-Wapato_Inventory[[#This Row],[non_valued_acres]] =0,0,LN(Wapato_Inventory[[#This Row],[parcel_acres]]-Wapato_Inventory[[#This Row],[non_valued_acres]]))</f>
        <v>-1.9661128563728327</v>
      </c>
      <c r="M772">
        <v>0</v>
      </c>
      <c r="N772">
        <v>0</v>
      </c>
      <c r="O772">
        <v>0</v>
      </c>
      <c r="P772">
        <v>27904.037</v>
      </c>
      <c r="Q772">
        <v>74398</v>
      </c>
      <c r="R772" s="3">
        <f>(Wapato_Inventory[[#This Row],[ln_acres]]*Wapato_Inventory[[#This Row],[coeff]])+Wapato_Inventory[[#This Row],[const]]</f>
        <v>19535.514109596792</v>
      </c>
      <c r="S772" t="s">
        <v>66</v>
      </c>
      <c r="T772">
        <v>1</v>
      </c>
      <c r="U772" t="s">
        <v>75</v>
      </c>
      <c r="V772" t="s">
        <v>68</v>
      </c>
      <c r="W772">
        <v>0</v>
      </c>
      <c r="X772">
        <v>0</v>
      </c>
      <c r="Y772">
        <v>57</v>
      </c>
      <c r="Z772">
        <v>103</v>
      </c>
      <c r="AA772">
        <v>110</v>
      </c>
      <c r="AB772">
        <v>2500</v>
      </c>
      <c r="AC772">
        <v>2280</v>
      </c>
      <c r="AD772">
        <v>1520</v>
      </c>
      <c r="AE772">
        <v>0</v>
      </c>
      <c r="AF772">
        <v>0</v>
      </c>
      <c r="AG772">
        <v>760</v>
      </c>
      <c r="AH772">
        <v>760</v>
      </c>
      <c r="AI772">
        <v>0</v>
      </c>
      <c r="AJ772">
        <v>0</v>
      </c>
      <c r="AK772">
        <v>0</v>
      </c>
      <c r="AL772">
        <v>0</v>
      </c>
      <c r="AM772">
        <v>528</v>
      </c>
      <c r="AN772">
        <v>36</v>
      </c>
      <c r="AO772">
        <v>0</v>
      </c>
      <c r="AP772">
        <v>8</v>
      </c>
      <c r="AQ772">
        <v>0</v>
      </c>
      <c r="AR772">
        <v>1</v>
      </c>
      <c r="AS772" t="s">
        <v>59</v>
      </c>
      <c r="AT772">
        <v>1</v>
      </c>
      <c r="AU772" t="s">
        <v>64</v>
      </c>
      <c r="AV772" t="s">
        <v>65</v>
      </c>
      <c r="AW772">
        <v>1</v>
      </c>
      <c r="AX772">
        <v>3</v>
      </c>
      <c r="AY772">
        <v>0</v>
      </c>
      <c r="AZ772">
        <v>5000</v>
      </c>
      <c r="BA772">
        <v>100</v>
      </c>
      <c r="BB772">
        <v>100</v>
      </c>
      <c r="BC772">
        <v>100</v>
      </c>
      <c r="BD772">
        <v>100</v>
      </c>
      <c r="BE772">
        <v>1</v>
      </c>
      <c r="BF772">
        <v>15000</v>
      </c>
      <c r="BG772">
        <v>1000</v>
      </c>
      <c r="BH772" s="7">
        <f>ROUND(Wapato_Inventory[[#This Row],[detatched_value]]*Lookups!$B$22*Lookups!$H$48,-2)</f>
        <v>4500</v>
      </c>
      <c r="BI772" s="7">
        <f>ROUND(((Wapato_Inventory[[#This Row],[land_extract]]*Lookups!$B$3) +(Lookups!$B$2*0.5))*Lookups!$H$48,-2)</f>
        <v>53000</v>
      </c>
      <c r="BJ772" s="7">
        <f>IF(Wapato_Inventory[[#This Row],[bldg_style]]="",0,Lookups!$B$2*0.5)</f>
        <v>53765.27</v>
      </c>
      <c r="BK772" s="7">
        <f>_xlfn.IFNA(VLOOKUP(Wapato_Inventory[[#This Row],[quality]],Lookups!$H$2:$J$14,3,FALSE),0)</f>
        <v>48043</v>
      </c>
      <c r="BL772" s="7">
        <f>_xlfn.IFNA(VLOOKUP(Wapato_Inventory[[#This Row],[condition]],Lookups!$H$17:$J$24,3,FALSE),0)</f>
        <v>52231</v>
      </c>
      <c r="BM772" s="7">
        <f>Wapato_Inventory[[#This Row],[Age]]*Lookups!$B$16</f>
        <v>-38179.597099999999</v>
      </c>
      <c r="BN772" s="7">
        <f>Wapato_Inventory[[#This Row],[Main Floor]]*Lookups!$B$17</f>
        <v>63537.12328</v>
      </c>
      <c r="BO772" s="7">
        <f>Wapato_Inventory[[#This Row],[Upper Floor]]*Lookups!$B$18</f>
        <v>0</v>
      </c>
      <c r="BP772" s="7">
        <f>Wapato_Inventory[[#This Row],[Fin BSMT]]*Lookups!$B$19</f>
        <v>18518.722399999999</v>
      </c>
      <c r="BQ772" s="7">
        <f>(Wapato_Inventory[[#This Row],[att_gar]]+Wapato_Inventory[[#This Row],[blt_gar]])*Lookups!$B$20</f>
        <v>0</v>
      </c>
      <c r="BR772" s="7">
        <f>Wapato_Inventory[[#This Row],[Patio]]*Lookups!$B$21</f>
        <v>22875.060912000001</v>
      </c>
      <c r="BS772" s="7">
        <f>SUM(Wapato_Inventory[[#This Row],[intercept]:[patio_value]])*Wapato_Inventory[[#This Row],[res_pct]]</f>
        <v>220790.57949199999</v>
      </c>
      <c r="BT772" s="7">
        <f>Wapato_Inventory[[#This Row],[land_value]]</f>
        <v>53000</v>
      </c>
      <c r="BU772" s="2">
        <f>_xlfn.IFNA(VLOOKUP(Wapato_Inventory[[#This Row],[quality]],Lookups!$A$28:$C$37,3,FALSE),1)</f>
        <v>0.98196844879778955</v>
      </c>
      <c r="BV772" s="2">
        <f>_xlfn.IFNA(VLOOKUP(Wapato_Inventory[[#This Row],[condition]],Lookups!$A$41:$C$48,3,FALSE),1)</f>
        <v>0.9832333997567807</v>
      </c>
      <c r="BW772" s="2">
        <f>IF(Wapato_Inventory[[#This Row],[decade]]="",1,_xlfn.IFNA(VLOOKUP(Wapato_Inventory[[#This Row],[decade]],Lookups!$F$28:$H$45,3,FALSE),1))</f>
        <v>0.93664589651353292</v>
      </c>
      <c r="BX772" s="2">
        <f>_xlfn.IFNA(VLOOKUP(Wapato_Inventory[[#This Row],[living_area_range]],Lookups!$K$28:$M$37,3,FALSE),1)</f>
        <v>0.90813907160181651</v>
      </c>
      <c r="BY772" s="2">
        <f>AVERAGE(Wapato_Inventory[[#This Row],[qual_adj]:[range_adj]])</f>
        <v>0.95249670416747989</v>
      </c>
      <c r="BZ772" s="7">
        <f>(Wapato_Inventory[[#This Row],[sum_land]]-IF(Wapato_Inventory[[#This Row],[no_utilities]]=1,12000,0))/IF(Wapato_Inventory[[#This Row],[unbuildable]]=1,2,1)</f>
        <v>53000</v>
      </c>
      <c r="CA772" s="7">
        <f>Wapato_Inventory[[#This Row],[pre_res]]*Wapato_Inventory[[#This Row],[overall_adj]]</f>
        <v>210302.29927735796</v>
      </c>
      <c r="CB77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72" s="3">
        <f>IF(ROUND(Wapato_Inventory[[#This Row],[adj_res]]*Lookups!$H$48,-2)&lt;Wapato_Inventory[[#This Row],[min_res]],Wapato_Inventory[[#This Row],[min_res]],ROUND(Wapato_Inventory[[#This Row],[adj_res]]*Lookups!$H$48,-2))</f>
        <v>199800</v>
      </c>
      <c r="CD772" s="3">
        <f>ROUND(Wapato_Inventory[[#This Row],[det_value]]*Lookups!$H$48,-2)</f>
        <v>4300</v>
      </c>
      <c r="CE772" s="3">
        <f>Wapato_Inventory[[#This Row],[final_res]]+Wapato_Inventory[[#This Row],[final_det]]</f>
        <v>204100</v>
      </c>
      <c r="CF772" s="3">
        <f>Wapato_Inventory[[#This Row],[crop_value]]+Wapato_Inventory[[#This Row],[final_land]]+Wapato_Inventory[[#This Row],[final_imp]]</f>
        <v>254500</v>
      </c>
      <c r="CH772" t="str">
        <f t="shared" si="12"/>
        <v>update valuation set market_land =50400, market_bldg=204100, market_total =254500, market_mdno =405, market_date ='9/10/2023' where link_id = (select link_id from parcel where parcel_year = '2024' and parcel_id = '19111514425');</v>
      </c>
    </row>
    <row r="773" spans="1:86" x14ac:dyDescent="0.25">
      <c r="A773">
        <v>19111514426</v>
      </c>
      <c r="B773">
        <v>0.15</v>
      </c>
      <c r="C773">
        <v>6621</v>
      </c>
      <c r="D773" t="s">
        <v>144</v>
      </c>
      <c r="E773" t="s">
        <v>54</v>
      </c>
      <c r="F773" t="s">
        <v>54</v>
      </c>
      <c r="G773">
        <v>3</v>
      </c>
      <c r="H773" t="s">
        <v>55</v>
      </c>
      <c r="I773">
        <v>225200</v>
      </c>
      <c r="J773">
        <v>32300</v>
      </c>
      <c r="K773">
        <v>0.15</v>
      </c>
      <c r="L773">
        <f>IF(Wapato_Inventory[[#This Row],[parcel_acres]]-Wapato_Inventory[[#This Row],[non_valued_acres]] =0,0,LN(Wapato_Inventory[[#This Row],[parcel_acres]]-Wapato_Inventory[[#This Row],[non_valued_acres]]))</f>
        <v>-1.8971199848858813</v>
      </c>
      <c r="M773">
        <v>0</v>
      </c>
      <c r="N773">
        <v>0</v>
      </c>
      <c r="O773">
        <v>0</v>
      </c>
      <c r="P773">
        <v>27904.037</v>
      </c>
      <c r="Q773">
        <v>74398</v>
      </c>
      <c r="R773" s="3">
        <f>(Wapato_Inventory[[#This Row],[ln_acres]]*Wapato_Inventory[[#This Row],[coeff]])+Wapato_Inventory[[#This Row],[const]]</f>
        <v>21460.693748304926</v>
      </c>
      <c r="S773" t="s">
        <v>56</v>
      </c>
      <c r="T773">
        <v>2</v>
      </c>
      <c r="U773" t="s">
        <v>67</v>
      </c>
      <c r="V773" t="s">
        <v>68</v>
      </c>
      <c r="W773">
        <v>0</v>
      </c>
      <c r="X773">
        <v>0</v>
      </c>
      <c r="Y773">
        <v>53</v>
      </c>
      <c r="Z773">
        <v>93</v>
      </c>
      <c r="AA773">
        <v>100</v>
      </c>
      <c r="AB773">
        <v>2500</v>
      </c>
      <c r="AC773">
        <v>2028</v>
      </c>
      <c r="AD773">
        <v>1280</v>
      </c>
      <c r="AE773">
        <v>748</v>
      </c>
      <c r="AF773">
        <v>0</v>
      </c>
      <c r="AG773">
        <v>0</v>
      </c>
      <c r="AH773">
        <v>1000</v>
      </c>
      <c r="AI773">
        <v>0</v>
      </c>
      <c r="AJ773">
        <v>0</v>
      </c>
      <c r="AK773">
        <v>0</v>
      </c>
      <c r="AL773">
        <v>0</v>
      </c>
      <c r="AM773">
        <v>144</v>
      </c>
      <c r="AN773">
        <v>0</v>
      </c>
      <c r="AO773">
        <v>144</v>
      </c>
      <c r="AP773">
        <v>5</v>
      </c>
      <c r="AQ773">
        <v>0</v>
      </c>
      <c r="AR773">
        <v>1</v>
      </c>
      <c r="AS773" t="s">
        <v>79</v>
      </c>
      <c r="AT773">
        <v>1</v>
      </c>
      <c r="AU773" t="s">
        <v>72</v>
      </c>
      <c r="AV773" t="s">
        <v>61</v>
      </c>
      <c r="AW773">
        <v>0</v>
      </c>
      <c r="AX773">
        <v>3</v>
      </c>
      <c r="AY773">
        <v>0</v>
      </c>
      <c r="AZ773">
        <v>0</v>
      </c>
      <c r="BA773">
        <v>100</v>
      </c>
      <c r="BB773">
        <v>100</v>
      </c>
      <c r="BC773">
        <v>100</v>
      </c>
      <c r="BD773">
        <v>100</v>
      </c>
      <c r="BE773">
        <v>1</v>
      </c>
      <c r="BF773">
        <v>15000</v>
      </c>
      <c r="BG773">
        <v>1000</v>
      </c>
      <c r="BH773" s="7">
        <f>ROUND(Wapato_Inventory[[#This Row],[detatched_value]]*Lookups!$B$22*Lookups!$H$48,-2)</f>
        <v>0</v>
      </c>
      <c r="BI773" s="7">
        <f>ROUND(((Wapato_Inventory[[#This Row],[land_extract]]*Lookups!$B$3) +(Lookups!$B$2*0.5))*Lookups!$H$48,-2)</f>
        <v>53100</v>
      </c>
      <c r="BJ773" s="7">
        <f>IF(Wapato_Inventory[[#This Row],[bldg_style]]="",0,Lookups!$B$2*0.5)</f>
        <v>53765.27</v>
      </c>
      <c r="BK773" s="7">
        <f>_xlfn.IFNA(VLOOKUP(Wapato_Inventory[[#This Row],[quality]],Lookups!$H$2:$J$14,3,FALSE),0)</f>
        <v>50405</v>
      </c>
      <c r="BL773" s="7">
        <f>_xlfn.IFNA(VLOOKUP(Wapato_Inventory[[#This Row],[condition]],Lookups!$H$17:$J$24,3,FALSE),0)</f>
        <v>52231</v>
      </c>
      <c r="BM773" s="7">
        <f>Wapato_Inventory[[#This Row],[Age]]*Lookups!$B$16</f>
        <v>-34472.840100000001</v>
      </c>
      <c r="BN773" s="7">
        <f>Wapato_Inventory[[#This Row],[Main Floor]]*Lookups!$B$17</f>
        <v>53504.945919999998</v>
      </c>
      <c r="BO773" s="7">
        <f>Wapato_Inventory[[#This Row],[Upper Floor]]*Lookups!$B$18</f>
        <v>37101.651972</v>
      </c>
      <c r="BP773" s="7">
        <f>Wapato_Inventory[[#This Row],[Fin BSMT]]*Lookups!$B$19</f>
        <v>0</v>
      </c>
      <c r="BQ773" s="7">
        <f>(Wapato_Inventory[[#This Row],[att_gar]]+Wapato_Inventory[[#This Row],[blt_gar]])*Lookups!$B$20</f>
        <v>0</v>
      </c>
      <c r="BR773" s="7">
        <f>Wapato_Inventory[[#This Row],[Patio]]*Lookups!$B$21</f>
        <v>6238.6529760000003</v>
      </c>
      <c r="BS773" s="7">
        <f>SUM(Wapato_Inventory[[#This Row],[intercept]:[patio_value]])*Wapato_Inventory[[#This Row],[res_pct]]</f>
        <v>218773.68076799999</v>
      </c>
      <c r="BT773" s="7">
        <f>Wapato_Inventory[[#This Row],[land_value]]</f>
        <v>53100</v>
      </c>
      <c r="BU773" s="2">
        <f>_xlfn.IFNA(VLOOKUP(Wapato_Inventory[[#This Row],[quality]],Lookups!$A$28:$C$37,3,FALSE),1)</f>
        <v>0.97993206410140754</v>
      </c>
      <c r="BV773" s="2">
        <f>_xlfn.IFNA(VLOOKUP(Wapato_Inventory[[#This Row],[condition]],Lookups!$A$41:$C$48,3,FALSE),1)</f>
        <v>0.9832333997567807</v>
      </c>
      <c r="BW773" s="2">
        <f>IF(Wapato_Inventory[[#This Row],[decade]]="",1,_xlfn.IFNA(VLOOKUP(Wapato_Inventory[[#This Row],[decade]],Lookups!$F$28:$H$45,3,FALSE),1))</f>
        <v>1.0114203040664467</v>
      </c>
      <c r="BX773" s="2">
        <f>_xlfn.IFNA(VLOOKUP(Wapato_Inventory[[#This Row],[living_area_range]],Lookups!$K$28:$M$37,3,FALSE),1)</f>
        <v>0.90813907160181651</v>
      </c>
      <c r="BY773" s="2">
        <f>AVERAGE(Wapato_Inventory[[#This Row],[qual_adj]:[range_adj]])</f>
        <v>0.97068120988161288</v>
      </c>
      <c r="BZ773" s="7">
        <f>(Wapato_Inventory[[#This Row],[sum_land]]-IF(Wapato_Inventory[[#This Row],[no_utilities]]=1,12000,0))/IF(Wapato_Inventory[[#This Row],[unbuildable]]=1,2,1)</f>
        <v>53100</v>
      </c>
      <c r="CA773" s="7">
        <f>Wapato_Inventory[[#This Row],[pre_res]]*Wapato_Inventory[[#This Row],[overall_adj]]</f>
        <v>212359.50113813597</v>
      </c>
      <c r="CB77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73" s="3">
        <f>IF(ROUND(Wapato_Inventory[[#This Row],[adj_res]]*Lookups!$H$48,-2)&lt;Wapato_Inventory[[#This Row],[min_res]],Wapato_Inventory[[#This Row],[min_res]],ROUND(Wapato_Inventory[[#This Row],[adj_res]]*Lookups!$H$48,-2))</f>
        <v>201700</v>
      </c>
      <c r="CD773" s="3">
        <f>ROUND(Wapato_Inventory[[#This Row],[det_value]]*Lookups!$H$48,-2)</f>
        <v>0</v>
      </c>
      <c r="CE773" s="3">
        <f>Wapato_Inventory[[#This Row],[final_res]]+Wapato_Inventory[[#This Row],[final_det]]</f>
        <v>201700</v>
      </c>
      <c r="CF773" s="3">
        <f>Wapato_Inventory[[#This Row],[crop_value]]+Wapato_Inventory[[#This Row],[final_land]]+Wapato_Inventory[[#This Row],[final_imp]]</f>
        <v>252100</v>
      </c>
      <c r="CH773" t="str">
        <f t="shared" si="12"/>
        <v>update valuation set market_land =50400, market_bldg=201700, market_total =252100, market_mdno =405, market_date ='9/10/2023' where link_id = (select link_id from parcel where parcel_year = '2024' and parcel_id = '19111514426');</v>
      </c>
    </row>
    <row r="774" spans="1:86" x14ac:dyDescent="0.25">
      <c r="A774">
        <v>19111514427</v>
      </c>
      <c r="B774">
        <v>0.14000000000000001</v>
      </c>
      <c r="C774">
        <v>5883</v>
      </c>
      <c r="D774" t="s">
        <v>144</v>
      </c>
      <c r="E774" t="s">
        <v>54</v>
      </c>
      <c r="F774" t="s">
        <v>54</v>
      </c>
      <c r="G774">
        <v>3</v>
      </c>
      <c r="H774" t="s">
        <v>55</v>
      </c>
      <c r="I774">
        <v>169600</v>
      </c>
      <c r="J774">
        <v>31900</v>
      </c>
      <c r="K774">
        <v>0.14000000000000001</v>
      </c>
      <c r="L774">
        <f>IF(Wapato_Inventory[[#This Row],[parcel_acres]]-Wapato_Inventory[[#This Row],[non_valued_acres]] =0,0,LN(Wapato_Inventory[[#This Row],[parcel_acres]]-Wapato_Inventory[[#This Row],[non_valued_acres]]))</f>
        <v>-1.9661128563728327</v>
      </c>
      <c r="M774">
        <v>0</v>
      </c>
      <c r="N774">
        <v>0</v>
      </c>
      <c r="O774">
        <v>0</v>
      </c>
      <c r="P774">
        <v>27904.037</v>
      </c>
      <c r="Q774">
        <v>74398</v>
      </c>
      <c r="R774" s="3">
        <f>(Wapato_Inventory[[#This Row],[ln_acres]]*Wapato_Inventory[[#This Row],[coeff]])+Wapato_Inventory[[#This Row],[const]]</f>
        <v>19535.514109596792</v>
      </c>
      <c r="S774" t="s">
        <v>62</v>
      </c>
      <c r="T774">
        <v>1</v>
      </c>
      <c r="U774" t="s">
        <v>75</v>
      </c>
      <c r="V774" t="s">
        <v>68</v>
      </c>
      <c r="W774">
        <v>0</v>
      </c>
      <c r="X774">
        <v>0</v>
      </c>
      <c r="Y774">
        <v>50</v>
      </c>
      <c r="Z774">
        <v>73</v>
      </c>
      <c r="AA774">
        <v>80</v>
      </c>
      <c r="AB774">
        <v>1500</v>
      </c>
      <c r="AC774">
        <v>1096</v>
      </c>
      <c r="AD774">
        <v>1096</v>
      </c>
      <c r="AE774">
        <v>0</v>
      </c>
      <c r="AF774">
        <v>0</v>
      </c>
      <c r="AG774">
        <v>0</v>
      </c>
      <c r="AH774">
        <v>0</v>
      </c>
      <c r="AI774">
        <v>308</v>
      </c>
      <c r="AJ774">
        <v>0</v>
      </c>
      <c r="AK774">
        <v>0</v>
      </c>
      <c r="AL774">
        <v>0</v>
      </c>
      <c r="AM774">
        <v>143</v>
      </c>
      <c r="AN774">
        <v>24</v>
      </c>
      <c r="AO774">
        <v>143</v>
      </c>
      <c r="AP774">
        <v>5</v>
      </c>
      <c r="AQ774">
        <v>0</v>
      </c>
      <c r="AR774">
        <v>1</v>
      </c>
      <c r="AS774" t="s">
        <v>59</v>
      </c>
      <c r="AT774">
        <v>1</v>
      </c>
      <c r="AU774" t="s">
        <v>64</v>
      </c>
      <c r="AV774" t="s">
        <v>77</v>
      </c>
      <c r="AW774">
        <v>0</v>
      </c>
      <c r="AX774">
        <v>2</v>
      </c>
      <c r="AY774">
        <v>0</v>
      </c>
      <c r="AZ774">
        <v>0</v>
      </c>
      <c r="BA774">
        <v>100</v>
      </c>
      <c r="BB774">
        <v>100</v>
      </c>
      <c r="BC774">
        <v>100</v>
      </c>
      <c r="BD774">
        <v>100</v>
      </c>
      <c r="BE774">
        <v>1</v>
      </c>
      <c r="BF774">
        <v>15000</v>
      </c>
      <c r="BG774">
        <v>1000</v>
      </c>
      <c r="BH774" s="7">
        <f>ROUND(Wapato_Inventory[[#This Row],[detatched_value]]*Lookups!$B$22*Lookups!$H$48,-2)</f>
        <v>0</v>
      </c>
      <c r="BI774" s="7">
        <f>ROUND(((Wapato_Inventory[[#This Row],[land_extract]]*Lookups!$B$3) +(Lookups!$B$2*0.5))*Lookups!$H$48,-2)</f>
        <v>53000</v>
      </c>
      <c r="BJ774" s="7">
        <f>IF(Wapato_Inventory[[#This Row],[bldg_style]]="",0,Lookups!$B$2*0.5)</f>
        <v>53765.27</v>
      </c>
      <c r="BK774" s="7">
        <f>_xlfn.IFNA(VLOOKUP(Wapato_Inventory[[#This Row],[quality]],Lookups!$H$2:$J$14,3,FALSE),0)</f>
        <v>48043</v>
      </c>
      <c r="BL774" s="7">
        <f>_xlfn.IFNA(VLOOKUP(Wapato_Inventory[[#This Row],[condition]],Lookups!$H$17:$J$24,3,FALSE),0)</f>
        <v>52231</v>
      </c>
      <c r="BM774" s="7">
        <f>Wapato_Inventory[[#This Row],[Age]]*Lookups!$B$16</f>
        <v>-27059.326100000002</v>
      </c>
      <c r="BN774" s="7">
        <f>Wapato_Inventory[[#This Row],[Main Floor]]*Lookups!$B$17</f>
        <v>45813.609944000003</v>
      </c>
      <c r="BO774" s="7">
        <f>Wapato_Inventory[[#This Row],[Upper Floor]]*Lookups!$B$18</f>
        <v>0</v>
      </c>
      <c r="BP774" s="7">
        <f>Wapato_Inventory[[#This Row],[Fin BSMT]]*Lookups!$B$19</f>
        <v>0</v>
      </c>
      <c r="BQ774" s="7">
        <f>(Wapato_Inventory[[#This Row],[att_gar]]+Wapato_Inventory[[#This Row],[blt_gar]])*Lookups!$B$20</f>
        <v>11398.695616000001</v>
      </c>
      <c r="BR774" s="7">
        <f>Wapato_Inventory[[#This Row],[Patio]]*Lookups!$B$21</f>
        <v>6195.3289970000005</v>
      </c>
      <c r="BS774" s="7">
        <f>SUM(Wapato_Inventory[[#This Row],[intercept]:[patio_value]])*Wapato_Inventory[[#This Row],[res_pct]]</f>
        <v>190387.578457</v>
      </c>
      <c r="BT774" s="7">
        <f>Wapato_Inventory[[#This Row],[land_value]]</f>
        <v>53000</v>
      </c>
      <c r="BU774" s="2">
        <f>_xlfn.IFNA(VLOOKUP(Wapato_Inventory[[#This Row],[quality]],Lookups!$A$28:$C$37,3,FALSE),1)</f>
        <v>0.98196844879778955</v>
      </c>
      <c r="BV774" s="2">
        <f>_xlfn.IFNA(VLOOKUP(Wapato_Inventory[[#This Row],[condition]],Lookups!$A$41:$C$48,3,FALSE),1)</f>
        <v>0.9832333997567807</v>
      </c>
      <c r="BW774" s="2">
        <f>IF(Wapato_Inventory[[#This Row],[decade]]="",1,_xlfn.IFNA(VLOOKUP(Wapato_Inventory[[#This Row],[decade]],Lookups!$F$28:$H$45,3,FALSE),1))</f>
        <v>0.8438929209510081</v>
      </c>
      <c r="BX774" s="2">
        <f>_xlfn.IFNA(VLOOKUP(Wapato_Inventory[[#This Row],[living_area_range]],Lookups!$K$28:$M$37,3,FALSE),1)</f>
        <v>1.0061411172456287</v>
      </c>
      <c r="BY774" s="2">
        <f>AVERAGE(Wapato_Inventory[[#This Row],[qual_adj]:[range_adj]])</f>
        <v>0.95380897168780177</v>
      </c>
      <c r="BZ774" s="7">
        <f>(Wapato_Inventory[[#This Row],[sum_land]]-IF(Wapato_Inventory[[#This Row],[no_utilities]]=1,12000,0))/IF(Wapato_Inventory[[#This Row],[unbuildable]]=1,2,1)</f>
        <v>53000</v>
      </c>
      <c r="CA774" s="7">
        <f>Wapato_Inventory[[#This Row],[pre_res]]*Wapato_Inventory[[#This Row],[overall_adj]]</f>
        <v>181593.38043020185</v>
      </c>
      <c r="CB77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74" s="3">
        <f>IF(ROUND(Wapato_Inventory[[#This Row],[adj_res]]*Lookups!$H$48,-2)&lt;Wapato_Inventory[[#This Row],[min_res]],Wapato_Inventory[[#This Row],[min_res]],ROUND(Wapato_Inventory[[#This Row],[adj_res]]*Lookups!$H$48,-2))</f>
        <v>172500</v>
      </c>
      <c r="CD774" s="3">
        <f>ROUND(Wapato_Inventory[[#This Row],[det_value]]*Lookups!$H$48,-2)</f>
        <v>0</v>
      </c>
      <c r="CE774" s="3">
        <f>Wapato_Inventory[[#This Row],[final_res]]+Wapato_Inventory[[#This Row],[final_det]]</f>
        <v>172500</v>
      </c>
      <c r="CF774" s="3">
        <f>Wapato_Inventory[[#This Row],[crop_value]]+Wapato_Inventory[[#This Row],[final_land]]+Wapato_Inventory[[#This Row],[final_imp]]</f>
        <v>222900</v>
      </c>
      <c r="CH774" t="str">
        <f t="shared" si="12"/>
        <v>update valuation set market_land =50400, market_bldg=172500, market_total =222900, market_mdno =405, market_date ='9/10/2023' where link_id = (select link_id from parcel where parcel_year = '2024' and parcel_id = '19111514427');</v>
      </c>
    </row>
    <row r="775" spans="1:86" x14ac:dyDescent="0.25">
      <c r="A775">
        <v>19111514428</v>
      </c>
      <c r="B775">
        <v>0.15</v>
      </c>
      <c r="C775">
        <v>6403</v>
      </c>
      <c r="D775" t="s">
        <v>144</v>
      </c>
      <c r="E775" t="s">
        <v>54</v>
      </c>
      <c r="F775" t="s">
        <v>54</v>
      </c>
      <c r="G775">
        <v>3</v>
      </c>
      <c r="H775" t="s">
        <v>55</v>
      </c>
      <c r="I775">
        <v>132200</v>
      </c>
      <c r="J775">
        <v>32300</v>
      </c>
      <c r="K775">
        <v>0.15</v>
      </c>
      <c r="L775">
        <f>IF(Wapato_Inventory[[#This Row],[parcel_acres]]-Wapato_Inventory[[#This Row],[non_valued_acres]] =0,0,LN(Wapato_Inventory[[#This Row],[parcel_acres]]-Wapato_Inventory[[#This Row],[non_valued_acres]]))</f>
        <v>-1.8971199848858813</v>
      </c>
      <c r="M775">
        <v>0</v>
      </c>
      <c r="N775">
        <v>0</v>
      </c>
      <c r="O775">
        <v>0</v>
      </c>
      <c r="P775">
        <v>27904.037</v>
      </c>
      <c r="Q775">
        <v>74398</v>
      </c>
      <c r="R775" s="3">
        <f>(Wapato_Inventory[[#This Row],[ln_acres]]*Wapato_Inventory[[#This Row],[coeff]])+Wapato_Inventory[[#This Row],[const]]</f>
        <v>21460.693748304926</v>
      </c>
      <c r="S775" t="s">
        <v>66</v>
      </c>
      <c r="T775">
        <v>1</v>
      </c>
      <c r="U775" t="s">
        <v>67</v>
      </c>
      <c r="V775" t="s">
        <v>68</v>
      </c>
      <c r="W775">
        <v>0</v>
      </c>
      <c r="X775">
        <v>0</v>
      </c>
      <c r="Y775">
        <v>55</v>
      </c>
      <c r="Z775">
        <v>98</v>
      </c>
      <c r="AA775">
        <v>100</v>
      </c>
      <c r="AB775">
        <v>1000</v>
      </c>
      <c r="AC775">
        <v>986</v>
      </c>
      <c r="AD775">
        <v>896</v>
      </c>
      <c r="AE775">
        <v>0</v>
      </c>
      <c r="AF775">
        <v>0</v>
      </c>
      <c r="AG775">
        <v>90</v>
      </c>
      <c r="AH775">
        <v>806</v>
      </c>
      <c r="AI775">
        <v>0</v>
      </c>
      <c r="AJ775">
        <v>0</v>
      </c>
      <c r="AK775">
        <v>0</v>
      </c>
      <c r="AL775">
        <v>0</v>
      </c>
      <c r="AM775">
        <v>0</v>
      </c>
      <c r="AN775">
        <v>0</v>
      </c>
      <c r="AO775">
        <v>0</v>
      </c>
      <c r="AP775">
        <v>5</v>
      </c>
      <c r="AQ775">
        <v>0</v>
      </c>
      <c r="AR775">
        <v>1</v>
      </c>
      <c r="AS775" t="s">
        <v>59</v>
      </c>
      <c r="AT775">
        <v>1</v>
      </c>
      <c r="AU775" t="s">
        <v>64</v>
      </c>
      <c r="AV775" t="s">
        <v>65</v>
      </c>
      <c r="AW775">
        <v>0</v>
      </c>
      <c r="AX775">
        <v>3</v>
      </c>
      <c r="AY775">
        <v>0</v>
      </c>
      <c r="AZ775">
        <v>2700</v>
      </c>
      <c r="BA775">
        <v>100</v>
      </c>
      <c r="BB775">
        <v>100</v>
      </c>
      <c r="BC775">
        <v>100</v>
      </c>
      <c r="BD775">
        <v>100</v>
      </c>
      <c r="BE775">
        <v>1</v>
      </c>
      <c r="BF775">
        <v>15000</v>
      </c>
      <c r="BG775">
        <v>1000</v>
      </c>
      <c r="BH775" s="7">
        <f>ROUND(Wapato_Inventory[[#This Row],[detatched_value]]*Lookups!$B$22*Lookups!$H$48,-2)</f>
        <v>2400</v>
      </c>
      <c r="BI775" s="7">
        <f>ROUND(((Wapato_Inventory[[#This Row],[land_extract]]*Lookups!$B$3) +(Lookups!$B$2*0.5))*Lookups!$H$48,-2)</f>
        <v>53100</v>
      </c>
      <c r="BJ775" s="7">
        <f>IF(Wapato_Inventory[[#This Row],[bldg_style]]="",0,Lookups!$B$2*0.5)</f>
        <v>53765.27</v>
      </c>
      <c r="BK775" s="7">
        <f>_xlfn.IFNA(VLOOKUP(Wapato_Inventory[[#This Row],[quality]],Lookups!$H$2:$J$14,3,FALSE),0)</f>
        <v>50405</v>
      </c>
      <c r="BL775" s="7">
        <f>_xlfn.IFNA(VLOOKUP(Wapato_Inventory[[#This Row],[condition]],Lookups!$H$17:$J$24,3,FALSE),0)</f>
        <v>52231</v>
      </c>
      <c r="BM775" s="7">
        <f>Wapato_Inventory[[#This Row],[Age]]*Lookups!$B$16</f>
        <v>-36326.2186</v>
      </c>
      <c r="BN775" s="7">
        <f>Wapato_Inventory[[#This Row],[Main Floor]]*Lookups!$B$17</f>
        <v>37453.462143999997</v>
      </c>
      <c r="BO775" s="7">
        <f>Wapato_Inventory[[#This Row],[Upper Floor]]*Lookups!$B$18</f>
        <v>0</v>
      </c>
      <c r="BP775" s="7">
        <f>Wapato_Inventory[[#This Row],[Fin BSMT]]*Lookups!$B$19</f>
        <v>2193.0066000000002</v>
      </c>
      <c r="BQ775" s="7">
        <f>(Wapato_Inventory[[#This Row],[att_gar]]+Wapato_Inventory[[#This Row],[blt_gar]])*Lookups!$B$20</f>
        <v>0</v>
      </c>
      <c r="BR775" s="7">
        <f>Wapato_Inventory[[#This Row],[Patio]]*Lookups!$B$21</f>
        <v>0</v>
      </c>
      <c r="BS775" s="7">
        <f>SUM(Wapato_Inventory[[#This Row],[intercept]:[patio_value]])*Wapato_Inventory[[#This Row],[res_pct]]</f>
        <v>159721.52014399998</v>
      </c>
      <c r="BT775" s="7">
        <f>Wapato_Inventory[[#This Row],[land_value]]</f>
        <v>53100</v>
      </c>
      <c r="BU775" s="2">
        <f>_xlfn.IFNA(VLOOKUP(Wapato_Inventory[[#This Row],[quality]],Lookups!$A$28:$C$37,3,FALSE),1)</f>
        <v>0.97993206410140754</v>
      </c>
      <c r="BV775" s="2">
        <f>_xlfn.IFNA(VLOOKUP(Wapato_Inventory[[#This Row],[condition]],Lookups!$A$41:$C$48,3,FALSE),1)</f>
        <v>0.9832333997567807</v>
      </c>
      <c r="BW775" s="2">
        <f>IF(Wapato_Inventory[[#This Row],[decade]]="",1,_xlfn.IFNA(VLOOKUP(Wapato_Inventory[[#This Row],[decade]],Lookups!$F$28:$H$45,3,FALSE),1))</f>
        <v>1.0114203040664467</v>
      </c>
      <c r="BX775" s="2">
        <f>_xlfn.IFNA(VLOOKUP(Wapato_Inventory[[#This Row],[living_area_range]],Lookups!$K$28:$M$37,3,FALSE),1)</f>
        <v>0.99022994770196116</v>
      </c>
      <c r="BY775" s="2">
        <f>AVERAGE(Wapato_Inventory[[#This Row],[qual_adj]:[range_adj]])</f>
        <v>0.9912039289066491</v>
      </c>
      <c r="BZ775" s="7">
        <f>(Wapato_Inventory[[#This Row],[sum_land]]-IF(Wapato_Inventory[[#This Row],[no_utilities]]=1,12000,0))/IF(Wapato_Inventory[[#This Row],[unbuildable]]=1,2,1)</f>
        <v>53100</v>
      </c>
      <c r="CA775" s="7">
        <f>Wapato_Inventory[[#This Row],[pre_res]]*Wapato_Inventory[[#This Row],[overall_adj]]</f>
        <v>158316.59829767529</v>
      </c>
      <c r="CB77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75" s="3">
        <f>IF(ROUND(Wapato_Inventory[[#This Row],[adj_res]]*Lookups!$H$48,-2)&lt;Wapato_Inventory[[#This Row],[min_res]],Wapato_Inventory[[#This Row],[min_res]],ROUND(Wapato_Inventory[[#This Row],[adj_res]]*Lookups!$H$48,-2))</f>
        <v>150400</v>
      </c>
      <c r="CD775" s="3">
        <f>ROUND(Wapato_Inventory[[#This Row],[det_value]]*Lookups!$H$48,-2)</f>
        <v>2300</v>
      </c>
      <c r="CE775" s="3">
        <f>Wapato_Inventory[[#This Row],[final_res]]+Wapato_Inventory[[#This Row],[final_det]]</f>
        <v>152700</v>
      </c>
      <c r="CF775" s="3">
        <f>Wapato_Inventory[[#This Row],[crop_value]]+Wapato_Inventory[[#This Row],[final_land]]+Wapato_Inventory[[#This Row],[final_imp]]</f>
        <v>203100</v>
      </c>
      <c r="CH775" t="str">
        <f t="shared" si="12"/>
        <v>update valuation set market_land =50400, market_bldg=152700, market_total =203100, market_mdno =405, market_date ='9/10/2023' where link_id = (select link_id from parcel where parcel_year = '2024' and parcel_id = '19111514428');</v>
      </c>
    </row>
    <row r="776" spans="1:86" x14ac:dyDescent="0.25">
      <c r="A776">
        <v>19111514433</v>
      </c>
      <c r="B776">
        <v>0.14000000000000001</v>
      </c>
      <c r="C776">
        <v>6293</v>
      </c>
      <c r="D776" t="s">
        <v>144</v>
      </c>
      <c r="E776" t="s">
        <v>54</v>
      </c>
      <c r="F776" t="s">
        <v>54</v>
      </c>
      <c r="G776">
        <v>3</v>
      </c>
      <c r="H776" t="s">
        <v>55</v>
      </c>
      <c r="I776">
        <v>173000</v>
      </c>
      <c r="J776">
        <v>31900</v>
      </c>
      <c r="K776">
        <v>0.14000000000000001</v>
      </c>
      <c r="L776">
        <f>IF(Wapato_Inventory[[#This Row],[parcel_acres]]-Wapato_Inventory[[#This Row],[non_valued_acres]] =0,0,LN(Wapato_Inventory[[#This Row],[parcel_acres]]-Wapato_Inventory[[#This Row],[non_valued_acres]]))</f>
        <v>-1.9661128563728327</v>
      </c>
      <c r="M776">
        <v>0</v>
      </c>
      <c r="N776">
        <v>0</v>
      </c>
      <c r="O776">
        <v>0</v>
      </c>
      <c r="P776">
        <v>27904.037</v>
      </c>
      <c r="Q776">
        <v>74398</v>
      </c>
      <c r="R776" s="3">
        <f>(Wapato_Inventory[[#This Row],[ln_acres]]*Wapato_Inventory[[#This Row],[coeff]])+Wapato_Inventory[[#This Row],[const]]</f>
        <v>19535.514109596792</v>
      </c>
      <c r="S776" t="s">
        <v>56</v>
      </c>
      <c r="T776">
        <v>2</v>
      </c>
      <c r="U776" t="s">
        <v>67</v>
      </c>
      <c r="V776" t="s">
        <v>68</v>
      </c>
      <c r="W776">
        <v>0</v>
      </c>
      <c r="X776">
        <v>0</v>
      </c>
      <c r="Y776">
        <v>65</v>
      </c>
      <c r="Z776">
        <v>113</v>
      </c>
      <c r="AA776">
        <v>120</v>
      </c>
      <c r="AB776">
        <v>2000</v>
      </c>
      <c r="AC776">
        <v>1762</v>
      </c>
      <c r="AD776">
        <v>1086</v>
      </c>
      <c r="AE776">
        <v>676</v>
      </c>
      <c r="AF776">
        <v>0</v>
      </c>
      <c r="AG776">
        <v>0</v>
      </c>
      <c r="AH776">
        <v>848</v>
      </c>
      <c r="AI776">
        <v>0</v>
      </c>
      <c r="AJ776">
        <v>0</v>
      </c>
      <c r="AK776">
        <v>182</v>
      </c>
      <c r="AL776">
        <v>0</v>
      </c>
      <c r="AM776">
        <v>676</v>
      </c>
      <c r="AN776">
        <v>208</v>
      </c>
      <c r="AO776">
        <v>0</v>
      </c>
      <c r="AP776">
        <v>8</v>
      </c>
      <c r="AQ776">
        <v>0</v>
      </c>
      <c r="AR776">
        <v>1</v>
      </c>
      <c r="AS776" t="s">
        <v>59</v>
      </c>
      <c r="AT776">
        <v>1</v>
      </c>
      <c r="AU776" t="s">
        <v>64</v>
      </c>
      <c r="AV776" t="s">
        <v>65</v>
      </c>
      <c r="AW776">
        <v>1</v>
      </c>
      <c r="AX776">
        <v>4</v>
      </c>
      <c r="AY776">
        <v>0</v>
      </c>
      <c r="AZ776">
        <v>9600</v>
      </c>
      <c r="BA776">
        <v>100</v>
      </c>
      <c r="BB776">
        <v>100</v>
      </c>
      <c r="BC776">
        <v>100</v>
      </c>
      <c r="BD776">
        <v>100</v>
      </c>
      <c r="BE776">
        <v>1</v>
      </c>
      <c r="BF776">
        <v>15000</v>
      </c>
      <c r="BG776">
        <v>1000</v>
      </c>
      <c r="BH776" s="7">
        <f>ROUND(Wapato_Inventory[[#This Row],[detatched_value]]*Lookups!$B$22*Lookups!$H$48,-2)</f>
        <v>8600</v>
      </c>
      <c r="BI776" s="7">
        <f>ROUND(((Wapato_Inventory[[#This Row],[land_extract]]*Lookups!$B$3) +(Lookups!$B$2*0.5))*Lookups!$H$48,-2)</f>
        <v>53000</v>
      </c>
      <c r="BJ776" s="7">
        <f>IF(Wapato_Inventory[[#This Row],[bldg_style]]="",0,Lookups!$B$2*0.5)</f>
        <v>53765.27</v>
      </c>
      <c r="BK776" s="7">
        <f>_xlfn.IFNA(VLOOKUP(Wapato_Inventory[[#This Row],[quality]],Lookups!$H$2:$J$14,3,FALSE),0)</f>
        <v>50405</v>
      </c>
      <c r="BL776" s="7">
        <f>_xlfn.IFNA(VLOOKUP(Wapato_Inventory[[#This Row],[condition]],Lookups!$H$17:$J$24,3,FALSE),0)</f>
        <v>52231</v>
      </c>
      <c r="BM776" s="7">
        <f>Wapato_Inventory[[#This Row],[Age]]*Lookups!$B$16</f>
        <v>-41886.354100000004</v>
      </c>
      <c r="BN776" s="7">
        <f>Wapato_Inventory[[#This Row],[Main Floor]]*Lookups!$B$17</f>
        <v>45395.602553999997</v>
      </c>
      <c r="BO776" s="7">
        <f>Wapato_Inventory[[#This Row],[Upper Floor]]*Lookups!$B$18</f>
        <v>33530.369964000005</v>
      </c>
      <c r="BP776" s="7">
        <f>Wapato_Inventory[[#This Row],[Fin BSMT]]*Lookups!$B$19</f>
        <v>0</v>
      </c>
      <c r="BQ776" s="7">
        <f>(Wapato_Inventory[[#This Row],[att_gar]]+Wapato_Inventory[[#This Row],[blt_gar]])*Lookups!$B$20</f>
        <v>0</v>
      </c>
      <c r="BR776" s="7">
        <f>Wapato_Inventory[[#This Row],[Patio]]*Lookups!$B$21</f>
        <v>29287.009804000001</v>
      </c>
      <c r="BS776" s="7">
        <f>SUM(Wapato_Inventory[[#This Row],[intercept]:[patio_value]])*Wapato_Inventory[[#This Row],[res_pct]]</f>
        <v>222727.89822200002</v>
      </c>
      <c r="BT776" s="7">
        <f>Wapato_Inventory[[#This Row],[land_value]]</f>
        <v>53000</v>
      </c>
      <c r="BU776" s="2">
        <f>_xlfn.IFNA(VLOOKUP(Wapato_Inventory[[#This Row],[quality]],Lookups!$A$28:$C$37,3,FALSE),1)</f>
        <v>0.97993206410140754</v>
      </c>
      <c r="BV776" s="2">
        <f>_xlfn.IFNA(VLOOKUP(Wapato_Inventory[[#This Row],[condition]],Lookups!$A$41:$C$48,3,FALSE),1)</f>
        <v>0.9832333997567807</v>
      </c>
      <c r="BW776" s="2">
        <f>IF(Wapato_Inventory[[#This Row],[decade]]="",1,_xlfn.IFNA(VLOOKUP(Wapato_Inventory[[#This Row],[decade]],Lookups!$F$28:$H$45,3,FALSE),1))</f>
        <v>0.93664589651353292</v>
      </c>
      <c r="BX776" s="2">
        <f>_xlfn.IFNA(VLOOKUP(Wapato_Inventory[[#This Row],[living_area_range]],Lookups!$K$28:$M$37,3,FALSE),1)</f>
        <v>0.99330894324714125</v>
      </c>
      <c r="BY776" s="2">
        <f>AVERAGE(Wapato_Inventory[[#This Row],[qual_adj]:[range_adj]])</f>
        <v>0.97328007590471566</v>
      </c>
      <c r="BZ776" s="7">
        <f>(Wapato_Inventory[[#This Row],[sum_land]]-IF(Wapato_Inventory[[#This Row],[no_utilities]]=1,12000,0))/IF(Wapato_Inventory[[#This Row],[unbuildable]]=1,2,1)</f>
        <v>53000</v>
      </c>
      <c r="CA776" s="7">
        <f>Wapato_Inventory[[#This Row],[pre_res]]*Wapato_Inventory[[#This Row],[overall_adj]]</f>
        <v>216776.62568760596</v>
      </c>
      <c r="CB77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76" s="3">
        <f>IF(ROUND(Wapato_Inventory[[#This Row],[adj_res]]*Lookups!$H$48,-2)&lt;Wapato_Inventory[[#This Row],[min_res]],Wapato_Inventory[[#This Row],[min_res]],ROUND(Wapato_Inventory[[#This Row],[adj_res]]*Lookups!$H$48,-2))</f>
        <v>205900</v>
      </c>
      <c r="CD776" s="3">
        <f>ROUND(Wapato_Inventory[[#This Row],[det_value]]*Lookups!$H$48,-2)</f>
        <v>8200</v>
      </c>
      <c r="CE776" s="3">
        <f>Wapato_Inventory[[#This Row],[final_res]]+Wapato_Inventory[[#This Row],[final_det]]</f>
        <v>214100</v>
      </c>
      <c r="CF776" s="3">
        <f>Wapato_Inventory[[#This Row],[crop_value]]+Wapato_Inventory[[#This Row],[final_land]]+Wapato_Inventory[[#This Row],[final_imp]]</f>
        <v>264500</v>
      </c>
      <c r="CH776" t="str">
        <f t="shared" si="12"/>
        <v>update valuation set market_land =50400, market_bldg=214100, market_total =264500, market_mdno =405, market_date ='9/10/2023' where link_id = (select link_id from parcel where parcel_year = '2024' and parcel_id = '19111514433');</v>
      </c>
    </row>
    <row r="777" spans="1:86" x14ac:dyDescent="0.25">
      <c r="A777">
        <v>19111514434</v>
      </c>
      <c r="B777">
        <v>0.13</v>
      </c>
      <c r="C777">
        <v>5835</v>
      </c>
      <c r="D777" t="s">
        <v>144</v>
      </c>
      <c r="E777" t="s">
        <v>54</v>
      </c>
      <c r="F777" t="s">
        <v>54</v>
      </c>
      <c r="G777">
        <v>3</v>
      </c>
      <c r="H777" t="s">
        <v>55</v>
      </c>
      <c r="I777">
        <v>138000</v>
      </c>
      <c r="J777">
        <v>31400</v>
      </c>
      <c r="K777">
        <v>0.13</v>
      </c>
      <c r="L777">
        <f>IF(Wapato_Inventory[[#This Row],[parcel_acres]]-Wapato_Inventory[[#This Row],[non_valued_acres]] =0,0,LN(Wapato_Inventory[[#This Row],[parcel_acres]]-Wapato_Inventory[[#This Row],[non_valued_acres]]))</f>
        <v>-2.0402208285265546</v>
      </c>
      <c r="M777">
        <v>0</v>
      </c>
      <c r="N777">
        <v>0</v>
      </c>
      <c r="O777">
        <v>0</v>
      </c>
      <c r="P777">
        <v>27904.037</v>
      </c>
      <c r="Q777">
        <v>74398</v>
      </c>
      <c r="R777" s="3">
        <f>(Wapato_Inventory[[#This Row],[ln_acres]]*Wapato_Inventory[[#This Row],[coeff]])+Wapato_Inventory[[#This Row],[const]]</f>
        <v>17467.602512624362</v>
      </c>
      <c r="S777" t="s">
        <v>154</v>
      </c>
      <c r="T777">
        <v>2</v>
      </c>
      <c r="U777" t="s">
        <v>71</v>
      </c>
      <c r="V777" t="s">
        <v>68</v>
      </c>
      <c r="W777">
        <v>0</v>
      </c>
      <c r="X777">
        <v>0</v>
      </c>
      <c r="Y777">
        <v>60</v>
      </c>
      <c r="Z777">
        <v>108</v>
      </c>
      <c r="AA777">
        <v>110</v>
      </c>
      <c r="AB777">
        <v>2000</v>
      </c>
      <c r="AC777">
        <v>1528</v>
      </c>
      <c r="AD777">
        <v>968</v>
      </c>
      <c r="AE777">
        <v>560</v>
      </c>
      <c r="AF777">
        <v>0</v>
      </c>
      <c r="AG777">
        <v>0</v>
      </c>
      <c r="AH777">
        <v>0</v>
      </c>
      <c r="AI777">
        <v>0</v>
      </c>
      <c r="AJ777">
        <v>0</v>
      </c>
      <c r="AK777">
        <v>0</v>
      </c>
      <c r="AL777">
        <v>0</v>
      </c>
      <c r="AM777">
        <v>0</v>
      </c>
      <c r="AN777">
        <v>0</v>
      </c>
      <c r="AO777">
        <v>0</v>
      </c>
      <c r="AP777">
        <v>5</v>
      </c>
      <c r="AQ777">
        <v>0</v>
      </c>
      <c r="AR777">
        <v>1</v>
      </c>
      <c r="AS777" t="s">
        <v>59</v>
      </c>
      <c r="AT777">
        <v>1</v>
      </c>
      <c r="AU777" t="s">
        <v>64</v>
      </c>
      <c r="AV777" t="s">
        <v>65</v>
      </c>
      <c r="AW777">
        <v>0</v>
      </c>
      <c r="AX777">
        <v>4</v>
      </c>
      <c r="AY777">
        <v>0</v>
      </c>
      <c r="AZ777">
        <v>7200</v>
      </c>
      <c r="BA777">
        <v>100</v>
      </c>
      <c r="BB777">
        <v>100</v>
      </c>
      <c r="BC777">
        <v>100</v>
      </c>
      <c r="BD777">
        <v>100</v>
      </c>
      <c r="BE777">
        <v>1</v>
      </c>
      <c r="BF777">
        <v>15000</v>
      </c>
      <c r="BG777">
        <v>1000</v>
      </c>
      <c r="BH777" s="7">
        <f>ROUND(Wapato_Inventory[[#This Row],[detatched_value]]*Lookups!$B$22*Lookups!$H$48,-2)</f>
        <v>6400</v>
      </c>
      <c r="BI777" s="7">
        <f>ROUND(((Wapato_Inventory[[#This Row],[land_extract]]*Lookups!$B$3) +(Lookups!$B$2*0.5))*Lookups!$H$48,-2)</f>
        <v>52800</v>
      </c>
      <c r="BJ777" s="7">
        <f>IF(Wapato_Inventory[[#This Row],[bldg_style]]="",0,Lookups!$B$2*0.5)</f>
        <v>53765.27</v>
      </c>
      <c r="BK777" s="7">
        <f>_xlfn.IFNA(VLOOKUP(Wapato_Inventory[[#This Row],[quality]],Lookups!$H$2:$J$14,3,FALSE),0)</f>
        <v>28034</v>
      </c>
      <c r="BL777" s="7">
        <f>_xlfn.IFNA(VLOOKUP(Wapato_Inventory[[#This Row],[condition]],Lookups!$H$17:$J$24,3,FALSE),0)</f>
        <v>52231</v>
      </c>
      <c r="BM777" s="7">
        <f>Wapato_Inventory[[#This Row],[Age]]*Lookups!$B$16</f>
        <v>-40032.975599999998</v>
      </c>
      <c r="BN777" s="7">
        <f>Wapato_Inventory[[#This Row],[Main Floor]]*Lookups!$B$17</f>
        <v>40463.115352000001</v>
      </c>
      <c r="BO777" s="7">
        <f>Wapato_Inventory[[#This Row],[Upper Floor]]*Lookups!$B$18</f>
        <v>27776.637840000003</v>
      </c>
      <c r="BP777" s="7">
        <f>Wapato_Inventory[[#This Row],[Fin BSMT]]*Lookups!$B$19</f>
        <v>0</v>
      </c>
      <c r="BQ777" s="7">
        <f>(Wapato_Inventory[[#This Row],[att_gar]]+Wapato_Inventory[[#This Row],[blt_gar]])*Lookups!$B$20</f>
        <v>0</v>
      </c>
      <c r="BR777" s="7">
        <f>Wapato_Inventory[[#This Row],[Patio]]*Lookups!$B$21</f>
        <v>0</v>
      </c>
      <c r="BS777" s="7">
        <f>SUM(Wapato_Inventory[[#This Row],[intercept]:[patio_value]])*Wapato_Inventory[[#This Row],[res_pct]]</f>
        <v>162237.04759199999</v>
      </c>
      <c r="BT777" s="7">
        <f>Wapato_Inventory[[#This Row],[land_value]]</f>
        <v>52800</v>
      </c>
      <c r="BU777" s="2">
        <f>_xlfn.IFNA(VLOOKUP(Wapato_Inventory[[#This Row],[quality]],Lookups!$A$28:$C$37,3,FALSE),1)</f>
        <v>0.96265813922927435</v>
      </c>
      <c r="BV777" s="2">
        <f>_xlfn.IFNA(VLOOKUP(Wapato_Inventory[[#This Row],[condition]],Lookups!$A$41:$C$48,3,FALSE),1)</f>
        <v>0.9832333997567807</v>
      </c>
      <c r="BW777" s="2">
        <f>IF(Wapato_Inventory[[#This Row],[decade]]="",1,_xlfn.IFNA(VLOOKUP(Wapato_Inventory[[#This Row],[decade]],Lookups!$F$28:$H$45,3,FALSE),1))</f>
        <v>0.93664589651353292</v>
      </c>
      <c r="BX777" s="2">
        <f>_xlfn.IFNA(VLOOKUP(Wapato_Inventory[[#This Row],[living_area_range]],Lookups!$K$28:$M$37,3,FALSE),1)</f>
        <v>0.99330894324714125</v>
      </c>
      <c r="BY777" s="2">
        <f>AVERAGE(Wapato_Inventory[[#This Row],[qual_adj]:[range_adj]])</f>
        <v>0.96896159468668219</v>
      </c>
      <c r="BZ777" s="7">
        <f>(Wapato_Inventory[[#This Row],[sum_land]]-IF(Wapato_Inventory[[#This Row],[no_utilities]]=1,12000,0))/IF(Wapato_Inventory[[#This Row],[unbuildable]]=1,2,1)</f>
        <v>52800</v>
      </c>
      <c r="CA777" s="7">
        <f>Wapato_Inventory[[#This Row],[pre_res]]*Wapato_Inventory[[#This Row],[overall_adj]]</f>
        <v>157201.46835200346</v>
      </c>
      <c r="CB77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77" s="3">
        <f>IF(ROUND(Wapato_Inventory[[#This Row],[adj_res]]*Lookups!$H$48,-2)&lt;Wapato_Inventory[[#This Row],[min_res]],Wapato_Inventory[[#This Row],[min_res]],ROUND(Wapato_Inventory[[#This Row],[adj_res]]*Lookups!$H$48,-2))</f>
        <v>149300</v>
      </c>
      <c r="CD777" s="3">
        <f>ROUND(Wapato_Inventory[[#This Row],[det_value]]*Lookups!$H$48,-2)</f>
        <v>6100</v>
      </c>
      <c r="CE777" s="3">
        <f>Wapato_Inventory[[#This Row],[final_res]]+Wapato_Inventory[[#This Row],[final_det]]</f>
        <v>155400</v>
      </c>
      <c r="CF777" s="3">
        <f>Wapato_Inventory[[#This Row],[crop_value]]+Wapato_Inventory[[#This Row],[final_land]]+Wapato_Inventory[[#This Row],[final_imp]]</f>
        <v>205600</v>
      </c>
      <c r="CH777" t="str">
        <f t="shared" si="12"/>
        <v>update valuation set market_land =50200, market_bldg=155400, market_total =205600, market_mdno =405, market_date ='9/10/2023' where link_id = (select link_id from parcel where parcel_year = '2024' and parcel_id = '19111514434');</v>
      </c>
    </row>
    <row r="778" spans="1:86" x14ac:dyDescent="0.25">
      <c r="A778">
        <v>19111514436</v>
      </c>
      <c r="B778">
        <v>0.14000000000000001</v>
      </c>
      <c r="C778">
        <v>6127</v>
      </c>
      <c r="D778" t="s">
        <v>144</v>
      </c>
      <c r="E778" t="s">
        <v>54</v>
      </c>
      <c r="F778" t="s">
        <v>54</v>
      </c>
      <c r="G778">
        <v>3</v>
      </c>
      <c r="H778" t="s">
        <v>55</v>
      </c>
      <c r="I778">
        <v>91400</v>
      </c>
      <c r="J778">
        <v>31900</v>
      </c>
      <c r="K778">
        <v>0.14000000000000001</v>
      </c>
      <c r="L778">
        <f>IF(Wapato_Inventory[[#This Row],[parcel_acres]]-Wapato_Inventory[[#This Row],[non_valued_acres]] =0,0,LN(Wapato_Inventory[[#This Row],[parcel_acres]]-Wapato_Inventory[[#This Row],[non_valued_acres]]))</f>
        <v>-1.9661128563728327</v>
      </c>
      <c r="M778">
        <v>0</v>
      </c>
      <c r="N778">
        <v>0</v>
      </c>
      <c r="O778">
        <v>0</v>
      </c>
      <c r="P778">
        <v>27904.037</v>
      </c>
      <c r="Q778">
        <v>74398</v>
      </c>
      <c r="R778" s="3">
        <f>(Wapato_Inventory[[#This Row],[ln_acres]]*Wapato_Inventory[[#This Row],[coeff]])+Wapato_Inventory[[#This Row],[const]]</f>
        <v>19535.514109596792</v>
      </c>
      <c r="S778" t="s">
        <v>66</v>
      </c>
      <c r="T778">
        <v>1</v>
      </c>
      <c r="U778" t="s">
        <v>71</v>
      </c>
      <c r="V778" t="s">
        <v>68</v>
      </c>
      <c r="W778">
        <v>0</v>
      </c>
      <c r="X778">
        <v>0</v>
      </c>
      <c r="Y778">
        <v>65</v>
      </c>
      <c r="Z778">
        <v>113</v>
      </c>
      <c r="AA778">
        <v>120</v>
      </c>
      <c r="AB778">
        <v>1000</v>
      </c>
      <c r="AC778">
        <v>802</v>
      </c>
      <c r="AD778">
        <v>802</v>
      </c>
      <c r="AE778">
        <v>0</v>
      </c>
      <c r="AF778">
        <v>0</v>
      </c>
      <c r="AG778">
        <v>0</v>
      </c>
      <c r="AH778">
        <v>130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5</v>
      </c>
      <c r="AQ778">
        <v>0</v>
      </c>
      <c r="AR778">
        <v>0</v>
      </c>
      <c r="AS778" t="s">
        <v>59</v>
      </c>
      <c r="AT778">
        <v>1</v>
      </c>
      <c r="AU778" t="s">
        <v>64</v>
      </c>
      <c r="AV778" t="s">
        <v>65</v>
      </c>
      <c r="AW778">
        <v>0</v>
      </c>
      <c r="AX778">
        <v>3</v>
      </c>
      <c r="AY778">
        <v>0</v>
      </c>
      <c r="AZ778">
        <v>3500</v>
      </c>
      <c r="BA778">
        <v>100</v>
      </c>
      <c r="BB778">
        <v>100</v>
      </c>
      <c r="BC778">
        <v>100</v>
      </c>
      <c r="BD778">
        <v>100</v>
      </c>
      <c r="BE778">
        <v>1</v>
      </c>
      <c r="BF778">
        <v>15000</v>
      </c>
      <c r="BG778">
        <v>1000</v>
      </c>
      <c r="BH778" s="7">
        <f>ROUND(Wapato_Inventory[[#This Row],[detatched_value]]*Lookups!$B$22*Lookups!$H$48,-2)</f>
        <v>3100</v>
      </c>
      <c r="BI778" s="7">
        <f>ROUND(((Wapato_Inventory[[#This Row],[land_extract]]*Lookups!$B$3) +(Lookups!$B$2*0.5))*Lookups!$H$48,-2)</f>
        <v>53000</v>
      </c>
      <c r="BJ778" s="7">
        <f>IF(Wapato_Inventory[[#This Row],[bldg_style]]="",0,Lookups!$B$2*0.5)</f>
        <v>53765.27</v>
      </c>
      <c r="BK778" s="7">
        <f>_xlfn.IFNA(VLOOKUP(Wapato_Inventory[[#This Row],[quality]],Lookups!$H$2:$J$14,3,FALSE),0)</f>
        <v>28034</v>
      </c>
      <c r="BL778" s="7">
        <f>_xlfn.IFNA(VLOOKUP(Wapato_Inventory[[#This Row],[condition]],Lookups!$H$17:$J$24,3,FALSE),0)</f>
        <v>52231</v>
      </c>
      <c r="BM778" s="7">
        <f>Wapato_Inventory[[#This Row],[Age]]*Lookups!$B$16</f>
        <v>-41886.354100000004</v>
      </c>
      <c r="BN778" s="7">
        <f>Wapato_Inventory[[#This Row],[Main Floor]]*Lookups!$B$17</f>
        <v>33524.192677999999</v>
      </c>
      <c r="BO778" s="7">
        <f>Wapato_Inventory[[#This Row],[Upper Floor]]*Lookups!$B$18</f>
        <v>0</v>
      </c>
      <c r="BP778" s="7">
        <f>Wapato_Inventory[[#This Row],[Fin BSMT]]*Lookups!$B$19</f>
        <v>0</v>
      </c>
      <c r="BQ778" s="7">
        <f>(Wapato_Inventory[[#This Row],[att_gar]]+Wapato_Inventory[[#This Row],[blt_gar]])*Lookups!$B$20</f>
        <v>0</v>
      </c>
      <c r="BR778" s="7">
        <f>Wapato_Inventory[[#This Row],[Patio]]*Lookups!$B$21</f>
        <v>0</v>
      </c>
      <c r="BS778" s="7">
        <f>SUM(Wapato_Inventory[[#This Row],[intercept]:[patio_value]])*Wapato_Inventory[[#This Row],[res_pct]]</f>
        <v>125668.10857799998</v>
      </c>
      <c r="BT778" s="7">
        <f>Wapato_Inventory[[#This Row],[land_value]]</f>
        <v>53000</v>
      </c>
      <c r="BU778" s="2">
        <f>_xlfn.IFNA(VLOOKUP(Wapato_Inventory[[#This Row],[quality]],Lookups!$A$28:$C$37,3,FALSE),1)</f>
        <v>0.96265813922927435</v>
      </c>
      <c r="BV778" s="2">
        <f>_xlfn.IFNA(VLOOKUP(Wapato_Inventory[[#This Row],[condition]],Lookups!$A$41:$C$48,3,FALSE),1)</f>
        <v>0.9832333997567807</v>
      </c>
      <c r="BW778" s="2">
        <f>IF(Wapato_Inventory[[#This Row],[decade]]="",1,_xlfn.IFNA(VLOOKUP(Wapato_Inventory[[#This Row],[decade]],Lookups!$F$28:$H$45,3,FALSE),1))</f>
        <v>0.93664589651353292</v>
      </c>
      <c r="BX778" s="2">
        <f>_xlfn.IFNA(VLOOKUP(Wapato_Inventory[[#This Row],[living_area_range]],Lookups!$K$28:$M$37,3,FALSE),1)</f>
        <v>0.99022994770196116</v>
      </c>
      <c r="BY778" s="2">
        <f>AVERAGE(Wapato_Inventory[[#This Row],[qual_adj]:[range_adj]])</f>
        <v>0.9681918458003872</v>
      </c>
      <c r="BZ778" s="7">
        <f>(Wapato_Inventory[[#This Row],[sum_land]]-IF(Wapato_Inventory[[#This Row],[no_utilities]]=1,12000,0))/IF(Wapato_Inventory[[#This Row],[unbuildable]]=1,2,1)</f>
        <v>53000</v>
      </c>
      <c r="CA778" s="7">
        <f>Wapato_Inventory[[#This Row],[pre_res]]*Wapato_Inventory[[#This Row],[overall_adj]]</f>
        <v>121670.83800237728</v>
      </c>
      <c r="CB77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78" s="3">
        <f>IF(ROUND(Wapato_Inventory[[#This Row],[adj_res]]*Lookups!$H$48,-2)&lt;Wapato_Inventory[[#This Row],[min_res]],Wapato_Inventory[[#This Row],[min_res]],ROUND(Wapato_Inventory[[#This Row],[adj_res]]*Lookups!$H$48,-2))</f>
        <v>115600</v>
      </c>
      <c r="CD778" s="3">
        <f>ROUND(Wapato_Inventory[[#This Row],[det_value]]*Lookups!$H$48,-2)</f>
        <v>2900</v>
      </c>
      <c r="CE778" s="3">
        <f>Wapato_Inventory[[#This Row],[final_res]]+Wapato_Inventory[[#This Row],[final_det]]</f>
        <v>118500</v>
      </c>
      <c r="CF778" s="3">
        <f>Wapato_Inventory[[#This Row],[crop_value]]+Wapato_Inventory[[#This Row],[final_land]]+Wapato_Inventory[[#This Row],[final_imp]]</f>
        <v>168900</v>
      </c>
      <c r="CH778" t="str">
        <f t="shared" si="12"/>
        <v>update valuation set market_land =50400, market_bldg=118500, market_total =168900, market_mdno =405, market_date ='9/10/2023' where link_id = (select link_id from parcel where parcel_year = '2024' and parcel_id = '19111514436');</v>
      </c>
    </row>
    <row r="779" spans="1:86" x14ac:dyDescent="0.25">
      <c r="A779">
        <v>19111514437</v>
      </c>
      <c r="B779">
        <v>0.14000000000000001</v>
      </c>
      <c r="C779">
        <v>6260</v>
      </c>
      <c r="D779" t="s">
        <v>144</v>
      </c>
      <c r="E779" t="s">
        <v>54</v>
      </c>
      <c r="F779" t="s">
        <v>54</v>
      </c>
      <c r="G779">
        <v>3</v>
      </c>
      <c r="H779" t="s">
        <v>55</v>
      </c>
      <c r="I779">
        <v>166100</v>
      </c>
      <c r="J779">
        <v>31900</v>
      </c>
      <c r="K779">
        <v>0.14000000000000001</v>
      </c>
      <c r="L779">
        <f>IF(Wapato_Inventory[[#This Row],[parcel_acres]]-Wapato_Inventory[[#This Row],[non_valued_acres]] =0,0,LN(Wapato_Inventory[[#This Row],[parcel_acres]]-Wapato_Inventory[[#This Row],[non_valued_acres]]))</f>
        <v>-1.9661128563728327</v>
      </c>
      <c r="M779">
        <v>0</v>
      </c>
      <c r="N779">
        <v>0</v>
      </c>
      <c r="O779">
        <v>0</v>
      </c>
      <c r="P779">
        <v>27904.037</v>
      </c>
      <c r="Q779">
        <v>74398</v>
      </c>
      <c r="R779" s="3">
        <f>(Wapato_Inventory[[#This Row],[ln_acres]]*Wapato_Inventory[[#This Row],[coeff]])+Wapato_Inventory[[#This Row],[const]]</f>
        <v>19535.514109596792</v>
      </c>
      <c r="S779" t="s">
        <v>66</v>
      </c>
      <c r="T779">
        <v>1</v>
      </c>
      <c r="U779" t="s">
        <v>75</v>
      </c>
      <c r="V779" t="s">
        <v>68</v>
      </c>
      <c r="W779">
        <v>0</v>
      </c>
      <c r="X779">
        <v>0</v>
      </c>
      <c r="Y779">
        <v>65</v>
      </c>
      <c r="Z779">
        <v>113</v>
      </c>
      <c r="AA779">
        <v>120</v>
      </c>
      <c r="AB779">
        <v>2000</v>
      </c>
      <c r="AC779">
        <v>1652</v>
      </c>
      <c r="AD779">
        <v>1652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448</v>
      </c>
      <c r="AL779">
        <v>0</v>
      </c>
      <c r="AM779">
        <v>0</v>
      </c>
      <c r="AN779">
        <v>0</v>
      </c>
      <c r="AO779">
        <v>0</v>
      </c>
      <c r="AP779">
        <v>5</v>
      </c>
      <c r="AQ779">
        <v>0</v>
      </c>
      <c r="AR779">
        <v>0</v>
      </c>
      <c r="AS779" t="s">
        <v>59</v>
      </c>
      <c r="AT779">
        <v>1</v>
      </c>
      <c r="AU779" t="s">
        <v>72</v>
      </c>
      <c r="AV779" t="s">
        <v>61</v>
      </c>
      <c r="AW779">
        <v>0</v>
      </c>
      <c r="AX779">
        <v>2</v>
      </c>
      <c r="AY779">
        <v>0</v>
      </c>
      <c r="AZ779">
        <v>0</v>
      </c>
      <c r="BA779">
        <v>100</v>
      </c>
      <c r="BB779">
        <v>100</v>
      </c>
      <c r="BC779">
        <v>100</v>
      </c>
      <c r="BD779">
        <v>100</v>
      </c>
      <c r="BE779">
        <v>1</v>
      </c>
      <c r="BF779">
        <v>15000</v>
      </c>
      <c r="BG779">
        <v>1000</v>
      </c>
      <c r="BH779" s="7">
        <f>ROUND(Wapato_Inventory[[#This Row],[detatched_value]]*Lookups!$B$22*Lookups!$H$48,-2)</f>
        <v>0</v>
      </c>
      <c r="BI779" s="7">
        <f>ROUND(((Wapato_Inventory[[#This Row],[land_extract]]*Lookups!$B$3) +(Lookups!$B$2*0.5))*Lookups!$H$48,-2)</f>
        <v>53000</v>
      </c>
      <c r="BJ779" s="7">
        <f>IF(Wapato_Inventory[[#This Row],[bldg_style]]="",0,Lookups!$B$2*0.5)</f>
        <v>53765.27</v>
      </c>
      <c r="BK779" s="7">
        <f>_xlfn.IFNA(VLOOKUP(Wapato_Inventory[[#This Row],[quality]],Lookups!$H$2:$J$14,3,FALSE),0)</f>
        <v>48043</v>
      </c>
      <c r="BL779" s="7">
        <f>_xlfn.IFNA(VLOOKUP(Wapato_Inventory[[#This Row],[condition]],Lookups!$H$17:$J$24,3,FALSE),0)</f>
        <v>52231</v>
      </c>
      <c r="BM779" s="7">
        <f>Wapato_Inventory[[#This Row],[Age]]*Lookups!$B$16</f>
        <v>-41886.354100000004</v>
      </c>
      <c r="BN779" s="7">
        <f>Wapato_Inventory[[#This Row],[Main Floor]]*Lookups!$B$17</f>
        <v>69054.820827999996</v>
      </c>
      <c r="BO779" s="7">
        <f>Wapato_Inventory[[#This Row],[Upper Floor]]*Lookups!$B$18</f>
        <v>0</v>
      </c>
      <c r="BP779" s="7">
        <f>Wapato_Inventory[[#This Row],[Fin BSMT]]*Lookups!$B$19</f>
        <v>0</v>
      </c>
      <c r="BQ779" s="7">
        <f>(Wapato_Inventory[[#This Row],[att_gar]]+Wapato_Inventory[[#This Row],[blt_gar]])*Lookups!$B$20</f>
        <v>0</v>
      </c>
      <c r="BR779" s="7">
        <f>Wapato_Inventory[[#This Row],[Patio]]*Lookups!$B$21</f>
        <v>0</v>
      </c>
      <c r="BS779" s="7">
        <f>SUM(Wapato_Inventory[[#This Row],[intercept]:[patio_value]])*Wapato_Inventory[[#This Row],[res_pct]]</f>
        <v>181207.73672799999</v>
      </c>
      <c r="BT779" s="7">
        <f>Wapato_Inventory[[#This Row],[land_value]]</f>
        <v>53000</v>
      </c>
      <c r="BU779" s="2">
        <f>_xlfn.IFNA(VLOOKUP(Wapato_Inventory[[#This Row],[quality]],Lookups!$A$28:$C$37,3,FALSE),1)</f>
        <v>0.98196844879778955</v>
      </c>
      <c r="BV779" s="2">
        <f>_xlfn.IFNA(VLOOKUP(Wapato_Inventory[[#This Row],[condition]],Lookups!$A$41:$C$48,3,FALSE),1)</f>
        <v>0.9832333997567807</v>
      </c>
      <c r="BW779" s="2">
        <f>IF(Wapato_Inventory[[#This Row],[decade]]="",1,_xlfn.IFNA(VLOOKUP(Wapato_Inventory[[#This Row],[decade]],Lookups!$F$28:$H$45,3,FALSE),1))</f>
        <v>0.93664589651353292</v>
      </c>
      <c r="BX779" s="2">
        <f>_xlfn.IFNA(VLOOKUP(Wapato_Inventory[[#This Row],[living_area_range]],Lookups!$K$28:$M$37,3,FALSE),1)</f>
        <v>0.99330894324714125</v>
      </c>
      <c r="BY779" s="2">
        <f>AVERAGE(Wapato_Inventory[[#This Row],[qual_adj]:[range_adj]])</f>
        <v>0.9737891720788111</v>
      </c>
      <c r="BZ779" s="7">
        <f>(Wapato_Inventory[[#This Row],[sum_land]]-IF(Wapato_Inventory[[#This Row],[no_utilities]]=1,12000,0))/IF(Wapato_Inventory[[#This Row],[unbuildable]]=1,2,1)</f>
        <v>53000</v>
      </c>
      <c r="CA779" s="7">
        <f>Wapato_Inventory[[#This Row],[pre_res]]*Wapato_Inventory[[#This Row],[overall_adj]]</f>
        <v>176458.13192263429</v>
      </c>
      <c r="CB77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79" s="3">
        <f>IF(ROUND(Wapato_Inventory[[#This Row],[adj_res]]*Lookups!$H$48,-2)&lt;Wapato_Inventory[[#This Row],[min_res]],Wapato_Inventory[[#This Row],[min_res]],ROUND(Wapato_Inventory[[#This Row],[adj_res]]*Lookups!$H$48,-2))</f>
        <v>167600</v>
      </c>
      <c r="CD779" s="3">
        <f>ROUND(Wapato_Inventory[[#This Row],[det_value]]*Lookups!$H$48,-2)</f>
        <v>0</v>
      </c>
      <c r="CE779" s="3">
        <f>Wapato_Inventory[[#This Row],[final_res]]+Wapato_Inventory[[#This Row],[final_det]]</f>
        <v>167600</v>
      </c>
      <c r="CF779" s="3">
        <f>Wapato_Inventory[[#This Row],[crop_value]]+Wapato_Inventory[[#This Row],[final_land]]+Wapato_Inventory[[#This Row],[final_imp]]</f>
        <v>218000</v>
      </c>
      <c r="CH779" t="str">
        <f t="shared" si="12"/>
        <v>update valuation set market_land =50400, market_bldg=167600, market_total =218000, market_mdno =405, market_date ='9/10/2023' where link_id = (select link_id from parcel where parcel_year = '2024' and parcel_id = '19111514437');</v>
      </c>
    </row>
    <row r="780" spans="1:86" x14ac:dyDescent="0.25">
      <c r="A780">
        <v>19111514438</v>
      </c>
      <c r="B780">
        <v>0.14000000000000001</v>
      </c>
      <c r="C780">
        <v>6220</v>
      </c>
      <c r="D780" t="s">
        <v>144</v>
      </c>
      <c r="E780" t="s">
        <v>54</v>
      </c>
      <c r="F780" t="s">
        <v>54</v>
      </c>
      <c r="G780">
        <v>3</v>
      </c>
      <c r="H780" t="s">
        <v>55</v>
      </c>
      <c r="I780">
        <v>81100</v>
      </c>
      <c r="J780">
        <v>31900</v>
      </c>
      <c r="K780">
        <v>0.14000000000000001</v>
      </c>
      <c r="L780">
        <f>IF(Wapato_Inventory[[#This Row],[parcel_acres]]-Wapato_Inventory[[#This Row],[non_valued_acres]] =0,0,LN(Wapato_Inventory[[#This Row],[parcel_acres]]-Wapato_Inventory[[#This Row],[non_valued_acres]]))</f>
        <v>-1.9661128563728327</v>
      </c>
      <c r="M780">
        <v>0</v>
      </c>
      <c r="N780">
        <v>0</v>
      </c>
      <c r="O780">
        <v>0</v>
      </c>
      <c r="P780">
        <v>27904.037</v>
      </c>
      <c r="Q780">
        <v>74398</v>
      </c>
      <c r="R780" s="3">
        <f>(Wapato_Inventory[[#This Row],[ln_acres]]*Wapato_Inventory[[#This Row],[coeff]])+Wapato_Inventory[[#This Row],[const]]</f>
        <v>19535.514109596792</v>
      </c>
      <c r="S780" t="s">
        <v>66</v>
      </c>
      <c r="T780">
        <v>1</v>
      </c>
      <c r="U780" t="s">
        <v>71</v>
      </c>
      <c r="V780" t="s">
        <v>84</v>
      </c>
      <c r="W780">
        <v>0</v>
      </c>
      <c r="X780">
        <v>0</v>
      </c>
      <c r="Y780">
        <v>52</v>
      </c>
      <c r="Z780">
        <v>85</v>
      </c>
      <c r="AA780">
        <v>90</v>
      </c>
      <c r="AB780">
        <v>1500</v>
      </c>
      <c r="AC780">
        <v>1451</v>
      </c>
      <c r="AD780">
        <v>1060</v>
      </c>
      <c r="AE780">
        <v>0</v>
      </c>
      <c r="AF780">
        <v>0</v>
      </c>
      <c r="AG780">
        <v>391</v>
      </c>
      <c r="AH780">
        <v>398</v>
      </c>
      <c r="AI780">
        <v>0</v>
      </c>
      <c r="AJ780">
        <v>0</v>
      </c>
      <c r="AK780">
        <v>0</v>
      </c>
      <c r="AL780">
        <v>0</v>
      </c>
      <c r="AM780">
        <v>24</v>
      </c>
      <c r="AN780">
        <v>48</v>
      </c>
      <c r="AO780">
        <v>24</v>
      </c>
      <c r="AP780">
        <v>5</v>
      </c>
      <c r="AQ780">
        <v>0</v>
      </c>
      <c r="AR780">
        <v>1</v>
      </c>
      <c r="AS780" t="s">
        <v>59</v>
      </c>
      <c r="AT780">
        <v>1</v>
      </c>
      <c r="AU780" t="s">
        <v>64</v>
      </c>
      <c r="AV780" t="s">
        <v>77</v>
      </c>
      <c r="AW780">
        <v>1</v>
      </c>
      <c r="AX780">
        <v>4</v>
      </c>
      <c r="AY780">
        <v>0</v>
      </c>
      <c r="AZ780">
        <v>5800</v>
      </c>
      <c r="BA780">
        <v>100</v>
      </c>
      <c r="BB780">
        <v>100</v>
      </c>
      <c r="BC780">
        <v>100</v>
      </c>
      <c r="BD780">
        <v>100</v>
      </c>
      <c r="BE780">
        <v>1</v>
      </c>
      <c r="BF780">
        <v>15000</v>
      </c>
      <c r="BG780">
        <v>1000</v>
      </c>
      <c r="BH780" s="7">
        <f>ROUND(Wapato_Inventory[[#This Row],[detatched_value]]*Lookups!$B$22*Lookups!$H$48,-2)</f>
        <v>5200</v>
      </c>
      <c r="BI780" s="7">
        <f>ROUND(((Wapato_Inventory[[#This Row],[land_extract]]*Lookups!$B$3) +(Lookups!$B$2*0.5))*Lookups!$H$48,-2)</f>
        <v>53000</v>
      </c>
      <c r="BJ780" s="7">
        <f>IF(Wapato_Inventory[[#This Row],[bldg_style]]="",0,Lookups!$B$2*0.5)</f>
        <v>53765.27</v>
      </c>
      <c r="BK780" s="7">
        <f>_xlfn.IFNA(VLOOKUP(Wapato_Inventory[[#This Row],[quality]],Lookups!$H$2:$J$14,3,FALSE),0)</f>
        <v>28034</v>
      </c>
      <c r="BL780" s="7">
        <f>_xlfn.IFNA(VLOOKUP(Wapato_Inventory[[#This Row],[condition]],Lookups!$H$17:$J$24,3,FALSE),0)</f>
        <v>0</v>
      </c>
      <c r="BM780" s="7">
        <f>Wapato_Inventory[[#This Row],[Age]]*Lookups!$B$16</f>
        <v>-31507.434499999999</v>
      </c>
      <c r="BN780" s="7">
        <f>Wapato_Inventory[[#This Row],[Main Floor]]*Lookups!$B$17</f>
        <v>44308.783340000002</v>
      </c>
      <c r="BO780" s="7">
        <f>Wapato_Inventory[[#This Row],[Upper Floor]]*Lookups!$B$18</f>
        <v>0</v>
      </c>
      <c r="BP780" s="7">
        <f>Wapato_Inventory[[#This Row],[Fin BSMT]]*Lookups!$B$19</f>
        <v>9527.3953399999991</v>
      </c>
      <c r="BQ780" s="7">
        <f>(Wapato_Inventory[[#This Row],[att_gar]]+Wapato_Inventory[[#This Row],[blt_gar]])*Lookups!$B$20</f>
        <v>0</v>
      </c>
      <c r="BR780" s="7">
        <f>Wapato_Inventory[[#This Row],[Patio]]*Lookups!$B$21</f>
        <v>1039.775496</v>
      </c>
      <c r="BS780" s="7">
        <f>SUM(Wapato_Inventory[[#This Row],[intercept]:[patio_value]])*Wapato_Inventory[[#This Row],[res_pct]]</f>
        <v>105167.78967599999</v>
      </c>
      <c r="BT780" s="7">
        <f>Wapato_Inventory[[#This Row],[land_value]]</f>
        <v>53000</v>
      </c>
      <c r="BU780" s="2">
        <f>_xlfn.IFNA(VLOOKUP(Wapato_Inventory[[#This Row],[quality]],Lookups!$A$28:$C$37,3,FALSE),1)</f>
        <v>0.96265813922927435</v>
      </c>
      <c r="BV780" s="2">
        <f>_xlfn.IFNA(VLOOKUP(Wapato_Inventory[[#This Row],[condition]],Lookups!$A$41:$C$48,3,FALSE),1)</f>
        <v>1.0000035546274355</v>
      </c>
      <c r="BW780" s="2">
        <f>IF(Wapato_Inventory[[#This Row],[decade]]="",1,_xlfn.IFNA(VLOOKUP(Wapato_Inventory[[#This Row],[decade]],Lookups!$F$28:$H$45,3,FALSE),1))</f>
        <v>0.94742695999815718</v>
      </c>
      <c r="BX780" s="2">
        <f>_xlfn.IFNA(VLOOKUP(Wapato_Inventory[[#This Row],[living_area_range]],Lookups!$K$28:$M$37,3,FALSE),1)</f>
        <v>1.0061411172456287</v>
      </c>
      <c r="BY780" s="2">
        <f>AVERAGE(Wapato_Inventory[[#This Row],[qual_adj]:[range_adj]])</f>
        <v>0.97905744277512397</v>
      </c>
      <c r="BZ780" s="7">
        <f>(Wapato_Inventory[[#This Row],[sum_land]]-IF(Wapato_Inventory[[#This Row],[no_utilities]]=1,12000,0))/IF(Wapato_Inventory[[#This Row],[unbuildable]]=1,2,1)</f>
        <v>53000</v>
      </c>
      <c r="CA780" s="7">
        <f>Wapato_Inventory[[#This Row],[pre_res]]*Wapato_Inventory[[#This Row],[overall_adj]]</f>
        <v>102965.30722249663</v>
      </c>
      <c r="CB78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80" s="3">
        <f>IF(ROUND(Wapato_Inventory[[#This Row],[adj_res]]*Lookups!$H$48,-2)&lt;Wapato_Inventory[[#This Row],[min_res]],Wapato_Inventory[[#This Row],[min_res]],ROUND(Wapato_Inventory[[#This Row],[adj_res]]*Lookups!$H$48,-2))</f>
        <v>97800</v>
      </c>
      <c r="CD780" s="3">
        <f>ROUND(Wapato_Inventory[[#This Row],[det_value]]*Lookups!$H$48,-2)</f>
        <v>4900</v>
      </c>
      <c r="CE780" s="3">
        <f>Wapato_Inventory[[#This Row],[final_res]]+Wapato_Inventory[[#This Row],[final_det]]</f>
        <v>102700</v>
      </c>
      <c r="CF780" s="3">
        <f>Wapato_Inventory[[#This Row],[crop_value]]+Wapato_Inventory[[#This Row],[final_land]]+Wapato_Inventory[[#This Row],[final_imp]]</f>
        <v>153100</v>
      </c>
      <c r="CH780" t="str">
        <f t="shared" si="12"/>
        <v>update valuation set market_land =50400, market_bldg=102700, market_total =153100, market_mdno =405, market_date ='9/10/2023' where link_id = (select link_id from parcel where parcel_year = '2024' and parcel_id = '19111514438');</v>
      </c>
    </row>
    <row r="781" spans="1:86" x14ac:dyDescent="0.25">
      <c r="A781">
        <v>19111514439</v>
      </c>
      <c r="B781">
        <v>0.14000000000000001</v>
      </c>
      <c r="C781">
        <v>5992</v>
      </c>
      <c r="D781" t="s">
        <v>144</v>
      </c>
      <c r="E781" t="s">
        <v>54</v>
      </c>
      <c r="F781" t="s">
        <v>54</v>
      </c>
      <c r="G781">
        <v>3</v>
      </c>
      <c r="H781" t="s">
        <v>55</v>
      </c>
      <c r="I781">
        <v>139700</v>
      </c>
      <c r="J781">
        <v>31900</v>
      </c>
      <c r="K781">
        <v>0.14000000000000001</v>
      </c>
      <c r="L781">
        <f>IF(Wapato_Inventory[[#This Row],[parcel_acres]]-Wapato_Inventory[[#This Row],[non_valued_acres]] =0,0,LN(Wapato_Inventory[[#This Row],[parcel_acres]]-Wapato_Inventory[[#This Row],[non_valued_acres]]))</f>
        <v>-1.9661128563728327</v>
      </c>
      <c r="M781">
        <v>0</v>
      </c>
      <c r="N781">
        <v>0</v>
      </c>
      <c r="O781">
        <v>0</v>
      </c>
      <c r="P781">
        <v>27904.037</v>
      </c>
      <c r="Q781">
        <v>74398</v>
      </c>
      <c r="R781" s="3">
        <f>(Wapato_Inventory[[#This Row],[ln_acres]]*Wapato_Inventory[[#This Row],[coeff]])+Wapato_Inventory[[#This Row],[const]]</f>
        <v>19535.514109596792</v>
      </c>
      <c r="S781" t="s">
        <v>66</v>
      </c>
      <c r="T781">
        <v>1</v>
      </c>
      <c r="U781" t="s">
        <v>75</v>
      </c>
      <c r="V781" t="s">
        <v>68</v>
      </c>
      <c r="W781">
        <v>0</v>
      </c>
      <c r="X781">
        <v>0</v>
      </c>
      <c r="Y781">
        <v>57</v>
      </c>
      <c r="Z781">
        <v>103</v>
      </c>
      <c r="AA781">
        <v>110</v>
      </c>
      <c r="AB781">
        <v>1500</v>
      </c>
      <c r="AC781">
        <v>1144</v>
      </c>
      <c r="AD781">
        <v>1144</v>
      </c>
      <c r="AE781">
        <v>0</v>
      </c>
      <c r="AF781">
        <v>0</v>
      </c>
      <c r="AG781">
        <v>0</v>
      </c>
      <c r="AH781">
        <v>660</v>
      </c>
      <c r="AI781">
        <v>0</v>
      </c>
      <c r="AJ781">
        <v>0</v>
      </c>
      <c r="AK781">
        <v>0</v>
      </c>
      <c r="AL781">
        <v>0</v>
      </c>
      <c r="AM781">
        <v>0</v>
      </c>
      <c r="AN781">
        <v>24</v>
      </c>
      <c r="AO781">
        <v>0</v>
      </c>
      <c r="AP781">
        <v>8</v>
      </c>
      <c r="AQ781">
        <v>0</v>
      </c>
      <c r="AR781">
        <v>0</v>
      </c>
      <c r="AS781" t="s">
        <v>59</v>
      </c>
      <c r="AT781">
        <v>1</v>
      </c>
      <c r="AU781" t="s">
        <v>64</v>
      </c>
      <c r="AV781" t="s">
        <v>65</v>
      </c>
      <c r="AW781">
        <v>0</v>
      </c>
      <c r="AX781">
        <v>3</v>
      </c>
      <c r="AY781">
        <v>0</v>
      </c>
      <c r="AZ781">
        <v>0</v>
      </c>
      <c r="BA781">
        <v>100</v>
      </c>
      <c r="BB781">
        <v>100</v>
      </c>
      <c r="BC781">
        <v>100</v>
      </c>
      <c r="BD781">
        <v>100</v>
      </c>
      <c r="BE781">
        <v>1</v>
      </c>
      <c r="BF781">
        <v>15000</v>
      </c>
      <c r="BG781">
        <v>1000</v>
      </c>
      <c r="BH781" s="7">
        <f>ROUND(Wapato_Inventory[[#This Row],[detatched_value]]*Lookups!$B$22*Lookups!$H$48,-2)</f>
        <v>0</v>
      </c>
      <c r="BI781" s="7">
        <f>ROUND(((Wapato_Inventory[[#This Row],[land_extract]]*Lookups!$B$3) +(Lookups!$B$2*0.5))*Lookups!$H$48,-2)</f>
        <v>53000</v>
      </c>
      <c r="BJ781" s="7">
        <f>IF(Wapato_Inventory[[#This Row],[bldg_style]]="",0,Lookups!$B$2*0.5)</f>
        <v>53765.27</v>
      </c>
      <c r="BK781" s="7">
        <f>_xlfn.IFNA(VLOOKUP(Wapato_Inventory[[#This Row],[quality]],Lookups!$H$2:$J$14,3,FALSE),0)</f>
        <v>48043</v>
      </c>
      <c r="BL781" s="7">
        <f>_xlfn.IFNA(VLOOKUP(Wapato_Inventory[[#This Row],[condition]],Lookups!$H$17:$J$24,3,FALSE),0)</f>
        <v>52231</v>
      </c>
      <c r="BM781" s="7">
        <f>Wapato_Inventory[[#This Row],[Age]]*Lookups!$B$16</f>
        <v>-38179.597099999999</v>
      </c>
      <c r="BN781" s="7">
        <f>Wapato_Inventory[[#This Row],[Main Floor]]*Lookups!$B$17</f>
        <v>47820.045416000001</v>
      </c>
      <c r="BO781" s="7">
        <f>Wapato_Inventory[[#This Row],[Upper Floor]]*Lookups!$B$18</f>
        <v>0</v>
      </c>
      <c r="BP781" s="7">
        <f>Wapato_Inventory[[#This Row],[Fin BSMT]]*Lookups!$B$19</f>
        <v>0</v>
      </c>
      <c r="BQ781" s="7">
        <f>(Wapato_Inventory[[#This Row],[att_gar]]+Wapato_Inventory[[#This Row],[blt_gar]])*Lookups!$B$20</f>
        <v>0</v>
      </c>
      <c r="BR781" s="7">
        <f>Wapato_Inventory[[#This Row],[Patio]]*Lookups!$B$21</f>
        <v>0</v>
      </c>
      <c r="BS781" s="7">
        <f>SUM(Wapato_Inventory[[#This Row],[intercept]:[patio_value]])*Wapato_Inventory[[#This Row],[res_pct]]</f>
        <v>163679.71831599998</v>
      </c>
      <c r="BT781" s="7">
        <f>Wapato_Inventory[[#This Row],[land_value]]</f>
        <v>53000</v>
      </c>
      <c r="BU781" s="2">
        <f>_xlfn.IFNA(VLOOKUP(Wapato_Inventory[[#This Row],[quality]],Lookups!$A$28:$C$37,3,FALSE),1)</f>
        <v>0.98196844879778955</v>
      </c>
      <c r="BV781" s="2">
        <f>_xlfn.IFNA(VLOOKUP(Wapato_Inventory[[#This Row],[condition]],Lookups!$A$41:$C$48,3,FALSE),1)</f>
        <v>0.9832333997567807</v>
      </c>
      <c r="BW781" s="2">
        <f>IF(Wapato_Inventory[[#This Row],[decade]]="",1,_xlfn.IFNA(VLOOKUP(Wapato_Inventory[[#This Row],[decade]],Lookups!$F$28:$H$45,3,FALSE),1))</f>
        <v>0.93664589651353292</v>
      </c>
      <c r="BX781" s="2">
        <f>_xlfn.IFNA(VLOOKUP(Wapato_Inventory[[#This Row],[living_area_range]],Lookups!$K$28:$M$37,3,FALSE),1)</f>
        <v>1.0061411172456287</v>
      </c>
      <c r="BY781" s="2">
        <f>AVERAGE(Wapato_Inventory[[#This Row],[qual_adj]:[range_adj]])</f>
        <v>0.976997215578433</v>
      </c>
      <c r="BZ781" s="7">
        <f>(Wapato_Inventory[[#This Row],[sum_land]]-IF(Wapato_Inventory[[#This Row],[no_utilities]]=1,12000,0))/IF(Wapato_Inventory[[#This Row],[unbuildable]]=1,2,1)</f>
        <v>53000</v>
      </c>
      <c r="CA781" s="7">
        <f>Wapato_Inventory[[#This Row],[pre_res]]*Wapato_Inventory[[#This Row],[overall_adj]]</f>
        <v>159914.62904139422</v>
      </c>
      <c r="CB78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81" s="3">
        <f>IF(ROUND(Wapato_Inventory[[#This Row],[adj_res]]*Lookups!$H$48,-2)&lt;Wapato_Inventory[[#This Row],[min_res]],Wapato_Inventory[[#This Row],[min_res]],ROUND(Wapato_Inventory[[#This Row],[adj_res]]*Lookups!$H$48,-2))</f>
        <v>151900</v>
      </c>
      <c r="CD781" s="3">
        <f>ROUND(Wapato_Inventory[[#This Row],[det_value]]*Lookups!$H$48,-2)</f>
        <v>0</v>
      </c>
      <c r="CE781" s="3">
        <f>Wapato_Inventory[[#This Row],[final_res]]+Wapato_Inventory[[#This Row],[final_det]]</f>
        <v>151900</v>
      </c>
      <c r="CF781" s="3">
        <f>Wapato_Inventory[[#This Row],[crop_value]]+Wapato_Inventory[[#This Row],[final_land]]+Wapato_Inventory[[#This Row],[final_imp]]</f>
        <v>202300</v>
      </c>
      <c r="CH781" t="str">
        <f t="shared" si="12"/>
        <v>update valuation set market_land =50400, market_bldg=151900, market_total =202300, market_mdno =405, market_date ='9/10/2023' where link_id = (select link_id from parcel where parcel_year = '2024' and parcel_id = '19111514439');</v>
      </c>
    </row>
    <row r="782" spans="1:86" x14ac:dyDescent="0.25">
      <c r="A782">
        <v>19111514440</v>
      </c>
      <c r="B782">
        <v>7.0000000000000007E-2</v>
      </c>
      <c r="C782">
        <v>2892</v>
      </c>
      <c r="D782" t="s">
        <v>144</v>
      </c>
      <c r="E782" t="s">
        <v>54</v>
      </c>
      <c r="F782" t="s">
        <v>54</v>
      </c>
      <c r="G782">
        <v>3</v>
      </c>
      <c r="H782" t="s">
        <v>55</v>
      </c>
      <c r="I782">
        <v>92300</v>
      </c>
      <c r="J782">
        <v>26900</v>
      </c>
      <c r="K782">
        <v>7.0000000000000007E-2</v>
      </c>
      <c r="L782">
        <f>IF(Wapato_Inventory[[#This Row],[parcel_acres]]-Wapato_Inventory[[#This Row],[non_valued_acres]] =0,0,LN(Wapato_Inventory[[#This Row],[parcel_acres]]-Wapato_Inventory[[#This Row],[non_valued_acres]]))</f>
        <v>-2.6592600369327779</v>
      </c>
      <c r="M782">
        <v>0</v>
      </c>
      <c r="N782">
        <v>0</v>
      </c>
      <c r="O782">
        <v>0</v>
      </c>
      <c r="P782">
        <v>27904.037</v>
      </c>
      <c r="Q782">
        <v>74398</v>
      </c>
      <c r="R782" s="3">
        <f>(Wapato_Inventory[[#This Row],[ln_acres]]*Wapato_Inventory[[#This Row],[coeff]])+Wapato_Inventory[[#This Row],[const]]</f>
        <v>193.90953680640087</v>
      </c>
      <c r="S782" t="s">
        <v>66</v>
      </c>
      <c r="T782">
        <v>1</v>
      </c>
      <c r="U782" t="s">
        <v>71</v>
      </c>
      <c r="V782" t="s">
        <v>68</v>
      </c>
      <c r="W782">
        <v>0</v>
      </c>
      <c r="X782">
        <v>0</v>
      </c>
      <c r="Y782">
        <v>57</v>
      </c>
      <c r="Z782">
        <v>103</v>
      </c>
      <c r="AA782">
        <v>110</v>
      </c>
      <c r="AB782">
        <v>1000</v>
      </c>
      <c r="AC782">
        <v>720</v>
      </c>
      <c r="AD782">
        <v>720</v>
      </c>
      <c r="AE782">
        <v>0</v>
      </c>
      <c r="AF782">
        <v>0</v>
      </c>
      <c r="AG782">
        <v>0</v>
      </c>
      <c r="AH782">
        <v>720</v>
      </c>
      <c r="AI782">
        <v>0</v>
      </c>
      <c r="AJ782">
        <v>0</v>
      </c>
      <c r="AK782">
        <v>0</v>
      </c>
      <c r="AL782">
        <v>96</v>
      </c>
      <c r="AM782">
        <v>0</v>
      </c>
      <c r="AN782">
        <v>0</v>
      </c>
      <c r="AO782">
        <v>40</v>
      </c>
      <c r="AP782">
        <v>5</v>
      </c>
      <c r="AQ782">
        <v>0</v>
      </c>
      <c r="AR782">
        <v>0</v>
      </c>
      <c r="AS782" t="s">
        <v>59</v>
      </c>
      <c r="AT782">
        <v>0</v>
      </c>
      <c r="AU782" t="s">
        <v>80</v>
      </c>
      <c r="AV782" t="s">
        <v>65</v>
      </c>
      <c r="AW782">
        <v>0</v>
      </c>
      <c r="AX782">
        <v>2</v>
      </c>
      <c r="AY782">
        <v>0</v>
      </c>
      <c r="AZ782">
        <v>0</v>
      </c>
      <c r="BA782">
        <v>100</v>
      </c>
      <c r="BB782">
        <v>100</v>
      </c>
      <c r="BC782">
        <v>100</v>
      </c>
      <c r="BD782">
        <v>100</v>
      </c>
      <c r="BE782">
        <v>1</v>
      </c>
      <c r="BF782">
        <v>15000</v>
      </c>
      <c r="BG782">
        <v>1000</v>
      </c>
      <c r="BH782" s="7">
        <f>ROUND(Wapato_Inventory[[#This Row],[detatched_value]]*Lookups!$B$22*Lookups!$H$48,-2)</f>
        <v>0</v>
      </c>
      <c r="BI782" s="7">
        <f>ROUND(((Wapato_Inventory[[#This Row],[land_extract]]*Lookups!$B$3) +(Lookups!$B$2*0.5))*Lookups!$H$48,-2)</f>
        <v>51100</v>
      </c>
      <c r="BJ782" s="7">
        <f>IF(Wapato_Inventory[[#This Row],[bldg_style]]="",0,Lookups!$B$2*0.5)</f>
        <v>53765.27</v>
      </c>
      <c r="BK782" s="7">
        <f>_xlfn.IFNA(VLOOKUP(Wapato_Inventory[[#This Row],[quality]],Lookups!$H$2:$J$14,3,FALSE),0)</f>
        <v>28034</v>
      </c>
      <c r="BL782" s="7">
        <f>_xlfn.IFNA(VLOOKUP(Wapato_Inventory[[#This Row],[condition]],Lookups!$H$17:$J$24,3,FALSE),0)</f>
        <v>52231</v>
      </c>
      <c r="BM782" s="7">
        <f>Wapato_Inventory[[#This Row],[Age]]*Lookups!$B$16</f>
        <v>-38179.597099999999</v>
      </c>
      <c r="BN782" s="7">
        <f>Wapato_Inventory[[#This Row],[Main Floor]]*Lookups!$B$17</f>
        <v>30096.532080000001</v>
      </c>
      <c r="BO782" s="7">
        <f>Wapato_Inventory[[#This Row],[Upper Floor]]*Lookups!$B$18</f>
        <v>0</v>
      </c>
      <c r="BP782" s="7">
        <f>Wapato_Inventory[[#This Row],[Fin BSMT]]*Lookups!$B$19</f>
        <v>0</v>
      </c>
      <c r="BQ782" s="7">
        <f>(Wapato_Inventory[[#This Row],[att_gar]]+Wapato_Inventory[[#This Row],[blt_gar]])*Lookups!$B$20</f>
        <v>0</v>
      </c>
      <c r="BR782" s="7">
        <f>Wapato_Inventory[[#This Row],[Patio]]*Lookups!$B$21</f>
        <v>0</v>
      </c>
      <c r="BS782" s="7">
        <f>SUM(Wapato_Inventory[[#This Row],[intercept]:[patio_value]])*Wapato_Inventory[[#This Row],[res_pct]]</f>
        <v>125947.20497999999</v>
      </c>
      <c r="BT782" s="7">
        <f>Wapato_Inventory[[#This Row],[land_value]]</f>
        <v>51100</v>
      </c>
      <c r="BU782" s="2">
        <f>_xlfn.IFNA(VLOOKUP(Wapato_Inventory[[#This Row],[quality]],Lookups!$A$28:$C$37,3,FALSE),1)</f>
        <v>0.96265813922927435</v>
      </c>
      <c r="BV782" s="2">
        <f>_xlfn.IFNA(VLOOKUP(Wapato_Inventory[[#This Row],[condition]],Lookups!$A$41:$C$48,3,FALSE),1)</f>
        <v>0.9832333997567807</v>
      </c>
      <c r="BW782" s="2">
        <f>IF(Wapato_Inventory[[#This Row],[decade]]="",1,_xlfn.IFNA(VLOOKUP(Wapato_Inventory[[#This Row],[decade]],Lookups!$F$28:$H$45,3,FALSE),1))</f>
        <v>0.93664589651353292</v>
      </c>
      <c r="BX782" s="2">
        <f>_xlfn.IFNA(VLOOKUP(Wapato_Inventory[[#This Row],[living_area_range]],Lookups!$K$28:$M$37,3,FALSE),1)</f>
        <v>0.99022994770196116</v>
      </c>
      <c r="BY782" s="2">
        <f>AVERAGE(Wapato_Inventory[[#This Row],[qual_adj]:[range_adj]])</f>
        <v>0.9681918458003872</v>
      </c>
      <c r="BZ782" s="7">
        <f>(Wapato_Inventory[[#This Row],[sum_land]]-IF(Wapato_Inventory[[#This Row],[no_utilities]]=1,12000,0))/IF(Wapato_Inventory[[#This Row],[unbuildable]]=1,2,1)</f>
        <v>51100</v>
      </c>
      <c r="CA782" s="7">
        <f>Wapato_Inventory[[#This Row],[pre_res]]*Wapato_Inventory[[#This Row],[overall_adj]]</f>
        <v>121941.05686298592</v>
      </c>
      <c r="CB782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782" s="3">
        <f>IF(ROUND(Wapato_Inventory[[#This Row],[adj_res]]*Lookups!$H$48,-2)&lt;Wapato_Inventory[[#This Row],[min_res]],Wapato_Inventory[[#This Row],[min_res]],ROUND(Wapato_Inventory[[#This Row],[adj_res]]*Lookups!$H$48,-2))</f>
        <v>115800</v>
      </c>
      <c r="CD782" s="3">
        <f>ROUND(Wapato_Inventory[[#This Row],[det_value]]*Lookups!$H$48,-2)</f>
        <v>0</v>
      </c>
      <c r="CE782" s="3">
        <f>Wapato_Inventory[[#This Row],[final_res]]+Wapato_Inventory[[#This Row],[final_det]]</f>
        <v>115800</v>
      </c>
      <c r="CF782" s="3">
        <f>Wapato_Inventory[[#This Row],[crop_value]]+Wapato_Inventory[[#This Row],[final_land]]+Wapato_Inventory[[#This Row],[final_imp]]</f>
        <v>164300</v>
      </c>
      <c r="CH782" t="str">
        <f t="shared" si="12"/>
        <v>update valuation set market_land =48500, market_bldg=115800, market_total =164300, market_mdno =405, market_date ='9/10/2023' where link_id = (select link_id from parcel where parcel_year = '2024' and parcel_id = '19111514440');</v>
      </c>
    </row>
    <row r="783" spans="1:86" x14ac:dyDescent="0.25">
      <c r="A783">
        <v>19111514441</v>
      </c>
      <c r="B783">
        <v>0.09</v>
      </c>
      <c r="C783">
        <v>3902</v>
      </c>
      <c r="D783" t="s">
        <v>144</v>
      </c>
      <c r="E783" t="s">
        <v>54</v>
      </c>
      <c r="F783" t="s">
        <v>54</v>
      </c>
      <c r="G783">
        <v>3</v>
      </c>
      <c r="H783" t="s">
        <v>55</v>
      </c>
      <c r="I783">
        <v>247300</v>
      </c>
      <c r="J783">
        <v>28700</v>
      </c>
      <c r="K783">
        <v>0.09</v>
      </c>
      <c r="L783">
        <f>IF(Wapato_Inventory[[#This Row],[parcel_acres]]-Wapato_Inventory[[#This Row],[non_valued_acres]] =0,0,LN(Wapato_Inventory[[#This Row],[parcel_acres]]-Wapato_Inventory[[#This Row],[non_valued_acres]]))</f>
        <v>-2.4079456086518722</v>
      </c>
      <c r="M783">
        <v>0</v>
      </c>
      <c r="N783">
        <v>0</v>
      </c>
      <c r="O783">
        <v>0</v>
      </c>
      <c r="P783">
        <v>27904.037</v>
      </c>
      <c r="Q783">
        <v>74398</v>
      </c>
      <c r="R783" s="3">
        <f>(Wapato_Inventory[[#This Row],[ln_acres]]*Wapato_Inventory[[#This Row],[coeff]])+Wapato_Inventory[[#This Row],[const]]</f>
        <v>7206.5966421906342</v>
      </c>
      <c r="S783" t="s">
        <v>56</v>
      </c>
      <c r="T783">
        <v>2</v>
      </c>
      <c r="U783" t="s">
        <v>63</v>
      </c>
      <c r="V783" t="s">
        <v>69</v>
      </c>
      <c r="W783">
        <v>0</v>
      </c>
      <c r="X783">
        <v>0</v>
      </c>
      <c r="Y783">
        <v>18</v>
      </c>
      <c r="Z783">
        <v>18</v>
      </c>
      <c r="AA783">
        <v>20</v>
      </c>
      <c r="AB783">
        <v>2000</v>
      </c>
      <c r="AC783">
        <v>1616</v>
      </c>
      <c r="AD783">
        <v>600</v>
      </c>
      <c r="AE783">
        <v>1016</v>
      </c>
      <c r="AF783">
        <v>0</v>
      </c>
      <c r="AG783">
        <v>0</v>
      </c>
      <c r="AH783">
        <v>0</v>
      </c>
      <c r="AI783">
        <v>0</v>
      </c>
      <c r="AJ783">
        <v>400</v>
      </c>
      <c r="AK783">
        <v>0</v>
      </c>
      <c r="AL783">
        <v>0</v>
      </c>
      <c r="AM783">
        <v>0</v>
      </c>
      <c r="AN783">
        <v>60</v>
      </c>
      <c r="AO783">
        <v>0</v>
      </c>
      <c r="AP783">
        <v>8</v>
      </c>
      <c r="AQ783">
        <v>0</v>
      </c>
      <c r="AR783">
        <v>0</v>
      </c>
      <c r="AS783" t="s">
        <v>59</v>
      </c>
      <c r="AT783">
        <v>1</v>
      </c>
      <c r="AU783" t="s">
        <v>64</v>
      </c>
      <c r="AV783" t="s">
        <v>61</v>
      </c>
      <c r="AW783">
        <v>1</v>
      </c>
      <c r="AX783">
        <v>3</v>
      </c>
      <c r="AY783">
        <v>0</v>
      </c>
      <c r="AZ783">
        <v>0</v>
      </c>
      <c r="BA783">
        <v>100</v>
      </c>
      <c r="BB783">
        <v>100</v>
      </c>
      <c r="BC783">
        <v>100</v>
      </c>
      <c r="BD783">
        <v>100</v>
      </c>
      <c r="BE783">
        <v>1</v>
      </c>
      <c r="BF783">
        <v>15000</v>
      </c>
      <c r="BG783">
        <v>1000</v>
      </c>
      <c r="BH783" s="7">
        <f>ROUND(Wapato_Inventory[[#This Row],[detatched_value]]*Lookups!$B$22*Lookups!$H$48,-2)</f>
        <v>0</v>
      </c>
      <c r="BI783" s="7">
        <f>ROUND(((Wapato_Inventory[[#This Row],[land_extract]]*Lookups!$B$3) +(Lookups!$B$2*0.5))*Lookups!$H$48,-2)</f>
        <v>51800</v>
      </c>
      <c r="BJ783" s="7">
        <f>IF(Wapato_Inventory[[#This Row],[bldg_style]]="",0,Lookups!$B$2*0.5)</f>
        <v>53765.27</v>
      </c>
      <c r="BK783" s="7">
        <f>_xlfn.IFNA(VLOOKUP(Wapato_Inventory[[#This Row],[quality]],Lookups!$H$2:$J$14,3,FALSE),0)</f>
        <v>50594</v>
      </c>
      <c r="BL783" s="7">
        <f>_xlfn.IFNA(VLOOKUP(Wapato_Inventory[[#This Row],[condition]],Lookups!$H$17:$J$24,3,FALSE),0)</f>
        <v>74543</v>
      </c>
      <c r="BM783" s="7">
        <f>Wapato_Inventory[[#This Row],[Age]]*Lookups!$B$16</f>
        <v>-6672.1625999999997</v>
      </c>
      <c r="BN783" s="7">
        <f>Wapato_Inventory[[#This Row],[Main Floor]]*Lookups!$B$17</f>
        <v>25080.4434</v>
      </c>
      <c r="BO783" s="7">
        <f>Wapato_Inventory[[#This Row],[Upper Floor]]*Lookups!$B$18</f>
        <v>50394.757224000001</v>
      </c>
      <c r="BP783" s="7">
        <f>Wapato_Inventory[[#This Row],[Fin BSMT]]*Lookups!$B$19</f>
        <v>0</v>
      </c>
      <c r="BQ783" s="7">
        <f>(Wapato_Inventory[[#This Row],[att_gar]]+Wapato_Inventory[[#This Row],[blt_gar]])*Lookups!$B$20</f>
        <v>14803.5008</v>
      </c>
      <c r="BR783" s="7">
        <f>Wapato_Inventory[[#This Row],[Patio]]*Lookups!$B$21</f>
        <v>0</v>
      </c>
      <c r="BS783" s="7">
        <f>SUM(Wapato_Inventory[[#This Row],[intercept]:[patio_value]])*Wapato_Inventory[[#This Row],[res_pct]]</f>
        <v>262508.80882399995</v>
      </c>
      <c r="BT783" s="7">
        <f>Wapato_Inventory[[#This Row],[land_value]]</f>
        <v>51800</v>
      </c>
      <c r="BU783" s="2">
        <f>_xlfn.IFNA(VLOOKUP(Wapato_Inventory[[#This Row],[quality]],Lookups!$A$28:$C$37,3,FALSE),1)</f>
        <v>0.99197423394367223</v>
      </c>
      <c r="BV783" s="2">
        <f>_xlfn.IFNA(VLOOKUP(Wapato_Inventory[[#This Row],[condition]],Lookups!$A$41:$C$48,3,FALSE),1)</f>
        <v>0.98442438223270734</v>
      </c>
      <c r="BW783" s="2">
        <f>IF(Wapato_Inventory[[#This Row],[decade]]="",1,_xlfn.IFNA(VLOOKUP(Wapato_Inventory[[#This Row],[decade]],Lookups!$F$28:$H$45,3,FALSE),1))</f>
        <v>1.0658609603367226</v>
      </c>
      <c r="BX783" s="2">
        <f>_xlfn.IFNA(VLOOKUP(Wapato_Inventory[[#This Row],[living_area_range]],Lookups!$K$28:$M$37,3,FALSE),1)</f>
        <v>0.99330894324714125</v>
      </c>
      <c r="BY783" s="2">
        <f>AVERAGE(Wapato_Inventory[[#This Row],[qual_adj]:[range_adj]])</f>
        <v>1.0088921299400608</v>
      </c>
      <c r="BZ783" s="7">
        <f>(Wapato_Inventory[[#This Row],[sum_land]]-IF(Wapato_Inventory[[#This Row],[no_utilities]]=1,12000,0))/IF(Wapato_Inventory[[#This Row],[unbuildable]]=1,2,1)</f>
        <v>51800</v>
      </c>
      <c r="CA783" s="7">
        <f>Wapato_Inventory[[#This Row],[pre_res]]*Wapato_Inventory[[#This Row],[overall_adj]]</f>
        <v>264843.07126247353</v>
      </c>
      <c r="CB783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783" s="3">
        <f>IF(ROUND(Wapato_Inventory[[#This Row],[adj_res]]*Lookups!$H$48,-2)&lt;Wapato_Inventory[[#This Row],[min_res]],Wapato_Inventory[[#This Row],[min_res]],ROUND(Wapato_Inventory[[#This Row],[adj_res]]*Lookups!$H$48,-2))</f>
        <v>251600</v>
      </c>
      <c r="CD783" s="3">
        <f>ROUND(Wapato_Inventory[[#This Row],[det_value]]*Lookups!$H$48,-2)</f>
        <v>0</v>
      </c>
      <c r="CE783" s="3">
        <f>Wapato_Inventory[[#This Row],[final_res]]+Wapato_Inventory[[#This Row],[final_det]]</f>
        <v>251600</v>
      </c>
      <c r="CF783" s="3">
        <f>Wapato_Inventory[[#This Row],[crop_value]]+Wapato_Inventory[[#This Row],[final_land]]+Wapato_Inventory[[#This Row],[final_imp]]</f>
        <v>300800</v>
      </c>
      <c r="CH783" t="str">
        <f t="shared" si="12"/>
        <v>update valuation set market_land =49200, market_bldg=251600, market_total =300800, market_mdno =405, market_date ='9/10/2023' where link_id = (select link_id from parcel where parcel_year = '2024' and parcel_id = '19111514441');</v>
      </c>
    </row>
    <row r="784" spans="1:86" x14ac:dyDescent="0.25">
      <c r="A784">
        <v>19111514442</v>
      </c>
      <c r="B784">
        <v>0.12</v>
      </c>
      <c r="C784">
        <v>5407</v>
      </c>
      <c r="D784" t="s">
        <v>144</v>
      </c>
      <c r="E784" t="s">
        <v>54</v>
      </c>
      <c r="F784" t="s">
        <v>54</v>
      </c>
      <c r="G784">
        <v>3</v>
      </c>
      <c r="H784" t="s">
        <v>55</v>
      </c>
      <c r="I784">
        <v>166300</v>
      </c>
      <c r="J784">
        <v>30800</v>
      </c>
      <c r="K784">
        <v>0.12</v>
      </c>
      <c r="L784">
        <f>IF(Wapato_Inventory[[#This Row],[parcel_acres]]-Wapato_Inventory[[#This Row],[non_valued_acres]] =0,0,LN(Wapato_Inventory[[#This Row],[parcel_acres]]-Wapato_Inventory[[#This Row],[non_valued_acres]]))</f>
        <v>-2.120263536200091</v>
      </c>
      <c r="M784">
        <v>0</v>
      </c>
      <c r="N784">
        <v>0</v>
      </c>
      <c r="O784">
        <v>0</v>
      </c>
      <c r="P784">
        <v>27904.037</v>
      </c>
      <c r="Q784">
        <v>74398</v>
      </c>
      <c r="R784" s="3">
        <f>(Wapato_Inventory[[#This Row],[ln_acres]]*Wapato_Inventory[[#This Row],[coeff]])+Wapato_Inventory[[#This Row],[const]]</f>
        <v>15234.08783612182</v>
      </c>
      <c r="S784" t="s">
        <v>66</v>
      </c>
      <c r="T784">
        <v>1</v>
      </c>
      <c r="U784" t="s">
        <v>67</v>
      </c>
      <c r="V784" t="s">
        <v>68</v>
      </c>
      <c r="W784">
        <v>0</v>
      </c>
      <c r="X784">
        <v>0</v>
      </c>
      <c r="Y784">
        <v>51</v>
      </c>
      <c r="Z784">
        <v>83</v>
      </c>
      <c r="AA784">
        <v>90</v>
      </c>
      <c r="AB784">
        <v>2500</v>
      </c>
      <c r="AC784">
        <v>2089</v>
      </c>
      <c r="AD784">
        <v>1297</v>
      </c>
      <c r="AE784">
        <v>0</v>
      </c>
      <c r="AF784">
        <v>0</v>
      </c>
      <c r="AG784">
        <v>792</v>
      </c>
      <c r="AH784">
        <v>352</v>
      </c>
      <c r="AI784">
        <v>0</v>
      </c>
      <c r="AJ784">
        <v>0</v>
      </c>
      <c r="AK784">
        <v>0</v>
      </c>
      <c r="AL784">
        <v>0</v>
      </c>
      <c r="AM784">
        <v>0</v>
      </c>
      <c r="AN784">
        <v>30</v>
      </c>
      <c r="AO784">
        <v>0</v>
      </c>
      <c r="AP784">
        <v>7</v>
      </c>
      <c r="AQ784">
        <v>0</v>
      </c>
      <c r="AR784">
        <v>0</v>
      </c>
      <c r="AS784" t="s">
        <v>59</v>
      </c>
      <c r="AT784">
        <v>1</v>
      </c>
      <c r="AU784" t="s">
        <v>64</v>
      </c>
      <c r="AV784" t="s">
        <v>77</v>
      </c>
      <c r="AW784">
        <v>1</v>
      </c>
      <c r="AX784">
        <v>3</v>
      </c>
      <c r="AY784">
        <v>0</v>
      </c>
      <c r="AZ784">
        <v>11000</v>
      </c>
      <c r="BA784">
        <v>100</v>
      </c>
      <c r="BB784">
        <v>100</v>
      </c>
      <c r="BC784">
        <v>100</v>
      </c>
      <c r="BD784">
        <v>100</v>
      </c>
      <c r="BE784">
        <v>1</v>
      </c>
      <c r="BF784">
        <v>15000</v>
      </c>
      <c r="BG784">
        <v>1000</v>
      </c>
      <c r="BH784" s="7">
        <f>ROUND(Wapato_Inventory[[#This Row],[detatched_value]]*Lookups!$B$22*Lookups!$H$48,-2)</f>
        <v>9800</v>
      </c>
      <c r="BI784" s="7">
        <f>ROUND(((Wapato_Inventory[[#This Row],[land_extract]]*Lookups!$B$3) +(Lookups!$B$2*0.5))*Lookups!$H$48,-2)</f>
        <v>52500</v>
      </c>
      <c r="BJ784" s="7">
        <f>IF(Wapato_Inventory[[#This Row],[bldg_style]]="",0,Lookups!$B$2*0.5)</f>
        <v>53765.27</v>
      </c>
      <c r="BK784" s="7">
        <f>_xlfn.IFNA(VLOOKUP(Wapato_Inventory[[#This Row],[quality]],Lookups!$H$2:$J$14,3,FALSE),0)</f>
        <v>50405</v>
      </c>
      <c r="BL784" s="7">
        <f>_xlfn.IFNA(VLOOKUP(Wapato_Inventory[[#This Row],[condition]],Lookups!$H$17:$J$24,3,FALSE),0)</f>
        <v>52231</v>
      </c>
      <c r="BM784" s="7">
        <f>Wapato_Inventory[[#This Row],[Age]]*Lookups!$B$16</f>
        <v>-30766.0831</v>
      </c>
      <c r="BN784" s="7">
        <f>Wapato_Inventory[[#This Row],[Main Floor]]*Lookups!$B$17</f>
        <v>54215.558483000001</v>
      </c>
      <c r="BO784" s="7">
        <f>Wapato_Inventory[[#This Row],[Upper Floor]]*Lookups!$B$18</f>
        <v>0</v>
      </c>
      <c r="BP784" s="7">
        <f>Wapato_Inventory[[#This Row],[Fin BSMT]]*Lookups!$B$19</f>
        <v>19298.45808</v>
      </c>
      <c r="BQ784" s="7">
        <f>(Wapato_Inventory[[#This Row],[att_gar]]+Wapato_Inventory[[#This Row],[blt_gar]])*Lookups!$B$20</f>
        <v>0</v>
      </c>
      <c r="BR784" s="7">
        <f>Wapato_Inventory[[#This Row],[Patio]]*Lookups!$B$21</f>
        <v>0</v>
      </c>
      <c r="BS784" s="7">
        <f>SUM(Wapato_Inventory[[#This Row],[intercept]:[patio_value]])*Wapato_Inventory[[#This Row],[res_pct]]</f>
        <v>199149.20346300001</v>
      </c>
      <c r="BT784" s="7">
        <f>Wapato_Inventory[[#This Row],[land_value]]</f>
        <v>52500</v>
      </c>
      <c r="BU784" s="2">
        <f>_xlfn.IFNA(VLOOKUP(Wapato_Inventory[[#This Row],[quality]],Lookups!$A$28:$C$37,3,FALSE),1)</f>
        <v>0.97993206410140754</v>
      </c>
      <c r="BV784" s="2">
        <f>_xlfn.IFNA(VLOOKUP(Wapato_Inventory[[#This Row],[condition]],Lookups!$A$41:$C$48,3,FALSE),1)</f>
        <v>0.9832333997567807</v>
      </c>
      <c r="BW784" s="2">
        <f>IF(Wapato_Inventory[[#This Row],[decade]]="",1,_xlfn.IFNA(VLOOKUP(Wapato_Inventory[[#This Row],[decade]],Lookups!$F$28:$H$45,3,FALSE),1))</f>
        <v>0.94742695999815718</v>
      </c>
      <c r="BX784" s="2">
        <f>_xlfn.IFNA(VLOOKUP(Wapato_Inventory[[#This Row],[living_area_range]],Lookups!$K$28:$M$37,3,FALSE),1)</f>
        <v>0.90813907160181651</v>
      </c>
      <c r="BY784" s="2">
        <f>AVERAGE(Wapato_Inventory[[#This Row],[qual_adj]:[range_adj]])</f>
        <v>0.95468287386454054</v>
      </c>
      <c r="BZ784" s="7">
        <f>(Wapato_Inventory[[#This Row],[sum_land]]-IF(Wapato_Inventory[[#This Row],[no_utilities]]=1,12000,0))/IF(Wapato_Inventory[[#This Row],[unbuildable]]=1,2,1)</f>
        <v>52500</v>
      </c>
      <c r="CA784" s="7">
        <f>Wapato_Inventory[[#This Row],[pre_res]]*Wapato_Inventory[[#This Row],[overall_adj]]</f>
        <v>190124.33388989096</v>
      </c>
      <c r="CB784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784" s="3">
        <f>IF(ROUND(Wapato_Inventory[[#This Row],[adj_res]]*Lookups!$H$48,-2)&lt;Wapato_Inventory[[#This Row],[min_res]],Wapato_Inventory[[#This Row],[min_res]],ROUND(Wapato_Inventory[[#This Row],[adj_res]]*Lookups!$H$48,-2))</f>
        <v>180600</v>
      </c>
      <c r="CD784" s="3">
        <f>ROUND(Wapato_Inventory[[#This Row],[det_value]]*Lookups!$H$48,-2)</f>
        <v>9300</v>
      </c>
      <c r="CE784" s="3">
        <f>Wapato_Inventory[[#This Row],[final_res]]+Wapato_Inventory[[#This Row],[final_det]]</f>
        <v>189900</v>
      </c>
      <c r="CF784" s="3">
        <f>Wapato_Inventory[[#This Row],[crop_value]]+Wapato_Inventory[[#This Row],[final_land]]+Wapato_Inventory[[#This Row],[final_imp]]</f>
        <v>239800</v>
      </c>
      <c r="CH784" t="str">
        <f t="shared" si="12"/>
        <v>update valuation set market_land =49900, market_bldg=189900, market_total =239800, market_mdno =405, market_date ='9/10/2023' where link_id = (select link_id from parcel where parcel_year = '2024' and parcel_id = '19111514442');</v>
      </c>
    </row>
    <row r="785" spans="1:86" x14ac:dyDescent="0.25">
      <c r="A785">
        <v>19111514443</v>
      </c>
      <c r="B785">
        <v>0.27</v>
      </c>
      <c r="C785">
        <v>11904</v>
      </c>
      <c r="D785" t="s">
        <v>144</v>
      </c>
      <c r="E785" t="s">
        <v>54</v>
      </c>
      <c r="F785" t="s">
        <v>54</v>
      </c>
      <c r="G785">
        <v>3</v>
      </c>
      <c r="H785" t="s">
        <v>55</v>
      </c>
      <c r="I785">
        <v>249800</v>
      </c>
      <c r="J785">
        <v>36500</v>
      </c>
      <c r="K785">
        <v>0.27</v>
      </c>
      <c r="L785">
        <f>IF(Wapato_Inventory[[#This Row],[parcel_acres]]-Wapato_Inventory[[#This Row],[non_valued_acres]] =0,0,LN(Wapato_Inventory[[#This Row],[parcel_acres]]-Wapato_Inventory[[#This Row],[non_valued_acres]]))</f>
        <v>-1.3093333199837622</v>
      </c>
      <c r="M785">
        <v>0</v>
      </c>
      <c r="N785">
        <v>0</v>
      </c>
      <c r="O785">
        <v>0</v>
      </c>
      <c r="P785">
        <v>27904.037</v>
      </c>
      <c r="Q785">
        <v>74398</v>
      </c>
      <c r="R785" s="3">
        <f>(Wapato_Inventory[[#This Row],[ln_acres]]*Wapato_Inventory[[#This Row],[coeff]])+Wapato_Inventory[[#This Row],[const]]</f>
        <v>37862.314593840259</v>
      </c>
      <c r="S785" t="s">
        <v>66</v>
      </c>
      <c r="T785">
        <v>1</v>
      </c>
      <c r="U785" t="s">
        <v>75</v>
      </c>
      <c r="V785" t="s">
        <v>69</v>
      </c>
      <c r="W785">
        <v>0</v>
      </c>
      <c r="X785">
        <v>0</v>
      </c>
      <c r="Y785">
        <v>77</v>
      </c>
      <c r="Z785">
        <v>126</v>
      </c>
      <c r="AA785">
        <v>130</v>
      </c>
      <c r="AB785">
        <v>2000</v>
      </c>
      <c r="AC785">
        <v>1742</v>
      </c>
      <c r="AD785">
        <v>1742</v>
      </c>
      <c r="AE785">
        <v>0</v>
      </c>
      <c r="AF785">
        <v>0</v>
      </c>
      <c r="AG785">
        <v>0</v>
      </c>
      <c r="AH785">
        <v>200</v>
      </c>
      <c r="AI785">
        <v>0</v>
      </c>
      <c r="AJ785">
        <v>0</v>
      </c>
      <c r="AK785">
        <v>480</v>
      </c>
      <c r="AL785">
        <v>0</v>
      </c>
      <c r="AM785">
        <v>216</v>
      </c>
      <c r="AN785">
        <v>132</v>
      </c>
      <c r="AO785">
        <v>0</v>
      </c>
      <c r="AP785">
        <v>5</v>
      </c>
      <c r="AQ785">
        <v>0</v>
      </c>
      <c r="AR785">
        <v>1</v>
      </c>
      <c r="AS785" t="s">
        <v>79</v>
      </c>
      <c r="AT785">
        <v>1</v>
      </c>
      <c r="AU785" t="s">
        <v>72</v>
      </c>
      <c r="AV785" t="s">
        <v>61</v>
      </c>
      <c r="AW785">
        <v>0</v>
      </c>
      <c r="AX785">
        <v>3</v>
      </c>
      <c r="AY785">
        <v>0</v>
      </c>
      <c r="AZ785">
        <v>0</v>
      </c>
      <c r="BA785">
        <v>100</v>
      </c>
      <c r="BB785">
        <v>100</v>
      </c>
      <c r="BC785">
        <v>100</v>
      </c>
      <c r="BD785">
        <v>100</v>
      </c>
      <c r="BE785">
        <v>1</v>
      </c>
      <c r="BF785">
        <v>15000</v>
      </c>
      <c r="BG785">
        <v>1000</v>
      </c>
      <c r="BH785" s="7">
        <f>ROUND(Wapato_Inventory[[#This Row],[detatched_value]]*Lookups!$B$22*Lookups!$H$48,-2)</f>
        <v>0</v>
      </c>
      <c r="BI785" s="7">
        <f>ROUND(((Wapato_Inventory[[#This Row],[land_extract]]*Lookups!$B$3) +(Lookups!$B$2*0.5))*Lookups!$H$48,-2)</f>
        <v>54700</v>
      </c>
      <c r="BJ785" s="7">
        <f>IF(Wapato_Inventory[[#This Row],[bldg_style]]="",0,Lookups!$B$2*0.5)</f>
        <v>53765.27</v>
      </c>
      <c r="BK785" s="7">
        <f>_xlfn.IFNA(VLOOKUP(Wapato_Inventory[[#This Row],[quality]],Lookups!$H$2:$J$14,3,FALSE),0)</f>
        <v>48043</v>
      </c>
      <c r="BL785" s="7">
        <f>_xlfn.IFNA(VLOOKUP(Wapato_Inventory[[#This Row],[condition]],Lookups!$H$17:$J$24,3,FALSE),0)</f>
        <v>74543</v>
      </c>
      <c r="BM785" s="7">
        <f>Wapato_Inventory[[#This Row],[Age]]*Lookups!$B$16</f>
        <v>-46705.138200000001</v>
      </c>
      <c r="BN785" s="7">
        <f>Wapato_Inventory[[#This Row],[Main Floor]]*Lookups!$B$17</f>
        <v>72816.887338</v>
      </c>
      <c r="BO785" s="7">
        <f>Wapato_Inventory[[#This Row],[Upper Floor]]*Lookups!$B$18</f>
        <v>0</v>
      </c>
      <c r="BP785" s="7">
        <f>Wapato_Inventory[[#This Row],[Fin BSMT]]*Lookups!$B$19</f>
        <v>0</v>
      </c>
      <c r="BQ785" s="7">
        <f>(Wapato_Inventory[[#This Row],[att_gar]]+Wapato_Inventory[[#This Row],[blt_gar]])*Lookups!$B$20</f>
        <v>0</v>
      </c>
      <c r="BR785" s="7">
        <f>Wapato_Inventory[[#This Row],[Patio]]*Lookups!$B$21</f>
        <v>9357.979464</v>
      </c>
      <c r="BS785" s="7">
        <f>SUM(Wapato_Inventory[[#This Row],[intercept]:[patio_value]])*Wapato_Inventory[[#This Row],[res_pct]]</f>
        <v>211820.99860199998</v>
      </c>
      <c r="BT785" s="7">
        <f>Wapato_Inventory[[#This Row],[land_value]]</f>
        <v>54700</v>
      </c>
      <c r="BU785" s="2">
        <f>_xlfn.IFNA(VLOOKUP(Wapato_Inventory[[#This Row],[quality]],Lookups!$A$28:$C$37,3,FALSE),1)</f>
        <v>0.98196844879778955</v>
      </c>
      <c r="BV785" s="2">
        <f>_xlfn.IFNA(VLOOKUP(Wapato_Inventory[[#This Row],[condition]],Lookups!$A$41:$C$48,3,FALSE),1)</f>
        <v>0.98442438223270734</v>
      </c>
      <c r="BW785" s="2">
        <f>IF(Wapato_Inventory[[#This Row],[decade]]="",1,_xlfn.IFNA(VLOOKUP(Wapato_Inventory[[#This Row],[decade]],Lookups!$F$28:$H$45,3,FALSE),1))</f>
        <v>0.93664589651353292</v>
      </c>
      <c r="BX785" s="2">
        <f>_xlfn.IFNA(VLOOKUP(Wapato_Inventory[[#This Row],[living_area_range]],Lookups!$K$28:$M$37,3,FALSE),1)</f>
        <v>0.99330894324714125</v>
      </c>
      <c r="BY785" s="2">
        <f>AVERAGE(Wapato_Inventory[[#This Row],[qual_adj]:[range_adj]])</f>
        <v>0.97408691769779276</v>
      </c>
      <c r="BZ785" s="7">
        <f>(Wapato_Inventory[[#This Row],[sum_land]]-IF(Wapato_Inventory[[#This Row],[no_utilities]]=1,12000,0))/IF(Wapato_Inventory[[#This Row],[unbuildable]]=1,2,1)</f>
        <v>54700</v>
      </c>
      <c r="CA785" s="7">
        <f>Wapato_Inventory[[#This Row],[pre_res]]*Wapato_Inventory[[#This Row],[overall_adj]]</f>
        <v>206332.06363189063</v>
      </c>
      <c r="CB785" s="3">
        <f>IF(ROUND(Wapato_Inventory[[#This Row],[adj_land]]*Lookups!$H$48,-2)&lt;Wapato_Inventory[[#This Row],[min_land]],Wapato_Inventory[[#This Row],[min_land]],ROUND(Wapato_Inventory[[#This Row],[adj_land]]*Lookups!$H$48,-2))</f>
        <v>52000</v>
      </c>
      <c r="CC785" s="3">
        <f>IF(ROUND(Wapato_Inventory[[#This Row],[adj_res]]*Lookups!$H$48,-2)&lt;Wapato_Inventory[[#This Row],[min_res]],Wapato_Inventory[[#This Row],[min_res]],ROUND(Wapato_Inventory[[#This Row],[adj_res]]*Lookups!$H$48,-2))</f>
        <v>196000</v>
      </c>
      <c r="CD785" s="3">
        <f>ROUND(Wapato_Inventory[[#This Row],[det_value]]*Lookups!$H$48,-2)</f>
        <v>0</v>
      </c>
      <c r="CE785" s="3">
        <f>Wapato_Inventory[[#This Row],[final_res]]+Wapato_Inventory[[#This Row],[final_det]]</f>
        <v>196000</v>
      </c>
      <c r="CF785" s="3">
        <f>Wapato_Inventory[[#This Row],[crop_value]]+Wapato_Inventory[[#This Row],[final_land]]+Wapato_Inventory[[#This Row],[final_imp]]</f>
        <v>248000</v>
      </c>
      <c r="CH785" t="str">
        <f t="shared" si="12"/>
        <v>update valuation set market_land =52000, market_bldg=196000, market_total =248000, market_mdno =405, market_date ='9/10/2023' where link_id = (select link_id from parcel where parcel_year = '2024' and parcel_id = '19111514443');</v>
      </c>
    </row>
    <row r="786" spans="1:86" x14ac:dyDescent="0.25">
      <c r="A786">
        <v>19111514444</v>
      </c>
      <c r="B786">
        <v>0.14000000000000001</v>
      </c>
      <c r="C786">
        <v>6164</v>
      </c>
      <c r="D786" t="s">
        <v>144</v>
      </c>
      <c r="E786" t="s">
        <v>54</v>
      </c>
      <c r="F786" t="s">
        <v>54</v>
      </c>
      <c r="G786">
        <v>3</v>
      </c>
      <c r="H786" t="s">
        <v>55</v>
      </c>
      <c r="I786">
        <v>176600</v>
      </c>
      <c r="J786">
        <v>31900</v>
      </c>
      <c r="K786">
        <v>0.14000000000000001</v>
      </c>
      <c r="L786">
        <f>IF(Wapato_Inventory[[#This Row],[parcel_acres]]-Wapato_Inventory[[#This Row],[non_valued_acres]] =0,0,LN(Wapato_Inventory[[#This Row],[parcel_acres]]-Wapato_Inventory[[#This Row],[non_valued_acres]]))</f>
        <v>-1.9661128563728327</v>
      </c>
      <c r="M786">
        <v>0</v>
      </c>
      <c r="N786">
        <v>0</v>
      </c>
      <c r="O786">
        <v>0</v>
      </c>
      <c r="P786">
        <v>27904.037</v>
      </c>
      <c r="Q786">
        <v>74398</v>
      </c>
      <c r="R786" s="3">
        <f>(Wapato_Inventory[[#This Row],[ln_acres]]*Wapato_Inventory[[#This Row],[coeff]])+Wapato_Inventory[[#This Row],[const]]</f>
        <v>19535.514109596792</v>
      </c>
      <c r="S786" t="s">
        <v>56</v>
      </c>
      <c r="T786">
        <v>2</v>
      </c>
      <c r="U786" t="s">
        <v>67</v>
      </c>
      <c r="V786" t="s">
        <v>68</v>
      </c>
      <c r="W786">
        <v>0</v>
      </c>
      <c r="X786">
        <v>0</v>
      </c>
      <c r="Y786">
        <v>75</v>
      </c>
      <c r="Z786">
        <v>123</v>
      </c>
      <c r="AA786">
        <v>130</v>
      </c>
      <c r="AB786">
        <v>2000</v>
      </c>
      <c r="AC786">
        <v>1897</v>
      </c>
      <c r="AD786">
        <v>1297</v>
      </c>
      <c r="AE786">
        <v>600</v>
      </c>
      <c r="AF786">
        <v>0</v>
      </c>
      <c r="AG786">
        <v>0</v>
      </c>
      <c r="AH786">
        <v>1102</v>
      </c>
      <c r="AI786">
        <v>0</v>
      </c>
      <c r="AJ786">
        <v>0</v>
      </c>
      <c r="AK786">
        <v>0</v>
      </c>
      <c r="AL786">
        <v>0</v>
      </c>
      <c r="AM786">
        <v>250</v>
      </c>
      <c r="AN786">
        <v>175</v>
      </c>
      <c r="AO786">
        <v>250</v>
      </c>
      <c r="AP786">
        <v>8</v>
      </c>
      <c r="AQ786">
        <v>0</v>
      </c>
      <c r="AR786">
        <v>1</v>
      </c>
      <c r="AS786" t="s">
        <v>59</v>
      </c>
      <c r="AT786">
        <v>1</v>
      </c>
      <c r="AU786" t="s">
        <v>64</v>
      </c>
      <c r="AV786" t="s">
        <v>65</v>
      </c>
      <c r="AW786">
        <v>0</v>
      </c>
      <c r="AX786">
        <v>5</v>
      </c>
      <c r="AY786">
        <v>0</v>
      </c>
      <c r="AZ786">
        <v>6900</v>
      </c>
      <c r="BA786">
        <v>100</v>
      </c>
      <c r="BB786">
        <v>100</v>
      </c>
      <c r="BC786">
        <v>100</v>
      </c>
      <c r="BD786">
        <v>100</v>
      </c>
      <c r="BE786">
        <v>1</v>
      </c>
      <c r="BF786">
        <v>15000</v>
      </c>
      <c r="BG786">
        <v>1000</v>
      </c>
      <c r="BH786" s="7">
        <f>ROUND(Wapato_Inventory[[#This Row],[detatched_value]]*Lookups!$B$22*Lookups!$H$48,-2)</f>
        <v>6200</v>
      </c>
      <c r="BI786" s="7">
        <f>ROUND(((Wapato_Inventory[[#This Row],[land_extract]]*Lookups!$B$3) +(Lookups!$B$2*0.5))*Lookups!$H$48,-2)</f>
        <v>53000</v>
      </c>
      <c r="BJ786" s="7">
        <f>IF(Wapato_Inventory[[#This Row],[bldg_style]]="",0,Lookups!$B$2*0.5)</f>
        <v>53765.27</v>
      </c>
      <c r="BK786" s="7">
        <f>_xlfn.IFNA(VLOOKUP(Wapato_Inventory[[#This Row],[quality]],Lookups!$H$2:$J$14,3,FALSE),0)</f>
        <v>50405</v>
      </c>
      <c r="BL786" s="7">
        <f>_xlfn.IFNA(VLOOKUP(Wapato_Inventory[[#This Row],[condition]],Lookups!$H$17:$J$24,3,FALSE),0)</f>
        <v>52231</v>
      </c>
      <c r="BM786" s="7">
        <f>Wapato_Inventory[[#This Row],[Age]]*Lookups!$B$16</f>
        <v>-45593.111100000002</v>
      </c>
      <c r="BN786" s="7">
        <f>Wapato_Inventory[[#This Row],[Main Floor]]*Lookups!$B$17</f>
        <v>54215.558483000001</v>
      </c>
      <c r="BO786" s="7">
        <f>Wapato_Inventory[[#This Row],[Upper Floor]]*Lookups!$B$18</f>
        <v>29760.683400000002</v>
      </c>
      <c r="BP786" s="7">
        <f>Wapato_Inventory[[#This Row],[Fin BSMT]]*Lookups!$B$19</f>
        <v>0</v>
      </c>
      <c r="BQ786" s="7">
        <f>(Wapato_Inventory[[#This Row],[att_gar]]+Wapato_Inventory[[#This Row],[blt_gar]])*Lookups!$B$20</f>
        <v>0</v>
      </c>
      <c r="BR786" s="7">
        <f>Wapato_Inventory[[#This Row],[Patio]]*Lookups!$B$21</f>
        <v>10830.99475</v>
      </c>
      <c r="BS786" s="7">
        <f>SUM(Wapato_Inventory[[#This Row],[intercept]:[patio_value]])*Wapato_Inventory[[#This Row],[res_pct]]</f>
        <v>205615.395533</v>
      </c>
      <c r="BT786" s="7">
        <f>Wapato_Inventory[[#This Row],[land_value]]</f>
        <v>53000</v>
      </c>
      <c r="BU786" s="2">
        <f>_xlfn.IFNA(VLOOKUP(Wapato_Inventory[[#This Row],[quality]],Lookups!$A$28:$C$37,3,FALSE),1)</f>
        <v>0.97993206410140754</v>
      </c>
      <c r="BV786" s="2">
        <f>_xlfn.IFNA(VLOOKUP(Wapato_Inventory[[#This Row],[condition]],Lookups!$A$41:$C$48,3,FALSE),1)</f>
        <v>0.9832333997567807</v>
      </c>
      <c r="BW786" s="2">
        <f>IF(Wapato_Inventory[[#This Row],[decade]]="",1,_xlfn.IFNA(VLOOKUP(Wapato_Inventory[[#This Row],[decade]],Lookups!$F$28:$H$45,3,FALSE),1))</f>
        <v>0.93664589651353292</v>
      </c>
      <c r="BX786" s="2">
        <f>_xlfn.IFNA(VLOOKUP(Wapato_Inventory[[#This Row],[living_area_range]],Lookups!$K$28:$M$37,3,FALSE),1)</f>
        <v>0.99330894324714125</v>
      </c>
      <c r="BY786" s="2">
        <f>AVERAGE(Wapato_Inventory[[#This Row],[qual_adj]:[range_adj]])</f>
        <v>0.97328007590471566</v>
      </c>
      <c r="BZ786" s="7">
        <f>(Wapato_Inventory[[#This Row],[sum_land]]-IF(Wapato_Inventory[[#This Row],[no_utilities]]=1,12000,0))/IF(Wapato_Inventory[[#This Row],[unbuildable]]=1,2,1)</f>
        <v>53000</v>
      </c>
      <c r="CA786" s="7">
        <f>Wapato_Inventory[[#This Row],[pre_res]]*Wapato_Inventory[[#This Row],[overall_adj]]</f>
        <v>200121.36777153637</v>
      </c>
      <c r="CB78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86" s="3">
        <f>IF(ROUND(Wapato_Inventory[[#This Row],[adj_res]]*Lookups!$H$48,-2)&lt;Wapato_Inventory[[#This Row],[min_res]],Wapato_Inventory[[#This Row],[min_res]],ROUND(Wapato_Inventory[[#This Row],[adj_res]]*Lookups!$H$48,-2))</f>
        <v>190100</v>
      </c>
      <c r="CD786" s="3">
        <f>ROUND(Wapato_Inventory[[#This Row],[det_value]]*Lookups!$H$48,-2)</f>
        <v>5900</v>
      </c>
      <c r="CE786" s="3">
        <f>Wapato_Inventory[[#This Row],[final_res]]+Wapato_Inventory[[#This Row],[final_det]]</f>
        <v>196000</v>
      </c>
      <c r="CF786" s="3">
        <f>Wapato_Inventory[[#This Row],[crop_value]]+Wapato_Inventory[[#This Row],[final_land]]+Wapato_Inventory[[#This Row],[final_imp]]</f>
        <v>246400</v>
      </c>
      <c r="CH786" t="str">
        <f t="shared" si="12"/>
        <v>update valuation set market_land =50400, market_bldg=196000, market_total =246400, market_mdno =405, market_date ='9/10/2023' where link_id = (select link_id from parcel where parcel_year = '2024' and parcel_id = '19111514444');</v>
      </c>
    </row>
    <row r="787" spans="1:86" x14ac:dyDescent="0.25">
      <c r="A787">
        <v>19111514445</v>
      </c>
      <c r="B787">
        <v>0.14000000000000001</v>
      </c>
      <c r="C787">
        <v>6135</v>
      </c>
      <c r="D787" t="s">
        <v>144</v>
      </c>
      <c r="E787" t="s">
        <v>54</v>
      </c>
      <c r="F787" t="s">
        <v>54</v>
      </c>
      <c r="G787">
        <v>3</v>
      </c>
      <c r="H787" t="s">
        <v>55</v>
      </c>
      <c r="I787">
        <v>136600</v>
      </c>
      <c r="J787">
        <v>31900</v>
      </c>
      <c r="K787">
        <v>0.14000000000000001</v>
      </c>
      <c r="L787">
        <f>IF(Wapato_Inventory[[#This Row],[parcel_acres]]-Wapato_Inventory[[#This Row],[non_valued_acres]] =0,0,LN(Wapato_Inventory[[#This Row],[parcel_acres]]-Wapato_Inventory[[#This Row],[non_valued_acres]]))</f>
        <v>-1.9661128563728327</v>
      </c>
      <c r="M787">
        <v>0</v>
      </c>
      <c r="N787">
        <v>0</v>
      </c>
      <c r="O787">
        <v>0</v>
      </c>
      <c r="P787">
        <v>27904.037</v>
      </c>
      <c r="Q787">
        <v>74398</v>
      </c>
      <c r="R787" s="3">
        <f>(Wapato_Inventory[[#This Row],[ln_acres]]*Wapato_Inventory[[#This Row],[coeff]])+Wapato_Inventory[[#This Row],[const]]</f>
        <v>19535.514109596792</v>
      </c>
      <c r="S787" t="s">
        <v>145</v>
      </c>
      <c r="T787">
        <v>1</v>
      </c>
      <c r="U787" t="s">
        <v>67</v>
      </c>
      <c r="V787" t="s">
        <v>68</v>
      </c>
      <c r="W787">
        <v>0</v>
      </c>
      <c r="X787">
        <v>0</v>
      </c>
      <c r="Y787">
        <v>75</v>
      </c>
      <c r="Z787">
        <v>123</v>
      </c>
      <c r="AA787">
        <v>130</v>
      </c>
      <c r="AB787">
        <v>2000</v>
      </c>
      <c r="AC787">
        <v>1588</v>
      </c>
      <c r="AD787">
        <v>1338</v>
      </c>
      <c r="AE787">
        <v>0</v>
      </c>
      <c r="AF787">
        <v>0</v>
      </c>
      <c r="AG787">
        <v>250</v>
      </c>
      <c r="AH787">
        <v>0</v>
      </c>
      <c r="AI787">
        <v>0</v>
      </c>
      <c r="AJ787">
        <v>0</v>
      </c>
      <c r="AK787">
        <v>384</v>
      </c>
      <c r="AL787">
        <v>0</v>
      </c>
      <c r="AM787">
        <v>260</v>
      </c>
      <c r="AN787">
        <v>147</v>
      </c>
      <c r="AO787">
        <v>260</v>
      </c>
      <c r="AP787">
        <v>5</v>
      </c>
      <c r="AQ787">
        <v>0</v>
      </c>
      <c r="AR787">
        <v>0</v>
      </c>
      <c r="AS787" t="s">
        <v>59</v>
      </c>
      <c r="AT787">
        <v>1</v>
      </c>
      <c r="AU787" t="s">
        <v>64</v>
      </c>
      <c r="AV787" t="s">
        <v>65</v>
      </c>
      <c r="AW787">
        <v>0</v>
      </c>
      <c r="AX787">
        <v>4</v>
      </c>
      <c r="AY787">
        <v>0</v>
      </c>
      <c r="AZ787">
        <v>0</v>
      </c>
      <c r="BA787">
        <v>100</v>
      </c>
      <c r="BB787">
        <v>100</v>
      </c>
      <c r="BC787">
        <v>100</v>
      </c>
      <c r="BD787">
        <v>100</v>
      </c>
      <c r="BE787">
        <v>1</v>
      </c>
      <c r="BF787">
        <v>15000</v>
      </c>
      <c r="BG787">
        <v>1000</v>
      </c>
      <c r="BH787" s="7">
        <f>ROUND(Wapato_Inventory[[#This Row],[detatched_value]]*Lookups!$B$22*Lookups!$H$48,-2)</f>
        <v>0</v>
      </c>
      <c r="BI787" s="7">
        <f>ROUND(((Wapato_Inventory[[#This Row],[land_extract]]*Lookups!$B$3) +(Lookups!$B$2*0.5))*Lookups!$H$48,-2)</f>
        <v>53000</v>
      </c>
      <c r="BJ787" s="7">
        <f>IF(Wapato_Inventory[[#This Row],[bldg_style]]="",0,Lookups!$B$2*0.5)</f>
        <v>53765.27</v>
      </c>
      <c r="BK787" s="7">
        <f>_xlfn.IFNA(VLOOKUP(Wapato_Inventory[[#This Row],[quality]],Lookups!$H$2:$J$14,3,FALSE),0)</f>
        <v>50405</v>
      </c>
      <c r="BL787" s="7">
        <f>_xlfn.IFNA(VLOOKUP(Wapato_Inventory[[#This Row],[condition]],Lookups!$H$17:$J$24,3,FALSE),0)</f>
        <v>52231</v>
      </c>
      <c r="BM787" s="7">
        <f>Wapato_Inventory[[#This Row],[Age]]*Lookups!$B$16</f>
        <v>-45593.111100000002</v>
      </c>
      <c r="BN787" s="7">
        <f>Wapato_Inventory[[#This Row],[Main Floor]]*Lookups!$B$17</f>
        <v>55929.388782000002</v>
      </c>
      <c r="BO787" s="7">
        <f>Wapato_Inventory[[#This Row],[Upper Floor]]*Lookups!$B$18</f>
        <v>0</v>
      </c>
      <c r="BP787" s="7">
        <f>Wapato_Inventory[[#This Row],[Fin BSMT]]*Lookups!$B$19</f>
        <v>6091.6850000000004</v>
      </c>
      <c r="BQ787" s="7">
        <f>(Wapato_Inventory[[#This Row],[att_gar]]+Wapato_Inventory[[#This Row],[blt_gar]])*Lookups!$B$20</f>
        <v>0</v>
      </c>
      <c r="BR787" s="7">
        <f>Wapato_Inventory[[#This Row],[Patio]]*Lookups!$B$21</f>
        <v>11264.234539999999</v>
      </c>
      <c r="BS787" s="7">
        <f>SUM(Wapato_Inventory[[#This Row],[intercept]:[patio_value]])*Wapato_Inventory[[#This Row],[res_pct]]</f>
        <v>184093.46722199998</v>
      </c>
      <c r="BT787" s="7">
        <f>Wapato_Inventory[[#This Row],[land_value]]</f>
        <v>53000</v>
      </c>
      <c r="BU787" s="2">
        <f>_xlfn.IFNA(VLOOKUP(Wapato_Inventory[[#This Row],[quality]],Lookups!$A$28:$C$37,3,FALSE),1)</f>
        <v>0.97993206410140754</v>
      </c>
      <c r="BV787" s="2">
        <f>_xlfn.IFNA(VLOOKUP(Wapato_Inventory[[#This Row],[condition]],Lookups!$A$41:$C$48,3,FALSE),1)</f>
        <v>0.9832333997567807</v>
      </c>
      <c r="BW787" s="2">
        <f>IF(Wapato_Inventory[[#This Row],[decade]]="",1,_xlfn.IFNA(VLOOKUP(Wapato_Inventory[[#This Row],[decade]],Lookups!$F$28:$H$45,3,FALSE),1))</f>
        <v>0.93664589651353292</v>
      </c>
      <c r="BX787" s="2">
        <f>_xlfn.IFNA(VLOOKUP(Wapato_Inventory[[#This Row],[living_area_range]],Lookups!$K$28:$M$37,3,FALSE),1)</f>
        <v>0.99330894324714125</v>
      </c>
      <c r="BY787" s="2">
        <f>AVERAGE(Wapato_Inventory[[#This Row],[qual_adj]:[range_adj]])</f>
        <v>0.97328007590471566</v>
      </c>
      <c r="BZ787" s="7">
        <f>(Wapato_Inventory[[#This Row],[sum_land]]-IF(Wapato_Inventory[[#This Row],[no_utilities]]=1,12000,0))/IF(Wapato_Inventory[[#This Row],[unbuildable]]=1,2,1)</f>
        <v>53000</v>
      </c>
      <c r="CA787" s="7">
        <f>Wapato_Inventory[[#This Row],[pre_res]]*Wapato_Inventory[[#This Row],[overall_adj]]</f>
        <v>179174.50375139041</v>
      </c>
      <c r="CB78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87" s="3">
        <f>IF(ROUND(Wapato_Inventory[[#This Row],[adj_res]]*Lookups!$H$48,-2)&lt;Wapato_Inventory[[#This Row],[min_res]],Wapato_Inventory[[#This Row],[min_res]],ROUND(Wapato_Inventory[[#This Row],[adj_res]]*Lookups!$H$48,-2))</f>
        <v>170200</v>
      </c>
      <c r="CD787" s="3">
        <f>ROUND(Wapato_Inventory[[#This Row],[det_value]]*Lookups!$H$48,-2)</f>
        <v>0</v>
      </c>
      <c r="CE787" s="3">
        <f>Wapato_Inventory[[#This Row],[final_res]]+Wapato_Inventory[[#This Row],[final_det]]</f>
        <v>170200</v>
      </c>
      <c r="CF787" s="3">
        <f>Wapato_Inventory[[#This Row],[crop_value]]+Wapato_Inventory[[#This Row],[final_land]]+Wapato_Inventory[[#This Row],[final_imp]]</f>
        <v>220600</v>
      </c>
      <c r="CH787" t="str">
        <f t="shared" si="12"/>
        <v>update valuation set market_land =50400, market_bldg=170200, market_total =220600, market_mdno =405, market_date ='9/10/2023' where link_id = (select link_id from parcel where parcel_year = '2024' and parcel_id = '19111514445');</v>
      </c>
    </row>
    <row r="788" spans="1:86" x14ac:dyDescent="0.25">
      <c r="A788">
        <v>19111514446</v>
      </c>
      <c r="B788">
        <v>0.14000000000000001</v>
      </c>
      <c r="C788">
        <v>6204</v>
      </c>
      <c r="D788" t="s">
        <v>144</v>
      </c>
      <c r="E788" t="s">
        <v>54</v>
      </c>
      <c r="F788" t="s">
        <v>54</v>
      </c>
      <c r="G788">
        <v>3</v>
      </c>
      <c r="H788" t="s">
        <v>55</v>
      </c>
      <c r="I788">
        <v>89000</v>
      </c>
      <c r="J788">
        <v>31900</v>
      </c>
      <c r="K788">
        <v>0.14000000000000001</v>
      </c>
      <c r="L788">
        <f>IF(Wapato_Inventory[[#This Row],[parcel_acres]]-Wapato_Inventory[[#This Row],[non_valued_acres]] =0,0,LN(Wapato_Inventory[[#This Row],[parcel_acres]]-Wapato_Inventory[[#This Row],[non_valued_acres]]))</f>
        <v>-1.9661128563728327</v>
      </c>
      <c r="M788">
        <v>0</v>
      </c>
      <c r="N788">
        <v>0</v>
      </c>
      <c r="O788">
        <v>0</v>
      </c>
      <c r="P788">
        <v>27904.037</v>
      </c>
      <c r="Q788">
        <v>74398</v>
      </c>
      <c r="R788" s="3">
        <f>(Wapato_Inventory[[#This Row],[ln_acres]]*Wapato_Inventory[[#This Row],[coeff]])+Wapato_Inventory[[#This Row],[const]]</f>
        <v>19535.514109596792</v>
      </c>
      <c r="S788" t="s">
        <v>66</v>
      </c>
      <c r="T788">
        <v>1</v>
      </c>
      <c r="U788" t="s">
        <v>71</v>
      </c>
      <c r="V788" t="s">
        <v>73</v>
      </c>
      <c r="W788">
        <v>0</v>
      </c>
      <c r="X788">
        <v>0</v>
      </c>
      <c r="Y788">
        <v>57</v>
      </c>
      <c r="Z788">
        <v>103</v>
      </c>
      <c r="AA788">
        <v>110</v>
      </c>
      <c r="AB788">
        <v>1500</v>
      </c>
      <c r="AC788">
        <v>1094</v>
      </c>
      <c r="AD788">
        <v>1094</v>
      </c>
      <c r="AE788">
        <v>0</v>
      </c>
      <c r="AF788">
        <v>0</v>
      </c>
      <c r="AG788">
        <v>0</v>
      </c>
      <c r="AH788">
        <v>0</v>
      </c>
      <c r="AI788">
        <v>0</v>
      </c>
      <c r="AJ788">
        <v>0</v>
      </c>
      <c r="AK788">
        <v>0</v>
      </c>
      <c r="AL788">
        <v>0</v>
      </c>
      <c r="AM788">
        <v>138</v>
      </c>
      <c r="AN788">
        <v>56</v>
      </c>
      <c r="AO788">
        <v>138</v>
      </c>
      <c r="AP788">
        <v>5</v>
      </c>
      <c r="AQ788">
        <v>0</v>
      </c>
      <c r="AR788">
        <v>1</v>
      </c>
      <c r="AS788" t="s">
        <v>59</v>
      </c>
      <c r="AT788">
        <v>1</v>
      </c>
      <c r="AU788" t="s">
        <v>64</v>
      </c>
      <c r="AV788" t="s">
        <v>65</v>
      </c>
      <c r="AW788">
        <v>0</v>
      </c>
      <c r="AX788">
        <v>3</v>
      </c>
      <c r="AY788">
        <v>0</v>
      </c>
      <c r="AZ788">
        <v>5600</v>
      </c>
      <c r="BA788">
        <v>100</v>
      </c>
      <c r="BB788">
        <v>100</v>
      </c>
      <c r="BC788">
        <v>100</v>
      </c>
      <c r="BD788">
        <v>100</v>
      </c>
      <c r="BE788">
        <v>1</v>
      </c>
      <c r="BF788">
        <v>15000</v>
      </c>
      <c r="BG788">
        <v>1000</v>
      </c>
      <c r="BH788" s="7">
        <f>ROUND(Wapato_Inventory[[#This Row],[detatched_value]]*Lookups!$B$22*Lookups!$H$48,-2)</f>
        <v>5000</v>
      </c>
      <c r="BI788" s="7">
        <f>ROUND(((Wapato_Inventory[[#This Row],[land_extract]]*Lookups!$B$3) +(Lookups!$B$2*0.5))*Lookups!$H$48,-2)</f>
        <v>53000</v>
      </c>
      <c r="BJ788" s="7">
        <f>IF(Wapato_Inventory[[#This Row],[bldg_style]]="",0,Lookups!$B$2*0.5)</f>
        <v>53765.27</v>
      </c>
      <c r="BK788" s="7">
        <f>_xlfn.IFNA(VLOOKUP(Wapato_Inventory[[#This Row],[quality]],Lookups!$H$2:$J$14,3,FALSE),0)</f>
        <v>28034</v>
      </c>
      <c r="BL788" s="7">
        <f>_xlfn.IFNA(VLOOKUP(Wapato_Inventory[[#This Row],[condition]],Lookups!$H$17:$J$24,3,FALSE),0)</f>
        <v>16276</v>
      </c>
      <c r="BM788" s="7">
        <f>Wapato_Inventory[[#This Row],[Age]]*Lookups!$B$16</f>
        <v>-38179.597099999999</v>
      </c>
      <c r="BN788" s="7">
        <f>Wapato_Inventory[[#This Row],[Main Floor]]*Lookups!$B$17</f>
        <v>45730.008465999999</v>
      </c>
      <c r="BO788" s="7">
        <f>Wapato_Inventory[[#This Row],[Upper Floor]]*Lookups!$B$18</f>
        <v>0</v>
      </c>
      <c r="BP788" s="7">
        <f>Wapato_Inventory[[#This Row],[Fin BSMT]]*Lookups!$B$19</f>
        <v>0</v>
      </c>
      <c r="BQ788" s="7">
        <f>(Wapato_Inventory[[#This Row],[att_gar]]+Wapato_Inventory[[#This Row],[blt_gar]])*Lookups!$B$20</f>
        <v>0</v>
      </c>
      <c r="BR788" s="7">
        <f>Wapato_Inventory[[#This Row],[Patio]]*Lookups!$B$21</f>
        <v>5978.7091019999998</v>
      </c>
      <c r="BS788" s="7">
        <f>SUM(Wapato_Inventory[[#This Row],[intercept]:[patio_value]])*Wapato_Inventory[[#This Row],[res_pct]]</f>
        <v>111604.39046799998</v>
      </c>
      <c r="BT788" s="7">
        <f>Wapato_Inventory[[#This Row],[land_value]]</f>
        <v>53000</v>
      </c>
      <c r="BU788" s="2">
        <f>_xlfn.IFNA(VLOOKUP(Wapato_Inventory[[#This Row],[quality]],Lookups!$A$28:$C$37,3,FALSE),1)</f>
        <v>0.96265813922927435</v>
      </c>
      <c r="BV788" s="2">
        <f>_xlfn.IFNA(VLOOKUP(Wapato_Inventory[[#This Row],[condition]],Lookups!$A$41:$C$48,3,FALSE),1)</f>
        <v>0.93399385491337139</v>
      </c>
      <c r="BW788" s="2">
        <f>IF(Wapato_Inventory[[#This Row],[decade]]="",1,_xlfn.IFNA(VLOOKUP(Wapato_Inventory[[#This Row],[decade]],Lookups!$F$28:$H$45,3,FALSE),1))</f>
        <v>0.93664589651353292</v>
      </c>
      <c r="BX788" s="2">
        <f>_xlfn.IFNA(VLOOKUP(Wapato_Inventory[[#This Row],[living_area_range]],Lookups!$K$28:$M$37,3,FALSE),1)</f>
        <v>1.0061411172456287</v>
      </c>
      <c r="BY788" s="2">
        <f>AVERAGE(Wapato_Inventory[[#This Row],[qual_adj]:[range_adj]])</f>
        <v>0.95985975197545192</v>
      </c>
      <c r="BZ788" s="7">
        <f>(Wapato_Inventory[[#This Row],[sum_land]]-IF(Wapato_Inventory[[#This Row],[no_utilities]]=1,12000,0))/IF(Wapato_Inventory[[#This Row],[unbuildable]]=1,2,1)</f>
        <v>53000</v>
      </c>
      <c r="CA788" s="7">
        <f>Wapato_Inventory[[#This Row],[pre_res]]*Wapato_Inventory[[#This Row],[overall_adj]]</f>
        <v>107124.56255398596</v>
      </c>
      <c r="CB78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88" s="3">
        <f>IF(ROUND(Wapato_Inventory[[#This Row],[adj_res]]*Lookups!$H$48,-2)&lt;Wapato_Inventory[[#This Row],[min_res]],Wapato_Inventory[[#This Row],[min_res]],ROUND(Wapato_Inventory[[#This Row],[adj_res]]*Lookups!$H$48,-2))</f>
        <v>101800</v>
      </c>
      <c r="CD788" s="3">
        <f>ROUND(Wapato_Inventory[[#This Row],[det_value]]*Lookups!$H$48,-2)</f>
        <v>4800</v>
      </c>
      <c r="CE788" s="3">
        <f>Wapato_Inventory[[#This Row],[final_res]]+Wapato_Inventory[[#This Row],[final_det]]</f>
        <v>106600</v>
      </c>
      <c r="CF788" s="3">
        <f>Wapato_Inventory[[#This Row],[crop_value]]+Wapato_Inventory[[#This Row],[final_land]]+Wapato_Inventory[[#This Row],[final_imp]]</f>
        <v>157000</v>
      </c>
      <c r="CH788" t="str">
        <f t="shared" si="12"/>
        <v>update valuation set market_land =50400, market_bldg=106600, market_total =157000, market_mdno =405, market_date ='9/10/2023' where link_id = (select link_id from parcel where parcel_year = '2024' and parcel_id = '19111514446');</v>
      </c>
    </row>
    <row r="789" spans="1:86" x14ac:dyDescent="0.25">
      <c r="A789">
        <v>19111514447</v>
      </c>
      <c r="B789">
        <v>0.15</v>
      </c>
      <c r="C789">
        <v>6352</v>
      </c>
      <c r="D789" t="s">
        <v>144</v>
      </c>
      <c r="E789" t="s">
        <v>54</v>
      </c>
      <c r="F789" t="s">
        <v>54</v>
      </c>
      <c r="G789">
        <v>3</v>
      </c>
      <c r="H789" t="s">
        <v>55</v>
      </c>
      <c r="I789">
        <v>116300</v>
      </c>
      <c r="J789">
        <v>32300</v>
      </c>
      <c r="K789">
        <v>0.15</v>
      </c>
      <c r="L789">
        <f>IF(Wapato_Inventory[[#This Row],[parcel_acres]]-Wapato_Inventory[[#This Row],[non_valued_acres]] =0,0,LN(Wapato_Inventory[[#This Row],[parcel_acres]]-Wapato_Inventory[[#This Row],[non_valued_acres]]))</f>
        <v>-1.8971199848858813</v>
      </c>
      <c r="M789">
        <v>0</v>
      </c>
      <c r="N789">
        <v>0</v>
      </c>
      <c r="O789">
        <v>0</v>
      </c>
      <c r="P789">
        <v>27904.037</v>
      </c>
      <c r="Q789">
        <v>74398</v>
      </c>
      <c r="R789" s="3">
        <f>(Wapato_Inventory[[#This Row],[ln_acres]]*Wapato_Inventory[[#This Row],[coeff]])+Wapato_Inventory[[#This Row],[const]]</f>
        <v>21460.693748304926</v>
      </c>
      <c r="S789" t="s">
        <v>66</v>
      </c>
      <c r="T789">
        <v>1</v>
      </c>
      <c r="U789" t="s">
        <v>71</v>
      </c>
      <c r="V789" t="s">
        <v>68</v>
      </c>
      <c r="W789">
        <v>0</v>
      </c>
      <c r="X789">
        <v>0</v>
      </c>
      <c r="Y789">
        <v>65</v>
      </c>
      <c r="Z789">
        <v>113</v>
      </c>
      <c r="AA789">
        <v>120</v>
      </c>
      <c r="AB789">
        <v>1500</v>
      </c>
      <c r="AC789">
        <v>1022</v>
      </c>
      <c r="AD789">
        <v>1022</v>
      </c>
      <c r="AE789">
        <v>0</v>
      </c>
      <c r="AF789">
        <v>0</v>
      </c>
      <c r="AG789">
        <v>0</v>
      </c>
      <c r="AH789">
        <v>0</v>
      </c>
      <c r="AI789">
        <v>0</v>
      </c>
      <c r="AJ789">
        <v>0</v>
      </c>
      <c r="AK789">
        <v>0</v>
      </c>
      <c r="AL789">
        <v>307</v>
      </c>
      <c r="AM789">
        <v>325</v>
      </c>
      <c r="AN789">
        <v>475</v>
      </c>
      <c r="AO789">
        <v>325</v>
      </c>
      <c r="AP789">
        <v>5</v>
      </c>
      <c r="AQ789">
        <v>1</v>
      </c>
      <c r="AR789">
        <v>0</v>
      </c>
      <c r="AS789" t="s">
        <v>59</v>
      </c>
      <c r="AT789">
        <v>1</v>
      </c>
      <c r="AU789" t="s">
        <v>76</v>
      </c>
      <c r="AV789" t="s">
        <v>61</v>
      </c>
      <c r="AW789">
        <v>0</v>
      </c>
      <c r="AX789">
        <v>3</v>
      </c>
      <c r="AY789">
        <v>0</v>
      </c>
      <c r="AZ789">
        <v>6600</v>
      </c>
      <c r="BA789">
        <v>100</v>
      </c>
      <c r="BB789">
        <v>100</v>
      </c>
      <c r="BC789">
        <v>100</v>
      </c>
      <c r="BD789">
        <v>100</v>
      </c>
      <c r="BE789">
        <v>1</v>
      </c>
      <c r="BF789">
        <v>15000</v>
      </c>
      <c r="BG789">
        <v>1000</v>
      </c>
      <c r="BH789" s="7">
        <f>ROUND(Wapato_Inventory[[#This Row],[detatched_value]]*Lookups!$B$22*Lookups!$H$48,-2)</f>
        <v>5900</v>
      </c>
      <c r="BI789" s="7">
        <f>ROUND(((Wapato_Inventory[[#This Row],[land_extract]]*Lookups!$B$3) +(Lookups!$B$2*0.5))*Lookups!$H$48,-2)</f>
        <v>53100</v>
      </c>
      <c r="BJ789" s="7">
        <f>IF(Wapato_Inventory[[#This Row],[bldg_style]]="",0,Lookups!$B$2*0.5)</f>
        <v>53765.27</v>
      </c>
      <c r="BK789" s="7">
        <f>_xlfn.IFNA(VLOOKUP(Wapato_Inventory[[#This Row],[quality]],Lookups!$H$2:$J$14,3,FALSE),0)</f>
        <v>28034</v>
      </c>
      <c r="BL789" s="7">
        <f>_xlfn.IFNA(VLOOKUP(Wapato_Inventory[[#This Row],[condition]],Lookups!$H$17:$J$24,3,FALSE),0)</f>
        <v>52231</v>
      </c>
      <c r="BM789" s="7">
        <f>Wapato_Inventory[[#This Row],[Age]]*Lookups!$B$16</f>
        <v>-41886.354100000004</v>
      </c>
      <c r="BN789" s="7">
        <f>Wapato_Inventory[[#This Row],[Main Floor]]*Lookups!$B$17</f>
        <v>42720.355258000003</v>
      </c>
      <c r="BO789" s="7">
        <f>Wapato_Inventory[[#This Row],[Upper Floor]]*Lookups!$B$18</f>
        <v>0</v>
      </c>
      <c r="BP789" s="7">
        <f>Wapato_Inventory[[#This Row],[Fin BSMT]]*Lookups!$B$19</f>
        <v>0</v>
      </c>
      <c r="BQ789" s="7">
        <f>(Wapato_Inventory[[#This Row],[att_gar]]+Wapato_Inventory[[#This Row],[blt_gar]])*Lookups!$B$20</f>
        <v>0</v>
      </c>
      <c r="BR789" s="7">
        <f>Wapato_Inventory[[#This Row],[Patio]]*Lookups!$B$21</f>
        <v>14080.293175000001</v>
      </c>
      <c r="BS789" s="7">
        <f>SUM(Wapato_Inventory[[#This Row],[intercept]:[patio_value]])*Wapato_Inventory[[#This Row],[res_pct]]</f>
        <v>148944.56433299999</v>
      </c>
      <c r="BT789" s="7">
        <f>Wapato_Inventory[[#This Row],[land_value]]</f>
        <v>53100</v>
      </c>
      <c r="BU789" s="2">
        <f>_xlfn.IFNA(VLOOKUP(Wapato_Inventory[[#This Row],[quality]],Lookups!$A$28:$C$37,3,FALSE),1)</f>
        <v>0.96265813922927435</v>
      </c>
      <c r="BV789" s="2">
        <f>_xlfn.IFNA(VLOOKUP(Wapato_Inventory[[#This Row],[condition]],Lookups!$A$41:$C$48,3,FALSE),1)</f>
        <v>0.9832333997567807</v>
      </c>
      <c r="BW789" s="2">
        <f>IF(Wapato_Inventory[[#This Row],[decade]]="",1,_xlfn.IFNA(VLOOKUP(Wapato_Inventory[[#This Row],[decade]],Lookups!$F$28:$H$45,3,FALSE),1))</f>
        <v>0.93664589651353292</v>
      </c>
      <c r="BX789" s="2">
        <f>_xlfn.IFNA(VLOOKUP(Wapato_Inventory[[#This Row],[living_area_range]],Lookups!$K$28:$M$37,3,FALSE),1)</f>
        <v>1.0061411172456287</v>
      </c>
      <c r="BY789" s="2">
        <f>AVERAGE(Wapato_Inventory[[#This Row],[qual_adj]:[range_adj]])</f>
        <v>0.97216963818630409</v>
      </c>
      <c r="BZ789" s="7">
        <f>(Wapato_Inventory[[#This Row],[sum_land]]-IF(Wapato_Inventory[[#This Row],[no_utilities]]=1,12000,0))/IF(Wapato_Inventory[[#This Row],[unbuildable]]=1,2,1)</f>
        <v>53100</v>
      </c>
      <c r="CA789" s="7">
        <f>Wapato_Inventory[[#This Row],[pre_res]]*Wapato_Inventory[[#This Row],[overall_adj]]</f>
        <v>144799.38321742928</v>
      </c>
      <c r="CB78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89" s="3">
        <f>IF(ROUND(Wapato_Inventory[[#This Row],[adj_res]]*Lookups!$H$48,-2)&lt;Wapato_Inventory[[#This Row],[min_res]],Wapato_Inventory[[#This Row],[min_res]],ROUND(Wapato_Inventory[[#This Row],[adj_res]]*Lookups!$H$48,-2))</f>
        <v>137600</v>
      </c>
      <c r="CD789" s="3">
        <f>ROUND(Wapato_Inventory[[#This Row],[det_value]]*Lookups!$H$48,-2)</f>
        <v>5600</v>
      </c>
      <c r="CE789" s="3">
        <f>Wapato_Inventory[[#This Row],[final_res]]+Wapato_Inventory[[#This Row],[final_det]]</f>
        <v>143200</v>
      </c>
      <c r="CF789" s="3">
        <f>Wapato_Inventory[[#This Row],[crop_value]]+Wapato_Inventory[[#This Row],[final_land]]+Wapato_Inventory[[#This Row],[final_imp]]</f>
        <v>193600</v>
      </c>
      <c r="CH789" t="str">
        <f t="shared" si="12"/>
        <v>update valuation set market_land =50400, market_bldg=143200, market_total =193600, market_mdno =405, market_date ='9/10/2023' where link_id = (select link_id from parcel where parcel_year = '2024' and parcel_id = '19111514447');</v>
      </c>
    </row>
    <row r="790" spans="1:86" x14ac:dyDescent="0.25">
      <c r="A790">
        <v>19111514448</v>
      </c>
      <c r="B790">
        <v>0.14000000000000001</v>
      </c>
      <c r="C790">
        <v>6242</v>
      </c>
      <c r="D790" t="s">
        <v>144</v>
      </c>
      <c r="E790" t="s">
        <v>54</v>
      </c>
      <c r="F790" t="s">
        <v>54</v>
      </c>
      <c r="G790">
        <v>3</v>
      </c>
      <c r="H790" t="s">
        <v>55</v>
      </c>
      <c r="I790">
        <v>165400</v>
      </c>
      <c r="J790">
        <v>31900</v>
      </c>
      <c r="K790">
        <v>0.14000000000000001</v>
      </c>
      <c r="L790">
        <f>IF(Wapato_Inventory[[#This Row],[parcel_acres]]-Wapato_Inventory[[#This Row],[non_valued_acres]] =0,0,LN(Wapato_Inventory[[#This Row],[parcel_acres]]-Wapato_Inventory[[#This Row],[non_valued_acres]]))</f>
        <v>-1.9661128563728327</v>
      </c>
      <c r="M790">
        <v>0</v>
      </c>
      <c r="N790">
        <v>0</v>
      </c>
      <c r="O790">
        <v>0</v>
      </c>
      <c r="P790">
        <v>27904.037</v>
      </c>
      <c r="Q790">
        <v>74398</v>
      </c>
      <c r="R790" s="3">
        <f>(Wapato_Inventory[[#This Row],[ln_acres]]*Wapato_Inventory[[#This Row],[coeff]])+Wapato_Inventory[[#This Row],[const]]</f>
        <v>19535.514109596792</v>
      </c>
      <c r="S790" t="s">
        <v>66</v>
      </c>
      <c r="T790">
        <v>1</v>
      </c>
      <c r="U790" t="s">
        <v>75</v>
      </c>
      <c r="V790" t="s">
        <v>68</v>
      </c>
      <c r="W790">
        <v>0</v>
      </c>
      <c r="X790">
        <v>0</v>
      </c>
      <c r="Y790">
        <v>52</v>
      </c>
      <c r="Z790">
        <v>88</v>
      </c>
      <c r="AA790">
        <v>90</v>
      </c>
      <c r="AB790">
        <v>1500</v>
      </c>
      <c r="AC790">
        <v>1254</v>
      </c>
      <c r="AD790">
        <v>1254</v>
      </c>
      <c r="AE790">
        <v>0</v>
      </c>
      <c r="AF790">
        <v>0</v>
      </c>
      <c r="AG790">
        <v>0</v>
      </c>
      <c r="AH790">
        <v>858</v>
      </c>
      <c r="AI790">
        <v>0</v>
      </c>
      <c r="AJ790">
        <v>0</v>
      </c>
      <c r="AK790">
        <v>242</v>
      </c>
      <c r="AL790">
        <v>0</v>
      </c>
      <c r="AM790">
        <v>288</v>
      </c>
      <c r="AN790">
        <v>30</v>
      </c>
      <c r="AO790">
        <v>288</v>
      </c>
      <c r="AP790">
        <v>5</v>
      </c>
      <c r="AQ790">
        <v>0</v>
      </c>
      <c r="AR790">
        <v>0</v>
      </c>
      <c r="AS790" t="s">
        <v>59</v>
      </c>
      <c r="AT790">
        <v>1</v>
      </c>
      <c r="AU790" t="s">
        <v>64</v>
      </c>
      <c r="AV790" t="s">
        <v>61</v>
      </c>
      <c r="AW790">
        <v>1</v>
      </c>
      <c r="AX790">
        <v>3</v>
      </c>
      <c r="AY790">
        <v>0</v>
      </c>
      <c r="AZ790">
        <v>0</v>
      </c>
      <c r="BA790">
        <v>100</v>
      </c>
      <c r="BB790">
        <v>100</v>
      </c>
      <c r="BC790">
        <v>100</v>
      </c>
      <c r="BD790">
        <v>100</v>
      </c>
      <c r="BE790">
        <v>1</v>
      </c>
      <c r="BF790">
        <v>15000</v>
      </c>
      <c r="BG790">
        <v>1000</v>
      </c>
      <c r="BH790" s="7">
        <f>ROUND(Wapato_Inventory[[#This Row],[detatched_value]]*Lookups!$B$22*Lookups!$H$48,-2)</f>
        <v>0</v>
      </c>
      <c r="BI790" s="7">
        <f>ROUND(((Wapato_Inventory[[#This Row],[land_extract]]*Lookups!$B$3) +(Lookups!$B$2*0.5))*Lookups!$H$48,-2)</f>
        <v>53000</v>
      </c>
      <c r="BJ790" s="7">
        <f>IF(Wapato_Inventory[[#This Row],[bldg_style]]="",0,Lookups!$B$2*0.5)</f>
        <v>53765.27</v>
      </c>
      <c r="BK790" s="7">
        <f>_xlfn.IFNA(VLOOKUP(Wapato_Inventory[[#This Row],[quality]],Lookups!$H$2:$J$14,3,FALSE),0)</f>
        <v>48043</v>
      </c>
      <c r="BL790" s="7">
        <f>_xlfn.IFNA(VLOOKUP(Wapato_Inventory[[#This Row],[condition]],Lookups!$H$17:$J$24,3,FALSE),0)</f>
        <v>52231</v>
      </c>
      <c r="BM790" s="7">
        <f>Wapato_Inventory[[#This Row],[Age]]*Lookups!$B$16</f>
        <v>-32619.461600000002</v>
      </c>
      <c r="BN790" s="7">
        <f>Wapato_Inventory[[#This Row],[Main Floor]]*Lookups!$B$17</f>
        <v>52418.126706000003</v>
      </c>
      <c r="BO790" s="7">
        <f>Wapato_Inventory[[#This Row],[Upper Floor]]*Lookups!$B$18</f>
        <v>0</v>
      </c>
      <c r="BP790" s="7">
        <f>Wapato_Inventory[[#This Row],[Fin BSMT]]*Lookups!$B$19</f>
        <v>0</v>
      </c>
      <c r="BQ790" s="7">
        <f>(Wapato_Inventory[[#This Row],[att_gar]]+Wapato_Inventory[[#This Row],[blt_gar]])*Lookups!$B$20</f>
        <v>0</v>
      </c>
      <c r="BR790" s="7">
        <f>Wapato_Inventory[[#This Row],[Patio]]*Lookups!$B$21</f>
        <v>12477.305952000001</v>
      </c>
      <c r="BS790" s="7">
        <f>SUM(Wapato_Inventory[[#This Row],[intercept]:[patio_value]])*Wapato_Inventory[[#This Row],[res_pct]]</f>
        <v>186315.24105799999</v>
      </c>
      <c r="BT790" s="7">
        <f>Wapato_Inventory[[#This Row],[land_value]]</f>
        <v>53000</v>
      </c>
      <c r="BU790" s="2">
        <f>_xlfn.IFNA(VLOOKUP(Wapato_Inventory[[#This Row],[quality]],Lookups!$A$28:$C$37,3,FALSE),1)</f>
        <v>0.98196844879778955</v>
      </c>
      <c r="BV790" s="2">
        <f>_xlfn.IFNA(VLOOKUP(Wapato_Inventory[[#This Row],[condition]],Lookups!$A$41:$C$48,3,FALSE),1)</f>
        <v>0.9832333997567807</v>
      </c>
      <c r="BW790" s="2">
        <f>IF(Wapato_Inventory[[#This Row],[decade]]="",1,_xlfn.IFNA(VLOOKUP(Wapato_Inventory[[#This Row],[decade]],Lookups!$F$28:$H$45,3,FALSE),1))</f>
        <v>0.94742695999815718</v>
      </c>
      <c r="BX790" s="2">
        <f>_xlfn.IFNA(VLOOKUP(Wapato_Inventory[[#This Row],[living_area_range]],Lookups!$K$28:$M$37,3,FALSE),1)</f>
        <v>1.0061411172456287</v>
      </c>
      <c r="BY790" s="2">
        <f>AVERAGE(Wapato_Inventory[[#This Row],[qual_adj]:[range_adj]])</f>
        <v>0.97969248144958898</v>
      </c>
      <c r="BZ790" s="7">
        <f>(Wapato_Inventory[[#This Row],[sum_land]]-IF(Wapato_Inventory[[#This Row],[no_utilities]]=1,12000,0))/IF(Wapato_Inventory[[#This Row],[unbuildable]]=1,2,1)</f>
        <v>53000</v>
      </c>
      <c r="CA790" s="7">
        <f>Wapato_Inventory[[#This Row],[pre_res]]*Wapato_Inventory[[#This Row],[overall_adj]]</f>
        <v>182531.64084399035</v>
      </c>
      <c r="CB79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90" s="3">
        <f>IF(ROUND(Wapato_Inventory[[#This Row],[adj_res]]*Lookups!$H$48,-2)&lt;Wapato_Inventory[[#This Row],[min_res]],Wapato_Inventory[[#This Row],[min_res]],ROUND(Wapato_Inventory[[#This Row],[adj_res]]*Lookups!$H$48,-2))</f>
        <v>173400</v>
      </c>
      <c r="CD790" s="3">
        <f>ROUND(Wapato_Inventory[[#This Row],[det_value]]*Lookups!$H$48,-2)</f>
        <v>0</v>
      </c>
      <c r="CE790" s="3">
        <f>Wapato_Inventory[[#This Row],[final_res]]+Wapato_Inventory[[#This Row],[final_det]]</f>
        <v>173400</v>
      </c>
      <c r="CF790" s="3">
        <f>Wapato_Inventory[[#This Row],[crop_value]]+Wapato_Inventory[[#This Row],[final_land]]+Wapato_Inventory[[#This Row],[final_imp]]</f>
        <v>223800</v>
      </c>
      <c r="CH790" t="str">
        <f t="shared" si="12"/>
        <v>update valuation set market_land =50400, market_bldg=173400, market_total =223800, market_mdno =405, market_date ='9/10/2023' where link_id = (select link_id from parcel where parcel_year = '2024' and parcel_id = '19111514448');</v>
      </c>
    </row>
    <row r="791" spans="1:86" x14ac:dyDescent="0.25">
      <c r="A791">
        <v>19111514449</v>
      </c>
      <c r="B791">
        <v>0.13</v>
      </c>
      <c r="C791">
        <v>5835</v>
      </c>
      <c r="D791" t="s">
        <v>144</v>
      </c>
      <c r="E791" t="s">
        <v>54</v>
      </c>
      <c r="F791" t="s">
        <v>54</v>
      </c>
      <c r="G791">
        <v>3</v>
      </c>
      <c r="H791" t="s">
        <v>55</v>
      </c>
      <c r="I791">
        <v>163500</v>
      </c>
      <c r="J791">
        <v>31400</v>
      </c>
      <c r="K791">
        <v>0.13</v>
      </c>
      <c r="L791">
        <f>IF(Wapato_Inventory[[#This Row],[parcel_acres]]-Wapato_Inventory[[#This Row],[non_valued_acres]] =0,0,LN(Wapato_Inventory[[#This Row],[parcel_acres]]-Wapato_Inventory[[#This Row],[non_valued_acres]]))</f>
        <v>-2.0402208285265546</v>
      </c>
      <c r="M791">
        <v>0</v>
      </c>
      <c r="N791">
        <v>0</v>
      </c>
      <c r="O791">
        <v>0</v>
      </c>
      <c r="P791">
        <v>27904.037</v>
      </c>
      <c r="Q791">
        <v>74398</v>
      </c>
      <c r="R791" s="3">
        <f>(Wapato_Inventory[[#This Row],[ln_acres]]*Wapato_Inventory[[#This Row],[coeff]])+Wapato_Inventory[[#This Row],[const]]</f>
        <v>17467.602512624362</v>
      </c>
      <c r="S791" t="s">
        <v>56</v>
      </c>
      <c r="T791">
        <v>2</v>
      </c>
      <c r="U791" t="s">
        <v>75</v>
      </c>
      <c r="V791" t="s">
        <v>68</v>
      </c>
      <c r="W791">
        <v>0</v>
      </c>
      <c r="X791">
        <v>0</v>
      </c>
      <c r="Y791">
        <v>53</v>
      </c>
      <c r="Z791">
        <v>93</v>
      </c>
      <c r="AA791">
        <v>100</v>
      </c>
      <c r="AB791">
        <v>1500</v>
      </c>
      <c r="AC791">
        <v>1308</v>
      </c>
      <c r="AD791">
        <v>1098</v>
      </c>
      <c r="AE791">
        <v>210</v>
      </c>
      <c r="AF791">
        <v>0</v>
      </c>
      <c r="AG791">
        <v>0</v>
      </c>
      <c r="AH791">
        <v>594</v>
      </c>
      <c r="AI791">
        <v>0</v>
      </c>
      <c r="AJ791">
        <v>0</v>
      </c>
      <c r="AK791">
        <v>0</v>
      </c>
      <c r="AL791">
        <v>0</v>
      </c>
      <c r="AM791">
        <v>108</v>
      </c>
      <c r="AN791">
        <v>0</v>
      </c>
      <c r="AO791">
        <v>108</v>
      </c>
      <c r="AP791">
        <v>5</v>
      </c>
      <c r="AQ791">
        <v>0</v>
      </c>
      <c r="AR791">
        <v>0</v>
      </c>
      <c r="AS791" t="s">
        <v>59</v>
      </c>
      <c r="AT791">
        <v>1</v>
      </c>
      <c r="AU791" t="s">
        <v>64</v>
      </c>
      <c r="AV791" t="s">
        <v>61</v>
      </c>
      <c r="AW791">
        <v>0</v>
      </c>
      <c r="AX791">
        <v>3</v>
      </c>
      <c r="AY791">
        <v>0</v>
      </c>
      <c r="AZ791">
        <v>1100</v>
      </c>
      <c r="BA791">
        <v>100</v>
      </c>
      <c r="BB791">
        <v>100</v>
      </c>
      <c r="BC791">
        <v>100</v>
      </c>
      <c r="BD791">
        <v>100</v>
      </c>
      <c r="BE791">
        <v>1</v>
      </c>
      <c r="BF791">
        <v>15000</v>
      </c>
      <c r="BG791">
        <v>1000</v>
      </c>
      <c r="BH791" s="7">
        <f>ROUND(Wapato_Inventory[[#This Row],[detatched_value]]*Lookups!$B$22*Lookups!$H$48,-2)</f>
        <v>1000</v>
      </c>
      <c r="BI791" s="7">
        <f>ROUND(((Wapato_Inventory[[#This Row],[land_extract]]*Lookups!$B$3) +(Lookups!$B$2*0.5))*Lookups!$H$48,-2)</f>
        <v>52800</v>
      </c>
      <c r="BJ791" s="7">
        <f>IF(Wapato_Inventory[[#This Row],[bldg_style]]="",0,Lookups!$B$2*0.5)</f>
        <v>53765.27</v>
      </c>
      <c r="BK791" s="7">
        <f>_xlfn.IFNA(VLOOKUP(Wapato_Inventory[[#This Row],[quality]],Lookups!$H$2:$J$14,3,FALSE),0)</f>
        <v>48043</v>
      </c>
      <c r="BL791" s="7">
        <f>_xlfn.IFNA(VLOOKUP(Wapato_Inventory[[#This Row],[condition]],Lookups!$H$17:$J$24,3,FALSE),0)</f>
        <v>52231</v>
      </c>
      <c r="BM791" s="7">
        <f>Wapato_Inventory[[#This Row],[Age]]*Lookups!$B$16</f>
        <v>-34472.840100000001</v>
      </c>
      <c r="BN791" s="7">
        <f>Wapato_Inventory[[#This Row],[Main Floor]]*Lookups!$B$17</f>
        <v>45897.211422</v>
      </c>
      <c r="BO791" s="7">
        <f>Wapato_Inventory[[#This Row],[Upper Floor]]*Lookups!$B$18</f>
        <v>10416.23919</v>
      </c>
      <c r="BP791" s="7">
        <f>Wapato_Inventory[[#This Row],[Fin BSMT]]*Lookups!$B$19</f>
        <v>0</v>
      </c>
      <c r="BQ791" s="7">
        <f>(Wapato_Inventory[[#This Row],[att_gar]]+Wapato_Inventory[[#This Row],[blt_gar]])*Lookups!$B$20</f>
        <v>0</v>
      </c>
      <c r="BR791" s="7">
        <f>Wapato_Inventory[[#This Row],[Patio]]*Lookups!$B$21</f>
        <v>4678.989732</v>
      </c>
      <c r="BS791" s="7">
        <f>SUM(Wapato_Inventory[[#This Row],[intercept]:[patio_value]])*Wapato_Inventory[[#This Row],[res_pct]]</f>
        <v>180558.87024399996</v>
      </c>
      <c r="BT791" s="7">
        <f>Wapato_Inventory[[#This Row],[land_value]]</f>
        <v>52800</v>
      </c>
      <c r="BU791" s="2">
        <f>_xlfn.IFNA(VLOOKUP(Wapato_Inventory[[#This Row],[quality]],Lookups!$A$28:$C$37,3,FALSE),1)</f>
        <v>0.98196844879778955</v>
      </c>
      <c r="BV791" s="2">
        <f>_xlfn.IFNA(VLOOKUP(Wapato_Inventory[[#This Row],[condition]],Lookups!$A$41:$C$48,3,FALSE),1)</f>
        <v>0.9832333997567807</v>
      </c>
      <c r="BW791" s="2">
        <f>IF(Wapato_Inventory[[#This Row],[decade]]="",1,_xlfn.IFNA(VLOOKUP(Wapato_Inventory[[#This Row],[decade]],Lookups!$F$28:$H$45,3,FALSE),1))</f>
        <v>1.0114203040664467</v>
      </c>
      <c r="BX791" s="2">
        <f>_xlfn.IFNA(VLOOKUP(Wapato_Inventory[[#This Row],[living_area_range]],Lookups!$K$28:$M$37,3,FALSE),1)</f>
        <v>1.0061411172456287</v>
      </c>
      <c r="BY791" s="2">
        <f>AVERAGE(Wapato_Inventory[[#This Row],[qual_adj]:[range_adj]])</f>
        <v>0.99569081746666144</v>
      </c>
      <c r="BZ791" s="7">
        <f>(Wapato_Inventory[[#This Row],[sum_land]]-IF(Wapato_Inventory[[#This Row],[no_utilities]]=1,12000,0))/IF(Wapato_Inventory[[#This Row],[unbuildable]]=1,2,1)</f>
        <v>52800</v>
      </c>
      <c r="CA791" s="7">
        <f>Wapato_Inventory[[#This Row],[pre_res]]*Wapato_Inventory[[#This Row],[overall_adj]]</f>
        <v>179780.80911410518</v>
      </c>
      <c r="CB791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91" s="3">
        <f>IF(ROUND(Wapato_Inventory[[#This Row],[adj_res]]*Lookups!$H$48,-2)&lt;Wapato_Inventory[[#This Row],[min_res]],Wapato_Inventory[[#This Row],[min_res]],ROUND(Wapato_Inventory[[#This Row],[adj_res]]*Lookups!$H$48,-2))</f>
        <v>170800</v>
      </c>
      <c r="CD791" s="3">
        <f>ROUND(Wapato_Inventory[[#This Row],[det_value]]*Lookups!$H$48,-2)</f>
        <v>1000</v>
      </c>
      <c r="CE791" s="3">
        <f>Wapato_Inventory[[#This Row],[final_res]]+Wapato_Inventory[[#This Row],[final_det]]</f>
        <v>171800</v>
      </c>
      <c r="CF791" s="3">
        <f>Wapato_Inventory[[#This Row],[crop_value]]+Wapato_Inventory[[#This Row],[final_land]]+Wapato_Inventory[[#This Row],[final_imp]]</f>
        <v>222000</v>
      </c>
      <c r="CH791" t="str">
        <f t="shared" si="12"/>
        <v>update valuation set market_land =50200, market_bldg=171800, market_total =222000, market_mdno =405, market_date ='9/10/2023' where link_id = (select link_id from parcel where parcel_year = '2024' and parcel_id = '19111514449');</v>
      </c>
    </row>
    <row r="792" spans="1:86" x14ac:dyDescent="0.25">
      <c r="A792">
        <v>19111514450</v>
      </c>
      <c r="B792">
        <v>0.14000000000000001</v>
      </c>
      <c r="C792">
        <v>6248</v>
      </c>
      <c r="D792" t="s">
        <v>144</v>
      </c>
      <c r="E792" t="s">
        <v>54</v>
      </c>
      <c r="F792" t="s">
        <v>54</v>
      </c>
      <c r="G792">
        <v>3</v>
      </c>
      <c r="H792" t="s">
        <v>55</v>
      </c>
      <c r="I792">
        <v>179900</v>
      </c>
      <c r="J792">
        <v>31900</v>
      </c>
      <c r="K792">
        <v>0.14000000000000001</v>
      </c>
      <c r="L792">
        <f>IF(Wapato_Inventory[[#This Row],[parcel_acres]]-Wapato_Inventory[[#This Row],[non_valued_acres]] =0,0,LN(Wapato_Inventory[[#This Row],[parcel_acres]]-Wapato_Inventory[[#This Row],[non_valued_acres]]))</f>
        <v>-1.9661128563728327</v>
      </c>
      <c r="M792">
        <v>0</v>
      </c>
      <c r="N792">
        <v>0</v>
      </c>
      <c r="O792">
        <v>0</v>
      </c>
      <c r="P792">
        <v>27904.037</v>
      </c>
      <c r="Q792">
        <v>74398</v>
      </c>
      <c r="R792" s="3">
        <f>(Wapato_Inventory[[#This Row],[ln_acres]]*Wapato_Inventory[[#This Row],[coeff]])+Wapato_Inventory[[#This Row],[const]]</f>
        <v>19535.514109596792</v>
      </c>
      <c r="S792" t="s">
        <v>66</v>
      </c>
      <c r="T792">
        <v>1</v>
      </c>
      <c r="U792" t="s">
        <v>71</v>
      </c>
      <c r="V792" t="s">
        <v>68</v>
      </c>
      <c r="W792">
        <v>0</v>
      </c>
      <c r="X792">
        <v>0</v>
      </c>
      <c r="Y792">
        <v>51</v>
      </c>
      <c r="Z792">
        <v>83</v>
      </c>
      <c r="AA792">
        <v>90</v>
      </c>
      <c r="AB792">
        <v>2000</v>
      </c>
      <c r="AC792">
        <v>1569</v>
      </c>
      <c r="AD792">
        <v>1345</v>
      </c>
      <c r="AE792">
        <v>0</v>
      </c>
      <c r="AF792">
        <v>0</v>
      </c>
      <c r="AG792">
        <v>224</v>
      </c>
      <c r="AH792">
        <v>224</v>
      </c>
      <c r="AI792">
        <v>0</v>
      </c>
      <c r="AJ792">
        <v>0</v>
      </c>
      <c r="AK792">
        <v>288</v>
      </c>
      <c r="AL792">
        <v>0</v>
      </c>
      <c r="AM792">
        <v>0</v>
      </c>
      <c r="AN792">
        <v>0</v>
      </c>
      <c r="AO792">
        <v>0</v>
      </c>
      <c r="AP792">
        <v>8</v>
      </c>
      <c r="AQ792">
        <v>0</v>
      </c>
      <c r="AR792">
        <v>0</v>
      </c>
      <c r="AS792" t="s">
        <v>59</v>
      </c>
      <c r="AT792">
        <v>1</v>
      </c>
      <c r="AU792" t="s">
        <v>64</v>
      </c>
      <c r="AV792" t="s">
        <v>65</v>
      </c>
      <c r="AW792">
        <v>0</v>
      </c>
      <c r="AX792">
        <v>3</v>
      </c>
      <c r="AY792">
        <v>0</v>
      </c>
      <c r="AZ792">
        <v>31100</v>
      </c>
      <c r="BA792">
        <v>100</v>
      </c>
      <c r="BB792">
        <v>100</v>
      </c>
      <c r="BC792">
        <v>100</v>
      </c>
      <c r="BD792">
        <v>100</v>
      </c>
      <c r="BE792">
        <v>1</v>
      </c>
      <c r="BF792">
        <v>15000</v>
      </c>
      <c r="BG792">
        <v>1000</v>
      </c>
      <c r="BH792" s="7">
        <f>ROUND(Wapato_Inventory[[#This Row],[detatched_value]]*Lookups!$B$22*Lookups!$H$48,-2)</f>
        <v>27800</v>
      </c>
      <c r="BI792" s="7">
        <f>ROUND(((Wapato_Inventory[[#This Row],[land_extract]]*Lookups!$B$3) +(Lookups!$B$2*0.5))*Lookups!$H$48,-2)</f>
        <v>53000</v>
      </c>
      <c r="BJ792" s="7">
        <f>IF(Wapato_Inventory[[#This Row],[bldg_style]]="",0,Lookups!$B$2*0.5)</f>
        <v>53765.27</v>
      </c>
      <c r="BK792" s="7">
        <f>_xlfn.IFNA(VLOOKUP(Wapato_Inventory[[#This Row],[quality]],Lookups!$H$2:$J$14,3,FALSE),0)</f>
        <v>28034</v>
      </c>
      <c r="BL792" s="7">
        <f>_xlfn.IFNA(VLOOKUP(Wapato_Inventory[[#This Row],[condition]],Lookups!$H$17:$J$24,3,FALSE),0)</f>
        <v>52231</v>
      </c>
      <c r="BM792" s="7">
        <f>Wapato_Inventory[[#This Row],[Age]]*Lookups!$B$16</f>
        <v>-30766.0831</v>
      </c>
      <c r="BN792" s="7">
        <f>Wapato_Inventory[[#This Row],[Main Floor]]*Lookups!$B$17</f>
        <v>56221.993954999998</v>
      </c>
      <c r="BO792" s="7">
        <f>Wapato_Inventory[[#This Row],[Upper Floor]]*Lookups!$B$18</f>
        <v>0</v>
      </c>
      <c r="BP792" s="7">
        <f>Wapato_Inventory[[#This Row],[Fin BSMT]]*Lookups!$B$19</f>
        <v>5458.1497600000002</v>
      </c>
      <c r="BQ792" s="7">
        <f>(Wapato_Inventory[[#This Row],[att_gar]]+Wapato_Inventory[[#This Row],[blt_gar]])*Lookups!$B$20</f>
        <v>0</v>
      </c>
      <c r="BR792" s="7">
        <f>Wapato_Inventory[[#This Row],[Patio]]*Lookups!$B$21</f>
        <v>0</v>
      </c>
      <c r="BS792" s="7">
        <f>SUM(Wapato_Inventory[[#This Row],[intercept]:[patio_value]])*Wapato_Inventory[[#This Row],[res_pct]]</f>
        <v>164944.33061499998</v>
      </c>
      <c r="BT792" s="7">
        <f>Wapato_Inventory[[#This Row],[land_value]]</f>
        <v>53000</v>
      </c>
      <c r="BU792" s="2">
        <f>_xlfn.IFNA(VLOOKUP(Wapato_Inventory[[#This Row],[quality]],Lookups!$A$28:$C$37,3,FALSE),1)</f>
        <v>0.96265813922927435</v>
      </c>
      <c r="BV792" s="2">
        <f>_xlfn.IFNA(VLOOKUP(Wapato_Inventory[[#This Row],[condition]],Lookups!$A$41:$C$48,3,FALSE),1)</f>
        <v>0.9832333997567807</v>
      </c>
      <c r="BW792" s="2">
        <f>IF(Wapato_Inventory[[#This Row],[decade]]="",1,_xlfn.IFNA(VLOOKUP(Wapato_Inventory[[#This Row],[decade]],Lookups!$F$28:$H$45,3,FALSE),1))</f>
        <v>0.94742695999815718</v>
      </c>
      <c r="BX792" s="2">
        <f>_xlfn.IFNA(VLOOKUP(Wapato_Inventory[[#This Row],[living_area_range]],Lookups!$K$28:$M$37,3,FALSE),1)</f>
        <v>0.99330894324714125</v>
      </c>
      <c r="BY792" s="2">
        <f>AVERAGE(Wapato_Inventory[[#This Row],[qual_adj]:[range_adj]])</f>
        <v>0.97165686055783829</v>
      </c>
      <c r="BZ792" s="7">
        <f>(Wapato_Inventory[[#This Row],[sum_land]]-IF(Wapato_Inventory[[#This Row],[no_utilities]]=1,12000,0))/IF(Wapato_Inventory[[#This Row],[unbuildable]]=1,2,1)</f>
        <v>53000</v>
      </c>
      <c r="CA792" s="7">
        <f>Wapato_Inventory[[#This Row],[pre_res]]*Wapato_Inventory[[#This Row],[overall_adj]]</f>
        <v>160269.29045218503</v>
      </c>
      <c r="CB79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92" s="3">
        <f>IF(ROUND(Wapato_Inventory[[#This Row],[adj_res]]*Lookups!$H$48,-2)&lt;Wapato_Inventory[[#This Row],[min_res]],Wapato_Inventory[[#This Row],[min_res]],ROUND(Wapato_Inventory[[#This Row],[adj_res]]*Lookups!$H$48,-2))</f>
        <v>152300</v>
      </c>
      <c r="CD792" s="3">
        <f>ROUND(Wapato_Inventory[[#This Row],[det_value]]*Lookups!$H$48,-2)</f>
        <v>26400</v>
      </c>
      <c r="CE792" s="3">
        <f>Wapato_Inventory[[#This Row],[final_res]]+Wapato_Inventory[[#This Row],[final_det]]</f>
        <v>178700</v>
      </c>
      <c r="CF792" s="3">
        <f>Wapato_Inventory[[#This Row],[crop_value]]+Wapato_Inventory[[#This Row],[final_land]]+Wapato_Inventory[[#This Row],[final_imp]]</f>
        <v>229100</v>
      </c>
      <c r="CH792" t="str">
        <f t="shared" si="12"/>
        <v>update valuation set market_land =50400, market_bldg=178700, market_total =229100, market_mdno =405, market_date ='9/10/2023' where link_id = (select link_id from parcel where parcel_year = '2024' and parcel_id = '19111514450');</v>
      </c>
    </row>
    <row r="793" spans="1:86" x14ac:dyDescent="0.25">
      <c r="A793">
        <v>19111514451</v>
      </c>
      <c r="B793">
        <v>0.13</v>
      </c>
      <c r="C793">
        <v>5737</v>
      </c>
      <c r="D793" t="s">
        <v>144</v>
      </c>
      <c r="E793" t="s">
        <v>54</v>
      </c>
      <c r="F793" t="s">
        <v>54</v>
      </c>
      <c r="G793">
        <v>3</v>
      </c>
      <c r="H793" t="s">
        <v>55</v>
      </c>
      <c r="I793">
        <v>231300</v>
      </c>
      <c r="J793">
        <v>31400</v>
      </c>
      <c r="K793">
        <v>0.13</v>
      </c>
      <c r="L793">
        <f>IF(Wapato_Inventory[[#This Row],[parcel_acres]]-Wapato_Inventory[[#This Row],[non_valued_acres]] =0,0,LN(Wapato_Inventory[[#This Row],[parcel_acres]]-Wapato_Inventory[[#This Row],[non_valued_acres]]))</f>
        <v>-2.0402208285265546</v>
      </c>
      <c r="M793">
        <v>0</v>
      </c>
      <c r="N793">
        <v>0</v>
      </c>
      <c r="O793">
        <v>0</v>
      </c>
      <c r="P793">
        <v>27904.037</v>
      </c>
      <c r="Q793">
        <v>74398</v>
      </c>
      <c r="R793" s="3">
        <f>(Wapato_Inventory[[#This Row],[ln_acres]]*Wapato_Inventory[[#This Row],[coeff]])+Wapato_Inventory[[#This Row],[const]]</f>
        <v>17467.602512624362</v>
      </c>
      <c r="S793" t="s">
        <v>66</v>
      </c>
      <c r="T793">
        <v>1</v>
      </c>
      <c r="U793" t="s">
        <v>63</v>
      </c>
      <c r="V793" t="s">
        <v>69</v>
      </c>
      <c r="W793">
        <v>0</v>
      </c>
      <c r="X793">
        <v>0</v>
      </c>
      <c r="Y793">
        <v>49</v>
      </c>
      <c r="Z793">
        <v>65</v>
      </c>
      <c r="AA793">
        <v>70</v>
      </c>
      <c r="AB793">
        <v>1500</v>
      </c>
      <c r="AC793">
        <v>1408</v>
      </c>
      <c r="AD793">
        <v>1408</v>
      </c>
      <c r="AE793">
        <v>0</v>
      </c>
      <c r="AF793">
        <v>0</v>
      </c>
      <c r="AG793">
        <v>0</v>
      </c>
      <c r="AH793">
        <v>0</v>
      </c>
      <c r="AI793">
        <v>400</v>
      </c>
      <c r="AJ793">
        <v>0</v>
      </c>
      <c r="AK793">
        <v>0</v>
      </c>
      <c r="AL793">
        <v>0</v>
      </c>
      <c r="AM793">
        <v>280</v>
      </c>
      <c r="AN793">
        <v>24</v>
      </c>
      <c r="AO793">
        <v>280</v>
      </c>
      <c r="AP793">
        <v>7</v>
      </c>
      <c r="AQ793">
        <v>0</v>
      </c>
      <c r="AR793">
        <v>1</v>
      </c>
      <c r="AS793" t="s">
        <v>59</v>
      </c>
      <c r="AT793">
        <v>1</v>
      </c>
      <c r="AU793" t="s">
        <v>64</v>
      </c>
      <c r="AV793" t="s">
        <v>65</v>
      </c>
      <c r="AW793">
        <v>0</v>
      </c>
      <c r="AX793">
        <v>3</v>
      </c>
      <c r="AY793">
        <v>0</v>
      </c>
      <c r="AZ793">
        <v>6800</v>
      </c>
      <c r="BA793">
        <v>100</v>
      </c>
      <c r="BB793">
        <v>100</v>
      </c>
      <c r="BC793">
        <v>100</v>
      </c>
      <c r="BD793">
        <v>100</v>
      </c>
      <c r="BE793">
        <v>1</v>
      </c>
      <c r="BF793">
        <v>15000</v>
      </c>
      <c r="BG793">
        <v>1000</v>
      </c>
      <c r="BH793" s="7">
        <f>ROUND(Wapato_Inventory[[#This Row],[detatched_value]]*Lookups!$B$22*Lookups!$H$48,-2)</f>
        <v>6100</v>
      </c>
      <c r="BI793" s="7">
        <f>ROUND(((Wapato_Inventory[[#This Row],[land_extract]]*Lookups!$B$3) +(Lookups!$B$2*0.5))*Lookups!$H$48,-2)</f>
        <v>52800</v>
      </c>
      <c r="BJ793" s="7">
        <f>IF(Wapato_Inventory[[#This Row],[bldg_style]]="",0,Lookups!$B$2*0.5)</f>
        <v>53765.27</v>
      </c>
      <c r="BK793" s="7">
        <f>_xlfn.IFNA(VLOOKUP(Wapato_Inventory[[#This Row],[quality]],Lookups!$H$2:$J$14,3,FALSE),0)</f>
        <v>50594</v>
      </c>
      <c r="BL793" s="7">
        <f>_xlfn.IFNA(VLOOKUP(Wapato_Inventory[[#This Row],[condition]],Lookups!$H$17:$J$24,3,FALSE),0)</f>
        <v>74543</v>
      </c>
      <c r="BM793" s="7">
        <f>Wapato_Inventory[[#This Row],[Age]]*Lookups!$B$16</f>
        <v>-24093.9205</v>
      </c>
      <c r="BN793" s="7">
        <f>Wapato_Inventory[[#This Row],[Main Floor]]*Lookups!$B$17</f>
        <v>58855.440512000001</v>
      </c>
      <c r="BO793" s="7">
        <f>Wapato_Inventory[[#This Row],[Upper Floor]]*Lookups!$B$18</f>
        <v>0</v>
      </c>
      <c r="BP793" s="7">
        <f>Wapato_Inventory[[#This Row],[Fin BSMT]]*Lookups!$B$19</f>
        <v>0</v>
      </c>
      <c r="BQ793" s="7">
        <f>(Wapato_Inventory[[#This Row],[att_gar]]+Wapato_Inventory[[#This Row],[blt_gar]])*Lookups!$B$20</f>
        <v>14803.5008</v>
      </c>
      <c r="BR793" s="7">
        <f>Wapato_Inventory[[#This Row],[Patio]]*Lookups!$B$21</f>
        <v>12130.714120000001</v>
      </c>
      <c r="BS793" s="7">
        <f>SUM(Wapato_Inventory[[#This Row],[intercept]:[patio_value]])*Wapato_Inventory[[#This Row],[res_pct]]</f>
        <v>240598.00493199998</v>
      </c>
      <c r="BT793" s="7">
        <f>Wapato_Inventory[[#This Row],[land_value]]</f>
        <v>52800</v>
      </c>
      <c r="BU793" s="2">
        <f>_xlfn.IFNA(VLOOKUP(Wapato_Inventory[[#This Row],[quality]],Lookups!$A$28:$C$37,3,FALSE),1)</f>
        <v>0.99197423394367223</v>
      </c>
      <c r="BV793" s="2">
        <f>_xlfn.IFNA(VLOOKUP(Wapato_Inventory[[#This Row],[condition]],Lookups!$A$41:$C$48,3,FALSE),1)</f>
        <v>0.98442438223270734</v>
      </c>
      <c r="BW793" s="2">
        <f>IF(Wapato_Inventory[[#This Row],[decade]]="",1,_xlfn.IFNA(VLOOKUP(Wapato_Inventory[[#This Row],[decade]],Lookups!$F$28:$H$45,3,FALSE),1))</f>
        <v>1.0012715221492001</v>
      </c>
      <c r="BX793" s="2">
        <f>_xlfn.IFNA(VLOOKUP(Wapato_Inventory[[#This Row],[living_area_range]],Lookups!$K$28:$M$37,3,FALSE),1)</f>
        <v>1.0061411172456287</v>
      </c>
      <c r="BY793" s="2">
        <f>AVERAGE(Wapato_Inventory[[#This Row],[qual_adj]:[range_adj]])</f>
        <v>0.9959528138928021</v>
      </c>
      <c r="BZ793" s="7">
        <f>(Wapato_Inventory[[#This Row],[sum_land]]-IF(Wapato_Inventory[[#This Row],[no_utilities]]=1,12000,0))/IF(Wapato_Inventory[[#This Row],[unbuildable]]=1,2,1)</f>
        <v>52800</v>
      </c>
      <c r="CA793" s="7">
        <f>Wapato_Inventory[[#This Row],[pre_res]]*Wapato_Inventory[[#This Row],[overall_adj]]</f>
        <v>239624.26002901967</v>
      </c>
      <c r="CB793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93" s="3">
        <f>IF(ROUND(Wapato_Inventory[[#This Row],[adj_res]]*Lookups!$H$48,-2)&lt;Wapato_Inventory[[#This Row],[min_res]],Wapato_Inventory[[#This Row],[min_res]],ROUND(Wapato_Inventory[[#This Row],[adj_res]]*Lookups!$H$48,-2))</f>
        <v>227600</v>
      </c>
      <c r="CD793" s="3">
        <f>ROUND(Wapato_Inventory[[#This Row],[det_value]]*Lookups!$H$48,-2)</f>
        <v>5800</v>
      </c>
      <c r="CE793" s="3">
        <f>Wapato_Inventory[[#This Row],[final_res]]+Wapato_Inventory[[#This Row],[final_det]]</f>
        <v>233400</v>
      </c>
      <c r="CF793" s="3">
        <f>Wapato_Inventory[[#This Row],[crop_value]]+Wapato_Inventory[[#This Row],[final_land]]+Wapato_Inventory[[#This Row],[final_imp]]</f>
        <v>283600</v>
      </c>
      <c r="CH793" t="str">
        <f t="shared" si="12"/>
        <v>update valuation set market_land =50200, market_bldg=233400, market_total =283600, market_mdno =405, market_date ='9/10/2023' where link_id = (select link_id from parcel where parcel_year = '2024' and parcel_id = '19111514451');</v>
      </c>
    </row>
    <row r="794" spans="1:86" x14ac:dyDescent="0.25">
      <c r="A794">
        <v>19111514452</v>
      </c>
      <c r="B794">
        <v>0.13</v>
      </c>
      <c r="C794">
        <v>5862</v>
      </c>
      <c r="D794" t="s">
        <v>144</v>
      </c>
      <c r="E794" t="s">
        <v>54</v>
      </c>
      <c r="F794" t="s">
        <v>54</v>
      </c>
      <c r="G794">
        <v>3</v>
      </c>
      <c r="H794" t="s">
        <v>55</v>
      </c>
      <c r="I794">
        <v>114100</v>
      </c>
      <c r="J794">
        <v>31400</v>
      </c>
      <c r="K794">
        <v>0.13</v>
      </c>
      <c r="L794">
        <f>IF(Wapato_Inventory[[#This Row],[parcel_acres]]-Wapato_Inventory[[#This Row],[non_valued_acres]] =0,0,LN(Wapato_Inventory[[#This Row],[parcel_acres]]-Wapato_Inventory[[#This Row],[non_valued_acres]]))</f>
        <v>-2.0402208285265546</v>
      </c>
      <c r="M794">
        <v>0</v>
      </c>
      <c r="N794">
        <v>0</v>
      </c>
      <c r="O794">
        <v>0</v>
      </c>
      <c r="P794">
        <v>27904.037</v>
      </c>
      <c r="Q794">
        <v>74398</v>
      </c>
      <c r="R794" s="3">
        <f>(Wapato_Inventory[[#This Row],[ln_acres]]*Wapato_Inventory[[#This Row],[coeff]])+Wapato_Inventory[[#This Row],[const]]</f>
        <v>17467.602512624362</v>
      </c>
      <c r="S794" t="s">
        <v>66</v>
      </c>
      <c r="T794">
        <v>1</v>
      </c>
      <c r="U794" t="s">
        <v>71</v>
      </c>
      <c r="V794" t="s">
        <v>68</v>
      </c>
      <c r="W794">
        <v>0</v>
      </c>
      <c r="X794">
        <v>0</v>
      </c>
      <c r="Y794">
        <v>57</v>
      </c>
      <c r="Z794">
        <v>103</v>
      </c>
      <c r="AA794">
        <v>110</v>
      </c>
      <c r="AB794">
        <v>1500</v>
      </c>
      <c r="AC794">
        <v>1348</v>
      </c>
      <c r="AD794">
        <v>1024</v>
      </c>
      <c r="AE794">
        <v>0</v>
      </c>
      <c r="AF794">
        <v>0</v>
      </c>
      <c r="AG794">
        <v>324</v>
      </c>
      <c r="AH794">
        <v>324</v>
      </c>
      <c r="AI794">
        <v>0</v>
      </c>
      <c r="AJ794">
        <v>0</v>
      </c>
      <c r="AK794">
        <v>0</v>
      </c>
      <c r="AL794">
        <v>0</v>
      </c>
      <c r="AM794">
        <v>256</v>
      </c>
      <c r="AN794">
        <v>0</v>
      </c>
      <c r="AO794">
        <v>0</v>
      </c>
      <c r="AP794">
        <v>5</v>
      </c>
      <c r="AQ794">
        <v>0</v>
      </c>
      <c r="AR794">
        <v>0</v>
      </c>
      <c r="AS794" t="s">
        <v>59</v>
      </c>
      <c r="AT794">
        <v>1</v>
      </c>
      <c r="AU794" t="s">
        <v>64</v>
      </c>
      <c r="AV794" t="s">
        <v>65</v>
      </c>
      <c r="AW794">
        <v>0</v>
      </c>
      <c r="AX794">
        <v>3</v>
      </c>
      <c r="AY794">
        <v>0</v>
      </c>
      <c r="AZ794">
        <v>5800</v>
      </c>
      <c r="BA794">
        <v>100</v>
      </c>
      <c r="BB794">
        <v>100</v>
      </c>
      <c r="BC794">
        <v>100</v>
      </c>
      <c r="BD794">
        <v>100</v>
      </c>
      <c r="BE794">
        <v>1</v>
      </c>
      <c r="BF794">
        <v>15000</v>
      </c>
      <c r="BG794">
        <v>1000</v>
      </c>
      <c r="BH794" s="7">
        <f>ROUND(Wapato_Inventory[[#This Row],[detatched_value]]*Lookups!$B$22*Lookups!$H$48,-2)</f>
        <v>5200</v>
      </c>
      <c r="BI794" s="7">
        <f>ROUND(((Wapato_Inventory[[#This Row],[land_extract]]*Lookups!$B$3) +(Lookups!$B$2*0.5))*Lookups!$H$48,-2)</f>
        <v>52800</v>
      </c>
      <c r="BJ794" s="7">
        <f>IF(Wapato_Inventory[[#This Row],[bldg_style]]="",0,Lookups!$B$2*0.5)</f>
        <v>53765.27</v>
      </c>
      <c r="BK794" s="7">
        <f>_xlfn.IFNA(VLOOKUP(Wapato_Inventory[[#This Row],[quality]],Lookups!$H$2:$J$14,3,FALSE),0)</f>
        <v>28034</v>
      </c>
      <c r="BL794" s="7">
        <f>_xlfn.IFNA(VLOOKUP(Wapato_Inventory[[#This Row],[condition]],Lookups!$H$17:$J$24,3,FALSE),0)</f>
        <v>52231</v>
      </c>
      <c r="BM794" s="7">
        <f>Wapato_Inventory[[#This Row],[Age]]*Lookups!$B$16</f>
        <v>-38179.597099999999</v>
      </c>
      <c r="BN794" s="7">
        <f>Wapato_Inventory[[#This Row],[Main Floor]]*Lookups!$B$17</f>
        <v>42803.956736</v>
      </c>
      <c r="BO794" s="7">
        <f>Wapato_Inventory[[#This Row],[Upper Floor]]*Lookups!$B$18</f>
        <v>0</v>
      </c>
      <c r="BP794" s="7">
        <f>Wapato_Inventory[[#This Row],[Fin BSMT]]*Lookups!$B$19</f>
        <v>7894.8237600000002</v>
      </c>
      <c r="BQ794" s="7">
        <f>(Wapato_Inventory[[#This Row],[att_gar]]+Wapato_Inventory[[#This Row],[blt_gar]])*Lookups!$B$20</f>
        <v>0</v>
      </c>
      <c r="BR794" s="7">
        <f>Wapato_Inventory[[#This Row],[Patio]]*Lookups!$B$21</f>
        <v>11090.938624</v>
      </c>
      <c r="BS794" s="7">
        <f>SUM(Wapato_Inventory[[#This Row],[intercept]:[patio_value]])*Wapato_Inventory[[#This Row],[res_pct]]</f>
        <v>157640.39202</v>
      </c>
      <c r="BT794" s="7">
        <f>Wapato_Inventory[[#This Row],[land_value]]</f>
        <v>52800</v>
      </c>
      <c r="BU794" s="2">
        <f>_xlfn.IFNA(VLOOKUP(Wapato_Inventory[[#This Row],[quality]],Lookups!$A$28:$C$37,3,FALSE),1)</f>
        <v>0.96265813922927435</v>
      </c>
      <c r="BV794" s="2">
        <f>_xlfn.IFNA(VLOOKUP(Wapato_Inventory[[#This Row],[condition]],Lookups!$A$41:$C$48,3,FALSE),1)</f>
        <v>0.9832333997567807</v>
      </c>
      <c r="BW794" s="2">
        <f>IF(Wapato_Inventory[[#This Row],[decade]]="",1,_xlfn.IFNA(VLOOKUP(Wapato_Inventory[[#This Row],[decade]],Lookups!$F$28:$H$45,3,FALSE),1))</f>
        <v>0.93664589651353292</v>
      </c>
      <c r="BX794" s="2">
        <f>_xlfn.IFNA(VLOOKUP(Wapato_Inventory[[#This Row],[living_area_range]],Lookups!$K$28:$M$37,3,FALSE),1)</f>
        <v>1.0061411172456287</v>
      </c>
      <c r="BY794" s="2">
        <f>AVERAGE(Wapato_Inventory[[#This Row],[qual_adj]:[range_adj]])</f>
        <v>0.97216963818630409</v>
      </c>
      <c r="BZ794" s="7">
        <f>(Wapato_Inventory[[#This Row],[sum_land]]-IF(Wapato_Inventory[[#This Row],[no_utilities]]=1,12000,0))/IF(Wapato_Inventory[[#This Row],[unbuildable]]=1,2,1)</f>
        <v>52800</v>
      </c>
      <c r="CA794" s="7">
        <f>Wapato_Inventory[[#This Row],[pre_res]]*Wapato_Inventory[[#This Row],[overall_adj]]</f>
        <v>153253.20287363054</v>
      </c>
      <c r="CB794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794" s="3">
        <f>IF(ROUND(Wapato_Inventory[[#This Row],[adj_res]]*Lookups!$H$48,-2)&lt;Wapato_Inventory[[#This Row],[min_res]],Wapato_Inventory[[#This Row],[min_res]],ROUND(Wapato_Inventory[[#This Row],[adj_res]]*Lookups!$H$48,-2))</f>
        <v>145600</v>
      </c>
      <c r="CD794" s="3">
        <f>ROUND(Wapato_Inventory[[#This Row],[det_value]]*Lookups!$H$48,-2)</f>
        <v>4900</v>
      </c>
      <c r="CE794" s="3">
        <f>Wapato_Inventory[[#This Row],[final_res]]+Wapato_Inventory[[#This Row],[final_det]]</f>
        <v>150500</v>
      </c>
      <c r="CF794" s="3">
        <f>Wapato_Inventory[[#This Row],[crop_value]]+Wapato_Inventory[[#This Row],[final_land]]+Wapato_Inventory[[#This Row],[final_imp]]</f>
        <v>200700</v>
      </c>
      <c r="CH794" t="str">
        <f t="shared" si="12"/>
        <v>update valuation set market_land =50200, market_bldg=150500, market_total =200700, market_mdno =405, market_date ='9/10/2023' where link_id = (select link_id from parcel where parcel_year = '2024' and parcel_id = '19111514452');</v>
      </c>
    </row>
    <row r="795" spans="1:86" x14ac:dyDescent="0.25">
      <c r="A795">
        <v>19111514453</v>
      </c>
      <c r="B795">
        <v>0.14000000000000001</v>
      </c>
      <c r="C795">
        <v>5998</v>
      </c>
      <c r="D795" t="s">
        <v>144</v>
      </c>
      <c r="E795" t="s">
        <v>54</v>
      </c>
      <c r="F795" t="s">
        <v>54</v>
      </c>
      <c r="G795">
        <v>3</v>
      </c>
      <c r="H795" t="s">
        <v>55</v>
      </c>
      <c r="I795">
        <v>186800</v>
      </c>
      <c r="J795">
        <v>31900</v>
      </c>
      <c r="K795">
        <v>0.14000000000000001</v>
      </c>
      <c r="L795">
        <f>IF(Wapato_Inventory[[#This Row],[parcel_acres]]-Wapato_Inventory[[#This Row],[non_valued_acres]] =0,0,LN(Wapato_Inventory[[#This Row],[parcel_acres]]-Wapato_Inventory[[#This Row],[non_valued_acres]]))</f>
        <v>-1.9661128563728327</v>
      </c>
      <c r="M795">
        <v>0</v>
      </c>
      <c r="N795">
        <v>0</v>
      </c>
      <c r="O795">
        <v>0</v>
      </c>
      <c r="P795">
        <v>27904.037</v>
      </c>
      <c r="Q795">
        <v>74398</v>
      </c>
      <c r="R795" s="3">
        <f>(Wapato_Inventory[[#This Row],[ln_acres]]*Wapato_Inventory[[#This Row],[coeff]])+Wapato_Inventory[[#This Row],[const]]</f>
        <v>19535.514109596792</v>
      </c>
      <c r="S795" t="s">
        <v>156</v>
      </c>
      <c r="T795">
        <v>2</v>
      </c>
      <c r="U795" t="s">
        <v>67</v>
      </c>
      <c r="V795" t="s">
        <v>68</v>
      </c>
      <c r="W795">
        <v>0</v>
      </c>
      <c r="X795">
        <v>0</v>
      </c>
      <c r="Y795">
        <v>55</v>
      </c>
      <c r="Z795">
        <v>98</v>
      </c>
      <c r="AA795">
        <v>100</v>
      </c>
      <c r="AB795">
        <v>2500</v>
      </c>
      <c r="AC795">
        <v>2038</v>
      </c>
      <c r="AD795">
        <v>1238</v>
      </c>
      <c r="AE795">
        <v>800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200</v>
      </c>
      <c r="AM795">
        <v>0</v>
      </c>
      <c r="AN795">
        <v>100</v>
      </c>
      <c r="AO795">
        <v>200</v>
      </c>
      <c r="AP795">
        <v>8</v>
      </c>
      <c r="AQ795">
        <v>0</v>
      </c>
      <c r="AR795">
        <v>0</v>
      </c>
      <c r="AS795" t="s">
        <v>59</v>
      </c>
      <c r="AT795">
        <v>1</v>
      </c>
      <c r="AU795" t="s">
        <v>64</v>
      </c>
      <c r="AV795" t="s">
        <v>65</v>
      </c>
      <c r="AW795">
        <v>0</v>
      </c>
      <c r="AX795">
        <v>3</v>
      </c>
      <c r="AY795">
        <v>0</v>
      </c>
      <c r="AZ795">
        <v>8600</v>
      </c>
      <c r="BA795">
        <v>100</v>
      </c>
      <c r="BB795">
        <v>100</v>
      </c>
      <c r="BC795">
        <v>100</v>
      </c>
      <c r="BD795">
        <v>100</v>
      </c>
      <c r="BE795">
        <v>1</v>
      </c>
      <c r="BF795">
        <v>15000</v>
      </c>
      <c r="BG795">
        <v>1000</v>
      </c>
      <c r="BH795" s="7">
        <f>ROUND(Wapato_Inventory[[#This Row],[detatched_value]]*Lookups!$B$22*Lookups!$H$48,-2)</f>
        <v>7700</v>
      </c>
      <c r="BI795" s="7">
        <f>ROUND(((Wapato_Inventory[[#This Row],[land_extract]]*Lookups!$B$3) +(Lookups!$B$2*0.5))*Lookups!$H$48,-2)</f>
        <v>53000</v>
      </c>
      <c r="BJ795" s="7">
        <f>IF(Wapato_Inventory[[#This Row],[bldg_style]]="",0,Lookups!$B$2*0.5)</f>
        <v>53765.27</v>
      </c>
      <c r="BK795" s="7">
        <f>_xlfn.IFNA(VLOOKUP(Wapato_Inventory[[#This Row],[quality]],Lookups!$H$2:$J$14,3,FALSE),0)</f>
        <v>50405</v>
      </c>
      <c r="BL795" s="7">
        <f>_xlfn.IFNA(VLOOKUP(Wapato_Inventory[[#This Row],[condition]],Lookups!$H$17:$J$24,3,FALSE),0)</f>
        <v>52231</v>
      </c>
      <c r="BM795" s="7">
        <f>Wapato_Inventory[[#This Row],[Age]]*Lookups!$B$16</f>
        <v>-36326.2186</v>
      </c>
      <c r="BN795" s="7">
        <f>Wapato_Inventory[[#This Row],[Main Floor]]*Lookups!$B$17</f>
        <v>51749.314881999999</v>
      </c>
      <c r="BO795" s="7">
        <f>Wapato_Inventory[[#This Row],[Upper Floor]]*Lookups!$B$18</f>
        <v>39680.911200000002</v>
      </c>
      <c r="BP795" s="7">
        <f>Wapato_Inventory[[#This Row],[Fin BSMT]]*Lookups!$B$19</f>
        <v>0</v>
      </c>
      <c r="BQ795" s="7">
        <f>(Wapato_Inventory[[#This Row],[att_gar]]+Wapato_Inventory[[#This Row],[blt_gar]])*Lookups!$B$20</f>
        <v>0</v>
      </c>
      <c r="BR795" s="7">
        <f>Wapato_Inventory[[#This Row],[Patio]]*Lookups!$B$21</f>
        <v>0</v>
      </c>
      <c r="BS795" s="7">
        <f>SUM(Wapato_Inventory[[#This Row],[intercept]:[patio_value]])*Wapato_Inventory[[#This Row],[res_pct]]</f>
        <v>211505.277482</v>
      </c>
      <c r="BT795" s="7">
        <f>Wapato_Inventory[[#This Row],[land_value]]</f>
        <v>53000</v>
      </c>
      <c r="BU795" s="2">
        <f>_xlfn.IFNA(VLOOKUP(Wapato_Inventory[[#This Row],[quality]],Lookups!$A$28:$C$37,3,FALSE),1)</f>
        <v>0.97993206410140754</v>
      </c>
      <c r="BV795" s="2">
        <f>_xlfn.IFNA(VLOOKUP(Wapato_Inventory[[#This Row],[condition]],Lookups!$A$41:$C$48,3,FALSE),1)</f>
        <v>0.9832333997567807</v>
      </c>
      <c r="BW795" s="2">
        <f>IF(Wapato_Inventory[[#This Row],[decade]]="",1,_xlfn.IFNA(VLOOKUP(Wapato_Inventory[[#This Row],[decade]],Lookups!$F$28:$H$45,3,FALSE),1))</f>
        <v>1.0114203040664467</v>
      </c>
      <c r="BX795" s="2">
        <f>_xlfn.IFNA(VLOOKUP(Wapato_Inventory[[#This Row],[living_area_range]],Lookups!$K$28:$M$37,3,FALSE),1)</f>
        <v>0.90813907160181651</v>
      </c>
      <c r="BY795" s="2">
        <f>AVERAGE(Wapato_Inventory[[#This Row],[qual_adj]:[range_adj]])</f>
        <v>0.97068120988161288</v>
      </c>
      <c r="BZ795" s="7">
        <f>(Wapato_Inventory[[#This Row],[sum_land]]-IF(Wapato_Inventory[[#This Row],[no_utilities]]=1,12000,0))/IF(Wapato_Inventory[[#This Row],[unbuildable]]=1,2,1)</f>
        <v>53000</v>
      </c>
      <c r="CA795" s="7">
        <f>Wapato_Inventory[[#This Row],[pre_res]]*Wapato_Inventory[[#This Row],[overall_adj]]</f>
        <v>205304.19864257402</v>
      </c>
      <c r="CB79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95" s="3">
        <f>IF(ROUND(Wapato_Inventory[[#This Row],[adj_res]]*Lookups!$H$48,-2)&lt;Wapato_Inventory[[#This Row],[min_res]],Wapato_Inventory[[#This Row],[min_res]],ROUND(Wapato_Inventory[[#This Row],[adj_res]]*Lookups!$H$48,-2))</f>
        <v>195000</v>
      </c>
      <c r="CD795" s="3">
        <f>ROUND(Wapato_Inventory[[#This Row],[det_value]]*Lookups!$H$48,-2)</f>
        <v>7300</v>
      </c>
      <c r="CE795" s="3">
        <f>Wapato_Inventory[[#This Row],[final_res]]+Wapato_Inventory[[#This Row],[final_det]]</f>
        <v>202300</v>
      </c>
      <c r="CF795" s="3">
        <f>Wapato_Inventory[[#This Row],[crop_value]]+Wapato_Inventory[[#This Row],[final_land]]+Wapato_Inventory[[#This Row],[final_imp]]</f>
        <v>252700</v>
      </c>
      <c r="CH795" t="str">
        <f t="shared" si="12"/>
        <v>update valuation set market_land =50400, market_bldg=202300, market_total =252700, market_mdno =405, market_date ='9/10/2023' where link_id = (select link_id from parcel where parcel_year = '2024' and parcel_id = '19111514453');</v>
      </c>
    </row>
    <row r="796" spans="1:86" x14ac:dyDescent="0.25">
      <c r="A796">
        <v>19111514454</v>
      </c>
      <c r="B796">
        <v>0.14000000000000001</v>
      </c>
      <c r="C796">
        <v>6263</v>
      </c>
      <c r="D796" t="s">
        <v>144</v>
      </c>
      <c r="E796" t="s">
        <v>54</v>
      </c>
      <c r="F796" t="s">
        <v>54</v>
      </c>
      <c r="G796">
        <v>3</v>
      </c>
      <c r="H796" t="s">
        <v>55</v>
      </c>
      <c r="I796">
        <v>204000</v>
      </c>
      <c r="J796">
        <v>31900</v>
      </c>
      <c r="K796">
        <v>0.14000000000000001</v>
      </c>
      <c r="L796">
        <f>IF(Wapato_Inventory[[#This Row],[parcel_acres]]-Wapato_Inventory[[#This Row],[non_valued_acres]] =0,0,LN(Wapato_Inventory[[#This Row],[parcel_acres]]-Wapato_Inventory[[#This Row],[non_valued_acres]]))</f>
        <v>-1.9661128563728327</v>
      </c>
      <c r="M796">
        <v>0</v>
      </c>
      <c r="N796">
        <v>0</v>
      </c>
      <c r="O796">
        <v>0</v>
      </c>
      <c r="P796">
        <v>27904.037</v>
      </c>
      <c r="Q796">
        <v>74398</v>
      </c>
      <c r="R796" s="3">
        <f>(Wapato_Inventory[[#This Row],[ln_acres]]*Wapato_Inventory[[#This Row],[coeff]])+Wapato_Inventory[[#This Row],[const]]</f>
        <v>19535.514109596792</v>
      </c>
      <c r="S796" t="s">
        <v>56</v>
      </c>
      <c r="T796">
        <v>1</v>
      </c>
      <c r="U796" t="s">
        <v>67</v>
      </c>
      <c r="V796" t="s">
        <v>68</v>
      </c>
      <c r="W796">
        <v>0</v>
      </c>
      <c r="X796">
        <v>0</v>
      </c>
      <c r="Y796">
        <v>52</v>
      </c>
      <c r="Z796">
        <v>88</v>
      </c>
      <c r="AA796">
        <v>90</v>
      </c>
      <c r="AB796">
        <v>2000</v>
      </c>
      <c r="AC796">
        <v>1526</v>
      </c>
      <c r="AD796">
        <v>1426</v>
      </c>
      <c r="AE796">
        <v>0</v>
      </c>
      <c r="AF796">
        <v>0</v>
      </c>
      <c r="AG796">
        <v>100</v>
      </c>
      <c r="AH796">
        <v>900</v>
      </c>
      <c r="AI796">
        <v>0</v>
      </c>
      <c r="AJ796"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5</v>
      </c>
      <c r="AQ796">
        <v>0</v>
      </c>
      <c r="AR796">
        <v>1</v>
      </c>
      <c r="AS796" t="s">
        <v>79</v>
      </c>
      <c r="AT796">
        <v>1</v>
      </c>
      <c r="AU796" t="s">
        <v>64</v>
      </c>
      <c r="AV796" t="s">
        <v>65</v>
      </c>
      <c r="AW796">
        <v>0</v>
      </c>
      <c r="AX796">
        <v>5</v>
      </c>
      <c r="AY796">
        <v>0</v>
      </c>
      <c r="AZ796">
        <v>4000</v>
      </c>
      <c r="BA796">
        <v>100</v>
      </c>
      <c r="BB796">
        <v>100</v>
      </c>
      <c r="BC796">
        <v>100</v>
      </c>
      <c r="BD796">
        <v>100</v>
      </c>
      <c r="BE796">
        <v>1</v>
      </c>
      <c r="BF796">
        <v>15000</v>
      </c>
      <c r="BG796">
        <v>1000</v>
      </c>
      <c r="BH796" s="7">
        <f>ROUND(Wapato_Inventory[[#This Row],[detatched_value]]*Lookups!$B$22*Lookups!$H$48,-2)</f>
        <v>3600</v>
      </c>
      <c r="BI796" s="7">
        <f>ROUND(((Wapato_Inventory[[#This Row],[land_extract]]*Lookups!$B$3) +(Lookups!$B$2*0.5))*Lookups!$H$48,-2)</f>
        <v>53000</v>
      </c>
      <c r="BJ796" s="7">
        <f>IF(Wapato_Inventory[[#This Row],[bldg_style]]="",0,Lookups!$B$2*0.5)</f>
        <v>53765.27</v>
      </c>
      <c r="BK796" s="7">
        <f>_xlfn.IFNA(VLOOKUP(Wapato_Inventory[[#This Row],[quality]],Lookups!$H$2:$J$14,3,FALSE),0)</f>
        <v>50405</v>
      </c>
      <c r="BL796" s="7">
        <f>_xlfn.IFNA(VLOOKUP(Wapato_Inventory[[#This Row],[condition]],Lookups!$H$17:$J$24,3,FALSE),0)</f>
        <v>52231</v>
      </c>
      <c r="BM796" s="7">
        <f>Wapato_Inventory[[#This Row],[Age]]*Lookups!$B$16</f>
        <v>-32619.461600000002</v>
      </c>
      <c r="BN796" s="7">
        <f>Wapato_Inventory[[#This Row],[Main Floor]]*Lookups!$B$17</f>
        <v>59607.853814000002</v>
      </c>
      <c r="BO796" s="7">
        <f>Wapato_Inventory[[#This Row],[Upper Floor]]*Lookups!$B$18</f>
        <v>0</v>
      </c>
      <c r="BP796" s="7">
        <f>Wapato_Inventory[[#This Row],[Fin BSMT]]*Lookups!$B$19</f>
        <v>2436.674</v>
      </c>
      <c r="BQ796" s="7">
        <f>(Wapato_Inventory[[#This Row],[att_gar]]+Wapato_Inventory[[#This Row],[blt_gar]])*Lookups!$B$20</f>
        <v>0</v>
      </c>
      <c r="BR796" s="7">
        <f>Wapato_Inventory[[#This Row],[Patio]]*Lookups!$B$21</f>
        <v>0</v>
      </c>
      <c r="BS796" s="7">
        <f>SUM(Wapato_Inventory[[#This Row],[intercept]:[patio_value]])*Wapato_Inventory[[#This Row],[res_pct]]</f>
        <v>185826.33621399998</v>
      </c>
      <c r="BT796" s="7">
        <f>Wapato_Inventory[[#This Row],[land_value]]</f>
        <v>53000</v>
      </c>
      <c r="BU796" s="2">
        <f>_xlfn.IFNA(VLOOKUP(Wapato_Inventory[[#This Row],[quality]],Lookups!$A$28:$C$37,3,FALSE),1)</f>
        <v>0.97993206410140754</v>
      </c>
      <c r="BV796" s="2">
        <f>_xlfn.IFNA(VLOOKUP(Wapato_Inventory[[#This Row],[condition]],Lookups!$A$41:$C$48,3,FALSE),1)</f>
        <v>0.9832333997567807</v>
      </c>
      <c r="BW796" s="2">
        <f>IF(Wapato_Inventory[[#This Row],[decade]]="",1,_xlfn.IFNA(VLOOKUP(Wapato_Inventory[[#This Row],[decade]],Lookups!$F$28:$H$45,3,FALSE),1))</f>
        <v>0.94742695999815718</v>
      </c>
      <c r="BX796" s="2">
        <f>_xlfn.IFNA(VLOOKUP(Wapato_Inventory[[#This Row],[living_area_range]],Lookups!$K$28:$M$37,3,FALSE),1)</f>
        <v>0.99330894324714125</v>
      </c>
      <c r="BY796" s="2">
        <f>AVERAGE(Wapato_Inventory[[#This Row],[qual_adj]:[range_adj]])</f>
        <v>0.97597534177587164</v>
      </c>
      <c r="BZ796" s="7">
        <f>(Wapato_Inventory[[#This Row],[sum_land]]-IF(Wapato_Inventory[[#This Row],[no_utilities]]=1,12000,0))/IF(Wapato_Inventory[[#This Row],[unbuildable]]=1,2,1)</f>
        <v>53000</v>
      </c>
      <c r="CA796" s="7">
        <f>Wapato_Inventory[[#This Row],[pre_res]]*Wapato_Inventory[[#This Row],[overall_adj]]</f>
        <v>181361.92199741668</v>
      </c>
      <c r="CB79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96" s="3">
        <f>IF(ROUND(Wapato_Inventory[[#This Row],[adj_res]]*Lookups!$H$48,-2)&lt;Wapato_Inventory[[#This Row],[min_res]],Wapato_Inventory[[#This Row],[min_res]],ROUND(Wapato_Inventory[[#This Row],[adj_res]]*Lookups!$H$48,-2))</f>
        <v>172300</v>
      </c>
      <c r="CD796" s="3">
        <f>ROUND(Wapato_Inventory[[#This Row],[det_value]]*Lookups!$H$48,-2)</f>
        <v>3400</v>
      </c>
      <c r="CE796" s="3">
        <f>Wapato_Inventory[[#This Row],[final_res]]+Wapato_Inventory[[#This Row],[final_det]]</f>
        <v>175700</v>
      </c>
      <c r="CF796" s="3">
        <f>Wapato_Inventory[[#This Row],[crop_value]]+Wapato_Inventory[[#This Row],[final_land]]+Wapato_Inventory[[#This Row],[final_imp]]</f>
        <v>226100</v>
      </c>
      <c r="CH796" t="str">
        <f t="shared" si="12"/>
        <v>update valuation set market_land =50400, market_bldg=175700, market_total =226100, market_mdno =405, market_date ='9/10/2023' where link_id = (select link_id from parcel where parcel_year = '2024' and parcel_id = '19111514454');</v>
      </c>
    </row>
    <row r="797" spans="1:86" x14ac:dyDescent="0.25">
      <c r="A797">
        <v>19111514455</v>
      </c>
      <c r="B797">
        <v>0.14000000000000001</v>
      </c>
      <c r="C797">
        <v>6262</v>
      </c>
      <c r="D797" t="s">
        <v>144</v>
      </c>
      <c r="E797" t="s">
        <v>54</v>
      </c>
      <c r="F797" t="s">
        <v>54</v>
      </c>
      <c r="G797">
        <v>3</v>
      </c>
      <c r="H797" t="s">
        <v>55</v>
      </c>
      <c r="I797">
        <v>163900</v>
      </c>
      <c r="J797">
        <v>31900</v>
      </c>
      <c r="K797">
        <v>0.14000000000000001</v>
      </c>
      <c r="L797">
        <f>IF(Wapato_Inventory[[#This Row],[parcel_acres]]-Wapato_Inventory[[#This Row],[non_valued_acres]] =0,0,LN(Wapato_Inventory[[#This Row],[parcel_acres]]-Wapato_Inventory[[#This Row],[non_valued_acres]]))</f>
        <v>-1.9661128563728327</v>
      </c>
      <c r="M797">
        <v>0</v>
      </c>
      <c r="N797">
        <v>0</v>
      </c>
      <c r="O797">
        <v>0</v>
      </c>
      <c r="P797">
        <v>27904.037</v>
      </c>
      <c r="Q797">
        <v>74398</v>
      </c>
      <c r="R797" s="3">
        <f>(Wapato_Inventory[[#This Row],[ln_acres]]*Wapato_Inventory[[#This Row],[coeff]])+Wapato_Inventory[[#This Row],[const]]</f>
        <v>19535.514109596792</v>
      </c>
      <c r="S797" t="s">
        <v>66</v>
      </c>
      <c r="T797">
        <v>1</v>
      </c>
      <c r="U797" t="s">
        <v>75</v>
      </c>
      <c r="V797" t="s">
        <v>68</v>
      </c>
      <c r="W797">
        <v>0</v>
      </c>
      <c r="X797">
        <v>0</v>
      </c>
      <c r="Y797">
        <v>55</v>
      </c>
      <c r="Z797">
        <v>98</v>
      </c>
      <c r="AA797">
        <v>100</v>
      </c>
      <c r="AB797">
        <v>2000</v>
      </c>
      <c r="AC797">
        <v>1505</v>
      </c>
      <c r="AD797">
        <v>1204</v>
      </c>
      <c r="AE797">
        <v>0</v>
      </c>
      <c r="AF797">
        <v>0</v>
      </c>
      <c r="AG797">
        <v>301</v>
      </c>
      <c r="AH797">
        <v>301</v>
      </c>
      <c r="AI797">
        <v>0</v>
      </c>
      <c r="AJ797">
        <v>0</v>
      </c>
      <c r="AK797">
        <v>0</v>
      </c>
      <c r="AL797">
        <v>0</v>
      </c>
      <c r="AM797">
        <v>0</v>
      </c>
      <c r="AN797">
        <v>128</v>
      </c>
      <c r="AO797">
        <v>0</v>
      </c>
      <c r="AP797">
        <v>5</v>
      </c>
      <c r="AQ797">
        <v>0</v>
      </c>
      <c r="AR797">
        <v>1</v>
      </c>
      <c r="AS797" t="s">
        <v>59</v>
      </c>
      <c r="AT797">
        <v>1</v>
      </c>
      <c r="AU797" t="s">
        <v>64</v>
      </c>
      <c r="AV797" t="s">
        <v>77</v>
      </c>
      <c r="AW797">
        <v>0</v>
      </c>
      <c r="AX797">
        <v>3</v>
      </c>
      <c r="AY797">
        <v>0</v>
      </c>
      <c r="AZ797">
        <v>10700</v>
      </c>
      <c r="BA797">
        <v>100</v>
      </c>
      <c r="BB797">
        <v>100</v>
      </c>
      <c r="BC797">
        <v>100</v>
      </c>
      <c r="BD797">
        <v>100</v>
      </c>
      <c r="BE797">
        <v>1</v>
      </c>
      <c r="BF797">
        <v>15000</v>
      </c>
      <c r="BG797">
        <v>1000</v>
      </c>
      <c r="BH797" s="7">
        <f>ROUND(Wapato_Inventory[[#This Row],[detatched_value]]*Lookups!$B$22*Lookups!$H$48,-2)</f>
        <v>9600</v>
      </c>
      <c r="BI797" s="7">
        <f>ROUND(((Wapato_Inventory[[#This Row],[land_extract]]*Lookups!$B$3) +(Lookups!$B$2*0.5))*Lookups!$H$48,-2)</f>
        <v>53000</v>
      </c>
      <c r="BJ797" s="7">
        <f>IF(Wapato_Inventory[[#This Row],[bldg_style]]="",0,Lookups!$B$2*0.5)</f>
        <v>53765.27</v>
      </c>
      <c r="BK797" s="7">
        <f>_xlfn.IFNA(VLOOKUP(Wapato_Inventory[[#This Row],[quality]],Lookups!$H$2:$J$14,3,FALSE),0)</f>
        <v>48043</v>
      </c>
      <c r="BL797" s="7">
        <f>_xlfn.IFNA(VLOOKUP(Wapato_Inventory[[#This Row],[condition]],Lookups!$H$17:$J$24,3,FALSE),0)</f>
        <v>52231</v>
      </c>
      <c r="BM797" s="7">
        <f>Wapato_Inventory[[#This Row],[Age]]*Lookups!$B$16</f>
        <v>-36326.2186</v>
      </c>
      <c r="BN797" s="7">
        <f>Wapato_Inventory[[#This Row],[Main Floor]]*Lookups!$B$17</f>
        <v>50328.089756000001</v>
      </c>
      <c r="BO797" s="7">
        <f>Wapato_Inventory[[#This Row],[Upper Floor]]*Lookups!$B$18</f>
        <v>0</v>
      </c>
      <c r="BP797" s="7">
        <f>Wapato_Inventory[[#This Row],[Fin BSMT]]*Lookups!$B$19</f>
        <v>7334.3887400000003</v>
      </c>
      <c r="BQ797" s="7">
        <f>(Wapato_Inventory[[#This Row],[att_gar]]+Wapato_Inventory[[#This Row],[blt_gar]])*Lookups!$B$20</f>
        <v>0</v>
      </c>
      <c r="BR797" s="7">
        <f>Wapato_Inventory[[#This Row],[Patio]]*Lookups!$B$21</f>
        <v>0</v>
      </c>
      <c r="BS797" s="7">
        <f>SUM(Wapato_Inventory[[#This Row],[intercept]:[patio_value]])*Wapato_Inventory[[#This Row],[res_pct]]</f>
        <v>175375.52989599999</v>
      </c>
      <c r="BT797" s="7">
        <f>Wapato_Inventory[[#This Row],[land_value]]</f>
        <v>53000</v>
      </c>
      <c r="BU797" s="2">
        <f>_xlfn.IFNA(VLOOKUP(Wapato_Inventory[[#This Row],[quality]],Lookups!$A$28:$C$37,3,FALSE),1)</f>
        <v>0.98196844879778955</v>
      </c>
      <c r="BV797" s="2">
        <f>_xlfn.IFNA(VLOOKUP(Wapato_Inventory[[#This Row],[condition]],Lookups!$A$41:$C$48,3,FALSE),1)</f>
        <v>0.9832333997567807</v>
      </c>
      <c r="BW797" s="2">
        <f>IF(Wapato_Inventory[[#This Row],[decade]]="",1,_xlfn.IFNA(VLOOKUP(Wapato_Inventory[[#This Row],[decade]],Lookups!$F$28:$H$45,3,FALSE),1))</f>
        <v>1.0114203040664467</v>
      </c>
      <c r="BX797" s="2">
        <f>_xlfn.IFNA(VLOOKUP(Wapato_Inventory[[#This Row],[living_area_range]],Lookups!$K$28:$M$37,3,FALSE),1)</f>
        <v>0.99330894324714125</v>
      </c>
      <c r="BY797" s="2">
        <f>AVERAGE(Wapato_Inventory[[#This Row],[qual_adj]:[range_adj]])</f>
        <v>0.99248277396703954</v>
      </c>
      <c r="BZ797" s="7">
        <f>(Wapato_Inventory[[#This Row],[sum_land]]-IF(Wapato_Inventory[[#This Row],[no_utilities]]=1,12000,0))/IF(Wapato_Inventory[[#This Row],[unbuildable]]=1,2,1)</f>
        <v>53000</v>
      </c>
      <c r="CA797" s="7">
        <f>Wapato_Inventory[[#This Row],[pre_res]]*Wapato_Inventory[[#This Row],[overall_adj]]</f>
        <v>174057.19239712154</v>
      </c>
      <c r="CB79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97" s="3">
        <f>IF(ROUND(Wapato_Inventory[[#This Row],[adj_res]]*Lookups!$H$48,-2)&lt;Wapato_Inventory[[#This Row],[min_res]],Wapato_Inventory[[#This Row],[min_res]],ROUND(Wapato_Inventory[[#This Row],[adj_res]]*Lookups!$H$48,-2))</f>
        <v>165400</v>
      </c>
      <c r="CD797" s="3">
        <f>ROUND(Wapato_Inventory[[#This Row],[det_value]]*Lookups!$H$48,-2)</f>
        <v>9100</v>
      </c>
      <c r="CE797" s="3">
        <f>Wapato_Inventory[[#This Row],[final_res]]+Wapato_Inventory[[#This Row],[final_det]]</f>
        <v>174500</v>
      </c>
      <c r="CF797" s="3">
        <f>Wapato_Inventory[[#This Row],[crop_value]]+Wapato_Inventory[[#This Row],[final_land]]+Wapato_Inventory[[#This Row],[final_imp]]</f>
        <v>224900</v>
      </c>
      <c r="CH797" t="str">
        <f t="shared" si="12"/>
        <v>update valuation set market_land =50400, market_bldg=174500, market_total =224900, market_mdno =405, market_date ='9/10/2023' where link_id = (select link_id from parcel where parcel_year = '2024' and parcel_id = '19111514455');</v>
      </c>
    </row>
    <row r="798" spans="1:86" x14ac:dyDescent="0.25">
      <c r="A798">
        <v>19111514456</v>
      </c>
      <c r="B798">
        <v>0.3</v>
      </c>
      <c r="C798">
        <v>12860</v>
      </c>
      <c r="D798" t="s">
        <v>144</v>
      </c>
      <c r="E798" t="s">
        <v>54</v>
      </c>
      <c r="F798" t="s">
        <v>54</v>
      </c>
      <c r="G798">
        <v>3</v>
      </c>
      <c r="H798" t="s">
        <v>55</v>
      </c>
      <c r="I798">
        <v>207100</v>
      </c>
      <c r="J798">
        <v>37300</v>
      </c>
      <c r="K798">
        <v>0.3</v>
      </c>
      <c r="L798">
        <f>IF(Wapato_Inventory[[#This Row],[parcel_acres]]-Wapato_Inventory[[#This Row],[non_valued_acres]] =0,0,LN(Wapato_Inventory[[#This Row],[parcel_acres]]-Wapato_Inventory[[#This Row],[non_valued_acres]]))</f>
        <v>-1.2039728043259361</v>
      </c>
      <c r="M798">
        <v>0</v>
      </c>
      <c r="N798">
        <v>0</v>
      </c>
      <c r="O798">
        <v>0</v>
      </c>
      <c r="P798">
        <v>27904.037</v>
      </c>
      <c r="Q798">
        <v>74398</v>
      </c>
      <c r="R798" s="3">
        <f>(Wapato_Inventory[[#This Row],[ln_acres]]*Wapato_Inventory[[#This Row],[coeff]])+Wapato_Inventory[[#This Row],[const]]</f>
        <v>40802.298321095317</v>
      </c>
      <c r="S798" t="s">
        <v>145</v>
      </c>
      <c r="T798">
        <v>1</v>
      </c>
      <c r="U798" t="s">
        <v>63</v>
      </c>
      <c r="V798" t="s">
        <v>69</v>
      </c>
      <c r="W798">
        <v>0</v>
      </c>
      <c r="X798">
        <v>0</v>
      </c>
      <c r="Y798">
        <v>66</v>
      </c>
      <c r="Z798">
        <v>114</v>
      </c>
      <c r="AA798">
        <v>120</v>
      </c>
      <c r="AB798">
        <v>1500</v>
      </c>
      <c r="AC798">
        <v>1179</v>
      </c>
      <c r="AD798">
        <v>1179</v>
      </c>
      <c r="AE798">
        <v>0</v>
      </c>
      <c r="AF798">
        <v>0</v>
      </c>
      <c r="AG798">
        <v>0</v>
      </c>
      <c r="AH798">
        <v>586</v>
      </c>
      <c r="AI798">
        <v>0</v>
      </c>
      <c r="AJ798">
        <v>0</v>
      </c>
      <c r="AK798">
        <v>0</v>
      </c>
      <c r="AL798">
        <v>201</v>
      </c>
      <c r="AM798">
        <v>0</v>
      </c>
      <c r="AN798">
        <v>91</v>
      </c>
      <c r="AO798">
        <v>0</v>
      </c>
      <c r="AP798">
        <v>7</v>
      </c>
      <c r="AQ798">
        <v>0</v>
      </c>
      <c r="AR798">
        <v>1</v>
      </c>
      <c r="AS798" t="s">
        <v>59</v>
      </c>
      <c r="AT798">
        <v>1</v>
      </c>
      <c r="AU798" t="s">
        <v>64</v>
      </c>
      <c r="AV798" t="s">
        <v>65</v>
      </c>
      <c r="AW798">
        <v>1</v>
      </c>
      <c r="AX798">
        <v>3</v>
      </c>
      <c r="AY798">
        <v>0</v>
      </c>
      <c r="AZ798">
        <v>35000</v>
      </c>
      <c r="BA798">
        <v>100</v>
      </c>
      <c r="BB798">
        <v>100</v>
      </c>
      <c r="BC798">
        <v>100</v>
      </c>
      <c r="BD798">
        <v>100</v>
      </c>
      <c r="BE798">
        <v>1</v>
      </c>
      <c r="BF798">
        <v>15000</v>
      </c>
      <c r="BG798">
        <v>1000</v>
      </c>
      <c r="BH798" s="7">
        <f>ROUND(Wapato_Inventory[[#This Row],[detatched_value]]*Lookups!$B$22*Lookups!$H$48,-2)</f>
        <v>31300</v>
      </c>
      <c r="BI798" s="7">
        <f>ROUND(((Wapato_Inventory[[#This Row],[land_extract]]*Lookups!$B$3) +(Lookups!$B$2*0.5))*Lookups!$H$48,-2)</f>
        <v>55000</v>
      </c>
      <c r="BJ798" s="7">
        <f>IF(Wapato_Inventory[[#This Row],[bldg_style]]="",0,Lookups!$B$2*0.5)</f>
        <v>53765.27</v>
      </c>
      <c r="BK798" s="7">
        <f>_xlfn.IFNA(VLOOKUP(Wapato_Inventory[[#This Row],[quality]],Lookups!$H$2:$J$14,3,FALSE),0)</f>
        <v>50594</v>
      </c>
      <c r="BL798" s="7">
        <f>_xlfn.IFNA(VLOOKUP(Wapato_Inventory[[#This Row],[condition]],Lookups!$H$17:$J$24,3,FALSE),0)</f>
        <v>74543</v>
      </c>
      <c r="BM798" s="7">
        <f>Wapato_Inventory[[#This Row],[Age]]*Lookups!$B$16</f>
        <v>-42257.029800000004</v>
      </c>
      <c r="BN798" s="7">
        <f>Wapato_Inventory[[#This Row],[Main Floor]]*Lookups!$B$17</f>
        <v>49283.071280999997</v>
      </c>
      <c r="BO798" s="7">
        <f>Wapato_Inventory[[#This Row],[Upper Floor]]*Lookups!$B$18</f>
        <v>0</v>
      </c>
      <c r="BP798" s="7">
        <f>Wapato_Inventory[[#This Row],[Fin BSMT]]*Lookups!$B$19</f>
        <v>0</v>
      </c>
      <c r="BQ798" s="7">
        <f>(Wapato_Inventory[[#This Row],[att_gar]]+Wapato_Inventory[[#This Row],[blt_gar]])*Lookups!$B$20</f>
        <v>0</v>
      </c>
      <c r="BR798" s="7">
        <f>Wapato_Inventory[[#This Row],[Patio]]*Lookups!$B$21</f>
        <v>0</v>
      </c>
      <c r="BS798" s="7">
        <f>SUM(Wapato_Inventory[[#This Row],[intercept]:[patio_value]])*Wapato_Inventory[[#This Row],[res_pct]]</f>
        <v>185928.31148099998</v>
      </c>
      <c r="BT798" s="7">
        <f>Wapato_Inventory[[#This Row],[land_value]]</f>
        <v>55000</v>
      </c>
      <c r="BU798" s="2">
        <f>_xlfn.IFNA(VLOOKUP(Wapato_Inventory[[#This Row],[quality]],Lookups!$A$28:$C$37,3,FALSE),1)</f>
        <v>0.99197423394367223</v>
      </c>
      <c r="BV798" s="2">
        <f>_xlfn.IFNA(VLOOKUP(Wapato_Inventory[[#This Row],[condition]],Lookups!$A$41:$C$48,3,FALSE),1)</f>
        <v>0.98442438223270734</v>
      </c>
      <c r="BW798" s="2">
        <f>IF(Wapato_Inventory[[#This Row],[decade]]="",1,_xlfn.IFNA(VLOOKUP(Wapato_Inventory[[#This Row],[decade]],Lookups!$F$28:$H$45,3,FALSE),1))</f>
        <v>0.93664589651353292</v>
      </c>
      <c r="BX798" s="2">
        <f>_xlfn.IFNA(VLOOKUP(Wapato_Inventory[[#This Row],[living_area_range]],Lookups!$K$28:$M$37,3,FALSE),1)</f>
        <v>1.0061411172456287</v>
      </c>
      <c r="BY798" s="2">
        <f>AVERAGE(Wapato_Inventory[[#This Row],[qual_adj]:[range_adj]])</f>
        <v>0.9797964074838853</v>
      </c>
      <c r="BZ798" s="7">
        <f>(Wapato_Inventory[[#This Row],[sum_land]]-IF(Wapato_Inventory[[#This Row],[no_utilities]]=1,12000,0))/IF(Wapato_Inventory[[#This Row],[unbuildable]]=1,2,1)</f>
        <v>55000</v>
      </c>
      <c r="CA798" s="7">
        <f>Wapato_Inventory[[#This Row],[pre_res]]*Wapato_Inventory[[#This Row],[overall_adj]]</f>
        <v>182171.89163862861</v>
      </c>
      <c r="CB798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798" s="3">
        <f>IF(ROUND(Wapato_Inventory[[#This Row],[adj_res]]*Lookups!$H$48,-2)&lt;Wapato_Inventory[[#This Row],[min_res]],Wapato_Inventory[[#This Row],[min_res]],ROUND(Wapato_Inventory[[#This Row],[adj_res]]*Lookups!$H$48,-2))</f>
        <v>173100</v>
      </c>
      <c r="CD798" s="3">
        <f>ROUND(Wapato_Inventory[[#This Row],[det_value]]*Lookups!$H$48,-2)</f>
        <v>29700</v>
      </c>
      <c r="CE798" s="3">
        <f>Wapato_Inventory[[#This Row],[final_res]]+Wapato_Inventory[[#This Row],[final_det]]</f>
        <v>202800</v>
      </c>
      <c r="CF798" s="3">
        <f>Wapato_Inventory[[#This Row],[crop_value]]+Wapato_Inventory[[#This Row],[final_land]]+Wapato_Inventory[[#This Row],[final_imp]]</f>
        <v>255100</v>
      </c>
      <c r="CH798" t="str">
        <f t="shared" si="12"/>
        <v>update valuation set market_land =52300, market_bldg=202800, market_total =255100, market_mdno =405, market_date ='9/10/2023' where link_id = (select link_id from parcel where parcel_year = '2024' and parcel_id = '19111514456');</v>
      </c>
    </row>
    <row r="799" spans="1:86" x14ac:dyDescent="0.25">
      <c r="A799">
        <v>19111514457</v>
      </c>
      <c r="B799">
        <v>0.15</v>
      </c>
      <c r="C799">
        <v>6365</v>
      </c>
      <c r="D799" t="s">
        <v>144</v>
      </c>
      <c r="E799" t="s">
        <v>54</v>
      </c>
      <c r="F799" t="s">
        <v>54</v>
      </c>
      <c r="G799">
        <v>3</v>
      </c>
      <c r="H799" t="s">
        <v>55</v>
      </c>
      <c r="I799">
        <v>131700</v>
      </c>
      <c r="J799">
        <v>32300</v>
      </c>
      <c r="K799">
        <v>0.15</v>
      </c>
      <c r="L799">
        <f>IF(Wapato_Inventory[[#This Row],[parcel_acres]]-Wapato_Inventory[[#This Row],[non_valued_acres]] =0,0,LN(Wapato_Inventory[[#This Row],[parcel_acres]]-Wapato_Inventory[[#This Row],[non_valued_acres]]))</f>
        <v>-1.8971199848858813</v>
      </c>
      <c r="M799">
        <v>0</v>
      </c>
      <c r="N799">
        <v>0</v>
      </c>
      <c r="O799">
        <v>0</v>
      </c>
      <c r="P799">
        <v>27904.037</v>
      </c>
      <c r="Q799">
        <v>74398</v>
      </c>
      <c r="R799" s="3">
        <f>(Wapato_Inventory[[#This Row],[ln_acres]]*Wapato_Inventory[[#This Row],[coeff]])+Wapato_Inventory[[#This Row],[const]]</f>
        <v>21460.693748304926</v>
      </c>
      <c r="S799" t="s">
        <v>66</v>
      </c>
      <c r="T799">
        <v>1</v>
      </c>
      <c r="U799" t="s">
        <v>75</v>
      </c>
      <c r="V799" t="s">
        <v>68</v>
      </c>
      <c r="W799">
        <v>0</v>
      </c>
      <c r="X799">
        <v>0</v>
      </c>
      <c r="Y799">
        <v>65</v>
      </c>
      <c r="Z799">
        <v>113</v>
      </c>
      <c r="AA799">
        <v>120</v>
      </c>
      <c r="AB799">
        <v>1500</v>
      </c>
      <c r="AC799">
        <v>1028</v>
      </c>
      <c r="AD799">
        <v>1028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v>0</v>
      </c>
      <c r="AK799">
        <v>0</v>
      </c>
      <c r="AL799">
        <v>0</v>
      </c>
      <c r="AM799">
        <v>0</v>
      </c>
      <c r="AN799">
        <v>120</v>
      </c>
      <c r="AO799">
        <v>0</v>
      </c>
      <c r="AP799">
        <v>5</v>
      </c>
      <c r="AQ799">
        <v>0</v>
      </c>
      <c r="AR799">
        <v>0</v>
      </c>
      <c r="AS799" t="s">
        <v>59</v>
      </c>
      <c r="AT799">
        <v>1</v>
      </c>
      <c r="AU799" t="s">
        <v>72</v>
      </c>
      <c r="AV799" t="s">
        <v>61</v>
      </c>
      <c r="AW799">
        <v>0</v>
      </c>
      <c r="AX799">
        <v>2</v>
      </c>
      <c r="AY799">
        <v>0</v>
      </c>
      <c r="AZ799">
        <v>3800</v>
      </c>
      <c r="BA799">
        <v>100</v>
      </c>
      <c r="BB799">
        <v>100</v>
      </c>
      <c r="BC799">
        <v>100</v>
      </c>
      <c r="BD799">
        <v>100</v>
      </c>
      <c r="BE799">
        <v>1</v>
      </c>
      <c r="BF799">
        <v>15000</v>
      </c>
      <c r="BG799">
        <v>1000</v>
      </c>
      <c r="BH799" s="7">
        <f>ROUND(Wapato_Inventory[[#This Row],[detatched_value]]*Lookups!$B$22*Lookups!$H$48,-2)</f>
        <v>3400</v>
      </c>
      <c r="BI799" s="7">
        <f>ROUND(((Wapato_Inventory[[#This Row],[land_extract]]*Lookups!$B$3) +(Lookups!$B$2*0.5))*Lookups!$H$48,-2)</f>
        <v>53100</v>
      </c>
      <c r="BJ799" s="7">
        <f>IF(Wapato_Inventory[[#This Row],[bldg_style]]="",0,Lookups!$B$2*0.5)</f>
        <v>53765.27</v>
      </c>
      <c r="BK799" s="7">
        <f>_xlfn.IFNA(VLOOKUP(Wapato_Inventory[[#This Row],[quality]],Lookups!$H$2:$J$14,3,FALSE),0)</f>
        <v>48043</v>
      </c>
      <c r="BL799" s="7">
        <f>_xlfn.IFNA(VLOOKUP(Wapato_Inventory[[#This Row],[condition]],Lookups!$H$17:$J$24,3,FALSE),0)</f>
        <v>52231</v>
      </c>
      <c r="BM799" s="7">
        <f>Wapato_Inventory[[#This Row],[Age]]*Lookups!$B$16</f>
        <v>-41886.354100000004</v>
      </c>
      <c r="BN799" s="7">
        <f>Wapato_Inventory[[#This Row],[Main Floor]]*Lookups!$B$17</f>
        <v>42971.159692000001</v>
      </c>
      <c r="BO799" s="7">
        <f>Wapato_Inventory[[#This Row],[Upper Floor]]*Lookups!$B$18</f>
        <v>0</v>
      </c>
      <c r="BP799" s="7">
        <f>Wapato_Inventory[[#This Row],[Fin BSMT]]*Lookups!$B$19</f>
        <v>0</v>
      </c>
      <c r="BQ799" s="7">
        <f>(Wapato_Inventory[[#This Row],[att_gar]]+Wapato_Inventory[[#This Row],[blt_gar]])*Lookups!$B$20</f>
        <v>0</v>
      </c>
      <c r="BR799" s="7">
        <f>Wapato_Inventory[[#This Row],[Patio]]*Lookups!$B$21</f>
        <v>0</v>
      </c>
      <c r="BS799" s="7">
        <f>SUM(Wapato_Inventory[[#This Row],[intercept]:[patio_value]])*Wapato_Inventory[[#This Row],[res_pct]]</f>
        <v>155124.07559199998</v>
      </c>
      <c r="BT799" s="7">
        <f>Wapato_Inventory[[#This Row],[land_value]]</f>
        <v>53100</v>
      </c>
      <c r="BU799" s="2">
        <f>_xlfn.IFNA(VLOOKUP(Wapato_Inventory[[#This Row],[quality]],Lookups!$A$28:$C$37,3,FALSE),1)</f>
        <v>0.98196844879778955</v>
      </c>
      <c r="BV799" s="2">
        <f>_xlfn.IFNA(VLOOKUP(Wapato_Inventory[[#This Row],[condition]],Lookups!$A$41:$C$48,3,FALSE),1)</f>
        <v>0.9832333997567807</v>
      </c>
      <c r="BW799" s="2">
        <f>IF(Wapato_Inventory[[#This Row],[decade]]="",1,_xlfn.IFNA(VLOOKUP(Wapato_Inventory[[#This Row],[decade]],Lookups!$F$28:$H$45,3,FALSE),1))</f>
        <v>0.93664589651353292</v>
      </c>
      <c r="BX799" s="2">
        <f>_xlfn.IFNA(VLOOKUP(Wapato_Inventory[[#This Row],[living_area_range]],Lookups!$K$28:$M$37,3,FALSE),1)</f>
        <v>1.0061411172456287</v>
      </c>
      <c r="BY799" s="2">
        <f>AVERAGE(Wapato_Inventory[[#This Row],[qual_adj]:[range_adj]])</f>
        <v>0.976997215578433</v>
      </c>
      <c r="BZ799" s="7">
        <f>(Wapato_Inventory[[#This Row],[sum_land]]-IF(Wapato_Inventory[[#This Row],[no_utilities]]=1,12000,0))/IF(Wapato_Inventory[[#This Row],[unbuildable]]=1,2,1)</f>
        <v>53100</v>
      </c>
      <c r="CA799" s="7">
        <f>Wapato_Inventory[[#This Row],[pre_res]]*Wapato_Inventory[[#This Row],[overall_adj]]</f>
        <v>151555.78992256234</v>
      </c>
      <c r="CB79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799" s="3">
        <f>IF(ROUND(Wapato_Inventory[[#This Row],[adj_res]]*Lookups!$H$48,-2)&lt;Wapato_Inventory[[#This Row],[min_res]],Wapato_Inventory[[#This Row],[min_res]],ROUND(Wapato_Inventory[[#This Row],[adj_res]]*Lookups!$H$48,-2))</f>
        <v>144000</v>
      </c>
      <c r="CD799" s="3">
        <f>ROUND(Wapato_Inventory[[#This Row],[det_value]]*Lookups!$H$48,-2)</f>
        <v>3200</v>
      </c>
      <c r="CE799" s="3">
        <f>Wapato_Inventory[[#This Row],[final_res]]+Wapato_Inventory[[#This Row],[final_det]]</f>
        <v>147200</v>
      </c>
      <c r="CF799" s="3">
        <f>Wapato_Inventory[[#This Row],[crop_value]]+Wapato_Inventory[[#This Row],[final_land]]+Wapato_Inventory[[#This Row],[final_imp]]</f>
        <v>197600</v>
      </c>
      <c r="CH799" t="str">
        <f t="shared" si="12"/>
        <v>update valuation set market_land =50400, market_bldg=147200, market_total =197600, market_mdno =405, market_date ='9/10/2023' where link_id = (select link_id from parcel where parcel_year = '2024' and parcel_id = '19111514457');</v>
      </c>
    </row>
    <row r="800" spans="1:86" x14ac:dyDescent="0.25">
      <c r="A800">
        <v>19111514458</v>
      </c>
      <c r="B800">
        <v>0.15</v>
      </c>
      <c r="C800">
        <v>6647</v>
      </c>
      <c r="D800" t="s">
        <v>144</v>
      </c>
      <c r="E800" t="s">
        <v>54</v>
      </c>
      <c r="F800" t="s">
        <v>54</v>
      </c>
      <c r="G800">
        <v>3</v>
      </c>
      <c r="H800" t="s">
        <v>55</v>
      </c>
      <c r="I800">
        <v>194300</v>
      </c>
      <c r="J800">
        <v>32300</v>
      </c>
      <c r="K800">
        <v>0.15</v>
      </c>
      <c r="L800">
        <f>IF(Wapato_Inventory[[#This Row],[parcel_acres]]-Wapato_Inventory[[#This Row],[non_valued_acres]] =0,0,LN(Wapato_Inventory[[#This Row],[parcel_acres]]-Wapato_Inventory[[#This Row],[non_valued_acres]]))</f>
        <v>-1.8971199848858813</v>
      </c>
      <c r="M800">
        <v>0</v>
      </c>
      <c r="N800">
        <v>0</v>
      </c>
      <c r="O800">
        <v>0</v>
      </c>
      <c r="P800">
        <v>27904.037</v>
      </c>
      <c r="Q800">
        <v>74398</v>
      </c>
      <c r="R800" s="3">
        <f>(Wapato_Inventory[[#This Row],[ln_acres]]*Wapato_Inventory[[#This Row],[coeff]])+Wapato_Inventory[[#This Row],[const]]</f>
        <v>21460.693748304926</v>
      </c>
      <c r="S800" t="s">
        <v>66</v>
      </c>
      <c r="T800">
        <v>1</v>
      </c>
      <c r="U800" t="s">
        <v>75</v>
      </c>
      <c r="V800" t="s">
        <v>69</v>
      </c>
      <c r="W800">
        <v>0</v>
      </c>
      <c r="X800">
        <v>0</v>
      </c>
      <c r="Y800">
        <v>57</v>
      </c>
      <c r="Z800">
        <v>103</v>
      </c>
      <c r="AA800">
        <v>110</v>
      </c>
      <c r="AB800">
        <v>1500</v>
      </c>
      <c r="AC800">
        <v>1040</v>
      </c>
      <c r="AD800">
        <v>1040</v>
      </c>
      <c r="AE800">
        <v>0</v>
      </c>
      <c r="AF800">
        <v>0</v>
      </c>
      <c r="AG800">
        <v>0</v>
      </c>
      <c r="AH800">
        <v>140</v>
      </c>
      <c r="AI800">
        <v>0</v>
      </c>
      <c r="AJ800">
        <v>0</v>
      </c>
      <c r="AK800">
        <v>0</v>
      </c>
      <c r="AL800">
        <v>100</v>
      </c>
      <c r="AM800">
        <v>210</v>
      </c>
      <c r="AN800">
        <v>0</v>
      </c>
      <c r="AO800">
        <v>310</v>
      </c>
      <c r="AP800">
        <v>5</v>
      </c>
      <c r="AQ800">
        <v>1</v>
      </c>
      <c r="AR800">
        <v>0</v>
      </c>
      <c r="AS800" t="s">
        <v>59</v>
      </c>
      <c r="AT800">
        <v>1</v>
      </c>
      <c r="AU800" t="s">
        <v>64</v>
      </c>
      <c r="AV800" t="s">
        <v>61</v>
      </c>
      <c r="AW800">
        <v>0</v>
      </c>
      <c r="AX800">
        <v>2</v>
      </c>
      <c r="AY800">
        <v>0</v>
      </c>
      <c r="AZ800">
        <v>5500</v>
      </c>
      <c r="BA800">
        <v>100</v>
      </c>
      <c r="BB800">
        <v>100</v>
      </c>
      <c r="BC800">
        <v>100</v>
      </c>
      <c r="BD800">
        <v>100</v>
      </c>
      <c r="BE800">
        <v>1</v>
      </c>
      <c r="BF800">
        <v>15000</v>
      </c>
      <c r="BG800">
        <v>1000</v>
      </c>
      <c r="BH800" s="7">
        <f>ROUND(Wapato_Inventory[[#This Row],[detatched_value]]*Lookups!$B$22*Lookups!$H$48,-2)</f>
        <v>4900</v>
      </c>
      <c r="BI800" s="7">
        <f>ROUND(((Wapato_Inventory[[#This Row],[land_extract]]*Lookups!$B$3) +(Lookups!$B$2*0.5))*Lookups!$H$48,-2)</f>
        <v>53100</v>
      </c>
      <c r="BJ800" s="7">
        <f>IF(Wapato_Inventory[[#This Row],[bldg_style]]="",0,Lookups!$B$2*0.5)</f>
        <v>53765.27</v>
      </c>
      <c r="BK800" s="7">
        <f>_xlfn.IFNA(VLOOKUP(Wapato_Inventory[[#This Row],[quality]],Lookups!$H$2:$J$14,3,FALSE),0)</f>
        <v>48043</v>
      </c>
      <c r="BL800" s="7">
        <f>_xlfn.IFNA(VLOOKUP(Wapato_Inventory[[#This Row],[condition]],Lookups!$H$17:$J$24,3,FALSE),0)</f>
        <v>74543</v>
      </c>
      <c r="BM800" s="7">
        <f>Wapato_Inventory[[#This Row],[Age]]*Lookups!$B$16</f>
        <v>-38179.597099999999</v>
      </c>
      <c r="BN800" s="7">
        <f>Wapato_Inventory[[#This Row],[Main Floor]]*Lookups!$B$17</f>
        <v>43472.768559999997</v>
      </c>
      <c r="BO800" s="7">
        <f>Wapato_Inventory[[#This Row],[Upper Floor]]*Lookups!$B$18</f>
        <v>0</v>
      </c>
      <c r="BP800" s="7">
        <f>Wapato_Inventory[[#This Row],[Fin BSMT]]*Lookups!$B$19</f>
        <v>0</v>
      </c>
      <c r="BQ800" s="7">
        <f>(Wapato_Inventory[[#This Row],[att_gar]]+Wapato_Inventory[[#This Row],[blt_gar]])*Lookups!$B$20</f>
        <v>0</v>
      </c>
      <c r="BR800" s="7">
        <f>Wapato_Inventory[[#This Row],[Patio]]*Lookups!$B$21</f>
        <v>9098.0355899999995</v>
      </c>
      <c r="BS800" s="7">
        <f>SUM(Wapato_Inventory[[#This Row],[intercept]:[patio_value]])*Wapato_Inventory[[#This Row],[res_pct]]</f>
        <v>190742.47704999999</v>
      </c>
      <c r="BT800" s="7">
        <f>Wapato_Inventory[[#This Row],[land_value]]</f>
        <v>53100</v>
      </c>
      <c r="BU800" s="2">
        <f>_xlfn.IFNA(VLOOKUP(Wapato_Inventory[[#This Row],[quality]],Lookups!$A$28:$C$37,3,FALSE),1)</f>
        <v>0.98196844879778955</v>
      </c>
      <c r="BV800" s="2">
        <f>_xlfn.IFNA(VLOOKUP(Wapato_Inventory[[#This Row],[condition]],Lookups!$A$41:$C$48,3,FALSE),1)</f>
        <v>0.98442438223270734</v>
      </c>
      <c r="BW800" s="2">
        <f>IF(Wapato_Inventory[[#This Row],[decade]]="",1,_xlfn.IFNA(VLOOKUP(Wapato_Inventory[[#This Row],[decade]],Lookups!$F$28:$H$45,3,FALSE),1))</f>
        <v>0.93664589651353292</v>
      </c>
      <c r="BX800" s="2">
        <f>_xlfn.IFNA(VLOOKUP(Wapato_Inventory[[#This Row],[living_area_range]],Lookups!$K$28:$M$37,3,FALSE),1)</f>
        <v>1.0061411172456287</v>
      </c>
      <c r="BY800" s="2">
        <f>AVERAGE(Wapato_Inventory[[#This Row],[qual_adj]:[range_adj]])</f>
        <v>0.97729496119741466</v>
      </c>
      <c r="BZ800" s="7">
        <f>(Wapato_Inventory[[#This Row],[sum_land]]-IF(Wapato_Inventory[[#This Row],[no_utilities]]=1,12000,0))/IF(Wapato_Inventory[[#This Row],[unbuildable]]=1,2,1)</f>
        <v>53100</v>
      </c>
      <c r="CA800" s="7">
        <f>Wapato_Inventory[[#This Row],[pre_res]]*Wapato_Inventory[[#This Row],[overall_adj]]</f>
        <v>186411.66170727849</v>
      </c>
      <c r="CB80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00" s="3">
        <f>IF(ROUND(Wapato_Inventory[[#This Row],[adj_res]]*Lookups!$H$48,-2)&lt;Wapato_Inventory[[#This Row],[min_res]],Wapato_Inventory[[#This Row],[min_res]],ROUND(Wapato_Inventory[[#This Row],[adj_res]]*Lookups!$H$48,-2))</f>
        <v>177100</v>
      </c>
      <c r="CD800" s="3">
        <f>ROUND(Wapato_Inventory[[#This Row],[det_value]]*Lookups!$H$48,-2)</f>
        <v>4700</v>
      </c>
      <c r="CE800" s="3">
        <f>Wapato_Inventory[[#This Row],[final_res]]+Wapato_Inventory[[#This Row],[final_det]]</f>
        <v>181800</v>
      </c>
      <c r="CF800" s="3">
        <f>Wapato_Inventory[[#This Row],[crop_value]]+Wapato_Inventory[[#This Row],[final_land]]+Wapato_Inventory[[#This Row],[final_imp]]</f>
        <v>232200</v>
      </c>
      <c r="CH800" t="str">
        <f t="shared" si="12"/>
        <v>update valuation set market_land =50400, market_bldg=181800, market_total =232200, market_mdno =405, market_date ='9/10/2023' where link_id = (select link_id from parcel where parcel_year = '2024' and parcel_id = '19111514458');</v>
      </c>
    </row>
    <row r="801" spans="1:86" x14ac:dyDescent="0.25">
      <c r="A801">
        <v>19111514459</v>
      </c>
      <c r="B801">
        <v>0.15</v>
      </c>
      <c r="C801">
        <v>6621</v>
      </c>
      <c r="D801" t="s">
        <v>144</v>
      </c>
      <c r="E801" t="s">
        <v>54</v>
      </c>
      <c r="F801" t="s">
        <v>54</v>
      </c>
      <c r="G801">
        <v>3</v>
      </c>
      <c r="H801" t="s">
        <v>55</v>
      </c>
      <c r="I801">
        <v>169600</v>
      </c>
      <c r="J801">
        <v>32300</v>
      </c>
      <c r="K801">
        <v>0.15</v>
      </c>
      <c r="L801">
        <f>IF(Wapato_Inventory[[#This Row],[parcel_acres]]-Wapato_Inventory[[#This Row],[non_valued_acres]] =0,0,LN(Wapato_Inventory[[#This Row],[parcel_acres]]-Wapato_Inventory[[#This Row],[non_valued_acres]]))</f>
        <v>-1.8971199848858813</v>
      </c>
      <c r="M801">
        <v>0</v>
      </c>
      <c r="N801">
        <v>0</v>
      </c>
      <c r="O801">
        <v>0</v>
      </c>
      <c r="P801">
        <v>27904.037</v>
      </c>
      <c r="Q801">
        <v>74398</v>
      </c>
      <c r="R801" s="3">
        <f>(Wapato_Inventory[[#This Row],[ln_acres]]*Wapato_Inventory[[#This Row],[coeff]])+Wapato_Inventory[[#This Row],[const]]</f>
        <v>21460.693748304926</v>
      </c>
      <c r="S801" t="s">
        <v>66</v>
      </c>
      <c r="T801">
        <v>1</v>
      </c>
      <c r="U801" t="s">
        <v>71</v>
      </c>
      <c r="V801" t="s">
        <v>69</v>
      </c>
      <c r="W801">
        <v>0</v>
      </c>
      <c r="X801">
        <v>0</v>
      </c>
      <c r="Y801">
        <v>65</v>
      </c>
      <c r="Z801">
        <v>113</v>
      </c>
      <c r="AA801">
        <v>120</v>
      </c>
      <c r="AB801">
        <v>2000</v>
      </c>
      <c r="AC801">
        <v>1551</v>
      </c>
      <c r="AD801">
        <v>1311</v>
      </c>
      <c r="AE801">
        <v>0</v>
      </c>
      <c r="AF801">
        <v>0</v>
      </c>
      <c r="AG801">
        <v>240</v>
      </c>
      <c r="AH801">
        <v>0</v>
      </c>
      <c r="AI801">
        <v>0</v>
      </c>
      <c r="AJ801">
        <v>0</v>
      </c>
      <c r="AK801">
        <v>0</v>
      </c>
      <c r="AL801">
        <v>0</v>
      </c>
      <c r="AM801">
        <v>0</v>
      </c>
      <c r="AN801">
        <v>48</v>
      </c>
      <c r="AO801">
        <v>0</v>
      </c>
      <c r="AP801">
        <v>5</v>
      </c>
      <c r="AQ801">
        <v>0</v>
      </c>
      <c r="AR801">
        <v>0</v>
      </c>
      <c r="AS801" t="s">
        <v>59</v>
      </c>
      <c r="AT801">
        <v>0</v>
      </c>
      <c r="AU801" t="s">
        <v>80</v>
      </c>
      <c r="AV801" t="s">
        <v>65</v>
      </c>
      <c r="AW801">
        <v>1</v>
      </c>
      <c r="AX801">
        <v>2</v>
      </c>
      <c r="AY801">
        <v>0</v>
      </c>
      <c r="AZ801">
        <v>15900</v>
      </c>
      <c r="BA801">
        <v>100</v>
      </c>
      <c r="BB801">
        <v>100</v>
      </c>
      <c r="BC801">
        <v>100</v>
      </c>
      <c r="BD801">
        <v>100</v>
      </c>
      <c r="BE801">
        <v>1</v>
      </c>
      <c r="BF801">
        <v>15000</v>
      </c>
      <c r="BG801">
        <v>1000</v>
      </c>
      <c r="BH801" s="7">
        <f>ROUND(Wapato_Inventory[[#This Row],[detatched_value]]*Lookups!$B$22*Lookups!$H$48,-2)</f>
        <v>14200</v>
      </c>
      <c r="BI801" s="7">
        <f>ROUND(((Wapato_Inventory[[#This Row],[land_extract]]*Lookups!$B$3) +(Lookups!$B$2*0.5))*Lookups!$H$48,-2)</f>
        <v>53100</v>
      </c>
      <c r="BJ801" s="7">
        <f>IF(Wapato_Inventory[[#This Row],[bldg_style]]="",0,Lookups!$B$2*0.5)</f>
        <v>53765.27</v>
      </c>
      <c r="BK801" s="7">
        <f>_xlfn.IFNA(VLOOKUP(Wapato_Inventory[[#This Row],[quality]],Lookups!$H$2:$J$14,3,FALSE),0)</f>
        <v>28034</v>
      </c>
      <c r="BL801" s="7">
        <f>_xlfn.IFNA(VLOOKUP(Wapato_Inventory[[#This Row],[condition]],Lookups!$H$17:$J$24,3,FALSE),0)</f>
        <v>74543</v>
      </c>
      <c r="BM801" s="7">
        <f>Wapato_Inventory[[#This Row],[Age]]*Lookups!$B$16</f>
        <v>-41886.354100000004</v>
      </c>
      <c r="BN801" s="7">
        <f>Wapato_Inventory[[#This Row],[Main Floor]]*Lookups!$B$17</f>
        <v>54800.768829000001</v>
      </c>
      <c r="BO801" s="7">
        <f>Wapato_Inventory[[#This Row],[Upper Floor]]*Lookups!$B$18</f>
        <v>0</v>
      </c>
      <c r="BP801" s="7">
        <f>Wapato_Inventory[[#This Row],[Fin BSMT]]*Lookups!$B$19</f>
        <v>5848.0176000000001</v>
      </c>
      <c r="BQ801" s="7">
        <f>(Wapato_Inventory[[#This Row],[att_gar]]+Wapato_Inventory[[#This Row],[blt_gar]])*Lookups!$B$20</f>
        <v>0</v>
      </c>
      <c r="BR801" s="7">
        <f>Wapato_Inventory[[#This Row],[Patio]]*Lookups!$B$21</f>
        <v>0</v>
      </c>
      <c r="BS801" s="7">
        <f>SUM(Wapato_Inventory[[#This Row],[intercept]:[patio_value]])*Wapato_Inventory[[#This Row],[res_pct]]</f>
        <v>175104.70232899999</v>
      </c>
      <c r="BT801" s="7">
        <f>Wapato_Inventory[[#This Row],[land_value]]</f>
        <v>53100</v>
      </c>
      <c r="BU801" s="2">
        <f>_xlfn.IFNA(VLOOKUP(Wapato_Inventory[[#This Row],[quality]],Lookups!$A$28:$C$37,3,FALSE),1)</f>
        <v>0.96265813922927435</v>
      </c>
      <c r="BV801" s="2">
        <f>_xlfn.IFNA(VLOOKUP(Wapato_Inventory[[#This Row],[condition]],Lookups!$A$41:$C$48,3,FALSE),1)</f>
        <v>0.98442438223270734</v>
      </c>
      <c r="BW801" s="2">
        <f>IF(Wapato_Inventory[[#This Row],[decade]]="",1,_xlfn.IFNA(VLOOKUP(Wapato_Inventory[[#This Row],[decade]],Lookups!$F$28:$H$45,3,FALSE),1))</f>
        <v>0.93664589651353292</v>
      </c>
      <c r="BX801" s="2">
        <f>_xlfn.IFNA(VLOOKUP(Wapato_Inventory[[#This Row],[living_area_range]],Lookups!$K$28:$M$37,3,FALSE),1)</f>
        <v>0.99330894324714125</v>
      </c>
      <c r="BY801" s="2">
        <f>AVERAGE(Wapato_Inventory[[#This Row],[qual_adj]:[range_adj]])</f>
        <v>0.96925934030566385</v>
      </c>
      <c r="BZ801" s="7">
        <f>(Wapato_Inventory[[#This Row],[sum_land]]-IF(Wapato_Inventory[[#This Row],[no_utilities]]=1,12000,0))/IF(Wapato_Inventory[[#This Row],[unbuildable]]=1,2,1)</f>
        <v>53100</v>
      </c>
      <c r="CA801" s="7">
        <f>Wapato_Inventory[[#This Row],[pre_res]]*Wapato_Inventory[[#This Row],[overall_adj]]</f>
        <v>169721.86826382618</v>
      </c>
      <c r="CB80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01" s="3">
        <f>IF(ROUND(Wapato_Inventory[[#This Row],[adj_res]]*Lookups!$H$48,-2)&lt;Wapato_Inventory[[#This Row],[min_res]],Wapato_Inventory[[#This Row],[min_res]],ROUND(Wapato_Inventory[[#This Row],[adj_res]]*Lookups!$H$48,-2))</f>
        <v>161200</v>
      </c>
      <c r="CD801" s="3">
        <f>ROUND(Wapato_Inventory[[#This Row],[det_value]]*Lookups!$H$48,-2)</f>
        <v>13500</v>
      </c>
      <c r="CE801" s="3">
        <f>Wapato_Inventory[[#This Row],[final_res]]+Wapato_Inventory[[#This Row],[final_det]]</f>
        <v>174700</v>
      </c>
      <c r="CF801" s="3">
        <f>Wapato_Inventory[[#This Row],[crop_value]]+Wapato_Inventory[[#This Row],[final_land]]+Wapato_Inventory[[#This Row],[final_imp]]</f>
        <v>225100</v>
      </c>
      <c r="CH801" t="str">
        <f t="shared" si="12"/>
        <v>update valuation set market_land =50400, market_bldg=174700, market_total =225100, market_mdno =405, market_date ='9/10/2023' where link_id = (select link_id from parcel where parcel_year = '2024' and parcel_id = '19111514459');</v>
      </c>
    </row>
    <row r="802" spans="1:86" x14ac:dyDescent="0.25">
      <c r="A802">
        <v>19111514463</v>
      </c>
      <c r="B802">
        <v>0.14000000000000001</v>
      </c>
      <c r="C802">
        <v>6286</v>
      </c>
      <c r="D802" t="s">
        <v>144</v>
      </c>
      <c r="E802" t="s">
        <v>54</v>
      </c>
      <c r="F802" t="s">
        <v>54</v>
      </c>
      <c r="G802">
        <v>3</v>
      </c>
      <c r="H802" t="s">
        <v>55</v>
      </c>
      <c r="I802">
        <v>133300</v>
      </c>
      <c r="J802">
        <v>31900</v>
      </c>
      <c r="K802">
        <v>0.14000000000000001</v>
      </c>
      <c r="L802">
        <f>IF(Wapato_Inventory[[#This Row],[parcel_acres]]-Wapato_Inventory[[#This Row],[non_valued_acres]] =0,0,LN(Wapato_Inventory[[#This Row],[parcel_acres]]-Wapato_Inventory[[#This Row],[non_valued_acres]]))</f>
        <v>-1.9661128563728327</v>
      </c>
      <c r="M802">
        <v>0</v>
      </c>
      <c r="N802">
        <v>0</v>
      </c>
      <c r="O802">
        <v>0</v>
      </c>
      <c r="P802">
        <v>27904.037</v>
      </c>
      <c r="Q802">
        <v>74398</v>
      </c>
      <c r="R802" s="3">
        <f>(Wapato_Inventory[[#This Row],[ln_acres]]*Wapato_Inventory[[#This Row],[coeff]])+Wapato_Inventory[[#This Row],[const]]</f>
        <v>19535.514109596792</v>
      </c>
      <c r="S802" t="s">
        <v>66</v>
      </c>
      <c r="T802">
        <v>1</v>
      </c>
      <c r="U802" t="s">
        <v>75</v>
      </c>
      <c r="V802" t="s">
        <v>68</v>
      </c>
      <c r="W802">
        <v>0</v>
      </c>
      <c r="X802">
        <v>0</v>
      </c>
      <c r="Y802">
        <v>65</v>
      </c>
      <c r="Z802">
        <v>113</v>
      </c>
      <c r="AA802">
        <v>120</v>
      </c>
      <c r="AB802">
        <v>1500</v>
      </c>
      <c r="AC802">
        <v>1186</v>
      </c>
      <c r="AD802">
        <v>1186</v>
      </c>
      <c r="AE802">
        <v>0</v>
      </c>
      <c r="AF802">
        <v>0</v>
      </c>
      <c r="AG802">
        <v>0</v>
      </c>
      <c r="AH802">
        <v>375</v>
      </c>
      <c r="AI802">
        <v>0</v>
      </c>
      <c r="AJ802">
        <v>0</v>
      </c>
      <c r="AK802">
        <v>0</v>
      </c>
      <c r="AL802">
        <v>0</v>
      </c>
      <c r="AM802">
        <v>392</v>
      </c>
      <c r="AN802">
        <v>0</v>
      </c>
      <c r="AO802">
        <v>392</v>
      </c>
      <c r="AP802">
        <v>5</v>
      </c>
      <c r="AQ802">
        <v>0</v>
      </c>
      <c r="AR802">
        <v>0</v>
      </c>
      <c r="AS802" t="s">
        <v>59</v>
      </c>
      <c r="AT802">
        <v>1</v>
      </c>
      <c r="AU802" t="s">
        <v>72</v>
      </c>
      <c r="AV802" t="s">
        <v>65</v>
      </c>
      <c r="AW802">
        <v>0</v>
      </c>
      <c r="AX802">
        <v>2</v>
      </c>
      <c r="AY802">
        <v>0</v>
      </c>
      <c r="AZ802">
        <v>7000</v>
      </c>
      <c r="BA802">
        <v>100</v>
      </c>
      <c r="BB802">
        <v>100</v>
      </c>
      <c r="BC802">
        <v>100</v>
      </c>
      <c r="BD802">
        <v>100</v>
      </c>
      <c r="BE802">
        <v>1</v>
      </c>
      <c r="BF802">
        <v>15000</v>
      </c>
      <c r="BG802">
        <v>1000</v>
      </c>
      <c r="BH802" s="7">
        <f>ROUND(Wapato_Inventory[[#This Row],[detatched_value]]*Lookups!$B$22*Lookups!$H$48,-2)</f>
        <v>6300</v>
      </c>
      <c r="BI802" s="7">
        <f>ROUND(((Wapato_Inventory[[#This Row],[land_extract]]*Lookups!$B$3) +(Lookups!$B$2*0.5))*Lookups!$H$48,-2)</f>
        <v>53000</v>
      </c>
      <c r="BJ802" s="7">
        <f>IF(Wapato_Inventory[[#This Row],[bldg_style]]="",0,Lookups!$B$2*0.5)</f>
        <v>53765.27</v>
      </c>
      <c r="BK802" s="7">
        <f>_xlfn.IFNA(VLOOKUP(Wapato_Inventory[[#This Row],[quality]],Lookups!$H$2:$J$14,3,FALSE),0)</f>
        <v>48043</v>
      </c>
      <c r="BL802" s="7">
        <f>_xlfn.IFNA(VLOOKUP(Wapato_Inventory[[#This Row],[condition]],Lookups!$H$17:$J$24,3,FALSE),0)</f>
        <v>52231</v>
      </c>
      <c r="BM802" s="7">
        <f>Wapato_Inventory[[#This Row],[Age]]*Lookups!$B$16</f>
        <v>-41886.354100000004</v>
      </c>
      <c r="BN802" s="7">
        <f>Wapato_Inventory[[#This Row],[Main Floor]]*Lookups!$B$17</f>
        <v>49575.676454</v>
      </c>
      <c r="BO802" s="7">
        <f>Wapato_Inventory[[#This Row],[Upper Floor]]*Lookups!$B$18</f>
        <v>0</v>
      </c>
      <c r="BP802" s="7">
        <f>Wapato_Inventory[[#This Row],[Fin BSMT]]*Lookups!$B$19</f>
        <v>0</v>
      </c>
      <c r="BQ802" s="7">
        <f>(Wapato_Inventory[[#This Row],[att_gar]]+Wapato_Inventory[[#This Row],[blt_gar]])*Lookups!$B$20</f>
        <v>0</v>
      </c>
      <c r="BR802" s="7">
        <f>Wapato_Inventory[[#This Row],[Patio]]*Lookups!$B$21</f>
        <v>16982.999768000001</v>
      </c>
      <c r="BS802" s="7">
        <f>SUM(Wapato_Inventory[[#This Row],[intercept]:[patio_value]])*Wapato_Inventory[[#This Row],[res_pct]]</f>
        <v>178711.592122</v>
      </c>
      <c r="BT802" s="7">
        <f>Wapato_Inventory[[#This Row],[land_value]]</f>
        <v>53000</v>
      </c>
      <c r="BU802" s="2">
        <f>_xlfn.IFNA(VLOOKUP(Wapato_Inventory[[#This Row],[quality]],Lookups!$A$28:$C$37,3,FALSE),1)</f>
        <v>0.98196844879778955</v>
      </c>
      <c r="BV802" s="2">
        <f>_xlfn.IFNA(VLOOKUP(Wapato_Inventory[[#This Row],[condition]],Lookups!$A$41:$C$48,3,FALSE),1)</f>
        <v>0.9832333997567807</v>
      </c>
      <c r="BW802" s="2">
        <f>IF(Wapato_Inventory[[#This Row],[decade]]="",1,_xlfn.IFNA(VLOOKUP(Wapato_Inventory[[#This Row],[decade]],Lookups!$F$28:$H$45,3,FALSE),1))</f>
        <v>0.93664589651353292</v>
      </c>
      <c r="BX802" s="2">
        <f>_xlfn.IFNA(VLOOKUP(Wapato_Inventory[[#This Row],[living_area_range]],Lookups!$K$28:$M$37,3,FALSE),1)</f>
        <v>1.0061411172456287</v>
      </c>
      <c r="BY802" s="2">
        <f>AVERAGE(Wapato_Inventory[[#This Row],[qual_adj]:[range_adj]])</f>
        <v>0.976997215578433</v>
      </c>
      <c r="BZ802" s="7">
        <f>(Wapato_Inventory[[#This Row],[sum_land]]-IF(Wapato_Inventory[[#This Row],[no_utilities]]=1,12000,0))/IF(Wapato_Inventory[[#This Row],[unbuildable]]=1,2,1)</f>
        <v>53000</v>
      </c>
      <c r="CA802" s="7">
        <f>Wapato_Inventory[[#This Row],[pre_res]]*Wapato_Inventory[[#This Row],[overall_adj]]</f>
        <v>174600.72789478261</v>
      </c>
      <c r="CB80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02" s="3">
        <f>IF(ROUND(Wapato_Inventory[[#This Row],[adj_res]]*Lookups!$H$48,-2)&lt;Wapato_Inventory[[#This Row],[min_res]],Wapato_Inventory[[#This Row],[min_res]],ROUND(Wapato_Inventory[[#This Row],[adj_res]]*Lookups!$H$48,-2))</f>
        <v>165900</v>
      </c>
      <c r="CD802" s="3">
        <f>ROUND(Wapato_Inventory[[#This Row],[det_value]]*Lookups!$H$48,-2)</f>
        <v>6000</v>
      </c>
      <c r="CE802" s="3">
        <f>Wapato_Inventory[[#This Row],[final_res]]+Wapato_Inventory[[#This Row],[final_det]]</f>
        <v>171900</v>
      </c>
      <c r="CF802" s="3">
        <f>Wapato_Inventory[[#This Row],[crop_value]]+Wapato_Inventory[[#This Row],[final_land]]+Wapato_Inventory[[#This Row],[final_imp]]</f>
        <v>222300</v>
      </c>
      <c r="CH802" t="str">
        <f t="shared" si="12"/>
        <v>update valuation set market_land =50400, market_bldg=171900, market_total =222300, market_mdno =405, market_date ='9/10/2023' where link_id = (select link_id from parcel where parcel_year = '2024' and parcel_id = '19111514463');</v>
      </c>
    </row>
    <row r="803" spans="1:86" x14ac:dyDescent="0.25">
      <c r="A803">
        <v>19111514464</v>
      </c>
      <c r="B803">
        <v>0.15</v>
      </c>
      <c r="C803">
        <v>6374</v>
      </c>
      <c r="D803" t="s">
        <v>144</v>
      </c>
      <c r="E803" t="s">
        <v>54</v>
      </c>
      <c r="F803" t="s">
        <v>54</v>
      </c>
      <c r="G803">
        <v>3</v>
      </c>
      <c r="H803" t="s">
        <v>55</v>
      </c>
      <c r="I803">
        <v>146300</v>
      </c>
      <c r="J803">
        <v>32300</v>
      </c>
      <c r="K803">
        <v>0.15</v>
      </c>
      <c r="L803">
        <f>IF(Wapato_Inventory[[#This Row],[parcel_acres]]-Wapato_Inventory[[#This Row],[non_valued_acres]] =0,0,LN(Wapato_Inventory[[#This Row],[parcel_acres]]-Wapato_Inventory[[#This Row],[non_valued_acres]]))</f>
        <v>-1.8971199848858813</v>
      </c>
      <c r="M803">
        <v>0</v>
      </c>
      <c r="N803">
        <v>0</v>
      </c>
      <c r="O803">
        <v>0</v>
      </c>
      <c r="P803">
        <v>27904.037</v>
      </c>
      <c r="Q803">
        <v>74398</v>
      </c>
      <c r="R803" s="3">
        <f>(Wapato_Inventory[[#This Row],[ln_acres]]*Wapato_Inventory[[#This Row],[coeff]])+Wapato_Inventory[[#This Row],[const]]</f>
        <v>21460.693748304926</v>
      </c>
      <c r="S803" t="s">
        <v>66</v>
      </c>
      <c r="T803">
        <v>1</v>
      </c>
      <c r="U803" t="s">
        <v>75</v>
      </c>
      <c r="V803" t="s">
        <v>68</v>
      </c>
      <c r="W803">
        <v>0</v>
      </c>
      <c r="X803">
        <v>0</v>
      </c>
      <c r="Y803">
        <v>57</v>
      </c>
      <c r="Z803">
        <v>103</v>
      </c>
      <c r="AA803">
        <v>110</v>
      </c>
      <c r="AB803">
        <v>1500</v>
      </c>
      <c r="AC803">
        <v>1208</v>
      </c>
      <c r="AD803">
        <v>1208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5</v>
      </c>
      <c r="AQ803">
        <v>0</v>
      </c>
      <c r="AR803">
        <v>0</v>
      </c>
      <c r="AS803" t="s">
        <v>59</v>
      </c>
      <c r="AT803">
        <v>0</v>
      </c>
      <c r="AU803" t="s">
        <v>80</v>
      </c>
      <c r="AV803" t="s">
        <v>65</v>
      </c>
      <c r="AW803">
        <v>0</v>
      </c>
      <c r="AX803">
        <v>2</v>
      </c>
      <c r="AY803">
        <v>0</v>
      </c>
      <c r="AZ803">
        <v>5600</v>
      </c>
      <c r="BA803">
        <v>100</v>
      </c>
      <c r="BB803">
        <v>100</v>
      </c>
      <c r="BC803">
        <v>100</v>
      </c>
      <c r="BD803">
        <v>100</v>
      </c>
      <c r="BE803">
        <v>1</v>
      </c>
      <c r="BF803">
        <v>15000</v>
      </c>
      <c r="BG803">
        <v>1000</v>
      </c>
      <c r="BH803" s="7">
        <f>ROUND(Wapato_Inventory[[#This Row],[detatched_value]]*Lookups!$B$22*Lookups!$H$48,-2)</f>
        <v>5000</v>
      </c>
      <c r="BI803" s="7">
        <f>ROUND(((Wapato_Inventory[[#This Row],[land_extract]]*Lookups!$B$3) +(Lookups!$B$2*0.5))*Lookups!$H$48,-2)</f>
        <v>53100</v>
      </c>
      <c r="BJ803" s="7">
        <f>IF(Wapato_Inventory[[#This Row],[bldg_style]]="",0,Lookups!$B$2*0.5)</f>
        <v>53765.27</v>
      </c>
      <c r="BK803" s="7">
        <f>_xlfn.IFNA(VLOOKUP(Wapato_Inventory[[#This Row],[quality]],Lookups!$H$2:$J$14,3,FALSE),0)</f>
        <v>48043</v>
      </c>
      <c r="BL803" s="7">
        <f>_xlfn.IFNA(VLOOKUP(Wapato_Inventory[[#This Row],[condition]],Lookups!$H$17:$J$24,3,FALSE),0)</f>
        <v>52231</v>
      </c>
      <c r="BM803" s="7">
        <f>Wapato_Inventory[[#This Row],[Age]]*Lookups!$B$16</f>
        <v>-38179.597099999999</v>
      </c>
      <c r="BN803" s="7">
        <f>Wapato_Inventory[[#This Row],[Main Floor]]*Lookups!$B$17</f>
        <v>50495.292712000002</v>
      </c>
      <c r="BO803" s="7">
        <f>Wapato_Inventory[[#This Row],[Upper Floor]]*Lookups!$B$18</f>
        <v>0</v>
      </c>
      <c r="BP803" s="7">
        <f>Wapato_Inventory[[#This Row],[Fin BSMT]]*Lookups!$B$19</f>
        <v>0</v>
      </c>
      <c r="BQ803" s="7">
        <f>(Wapato_Inventory[[#This Row],[att_gar]]+Wapato_Inventory[[#This Row],[blt_gar]])*Lookups!$B$20</f>
        <v>0</v>
      </c>
      <c r="BR803" s="7">
        <f>Wapato_Inventory[[#This Row],[Patio]]*Lookups!$B$21</f>
        <v>0</v>
      </c>
      <c r="BS803" s="7">
        <f>SUM(Wapato_Inventory[[#This Row],[intercept]:[patio_value]])*Wapato_Inventory[[#This Row],[res_pct]]</f>
        <v>166354.965612</v>
      </c>
      <c r="BT803" s="7">
        <f>Wapato_Inventory[[#This Row],[land_value]]</f>
        <v>53100</v>
      </c>
      <c r="BU803" s="2">
        <f>_xlfn.IFNA(VLOOKUP(Wapato_Inventory[[#This Row],[quality]],Lookups!$A$28:$C$37,3,FALSE),1)</f>
        <v>0.98196844879778955</v>
      </c>
      <c r="BV803" s="2">
        <f>_xlfn.IFNA(VLOOKUP(Wapato_Inventory[[#This Row],[condition]],Lookups!$A$41:$C$48,3,FALSE),1)</f>
        <v>0.9832333997567807</v>
      </c>
      <c r="BW803" s="2">
        <f>IF(Wapato_Inventory[[#This Row],[decade]]="",1,_xlfn.IFNA(VLOOKUP(Wapato_Inventory[[#This Row],[decade]],Lookups!$F$28:$H$45,3,FALSE),1))</f>
        <v>0.93664589651353292</v>
      </c>
      <c r="BX803" s="2">
        <f>_xlfn.IFNA(VLOOKUP(Wapato_Inventory[[#This Row],[living_area_range]],Lookups!$K$28:$M$37,3,FALSE),1)</f>
        <v>1.0061411172456287</v>
      </c>
      <c r="BY803" s="2">
        <f>AVERAGE(Wapato_Inventory[[#This Row],[qual_adj]:[range_adj]])</f>
        <v>0.976997215578433</v>
      </c>
      <c r="BZ803" s="7">
        <f>(Wapato_Inventory[[#This Row],[sum_land]]-IF(Wapato_Inventory[[#This Row],[no_utilities]]=1,12000,0))/IF(Wapato_Inventory[[#This Row],[unbuildable]]=1,2,1)</f>
        <v>53100</v>
      </c>
      <c r="CA803" s="7">
        <f>Wapato_Inventory[[#This Row],[pre_res]]*Wapato_Inventory[[#This Row],[overall_adj]]</f>
        <v>162528.33820056997</v>
      </c>
      <c r="CB80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03" s="3">
        <f>IF(ROUND(Wapato_Inventory[[#This Row],[adj_res]]*Lookups!$H$48,-2)&lt;Wapato_Inventory[[#This Row],[min_res]],Wapato_Inventory[[#This Row],[min_res]],ROUND(Wapato_Inventory[[#This Row],[adj_res]]*Lookups!$H$48,-2))</f>
        <v>154400</v>
      </c>
      <c r="CD803" s="3">
        <f>ROUND(Wapato_Inventory[[#This Row],[det_value]]*Lookups!$H$48,-2)</f>
        <v>4800</v>
      </c>
      <c r="CE803" s="3">
        <f>Wapato_Inventory[[#This Row],[final_res]]+Wapato_Inventory[[#This Row],[final_det]]</f>
        <v>159200</v>
      </c>
      <c r="CF803" s="3">
        <f>Wapato_Inventory[[#This Row],[crop_value]]+Wapato_Inventory[[#This Row],[final_land]]+Wapato_Inventory[[#This Row],[final_imp]]</f>
        <v>209600</v>
      </c>
      <c r="CH803" t="str">
        <f t="shared" si="12"/>
        <v>update valuation set market_land =50400, market_bldg=159200, market_total =209600, market_mdno =405, market_date ='9/10/2023' where link_id = (select link_id from parcel where parcel_year = '2024' and parcel_id = '19111514464');</v>
      </c>
    </row>
    <row r="804" spans="1:86" x14ac:dyDescent="0.25">
      <c r="A804">
        <v>19111514465</v>
      </c>
      <c r="B804">
        <v>0.15</v>
      </c>
      <c r="C804">
        <v>6379</v>
      </c>
      <c r="D804" t="s">
        <v>144</v>
      </c>
      <c r="E804" t="s">
        <v>54</v>
      </c>
      <c r="F804" t="s">
        <v>54</v>
      </c>
      <c r="G804">
        <v>3</v>
      </c>
      <c r="H804" t="s">
        <v>55</v>
      </c>
      <c r="I804">
        <v>107100</v>
      </c>
      <c r="J804">
        <v>32300</v>
      </c>
      <c r="K804">
        <v>0.15</v>
      </c>
      <c r="L804">
        <f>IF(Wapato_Inventory[[#This Row],[parcel_acres]]-Wapato_Inventory[[#This Row],[non_valued_acres]] =0,0,LN(Wapato_Inventory[[#This Row],[parcel_acres]]-Wapato_Inventory[[#This Row],[non_valued_acres]]))</f>
        <v>-1.8971199848858813</v>
      </c>
      <c r="M804">
        <v>0</v>
      </c>
      <c r="N804">
        <v>0</v>
      </c>
      <c r="O804">
        <v>0</v>
      </c>
      <c r="P804">
        <v>27904.037</v>
      </c>
      <c r="Q804">
        <v>74398</v>
      </c>
      <c r="R804" s="3">
        <f>(Wapato_Inventory[[#This Row],[ln_acres]]*Wapato_Inventory[[#This Row],[coeff]])+Wapato_Inventory[[#This Row],[const]]</f>
        <v>21460.693748304926</v>
      </c>
      <c r="S804" t="s">
        <v>66</v>
      </c>
      <c r="T804">
        <v>1</v>
      </c>
      <c r="U804" t="s">
        <v>71</v>
      </c>
      <c r="V804" t="s">
        <v>68</v>
      </c>
      <c r="W804">
        <v>0</v>
      </c>
      <c r="X804">
        <v>0</v>
      </c>
      <c r="Y804">
        <v>65</v>
      </c>
      <c r="Z804">
        <v>113</v>
      </c>
      <c r="AA804">
        <v>120</v>
      </c>
      <c r="AB804">
        <v>1000</v>
      </c>
      <c r="AC804">
        <v>912</v>
      </c>
      <c r="AD804">
        <v>912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357</v>
      </c>
      <c r="AN804">
        <v>0</v>
      </c>
      <c r="AO804">
        <v>357</v>
      </c>
      <c r="AP804">
        <v>5</v>
      </c>
      <c r="AQ804">
        <v>0</v>
      </c>
      <c r="AR804">
        <v>0</v>
      </c>
      <c r="AS804" t="s">
        <v>59</v>
      </c>
      <c r="AT804">
        <v>0</v>
      </c>
      <c r="AU804" t="s">
        <v>80</v>
      </c>
      <c r="AV804" t="s">
        <v>65</v>
      </c>
      <c r="AW804">
        <v>0</v>
      </c>
      <c r="AX804">
        <v>2</v>
      </c>
      <c r="AY804">
        <v>0</v>
      </c>
      <c r="AZ804">
        <v>13700</v>
      </c>
      <c r="BA804">
        <v>100</v>
      </c>
      <c r="BB804">
        <v>100</v>
      </c>
      <c r="BC804">
        <v>100</v>
      </c>
      <c r="BD804">
        <v>100</v>
      </c>
      <c r="BE804">
        <v>1</v>
      </c>
      <c r="BF804">
        <v>15000</v>
      </c>
      <c r="BG804">
        <v>1000</v>
      </c>
      <c r="BH804" s="7">
        <f>ROUND(Wapato_Inventory[[#This Row],[detatched_value]]*Lookups!$B$22*Lookups!$H$48,-2)</f>
        <v>12200</v>
      </c>
      <c r="BI804" s="7">
        <f>ROUND(((Wapato_Inventory[[#This Row],[land_extract]]*Lookups!$B$3) +(Lookups!$B$2*0.5))*Lookups!$H$48,-2)</f>
        <v>53100</v>
      </c>
      <c r="BJ804" s="7">
        <f>IF(Wapato_Inventory[[#This Row],[bldg_style]]="",0,Lookups!$B$2*0.5)</f>
        <v>53765.27</v>
      </c>
      <c r="BK804" s="7">
        <f>_xlfn.IFNA(VLOOKUP(Wapato_Inventory[[#This Row],[quality]],Lookups!$H$2:$J$14,3,FALSE),0)</f>
        <v>28034</v>
      </c>
      <c r="BL804" s="7">
        <f>_xlfn.IFNA(VLOOKUP(Wapato_Inventory[[#This Row],[condition]],Lookups!$H$17:$J$24,3,FALSE),0)</f>
        <v>52231</v>
      </c>
      <c r="BM804" s="7">
        <f>Wapato_Inventory[[#This Row],[Age]]*Lookups!$B$16</f>
        <v>-41886.354100000004</v>
      </c>
      <c r="BN804" s="7">
        <f>Wapato_Inventory[[#This Row],[Main Floor]]*Lookups!$B$17</f>
        <v>38122.273968000001</v>
      </c>
      <c r="BO804" s="7">
        <f>Wapato_Inventory[[#This Row],[Upper Floor]]*Lookups!$B$18</f>
        <v>0</v>
      </c>
      <c r="BP804" s="7">
        <f>Wapato_Inventory[[#This Row],[Fin BSMT]]*Lookups!$B$19</f>
        <v>0</v>
      </c>
      <c r="BQ804" s="7">
        <f>(Wapato_Inventory[[#This Row],[att_gar]]+Wapato_Inventory[[#This Row],[blt_gar]])*Lookups!$B$20</f>
        <v>0</v>
      </c>
      <c r="BR804" s="7">
        <f>Wapato_Inventory[[#This Row],[Patio]]*Lookups!$B$21</f>
        <v>15466.660503000001</v>
      </c>
      <c r="BS804" s="7">
        <f>SUM(Wapato_Inventory[[#This Row],[intercept]:[patio_value]])*Wapato_Inventory[[#This Row],[res_pct]]</f>
        <v>145732.85037099998</v>
      </c>
      <c r="BT804" s="7">
        <f>Wapato_Inventory[[#This Row],[land_value]]</f>
        <v>53100</v>
      </c>
      <c r="BU804" s="2">
        <f>_xlfn.IFNA(VLOOKUP(Wapato_Inventory[[#This Row],[quality]],Lookups!$A$28:$C$37,3,FALSE),1)</f>
        <v>0.96265813922927435</v>
      </c>
      <c r="BV804" s="2">
        <f>_xlfn.IFNA(VLOOKUP(Wapato_Inventory[[#This Row],[condition]],Lookups!$A$41:$C$48,3,FALSE),1)</f>
        <v>0.9832333997567807</v>
      </c>
      <c r="BW804" s="2">
        <f>IF(Wapato_Inventory[[#This Row],[decade]]="",1,_xlfn.IFNA(VLOOKUP(Wapato_Inventory[[#This Row],[decade]],Lookups!$F$28:$H$45,3,FALSE),1))</f>
        <v>0.93664589651353292</v>
      </c>
      <c r="BX804" s="2">
        <f>_xlfn.IFNA(VLOOKUP(Wapato_Inventory[[#This Row],[living_area_range]],Lookups!$K$28:$M$37,3,FALSE),1)</f>
        <v>0.99022994770196116</v>
      </c>
      <c r="BY804" s="2">
        <f>AVERAGE(Wapato_Inventory[[#This Row],[qual_adj]:[range_adj]])</f>
        <v>0.9681918458003872</v>
      </c>
      <c r="BZ804" s="7">
        <f>(Wapato_Inventory[[#This Row],[sum_land]]-IF(Wapato_Inventory[[#This Row],[no_utilities]]=1,12000,0))/IF(Wapato_Inventory[[#This Row],[unbuildable]]=1,2,1)</f>
        <v>53100</v>
      </c>
      <c r="CA804" s="7">
        <f>Wapato_Inventory[[#This Row],[pre_res]]*Wapato_Inventory[[#This Row],[overall_adj]]</f>
        <v>141097.35739445011</v>
      </c>
      <c r="CB80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04" s="3">
        <f>IF(ROUND(Wapato_Inventory[[#This Row],[adj_res]]*Lookups!$H$48,-2)&lt;Wapato_Inventory[[#This Row],[min_res]],Wapato_Inventory[[#This Row],[min_res]],ROUND(Wapato_Inventory[[#This Row],[adj_res]]*Lookups!$H$48,-2))</f>
        <v>134000</v>
      </c>
      <c r="CD804" s="3">
        <f>ROUND(Wapato_Inventory[[#This Row],[det_value]]*Lookups!$H$48,-2)</f>
        <v>11600</v>
      </c>
      <c r="CE804" s="3">
        <f>Wapato_Inventory[[#This Row],[final_res]]+Wapato_Inventory[[#This Row],[final_det]]</f>
        <v>145600</v>
      </c>
      <c r="CF804" s="3">
        <f>Wapato_Inventory[[#This Row],[crop_value]]+Wapato_Inventory[[#This Row],[final_land]]+Wapato_Inventory[[#This Row],[final_imp]]</f>
        <v>196000</v>
      </c>
      <c r="CH804" t="str">
        <f t="shared" si="12"/>
        <v>update valuation set market_land =50400, market_bldg=145600, market_total =196000, market_mdno =405, market_date ='9/10/2023' where link_id = (select link_id from parcel where parcel_year = '2024' and parcel_id = '19111514465');</v>
      </c>
    </row>
    <row r="805" spans="1:86" x14ac:dyDescent="0.25">
      <c r="A805">
        <v>19111514466</v>
      </c>
      <c r="B805">
        <v>0.14000000000000001</v>
      </c>
      <c r="C805">
        <v>6129</v>
      </c>
      <c r="D805" t="s">
        <v>144</v>
      </c>
      <c r="E805" t="s">
        <v>54</v>
      </c>
      <c r="F805" t="s">
        <v>54</v>
      </c>
      <c r="G805">
        <v>3</v>
      </c>
      <c r="H805" t="s">
        <v>55</v>
      </c>
      <c r="I805">
        <v>159600</v>
      </c>
      <c r="J805">
        <v>31900</v>
      </c>
      <c r="K805">
        <v>0.14000000000000001</v>
      </c>
      <c r="L805">
        <f>IF(Wapato_Inventory[[#This Row],[parcel_acres]]-Wapato_Inventory[[#This Row],[non_valued_acres]] =0,0,LN(Wapato_Inventory[[#This Row],[parcel_acres]]-Wapato_Inventory[[#This Row],[non_valued_acres]]))</f>
        <v>-1.9661128563728327</v>
      </c>
      <c r="M805">
        <v>0</v>
      </c>
      <c r="N805">
        <v>0</v>
      </c>
      <c r="O805">
        <v>0</v>
      </c>
      <c r="P805">
        <v>27904.037</v>
      </c>
      <c r="Q805">
        <v>74398</v>
      </c>
      <c r="R805" s="3">
        <f>(Wapato_Inventory[[#This Row],[ln_acres]]*Wapato_Inventory[[#This Row],[coeff]])+Wapato_Inventory[[#This Row],[const]]</f>
        <v>19535.514109596792</v>
      </c>
      <c r="S805" t="s">
        <v>66</v>
      </c>
      <c r="T805">
        <v>1</v>
      </c>
      <c r="U805" t="s">
        <v>71</v>
      </c>
      <c r="V805" t="s">
        <v>68</v>
      </c>
      <c r="W805">
        <v>0</v>
      </c>
      <c r="X805">
        <v>0</v>
      </c>
      <c r="Y805">
        <v>57</v>
      </c>
      <c r="Z805">
        <v>103</v>
      </c>
      <c r="AA805">
        <v>110</v>
      </c>
      <c r="AB805">
        <v>2000</v>
      </c>
      <c r="AC805">
        <v>1679</v>
      </c>
      <c r="AD805">
        <v>1679</v>
      </c>
      <c r="AE805">
        <v>0</v>
      </c>
      <c r="AF805">
        <v>0</v>
      </c>
      <c r="AG805">
        <v>0</v>
      </c>
      <c r="AH805">
        <v>780</v>
      </c>
      <c r="AI805">
        <v>0</v>
      </c>
      <c r="AJ805">
        <v>0</v>
      </c>
      <c r="AK805">
        <v>0</v>
      </c>
      <c r="AL805">
        <v>0</v>
      </c>
      <c r="AM805">
        <v>441</v>
      </c>
      <c r="AN805">
        <v>0</v>
      </c>
      <c r="AO805">
        <v>120</v>
      </c>
      <c r="AP805">
        <v>5</v>
      </c>
      <c r="AQ805">
        <v>0</v>
      </c>
      <c r="AR805">
        <v>1</v>
      </c>
      <c r="AS805" t="s">
        <v>59</v>
      </c>
      <c r="AT805">
        <v>1</v>
      </c>
      <c r="AU805" t="s">
        <v>64</v>
      </c>
      <c r="AV805" t="s">
        <v>77</v>
      </c>
      <c r="AW805">
        <v>1</v>
      </c>
      <c r="AX805">
        <v>2</v>
      </c>
      <c r="AY805">
        <v>0</v>
      </c>
      <c r="AZ805">
        <v>7800</v>
      </c>
      <c r="BA805">
        <v>100</v>
      </c>
      <c r="BB805">
        <v>100</v>
      </c>
      <c r="BC805">
        <v>100</v>
      </c>
      <c r="BD805">
        <v>100</v>
      </c>
      <c r="BE805">
        <v>1</v>
      </c>
      <c r="BF805">
        <v>15000</v>
      </c>
      <c r="BG805">
        <v>1000</v>
      </c>
      <c r="BH805" s="7">
        <f>ROUND(Wapato_Inventory[[#This Row],[detatched_value]]*Lookups!$B$22*Lookups!$H$48,-2)</f>
        <v>7000</v>
      </c>
      <c r="BI805" s="7">
        <f>ROUND(((Wapato_Inventory[[#This Row],[land_extract]]*Lookups!$B$3) +(Lookups!$B$2*0.5))*Lookups!$H$48,-2)</f>
        <v>53000</v>
      </c>
      <c r="BJ805" s="7">
        <f>IF(Wapato_Inventory[[#This Row],[bldg_style]]="",0,Lookups!$B$2*0.5)</f>
        <v>53765.27</v>
      </c>
      <c r="BK805" s="7">
        <f>_xlfn.IFNA(VLOOKUP(Wapato_Inventory[[#This Row],[quality]],Lookups!$H$2:$J$14,3,FALSE),0)</f>
        <v>28034</v>
      </c>
      <c r="BL805" s="7">
        <f>_xlfn.IFNA(VLOOKUP(Wapato_Inventory[[#This Row],[condition]],Lookups!$H$17:$J$24,3,FALSE),0)</f>
        <v>52231</v>
      </c>
      <c r="BM805" s="7">
        <f>Wapato_Inventory[[#This Row],[Age]]*Lookups!$B$16</f>
        <v>-38179.597099999999</v>
      </c>
      <c r="BN805" s="7">
        <f>Wapato_Inventory[[#This Row],[Main Floor]]*Lookups!$B$17</f>
        <v>70183.440780999998</v>
      </c>
      <c r="BO805" s="7">
        <f>Wapato_Inventory[[#This Row],[Upper Floor]]*Lookups!$B$18</f>
        <v>0</v>
      </c>
      <c r="BP805" s="7">
        <f>Wapato_Inventory[[#This Row],[Fin BSMT]]*Lookups!$B$19</f>
        <v>0</v>
      </c>
      <c r="BQ805" s="7">
        <f>(Wapato_Inventory[[#This Row],[att_gar]]+Wapato_Inventory[[#This Row],[blt_gar]])*Lookups!$B$20</f>
        <v>0</v>
      </c>
      <c r="BR805" s="7">
        <f>Wapato_Inventory[[#This Row],[Patio]]*Lookups!$B$21</f>
        <v>19105.874738999999</v>
      </c>
      <c r="BS805" s="7">
        <f>SUM(Wapato_Inventory[[#This Row],[intercept]:[patio_value]])*Wapato_Inventory[[#This Row],[res_pct]]</f>
        <v>185139.98841999998</v>
      </c>
      <c r="BT805" s="7">
        <f>Wapato_Inventory[[#This Row],[land_value]]</f>
        <v>53000</v>
      </c>
      <c r="BU805" s="2">
        <f>_xlfn.IFNA(VLOOKUP(Wapato_Inventory[[#This Row],[quality]],Lookups!$A$28:$C$37,3,FALSE),1)</f>
        <v>0.96265813922927435</v>
      </c>
      <c r="BV805" s="2">
        <f>_xlfn.IFNA(VLOOKUP(Wapato_Inventory[[#This Row],[condition]],Lookups!$A$41:$C$48,3,FALSE),1)</f>
        <v>0.9832333997567807</v>
      </c>
      <c r="BW805" s="2">
        <f>IF(Wapato_Inventory[[#This Row],[decade]]="",1,_xlfn.IFNA(VLOOKUP(Wapato_Inventory[[#This Row],[decade]],Lookups!$F$28:$H$45,3,FALSE),1))</f>
        <v>0.93664589651353292</v>
      </c>
      <c r="BX805" s="2">
        <f>_xlfn.IFNA(VLOOKUP(Wapato_Inventory[[#This Row],[living_area_range]],Lookups!$K$28:$M$37,3,FALSE),1)</f>
        <v>0.99330894324714125</v>
      </c>
      <c r="BY805" s="2">
        <f>AVERAGE(Wapato_Inventory[[#This Row],[qual_adj]:[range_adj]])</f>
        <v>0.96896159468668219</v>
      </c>
      <c r="BZ805" s="7">
        <f>(Wapato_Inventory[[#This Row],[sum_land]]-IF(Wapato_Inventory[[#This Row],[no_utilities]]=1,12000,0))/IF(Wapato_Inventory[[#This Row],[unbuildable]]=1,2,1)</f>
        <v>53000</v>
      </c>
      <c r="CA805" s="7">
        <f>Wapato_Inventory[[#This Row],[pre_res]]*Wapato_Inventory[[#This Row],[overall_adj]]</f>
        <v>179393.53841971705</v>
      </c>
      <c r="CB80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05" s="3">
        <f>IF(ROUND(Wapato_Inventory[[#This Row],[adj_res]]*Lookups!$H$48,-2)&lt;Wapato_Inventory[[#This Row],[min_res]],Wapato_Inventory[[#This Row],[min_res]],ROUND(Wapato_Inventory[[#This Row],[adj_res]]*Lookups!$H$48,-2))</f>
        <v>170400</v>
      </c>
      <c r="CD805" s="3">
        <f>ROUND(Wapato_Inventory[[#This Row],[det_value]]*Lookups!$H$48,-2)</f>
        <v>6700</v>
      </c>
      <c r="CE805" s="3">
        <f>Wapato_Inventory[[#This Row],[final_res]]+Wapato_Inventory[[#This Row],[final_det]]</f>
        <v>177100</v>
      </c>
      <c r="CF805" s="3">
        <f>Wapato_Inventory[[#This Row],[crop_value]]+Wapato_Inventory[[#This Row],[final_land]]+Wapato_Inventory[[#This Row],[final_imp]]</f>
        <v>227500</v>
      </c>
      <c r="CH805" t="str">
        <f t="shared" si="12"/>
        <v>update valuation set market_land =50400, market_bldg=177100, market_total =227500, market_mdno =405, market_date ='9/10/2023' where link_id = (select link_id from parcel where parcel_year = '2024' and parcel_id = '19111514466');</v>
      </c>
    </row>
    <row r="806" spans="1:86" x14ac:dyDescent="0.25">
      <c r="A806">
        <v>19111514467</v>
      </c>
      <c r="B806">
        <v>0.16</v>
      </c>
      <c r="C806">
        <v>6946</v>
      </c>
      <c r="D806" t="s">
        <v>144</v>
      </c>
      <c r="E806" t="s">
        <v>54</v>
      </c>
      <c r="F806" t="s">
        <v>54</v>
      </c>
      <c r="G806">
        <v>3</v>
      </c>
      <c r="H806" t="s">
        <v>55</v>
      </c>
      <c r="I806">
        <v>223200</v>
      </c>
      <c r="J806">
        <v>32800</v>
      </c>
      <c r="K806">
        <v>0.16</v>
      </c>
      <c r="L806">
        <f>IF(Wapato_Inventory[[#This Row],[parcel_acres]]-Wapato_Inventory[[#This Row],[non_valued_acres]] =0,0,LN(Wapato_Inventory[[#This Row],[parcel_acres]]-Wapato_Inventory[[#This Row],[non_valued_acres]]))</f>
        <v>-1.8325814637483102</v>
      </c>
      <c r="M806">
        <v>0</v>
      </c>
      <c r="N806">
        <v>0</v>
      </c>
      <c r="O806">
        <v>0</v>
      </c>
      <c r="P806">
        <v>27904.037</v>
      </c>
      <c r="Q806">
        <v>74398</v>
      </c>
      <c r="R806" s="3">
        <f>(Wapato_Inventory[[#This Row],[ln_acres]]*Wapato_Inventory[[#This Row],[coeff]])+Wapato_Inventory[[#This Row],[const]]</f>
        <v>23261.579030052992</v>
      </c>
      <c r="S806" t="s">
        <v>56</v>
      </c>
      <c r="T806">
        <v>1</v>
      </c>
      <c r="U806" t="s">
        <v>75</v>
      </c>
      <c r="V806" t="s">
        <v>69</v>
      </c>
      <c r="W806">
        <v>0</v>
      </c>
      <c r="X806">
        <v>0</v>
      </c>
      <c r="Y806">
        <v>57</v>
      </c>
      <c r="Z806">
        <v>103</v>
      </c>
      <c r="AA806">
        <v>110</v>
      </c>
      <c r="AB806">
        <v>2000</v>
      </c>
      <c r="AC806">
        <v>1728</v>
      </c>
      <c r="AD806">
        <v>1152</v>
      </c>
      <c r="AE806">
        <v>0</v>
      </c>
      <c r="AF806">
        <v>0</v>
      </c>
      <c r="AG806">
        <v>576</v>
      </c>
      <c r="AH806">
        <v>576</v>
      </c>
      <c r="AI806">
        <v>0</v>
      </c>
      <c r="AJ806">
        <v>0</v>
      </c>
      <c r="AK806">
        <v>0</v>
      </c>
      <c r="AL806">
        <v>0</v>
      </c>
      <c r="AM806">
        <v>0</v>
      </c>
      <c r="AN806">
        <v>144</v>
      </c>
      <c r="AO806">
        <v>0</v>
      </c>
      <c r="AP806">
        <v>5</v>
      </c>
      <c r="AQ806">
        <v>0</v>
      </c>
      <c r="AR806">
        <v>0</v>
      </c>
      <c r="AS806" t="s">
        <v>59</v>
      </c>
      <c r="AT806">
        <v>1</v>
      </c>
      <c r="AU806" t="s">
        <v>60</v>
      </c>
      <c r="AV806" t="s">
        <v>61</v>
      </c>
      <c r="AW806">
        <v>1</v>
      </c>
      <c r="AX806">
        <v>3</v>
      </c>
      <c r="AY806">
        <v>0</v>
      </c>
      <c r="AZ806">
        <v>6100</v>
      </c>
      <c r="BA806">
        <v>100</v>
      </c>
      <c r="BB806">
        <v>100</v>
      </c>
      <c r="BC806">
        <v>100</v>
      </c>
      <c r="BD806">
        <v>100</v>
      </c>
      <c r="BE806">
        <v>1</v>
      </c>
      <c r="BF806">
        <v>15000</v>
      </c>
      <c r="BG806">
        <v>1000</v>
      </c>
      <c r="BH806" s="7">
        <f>ROUND(Wapato_Inventory[[#This Row],[detatched_value]]*Lookups!$B$22*Lookups!$H$48,-2)</f>
        <v>5400</v>
      </c>
      <c r="BI806" s="7">
        <f>ROUND(((Wapato_Inventory[[#This Row],[land_extract]]*Lookups!$B$3) +(Lookups!$B$2*0.5))*Lookups!$H$48,-2)</f>
        <v>53300</v>
      </c>
      <c r="BJ806" s="7">
        <f>IF(Wapato_Inventory[[#This Row],[bldg_style]]="",0,Lookups!$B$2*0.5)</f>
        <v>53765.27</v>
      </c>
      <c r="BK806" s="7">
        <f>_xlfn.IFNA(VLOOKUP(Wapato_Inventory[[#This Row],[quality]],Lookups!$H$2:$J$14,3,FALSE),0)</f>
        <v>48043</v>
      </c>
      <c r="BL806" s="7">
        <f>_xlfn.IFNA(VLOOKUP(Wapato_Inventory[[#This Row],[condition]],Lookups!$H$17:$J$24,3,FALSE),0)</f>
        <v>74543</v>
      </c>
      <c r="BM806" s="7">
        <f>Wapato_Inventory[[#This Row],[Age]]*Lookups!$B$16</f>
        <v>-38179.597099999999</v>
      </c>
      <c r="BN806" s="7">
        <f>Wapato_Inventory[[#This Row],[Main Floor]]*Lookups!$B$17</f>
        <v>48154.451328000003</v>
      </c>
      <c r="BO806" s="7">
        <f>Wapato_Inventory[[#This Row],[Upper Floor]]*Lookups!$B$18</f>
        <v>0</v>
      </c>
      <c r="BP806" s="7">
        <f>Wapato_Inventory[[#This Row],[Fin BSMT]]*Lookups!$B$19</f>
        <v>14035.24224</v>
      </c>
      <c r="BQ806" s="7">
        <f>(Wapato_Inventory[[#This Row],[att_gar]]+Wapato_Inventory[[#This Row],[blt_gar]])*Lookups!$B$20</f>
        <v>0</v>
      </c>
      <c r="BR806" s="7">
        <f>Wapato_Inventory[[#This Row],[Patio]]*Lookups!$B$21</f>
        <v>0</v>
      </c>
      <c r="BS806" s="7">
        <f>SUM(Wapato_Inventory[[#This Row],[intercept]:[patio_value]])*Wapato_Inventory[[#This Row],[res_pct]]</f>
        <v>200361.36646799999</v>
      </c>
      <c r="BT806" s="7">
        <f>Wapato_Inventory[[#This Row],[land_value]]</f>
        <v>53300</v>
      </c>
      <c r="BU806" s="2">
        <f>_xlfn.IFNA(VLOOKUP(Wapato_Inventory[[#This Row],[quality]],Lookups!$A$28:$C$37,3,FALSE),1)</f>
        <v>0.98196844879778955</v>
      </c>
      <c r="BV806" s="2">
        <f>_xlfn.IFNA(VLOOKUP(Wapato_Inventory[[#This Row],[condition]],Lookups!$A$41:$C$48,3,FALSE),1)</f>
        <v>0.98442438223270734</v>
      </c>
      <c r="BW806" s="2">
        <f>IF(Wapato_Inventory[[#This Row],[decade]]="",1,_xlfn.IFNA(VLOOKUP(Wapato_Inventory[[#This Row],[decade]],Lookups!$F$28:$H$45,3,FALSE),1))</f>
        <v>0.93664589651353292</v>
      </c>
      <c r="BX806" s="2">
        <f>_xlfn.IFNA(VLOOKUP(Wapato_Inventory[[#This Row],[living_area_range]],Lookups!$K$28:$M$37,3,FALSE),1)</f>
        <v>0.99330894324714125</v>
      </c>
      <c r="BY806" s="2">
        <f>AVERAGE(Wapato_Inventory[[#This Row],[qual_adj]:[range_adj]])</f>
        <v>0.97408691769779276</v>
      </c>
      <c r="BZ806" s="7">
        <f>(Wapato_Inventory[[#This Row],[sum_land]]-IF(Wapato_Inventory[[#This Row],[no_utilities]]=1,12000,0))/IF(Wapato_Inventory[[#This Row],[unbuildable]]=1,2,1)</f>
        <v>53300</v>
      </c>
      <c r="CA806" s="7">
        <f>Wapato_Inventory[[#This Row],[pre_res]]*Wapato_Inventory[[#This Row],[overall_adj]]</f>
        <v>195169.38588853201</v>
      </c>
      <c r="CB806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806" s="3">
        <f>IF(ROUND(Wapato_Inventory[[#This Row],[adj_res]]*Lookups!$H$48,-2)&lt;Wapato_Inventory[[#This Row],[min_res]],Wapato_Inventory[[#This Row],[min_res]],ROUND(Wapato_Inventory[[#This Row],[adj_res]]*Lookups!$H$48,-2))</f>
        <v>185400</v>
      </c>
      <c r="CD806" s="3">
        <f>ROUND(Wapato_Inventory[[#This Row],[det_value]]*Lookups!$H$48,-2)</f>
        <v>5100</v>
      </c>
      <c r="CE806" s="3">
        <f>Wapato_Inventory[[#This Row],[final_res]]+Wapato_Inventory[[#This Row],[final_det]]</f>
        <v>190500</v>
      </c>
      <c r="CF806" s="3">
        <f>Wapato_Inventory[[#This Row],[crop_value]]+Wapato_Inventory[[#This Row],[final_land]]+Wapato_Inventory[[#This Row],[final_imp]]</f>
        <v>241100</v>
      </c>
      <c r="CH806" t="str">
        <f t="shared" si="12"/>
        <v>update valuation set market_land =50600, market_bldg=190500, market_total =241100, market_mdno =405, market_date ='9/10/2023' where link_id = (select link_id from parcel where parcel_year = '2024' and parcel_id = '19111514467');</v>
      </c>
    </row>
    <row r="807" spans="1:86" x14ac:dyDescent="0.25">
      <c r="A807">
        <v>19111514468</v>
      </c>
      <c r="B807">
        <v>0.15</v>
      </c>
      <c r="C807">
        <v>6409</v>
      </c>
      <c r="D807" t="s">
        <v>144</v>
      </c>
      <c r="E807" t="s">
        <v>54</v>
      </c>
      <c r="F807" t="s">
        <v>54</v>
      </c>
      <c r="G807">
        <v>3</v>
      </c>
      <c r="H807" t="s">
        <v>55</v>
      </c>
      <c r="I807">
        <v>148300</v>
      </c>
      <c r="J807">
        <v>32300</v>
      </c>
      <c r="K807">
        <v>0.15</v>
      </c>
      <c r="L807">
        <f>IF(Wapato_Inventory[[#This Row],[parcel_acres]]-Wapato_Inventory[[#This Row],[non_valued_acres]] =0,0,LN(Wapato_Inventory[[#This Row],[parcel_acres]]-Wapato_Inventory[[#This Row],[non_valued_acres]]))</f>
        <v>-1.8971199848858813</v>
      </c>
      <c r="M807">
        <v>0</v>
      </c>
      <c r="N807">
        <v>0</v>
      </c>
      <c r="O807">
        <v>0</v>
      </c>
      <c r="P807">
        <v>27904.037</v>
      </c>
      <c r="Q807">
        <v>74398</v>
      </c>
      <c r="R807" s="3">
        <f>(Wapato_Inventory[[#This Row],[ln_acres]]*Wapato_Inventory[[#This Row],[coeff]])+Wapato_Inventory[[#This Row],[const]]</f>
        <v>21460.693748304926</v>
      </c>
      <c r="S807" t="s">
        <v>56</v>
      </c>
      <c r="T807">
        <v>2</v>
      </c>
      <c r="U807" t="s">
        <v>75</v>
      </c>
      <c r="V807" t="s">
        <v>68</v>
      </c>
      <c r="W807">
        <v>0</v>
      </c>
      <c r="X807">
        <v>0</v>
      </c>
      <c r="Y807">
        <v>65</v>
      </c>
      <c r="Z807">
        <v>113</v>
      </c>
      <c r="AA807">
        <v>120</v>
      </c>
      <c r="AB807">
        <v>2000</v>
      </c>
      <c r="AC807">
        <v>1668</v>
      </c>
      <c r="AD807">
        <v>968</v>
      </c>
      <c r="AE807">
        <v>700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0</v>
      </c>
      <c r="AL807">
        <v>0</v>
      </c>
      <c r="AM807">
        <v>264</v>
      </c>
      <c r="AN807">
        <v>0</v>
      </c>
      <c r="AO807">
        <v>264</v>
      </c>
      <c r="AP807">
        <v>5</v>
      </c>
      <c r="AQ807">
        <v>0</v>
      </c>
      <c r="AR807">
        <v>0</v>
      </c>
      <c r="AS807" t="s">
        <v>59</v>
      </c>
      <c r="AT807">
        <v>1</v>
      </c>
      <c r="AU807" t="s">
        <v>72</v>
      </c>
      <c r="AV807" t="s">
        <v>77</v>
      </c>
      <c r="AW807">
        <v>0</v>
      </c>
      <c r="AX807">
        <v>3</v>
      </c>
      <c r="AY807">
        <v>0</v>
      </c>
      <c r="AZ807">
        <v>4800</v>
      </c>
      <c r="BA807">
        <v>100</v>
      </c>
      <c r="BB807">
        <v>100</v>
      </c>
      <c r="BC807">
        <v>100</v>
      </c>
      <c r="BD807">
        <v>100</v>
      </c>
      <c r="BE807">
        <v>1</v>
      </c>
      <c r="BF807">
        <v>15000</v>
      </c>
      <c r="BG807">
        <v>1000</v>
      </c>
      <c r="BH807" s="7">
        <f>ROUND(Wapato_Inventory[[#This Row],[detatched_value]]*Lookups!$B$22*Lookups!$H$48,-2)</f>
        <v>4300</v>
      </c>
      <c r="BI807" s="7">
        <f>ROUND(((Wapato_Inventory[[#This Row],[land_extract]]*Lookups!$B$3) +(Lookups!$B$2*0.5))*Lookups!$H$48,-2)</f>
        <v>53100</v>
      </c>
      <c r="BJ807" s="7">
        <f>IF(Wapato_Inventory[[#This Row],[bldg_style]]="",0,Lookups!$B$2*0.5)</f>
        <v>53765.27</v>
      </c>
      <c r="BK807" s="7">
        <f>_xlfn.IFNA(VLOOKUP(Wapato_Inventory[[#This Row],[quality]],Lookups!$H$2:$J$14,3,FALSE),0)</f>
        <v>48043</v>
      </c>
      <c r="BL807" s="7">
        <f>_xlfn.IFNA(VLOOKUP(Wapato_Inventory[[#This Row],[condition]],Lookups!$H$17:$J$24,3,FALSE),0)</f>
        <v>52231</v>
      </c>
      <c r="BM807" s="7">
        <f>Wapato_Inventory[[#This Row],[Age]]*Lookups!$B$16</f>
        <v>-41886.354100000004</v>
      </c>
      <c r="BN807" s="7">
        <f>Wapato_Inventory[[#This Row],[Main Floor]]*Lookups!$B$17</f>
        <v>40463.115352000001</v>
      </c>
      <c r="BO807" s="7">
        <f>Wapato_Inventory[[#This Row],[Upper Floor]]*Lookups!$B$18</f>
        <v>34720.797300000006</v>
      </c>
      <c r="BP807" s="7">
        <f>Wapato_Inventory[[#This Row],[Fin BSMT]]*Lookups!$B$19</f>
        <v>0</v>
      </c>
      <c r="BQ807" s="7">
        <f>(Wapato_Inventory[[#This Row],[att_gar]]+Wapato_Inventory[[#This Row],[blt_gar]])*Lookups!$B$20</f>
        <v>0</v>
      </c>
      <c r="BR807" s="7">
        <f>Wapato_Inventory[[#This Row],[Patio]]*Lookups!$B$21</f>
        <v>11437.530456</v>
      </c>
      <c r="BS807" s="7">
        <f>SUM(Wapato_Inventory[[#This Row],[intercept]:[patio_value]])*Wapato_Inventory[[#This Row],[res_pct]]</f>
        <v>198774.359008</v>
      </c>
      <c r="BT807" s="7">
        <f>Wapato_Inventory[[#This Row],[land_value]]</f>
        <v>53100</v>
      </c>
      <c r="BU807" s="2">
        <f>_xlfn.IFNA(VLOOKUP(Wapato_Inventory[[#This Row],[quality]],Lookups!$A$28:$C$37,3,FALSE),1)</f>
        <v>0.98196844879778955</v>
      </c>
      <c r="BV807" s="2">
        <f>_xlfn.IFNA(VLOOKUP(Wapato_Inventory[[#This Row],[condition]],Lookups!$A$41:$C$48,3,FALSE),1)</f>
        <v>0.9832333997567807</v>
      </c>
      <c r="BW807" s="2">
        <f>IF(Wapato_Inventory[[#This Row],[decade]]="",1,_xlfn.IFNA(VLOOKUP(Wapato_Inventory[[#This Row],[decade]],Lookups!$F$28:$H$45,3,FALSE),1))</f>
        <v>0.93664589651353292</v>
      </c>
      <c r="BX807" s="2">
        <f>_xlfn.IFNA(VLOOKUP(Wapato_Inventory[[#This Row],[living_area_range]],Lookups!$K$28:$M$37,3,FALSE),1)</f>
        <v>0.99330894324714125</v>
      </c>
      <c r="BY807" s="2">
        <f>AVERAGE(Wapato_Inventory[[#This Row],[qual_adj]:[range_adj]])</f>
        <v>0.9737891720788111</v>
      </c>
      <c r="BZ807" s="7">
        <f>(Wapato_Inventory[[#This Row],[sum_land]]-IF(Wapato_Inventory[[#This Row],[no_utilities]]=1,12000,0))/IF(Wapato_Inventory[[#This Row],[unbuildable]]=1,2,1)</f>
        <v>53100</v>
      </c>
      <c r="CA807" s="7">
        <f>Wapato_Inventory[[#This Row],[pre_res]]*Wapato_Inventory[[#This Row],[overall_adj]]</f>
        <v>193564.31848889668</v>
      </c>
      <c r="CB80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07" s="3">
        <f>IF(ROUND(Wapato_Inventory[[#This Row],[adj_res]]*Lookups!$H$48,-2)&lt;Wapato_Inventory[[#This Row],[min_res]],Wapato_Inventory[[#This Row],[min_res]],ROUND(Wapato_Inventory[[#This Row],[adj_res]]*Lookups!$H$48,-2))</f>
        <v>183900</v>
      </c>
      <c r="CD807" s="3">
        <f>ROUND(Wapato_Inventory[[#This Row],[det_value]]*Lookups!$H$48,-2)</f>
        <v>4100</v>
      </c>
      <c r="CE807" s="3">
        <f>Wapato_Inventory[[#This Row],[final_res]]+Wapato_Inventory[[#This Row],[final_det]]</f>
        <v>188000</v>
      </c>
      <c r="CF807" s="3">
        <f>Wapato_Inventory[[#This Row],[crop_value]]+Wapato_Inventory[[#This Row],[final_land]]+Wapato_Inventory[[#This Row],[final_imp]]</f>
        <v>238400</v>
      </c>
      <c r="CH807" t="str">
        <f t="shared" si="12"/>
        <v>update valuation set market_land =50400, market_bldg=188000, market_total =238400, market_mdno =405, market_date ='9/10/2023' where link_id = (select link_id from parcel where parcel_year = '2024' and parcel_id = '19111514468');</v>
      </c>
    </row>
    <row r="808" spans="1:86" x14ac:dyDescent="0.25">
      <c r="A808">
        <v>19111514469</v>
      </c>
      <c r="B808">
        <v>0.3</v>
      </c>
      <c r="C808">
        <v>13050</v>
      </c>
      <c r="D808" t="s">
        <v>144</v>
      </c>
      <c r="E808" t="s">
        <v>54</v>
      </c>
      <c r="F808" t="s">
        <v>54</v>
      </c>
      <c r="G808">
        <v>3</v>
      </c>
      <c r="H808" t="s">
        <v>55</v>
      </c>
      <c r="I808">
        <v>252200</v>
      </c>
      <c r="J808">
        <v>37300</v>
      </c>
      <c r="K808">
        <v>0.3</v>
      </c>
      <c r="L808">
        <f>IF(Wapato_Inventory[[#This Row],[parcel_acres]]-Wapato_Inventory[[#This Row],[non_valued_acres]] =0,0,LN(Wapato_Inventory[[#This Row],[parcel_acres]]-Wapato_Inventory[[#This Row],[non_valued_acres]]))</f>
        <v>-1.2039728043259361</v>
      </c>
      <c r="M808">
        <v>0</v>
      </c>
      <c r="N808">
        <v>0</v>
      </c>
      <c r="O808">
        <v>0</v>
      </c>
      <c r="P808">
        <v>27904.037</v>
      </c>
      <c r="Q808">
        <v>74398</v>
      </c>
      <c r="R808" s="3">
        <f>(Wapato_Inventory[[#This Row],[ln_acres]]*Wapato_Inventory[[#This Row],[coeff]])+Wapato_Inventory[[#This Row],[const]]</f>
        <v>40802.298321095317</v>
      </c>
      <c r="S808" t="s">
        <v>66</v>
      </c>
      <c r="T808">
        <v>1</v>
      </c>
      <c r="U808" t="s">
        <v>67</v>
      </c>
      <c r="V808" t="s">
        <v>69</v>
      </c>
      <c r="W808">
        <v>0</v>
      </c>
      <c r="X808">
        <v>0</v>
      </c>
      <c r="Y808">
        <v>50</v>
      </c>
      <c r="Z808">
        <v>73</v>
      </c>
      <c r="AA808">
        <v>80</v>
      </c>
      <c r="AB808">
        <v>2000</v>
      </c>
      <c r="AC808">
        <v>1946</v>
      </c>
      <c r="AD808">
        <v>1946</v>
      </c>
      <c r="AE808">
        <v>0</v>
      </c>
      <c r="AF808">
        <v>0</v>
      </c>
      <c r="AG808">
        <v>0</v>
      </c>
      <c r="AH808">
        <v>0</v>
      </c>
      <c r="AI808">
        <v>260</v>
      </c>
      <c r="AJ808">
        <v>0</v>
      </c>
      <c r="AK808">
        <v>0</v>
      </c>
      <c r="AL808">
        <v>0</v>
      </c>
      <c r="AM808">
        <v>740</v>
      </c>
      <c r="AN808">
        <v>32</v>
      </c>
      <c r="AO808">
        <v>715</v>
      </c>
      <c r="AP808">
        <v>8</v>
      </c>
      <c r="AQ808">
        <v>0</v>
      </c>
      <c r="AR808">
        <v>1</v>
      </c>
      <c r="AS808" t="s">
        <v>59</v>
      </c>
      <c r="AT808">
        <v>1</v>
      </c>
      <c r="AU808" t="s">
        <v>64</v>
      </c>
      <c r="AV808" t="s">
        <v>65</v>
      </c>
      <c r="AW808">
        <v>1</v>
      </c>
      <c r="AX808">
        <v>3</v>
      </c>
      <c r="AY808">
        <v>0</v>
      </c>
      <c r="AZ808">
        <v>0</v>
      </c>
      <c r="BA808">
        <v>100</v>
      </c>
      <c r="BB808">
        <v>100</v>
      </c>
      <c r="BC808">
        <v>100</v>
      </c>
      <c r="BD808">
        <v>100</v>
      </c>
      <c r="BE808">
        <v>1</v>
      </c>
      <c r="BF808">
        <v>15000</v>
      </c>
      <c r="BG808">
        <v>1000</v>
      </c>
      <c r="BH808" s="7">
        <f>ROUND(Wapato_Inventory[[#This Row],[detatched_value]]*Lookups!$B$22*Lookups!$H$48,-2)</f>
        <v>0</v>
      </c>
      <c r="BI808" s="7">
        <f>ROUND(((Wapato_Inventory[[#This Row],[land_extract]]*Lookups!$B$3) +(Lookups!$B$2*0.5))*Lookups!$H$48,-2)</f>
        <v>55000</v>
      </c>
      <c r="BJ808" s="7">
        <f>IF(Wapato_Inventory[[#This Row],[bldg_style]]="",0,Lookups!$B$2*0.5)</f>
        <v>53765.27</v>
      </c>
      <c r="BK808" s="7">
        <f>_xlfn.IFNA(VLOOKUP(Wapato_Inventory[[#This Row],[quality]],Lookups!$H$2:$J$14,3,FALSE),0)</f>
        <v>50405</v>
      </c>
      <c r="BL808" s="7">
        <f>_xlfn.IFNA(VLOOKUP(Wapato_Inventory[[#This Row],[condition]],Lookups!$H$17:$J$24,3,FALSE),0)</f>
        <v>74543</v>
      </c>
      <c r="BM808" s="7">
        <f>Wapato_Inventory[[#This Row],[Age]]*Lookups!$B$16</f>
        <v>-27059.326100000002</v>
      </c>
      <c r="BN808" s="7">
        <f>Wapato_Inventory[[#This Row],[Main Floor]]*Lookups!$B$17</f>
        <v>81344.238094</v>
      </c>
      <c r="BO808" s="7">
        <f>Wapato_Inventory[[#This Row],[Upper Floor]]*Lookups!$B$18</f>
        <v>0</v>
      </c>
      <c r="BP808" s="7">
        <f>Wapato_Inventory[[#This Row],[Fin BSMT]]*Lookups!$B$19</f>
        <v>0</v>
      </c>
      <c r="BQ808" s="7">
        <f>(Wapato_Inventory[[#This Row],[att_gar]]+Wapato_Inventory[[#This Row],[blt_gar]])*Lookups!$B$20</f>
        <v>9622.2755200000011</v>
      </c>
      <c r="BR808" s="7">
        <f>Wapato_Inventory[[#This Row],[Patio]]*Lookups!$B$21</f>
        <v>32059.744460000002</v>
      </c>
      <c r="BS808" s="7">
        <f>SUM(Wapato_Inventory[[#This Row],[intercept]:[patio_value]])*Wapato_Inventory[[#This Row],[res_pct]]</f>
        <v>274680.20197399997</v>
      </c>
      <c r="BT808" s="7">
        <f>Wapato_Inventory[[#This Row],[land_value]]</f>
        <v>55000</v>
      </c>
      <c r="BU808" s="2">
        <f>_xlfn.IFNA(VLOOKUP(Wapato_Inventory[[#This Row],[quality]],Lookups!$A$28:$C$37,3,FALSE),1)</f>
        <v>0.97993206410140754</v>
      </c>
      <c r="BV808" s="2">
        <f>_xlfn.IFNA(VLOOKUP(Wapato_Inventory[[#This Row],[condition]],Lookups!$A$41:$C$48,3,FALSE),1)</f>
        <v>0.98442438223270734</v>
      </c>
      <c r="BW808" s="2">
        <f>IF(Wapato_Inventory[[#This Row],[decade]]="",1,_xlfn.IFNA(VLOOKUP(Wapato_Inventory[[#This Row],[decade]],Lookups!$F$28:$H$45,3,FALSE),1))</f>
        <v>0.8438929209510081</v>
      </c>
      <c r="BX808" s="2">
        <f>_xlfn.IFNA(VLOOKUP(Wapato_Inventory[[#This Row],[living_area_range]],Lookups!$K$28:$M$37,3,FALSE),1)</f>
        <v>0.99330894324714125</v>
      </c>
      <c r="BY808" s="2">
        <f>AVERAGE(Wapato_Inventory[[#This Row],[qual_adj]:[range_adj]])</f>
        <v>0.95038957763306608</v>
      </c>
      <c r="BZ808" s="7">
        <f>(Wapato_Inventory[[#This Row],[sum_land]]-IF(Wapato_Inventory[[#This Row],[no_utilities]]=1,12000,0))/IF(Wapato_Inventory[[#This Row],[unbuildable]]=1,2,1)</f>
        <v>55000</v>
      </c>
      <c r="CA808" s="7">
        <f>Wapato_Inventory[[#This Row],[pre_res]]*Wapato_Inventory[[#This Row],[overall_adj]]</f>
        <v>261053.2011382351</v>
      </c>
      <c r="CB808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808" s="3">
        <f>IF(ROUND(Wapato_Inventory[[#This Row],[adj_res]]*Lookups!$H$48,-2)&lt;Wapato_Inventory[[#This Row],[min_res]],Wapato_Inventory[[#This Row],[min_res]],ROUND(Wapato_Inventory[[#This Row],[adj_res]]*Lookups!$H$48,-2))</f>
        <v>248000</v>
      </c>
      <c r="CD808" s="3">
        <f>ROUND(Wapato_Inventory[[#This Row],[det_value]]*Lookups!$H$48,-2)</f>
        <v>0</v>
      </c>
      <c r="CE808" s="3">
        <f>Wapato_Inventory[[#This Row],[final_res]]+Wapato_Inventory[[#This Row],[final_det]]</f>
        <v>248000</v>
      </c>
      <c r="CF808" s="3">
        <f>Wapato_Inventory[[#This Row],[crop_value]]+Wapato_Inventory[[#This Row],[final_land]]+Wapato_Inventory[[#This Row],[final_imp]]</f>
        <v>300300</v>
      </c>
      <c r="CH808" t="str">
        <f t="shared" si="12"/>
        <v>update valuation set market_land =52300, market_bldg=248000, market_total =300300, market_mdno =405, market_date ='9/10/2023' where link_id = (select link_id from parcel where parcel_year = '2024' and parcel_id = '19111514469');</v>
      </c>
    </row>
    <row r="809" spans="1:86" x14ac:dyDescent="0.25">
      <c r="A809">
        <v>19111514472</v>
      </c>
      <c r="B809">
        <v>0.19</v>
      </c>
      <c r="C809">
        <v>8083</v>
      </c>
      <c r="D809" t="s">
        <v>144</v>
      </c>
      <c r="E809" t="s">
        <v>54</v>
      </c>
      <c r="F809" t="s">
        <v>54</v>
      </c>
      <c r="G809">
        <v>3</v>
      </c>
      <c r="H809" t="s">
        <v>55</v>
      </c>
      <c r="I809">
        <v>216900</v>
      </c>
      <c r="J809">
        <v>34100</v>
      </c>
      <c r="K809">
        <v>0.19</v>
      </c>
      <c r="L809">
        <f>IF(Wapato_Inventory[[#This Row],[parcel_acres]]-Wapato_Inventory[[#This Row],[non_valued_acres]] =0,0,LN(Wapato_Inventory[[#This Row],[parcel_acres]]-Wapato_Inventory[[#This Row],[non_valued_acres]]))</f>
        <v>-1.6607312068216509</v>
      </c>
      <c r="M809">
        <v>0</v>
      </c>
      <c r="N809">
        <v>0</v>
      </c>
      <c r="O809">
        <v>0</v>
      </c>
      <c r="P809">
        <v>27904.037</v>
      </c>
      <c r="Q809">
        <v>74398</v>
      </c>
      <c r="R809" s="3">
        <f>(Wapato_Inventory[[#This Row],[ln_acres]]*Wapato_Inventory[[#This Row],[coeff]])+Wapato_Inventory[[#This Row],[const]]</f>
        <v>28056.894957794</v>
      </c>
      <c r="S809" t="s">
        <v>56</v>
      </c>
      <c r="T809">
        <v>2</v>
      </c>
      <c r="U809" t="s">
        <v>75</v>
      </c>
      <c r="V809" t="s">
        <v>68</v>
      </c>
      <c r="W809">
        <v>0</v>
      </c>
      <c r="X809">
        <v>0</v>
      </c>
      <c r="Y809">
        <v>53</v>
      </c>
      <c r="Z809">
        <v>93</v>
      </c>
      <c r="AA809">
        <v>100</v>
      </c>
      <c r="AB809">
        <v>3000</v>
      </c>
      <c r="AC809">
        <v>2722</v>
      </c>
      <c r="AD809">
        <v>1331</v>
      </c>
      <c r="AE809">
        <v>992</v>
      </c>
      <c r="AF809">
        <v>0</v>
      </c>
      <c r="AG809">
        <v>399</v>
      </c>
      <c r="AH809">
        <v>21</v>
      </c>
      <c r="AI809">
        <v>0</v>
      </c>
      <c r="AJ809">
        <v>0</v>
      </c>
      <c r="AK809">
        <v>0</v>
      </c>
      <c r="AL809">
        <v>0</v>
      </c>
      <c r="AM809">
        <v>201</v>
      </c>
      <c r="AN809">
        <v>0</v>
      </c>
      <c r="AO809">
        <v>0</v>
      </c>
      <c r="AP809">
        <v>7</v>
      </c>
      <c r="AQ809">
        <v>0</v>
      </c>
      <c r="AR809">
        <v>1</v>
      </c>
      <c r="AS809" t="s">
        <v>59</v>
      </c>
      <c r="AT809">
        <v>1</v>
      </c>
      <c r="AU809" t="s">
        <v>64</v>
      </c>
      <c r="AV809" t="s">
        <v>65</v>
      </c>
      <c r="AW809">
        <v>0</v>
      </c>
      <c r="AX809">
        <v>4</v>
      </c>
      <c r="AY809">
        <v>0</v>
      </c>
      <c r="AZ809">
        <v>8100</v>
      </c>
      <c r="BA809">
        <v>100</v>
      </c>
      <c r="BB809">
        <v>100</v>
      </c>
      <c r="BC809">
        <v>100</v>
      </c>
      <c r="BD809">
        <v>100</v>
      </c>
      <c r="BE809">
        <v>1</v>
      </c>
      <c r="BF809">
        <v>15000</v>
      </c>
      <c r="BG809">
        <v>1000</v>
      </c>
      <c r="BH809" s="7">
        <f>ROUND(Wapato_Inventory[[#This Row],[detatched_value]]*Lookups!$B$22*Lookups!$H$48,-2)</f>
        <v>7200</v>
      </c>
      <c r="BI809" s="7">
        <f>ROUND(((Wapato_Inventory[[#This Row],[land_extract]]*Lookups!$B$3) +(Lookups!$B$2*0.5))*Lookups!$H$48,-2)</f>
        <v>53800</v>
      </c>
      <c r="BJ809" s="7">
        <f>IF(Wapato_Inventory[[#This Row],[bldg_style]]="",0,Lookups!$B$2*0.5)</f>
        <v>53765.27</v>
      </c>
      <c r="BK809" s="7">
        <f>_xlfn.IFNA(VLOOKUP(Wapato_Inventory[[#This Row],[quality]],Lookups!$H$2:$J$14,3,FALSE),0)</f>
        <v>48043</v>
      </c>
      <c r="BL809" s="7">
        <f>_xlfn.IFNA(VLOOKUP(Wapato_Inventory[[#This Row],[condition]],Lookups!$H$17:$J$24,3,FALSE),0)</f>
        <v>52231</v>
      </c>
      <c r="BM809" s="7">
        <f>Wapato_Inventory[[#This Row],[Age]]*Lookups!$B$16</f>
        <v>-34472.840100000001</v>
      </c>
      <c r="BN809" s="7">
        <f>Wapato_Inventory[[#This Row],[Main Floor]]*Lookups!$B$17</f>
        <v>55636.783608999998</v>
      </c>
      <c r="BO809" s="7">
        <f>Wapato_Inventory[[#This Row],[Upper Floor]]*Lookups!$B$18</f>
        <v>49204.329888</v>
      </c>
      <c r="BP809" s="7">
        <f>Wapato_Inventory[[#This Row],[Fin BSMT]]*Lookups!$B$19</f>
        <v>9722.3292600000004</v>
      </c>
      <c r="BQ809" s="7">
        <f>(Wapato_Inventory[[#This Row],[att_gar]]+Wapato_Inventory[[#This Row],[blt_gar]])*Lookups!$B$20</f>
        <v>0</v>
      </c>
      <c r="BR809" s="7">
        <f>Wapato_Inventory[[#This Row],[Patio]]*Lookups!$B$21</f>
        <v>8708.1197790000006</v>
      </c>
      <c r="BS809" s="7">
        <f>SUM(Wapato_Inventory[[#This Row],[intercept]:[patio_value]])*Wapato_Inventory[[#This Row],[res_pct]]</f>
        <v>242837.992436</v>
      </c>
      <c r="BT809" s="7">
        <f>Wapato_Inventory[[#This Row],[land_value]]</f>
        <v>53800</v>
      </c>
      <c r="BU809" s="2">
        <f>_xlfn.IFNA(VLOOKUP(Wapato_Inventory[[#This Row],[quality]],Lookups!$A$28:$C$37,3,FALSE),1)</f>
        <v>0.98196844879778955</v>
      </c>
      <c r="BV809" s="2">
        <f>_xlfn.IFNA(VLOOKUP(Wapato_Inventory[[#This Row],[condition]],Lookups!$A$41:$C$48,3,FALSE),1)</f>
        <v>0.9832333997567807</v>
      </c>
      <c r="BW809" s="2">
        <f>IF(Wapato_Inventory[[#This Row],[decade]]="",1,_xlfn.IFNA(VLOOKUP(Wapato_Inventory[[#This Row],[decade]],Lookups!$F$28:$H$45,3,FALSE),1))</f>
        <v>1.0114203040664467</v>
      </c>
      <c r="BX809" s="2">
        <f>_xlfn.IFNA(VLOOKUP(Wapato_Inventory[[#This Row],[living_area_range]],Lookups!$K$28:$M$37,3,FALSE),1)</f>
        <v>1.0155869662067822</v>
      </c>
      <c r="BY809" s="2">
        <f>AVERAGE(Wapato_Inventory[[#This Row],[qual_adj]:[range_adj]])</f>
        <v>0.99805227970694976</v>
      </c>
      <c r="BZ809" s="7">
        <f>(Wapato_Inventory[[#This Row],[sum_land]]-IF(Wapato_Inventory[[#This Row],[no_utilities]]=1,12000,0))/IF(Wapato_Inventory[[#This Row],[unbuildable]]=1,2,1)</f>
        <v>53800</v>
      </c>
      <c r="CA809" s="7">
        <f>Wapato_Inventory[[#This Row],[pre_res]]*Wapato_Inventory[[#This Row],[overall_adj]]</f>
        <v>242365.01195020883</v>
      </c>
      <c r="CB809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809" s="3">
        <f>IF(ROUND(Wapato_Inventory[[#This Row],[adj_res]]*Lookups!$H$48,-2)&lt;Wapato_Inventory[[#This Row],[min_res]],Wapato_Inventory[[#This Row],[min_res]],ROUND(Wapato_Inventory[[#This Row],[adj_res]]*Lookups!$H$48,-2))</f>
        <v>230200</v>
      </c>
      <c r="CD809" s="3">
        <f>ROUND(Wapato_Inventory[[#This Row],[det_value]]*Lookups!$H$48,-2)</f>
        <v>6800</v>
      </c>
      <c r="CE809" s="3">
        <f>Wapato_Inventory[[#This Row],[final_res]]+Wapato_Inventory[[#This Row],[final_det]]</f>
        <v>237000</v>
      </c>
      <c r="CF809" s="3">
        <f>Wapato_Inventory[[#This Row],[crop_value]]+Wapato_Inventory[[#This Row],[final_land]]+Wapato_Inventory[[#This Row],[final_imp]]</f>
        <v>288100</v>
      </c>
      <c r="CH809" t="str">
        <f t="shared" si="12"/>
        <v>update valuation set market_land =51100, market_bldg=237000, market_total =288100, market_mdno =405, market_date ='9/10/2023' where link_id = (select link_id from parcel where parcel_year = '2024' and parcel_id = '19111514472');</v>
      </c>
    </row>
    <row r="810" spans="1:86" x14ac:dyDescent="0.25">
      <c r="A810">
        <v>19111514473</v>
      </c>
      <c r="B810">
        <v>0.14000000000000001</v>
      </c>
      <c r="C810">
        <v>5903</v>
      </c>
      <c r="D810" t="s">
        <v>144</v>
      </c>
      <c r="E810" t="s">
        <v>54</v>
      </c>
      <c r="F810" t="s">
        <v>54</v>
      </c>
      <c r="G810">
        <v>3</v>
      </c>
      <c r="H810" t="s">
        <v>55</v>
      </c>
      <c r="I810">
        <v>182600</v>
      </c>
      <c r="J810">
        <v>31900</v>
      </c>
      <c r="K810">
        <v>0.14000000000000001</v>
      </c>
      <c r="L810">
        <f>IF(Wapato_Inventory[[#This Row],[parcel_acres]]-Wapato_Inventory[[#This Row],[non_valued_acres]] =0,0,LN(Wapato_Inventory[[#This Row],[parcel_acres]]-Wapato_Inventory[[#This Row],[non_valued_acres]]))</f>
        <v>-1.9661128563728327</v>
      </c>
      <c r="M810">
        <v>0</v>
      </c>
      <c r="N810">
        <v>0</v>
      </c>
      <c r="O810">
        <v>0</v>
      </c>
      <c r="P810">
        <v>27904.037</v>
      </c>
      <c r="Q810">
        <v>74398</v>
      </c>
      <c r="R810" s="3">
        <f>(Wapato_Inventory[[#This Row],[ln_acres]]*Wapato_Inventory[[#This Row],[coeff]])+Wapato_Inventory[[#This Row],[const]]</f>
        <v>19535.514109596792</v>
      </c>
      <c r="S810" t="s">
        <v>66</v>
      </c>
      <c r="T810">
        <v>1</v>
      </c>
      <c r="U810" t="s">
        <v>75</v>
      </c>
      <c r="V810" t="s">
        <v>68</v>
      </c>
      <c r="W810">
        <v>0</v>
      </c>
      <c r="X810">
        <v>0</v>
      </c>
      <c r="Y810">
        <v>53</v>
      </c>
      <c r="Z810">
        <v>91</v>
      </c>
      <c r="AA810">
        <v>100</v>
      </c>
      <c r="AB810">
        <v>2000</v>
      </c>
      <c r="AC810">
        <v>1822</v>
      </c>
      <c r="AD810">
        <v>1372</v>
      </c>
      <c r="AE810">
        <v>0</v>
      </c>
      <c r="AF810">
        <v>0</v>
      </c>
      <c r="AG810">
        <v>450</v>
      </c>
      <c r="AH810">
        <v>450</v>
      </c>
      <c r="AI810">
        <v>0</v>
      </c>
      <c r="AJ810">
        <v>0</v>
      </c>
      <c r="AK810">
        <v>0</v>
      </c>
      <c r="AL810">
        <v>0</v>
      </c>
      <c r="AM810">
        <v>132</v>
      </c>
      <c r="AN810">
        <v>128</v>
      </c>
      <c r="AO810">
        <v>132</v>
      </c>
      <c r="AP810">
        <v>5</v>
      </c>
      <c r="AQ810">
        <v>0</v>
      </c>
      <c r="AR810">
        <v>1</v>
      </c>
      <c r="AS810" t="s">
        <v>59</v>
      </c>
      <c r="AT810">
        <v>1</v>
      </c>
      <c r="AU810" t="s">
        <v>64</v>
      </c>
      <c r="AV810" t="s">
        <v>65</v>
      </c>
      <c r="AW810">
        <v>0</v>
      </c>
      <c r="AX810">
        <v>5</v>
      </c>
      <c r="AY810">
        <v>0</v>
      </c>
      <c r="AZ810">
        <v>14500</v>
      </c>
      <c r="BA810">
        <v>100</v>
      </c>
      <c r="BB810">
        <v>100</v>
      </c>
      <c r="BC810">
        <v>100</v>
      </c>
      <c r="BD810">
        <v>100</v>
      </c>
      <c r="BE810">
        <v>1</v>
      </c>
      <c r="BF810">
        <v>15000</v>
      </c>
      <c r="BG810">
        <v>1000</v>
      </c>
      <c r="BH810" s="7">
        <f>ROUND(Wapato_Inventory[[#This Row],[detatched_value]]*Lookups!$B$22*Lookups!$H$48,-2)</f>
        <v>13000</v>
      </c>
      <c r="BI810" s="7">
        <f>ROUND(((Wapato_Inventory[[#This Row],[land_extract]]*Lookups!$B$3) +(Lookups!$B$2*0.5))*Lookups!$H$48,-2)</f>
        <v>53000</v>
      </c>
      <c r="BJ810" s="7">
        <f>IF(Wapato_Inventory[[#This Row],[bldg_style]]="",0,Lookups!$B$2*0.5)</f>
        <v>53765.27</v>
      </c>
      <c r="BK810" s="7">
        <f>_xlfn.IFNA(VLOOKUP(Wapato_Inventory[[#This Row],[quality]],Lookups!$H$2:$J$14,3,FALSE),0)</f>
        <v>48043</v>
      </c>
      <c r="BL810" s="7">
        <f>_xlfn.IFNA(VLOOKUP(Wapato_Inventory[[#This Row],[condition]],Lookups!$H$17:$J$24,3,FALSE),0)</f>
        <v>52231</v>
      </c>
      <c r="BM810" s="7">
        <f>Wapato_Inventory[[#This Row],[Age]]*Lookups!$B$16</f>
        <v>-33731.488700000002</v>
      </c>
      <c r="BN810" s="7">
        <f>Wapato_Inventory[[#This Row],[Main Floor]]*Lookups!$B$17</f>
        <v>57350.613907999999</v>
      </c>
      <c r="BO810" s="7">
        <f>Wapato_Inventory[[#This Row],[Upper Floor]]*Lookups!$B$18</f>
        <v>0</v>
      </c>
      <c r="BP810" s="7">
        <f>Wapato_Inventory[[#This Row],[Fin BSMT]]*Lookups!$B$19</f>
        <v>10965.032999999999</v>
      </c>
      <c r="BQ810" s="7">
        <f>(Wapato_Inventory[[#This Row],[att_gar]]+Wapato_Inventory[[#This Row],[blt_gar]])*Lookups!$B$20</f>
        <v>0</v>
      </c>
      <c r="BR810" s="7">
        <f>Wapato_Inventory[[#This Row],[Patio]]*Lookups!$B$21</f>
        <v>5718.7652280000002</v>
      </c>
      <c r="BS810" s="7">
        <f>SUM(Wapato_Inventory[[#This Row],[intercept]:[patio_value]])*Wapato_Inventory[[#This Row],[res_pct]]</f>
        <v>194342.19343599997</v>
      </c>
      <c r="BT810" s="7">
        <f>Wapato_Inventory[[#This Row],[land_value]]</f>
        <v>53000</v>
      </c>
      <c r="BU810" s="2">
        <f>_xlfn.IFNA(VLOOKUP(Wapato_Inventory[[#This Row],[quality]],Lookups!$A$28:$C$37,3,FALSE),1)</f>
        <v>0.98196844879778955</v>
      </c>
      <c r="BV810" s="2">
        <f>_xlfn.IFNA(VLOOKUP(Wapato_Inventory[[#This Row],[condition]],Lookups!$A$41:$C$48,3,FALSE),1)</f>
        <v>0.9832333997567807</v>
      </c>
      <c r="BW810" s="2">
        <f>IF(Wapato_Inventory[[#This Row],[decade]]="",1,_xlfn.IFNA(VLOOKUP(Wapato_Inventory[[#This Row],[decade]],Lookups!$F$28:$H$45,3,FALSE),1))</f>
        <v>1.0114203040664467</v>
      </c>
      <c r="BX810" s="2">
        <f>_xlfn.IFNA(VLOOKUP(Wapato_Inventory[[#This Row],[living_area_range]],Lookups!$K$28:$M$37,3,FALSE),1)</f>
        <v>0.99330894324714125</v>
      </c>
      <c r="BY810" s="2">
        <f>AVERAGE(Wapato_Inventory[[#This Row],[qual_adj]:[range_adj]])</f>
        <v>0.99248277396703954</v>
      </c>
      <c r="BZ810" s="7">
        <f>(Wapato_Inventory[[#This Row],[sum_land]]-IF(Wapato_Inventory[[#This Row],[no_utilities]]=1,12000,0))/IF(Wapato_Inventory[[#This Row],[unbuildable]]=1,2,1)</f>
        <v>53000</v>
      </c>
      <c r="CA810" s="7">
        <f>Wapato_Inventory[[#This Row],[pre_res]]*Wapato_Inventory[[#This Row],[overall_adj]]</f>
        <v>192881.27924020024</v>
      </c>
      <c r="CB81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10" s="3">
        <f>IF(ROUND(Wapato_Inventory[[#This Row],[adj_res]]*Lookups!$H$48,-2)&lt;Wapato_Inventory[[#This Row],[min_res]],Wapato_Inventory[[#This Row],[min_res]],ROUND(Wapato_Inventory[[#This Row],[adj_res]]*Lookups!$H$48,-2))</f>
        <v>183200</v>
      </c>
      <c r="CD810" s="3">
        <f>ROUND(Wapato_Inventory[[#This Row],[det_value]]*Lookups!$H$48,-2)</f>
        <v>12400</v>
      </c>
      <c r="CE810" s="3">
        <f>Wapato_Inventory[[#This Row],[final_res]]+Wapato_Inventory[[#This Row],[final_det]]</f>
        <v>195600</v>
      </c>
      <c r="CF810" s="3">
        <f>Wapato_Inventory[[#This Row],[crop_value]]+Wapato_Inventory[[#This Row],[final_land]]+Wapato_Inventory[[#This Row],[final_imp]]</f>
        <v>246000</v>
      </c>
      <c r="CH810" t="str">
        <f t="shared" si="12"/>
        <v>update valuation set market_land =50400, market_bldg=195600, market_total =246000, market_mdno =405, market_date ='9/10/2023' where link_id = (select link_id from parcel where parcel_year = '2024' and parcel_id = '19111514473');</v>
      </c>
    </row>
    <row r="811" spans="1:86" x14ac:dyDescent="0.25">
      <c r="A811">
        <v>19111514474</v>
      </c>
      <c r="B811">
        <v>0.14000000000000001</v>
      </c>
      <c r="C811">
        <v>6293</v>
      </c>
      <c r="D811" t="s">
        <v>144</v>
      </c>
      <c r="E811" t="s">
        <v>54</v>
      </c>
      <c r="F811" t="s">
        <v>54</v>
      </c>
      <c r="G811">
        <v>3</v>
      </c>
      <c r="H811" t="s">
        <v>55</v>
      </c>
      <c r="I811">
        <v>124100</v>
      </c>
      <c r="J811">
        <v>31900</v>
      </c>
      <c r="K811">
        <v>0.14000000000000001</v>
      </c>
      <c r="L811">
        <f>IF(Wapato_Inventory[[#This Row],[parcel_acres]]-Wapato_Inventory[[#This Row],[non_valued_acres]] =0,0,LN(Wapato_Inventory[[#This Row],[parcel_acres]]-Wapato_Inventory[[#This Row],[non_valued_acres]]))</f>
        <v>-1.9661128563728327</v>
      </c>
      <c r="M811">
        <v>0</v>
      </c>
      <c r="N811">
        <v>0</v>
      </c>
      <c r="O811">
        <v>0</v>
      </c>
      <c r="P811">
        <v>27904.037</v>
      </c>
      <c r="Q811">
        <v>74398</v>
      </c>
      <c r="R811" s="3">
        <f>(Wapato_Inventory[[#This Row],[ln_acres]]*Wapato_Inventory[[#This Row],[coeff]])+Wapato_Inventory[[#This Row],[const]]</f>
        <v>19535.514109596792</v>
      </c>
      <c r="S811" t="s">
        <v>66</v>
      </c>
      <c r="T811">
        <v>1</v>
      </c>
      <c r="U811" t="s">
        <v>71</v>
      </c>
      <c r="V811" t="s">
        <v>68</v>
      </c>
      <c r="W811">
        <v>0</v>
      </c>
      <c r="X811">
        <v>0</v>
      </c>
      <c r="Y811">
        <v>57</v>
      </c>
      <c r="Z811">
        <v>103</v>
      </c>
      <c r="AA811">
        <v>110</v>
      </c>
      <c r="AB811">
        <v>1500</v>
      </c>
      <c r="AC811">
        <v>1278</v>
      </c>
      <c r="AD811">
        <v>1278</v>
      </c>
      <c r="AE811">
        <v>0</v>
      </c>
      <c r="AF811">
        <v>0</v>
      </c>
      <c r="AG811">
        <v>0</v>
      </c>
      <c r="AH811">
        <v>639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154</v>
      </c>
      <c r="AO811">
        <v>0</v>
      </c>
      <c r="AP811">
        <v>5</v>
      </c>
      <c r="AQ811">
        <v>0</v>
      </c>
      <c r="AR811">
        <v>0</v>
      </c>
      <c r="AS811" t="s">
        <v>59</v>
      </c>
      <c r="AT811">
        <v>1</v>
      </c>
      <c r="AU811" t="s">
        <v>64</v>
      </c>
      <c r="AV811" t="s">
        <v>65</v>
      </c>
      <c r="AW811">
        <v>0</v>
      </c>
      <c r="AX811">
        <v>2</v>
      </c>
      <c r="AY811">
        <v>0</v>
      </c>
      <c r="AZ811">
        <v>2600</v>
      </c>
      <c r="BA811">
        <v>100</v>
      </c>
      <c r="BB811">
        <v>100</v>
      </c>
      <c r="BC811">
        <v>100</v>
      </c>
      <c r="BD811">
        <v>100</v>
      </c>
      <c r="BE811">
        <v>1</v>
      </c>
      <c r="BF811">
        <v>15000</v>
      </c>
      <c r="BG811">
        <v>1000</v>
      </c>
      <c r="BH811" s="7">
        <f>ROUND(Wapato_Inventory[[#This Row],[detatched_value]]*Lookups!$B$22*Lookups!$H$48,-2)</f>
        <v>2300</v>
      </c>
      <c r="BI811" s="7">
        <f>ROUND(((Wapato_Inventory[[#This Row],[land_extract]]*Lookups!$B$3) +(Lookups!$B$2*0.5))*Lookups!$H$48,-2)</f>
        <v>53000</v>
      </c>
      <c r="BJ811" s="7">
        <f>IF(Wapato_Inventory[[#This Row],[bldg_style]]="",0,Lookups!$B$2*0.5)</f>
        <v>53765.27</v>
      </c>
      <c r="BK811" s="7">
        <f>_xlfn.IFNA(VLOOKUP(Wapato_Inventory[[#This Row],[quality]],Lookups!$H$2:$J$14,3,FALSE),0)</f>
        <v>28034</v>
      </c>
      <c r="BL811" s="7">
        <f>_xlfn.IFNA(VLOOKUP(Wapato_Inventory[[#This Row],[condition]],Lookups!$H$17:$J$24,3,FALSE),0)</f>
        <v>52231</v>
      </c>
      <c r="BM811" s="7">
        <f>Wapato_Inventory[[#This Row],[Age]]*Lookups!$B$16</f>
        <v>-38179.597099999999</v>
      </c>
      <c r="BN811" s="7">
        <f>Wapato_Inventory[[#This Row],[Main Floor]]*Lookups!$B$17</f>
        <v>53421.344442000001</v>
      </c>
      <c r="BO811" s="7">
        <f>Wapato_Inventory[[#This Row],[Upper Floor]]*Lookups!$B$18</f>
        <v>0</v>
      </c>
      <c r="BP811" s="7">
        <f>Wapato_Inventory[[#This Row],[Fin BSMT]]*Lookups!$B$19</f>
        <v>0</v>
      </c>
      <c r="BQ811" s="7">
        <f>(Wapato_Inventory[[#This Row],[att_gar]]+Wapato_Inventory[[#This Row],[blt_gar]])*Lookups!$B$20</f>
        <v>0</v>
      </c>
      <c r="BR811" s="7">
        <f>Wapato_Inventory[[#This Row],[Patio]]*Lookups!$B$21</f>
        <v>0</v>
      </c>
      <c r="BS811" s="7">
        <f>SUM(Wapato_Inventory[[#This Row],[intercept]:[patio_value]])*Wapato_Inventory[[#This Row],[res_pct]]</f>
        <v>149272.01734199998</v>
      </c>
      <c r="BT811" s="7">
        <f>Wapato_Inventory[[#This Row],[land_value]]</f>
        <v>53000</v>
      </c>
      <c r="BU811" s="2">
        <f>_xlfn.IFNA(VLOOKUP(Wapato_Inventory[[#This Row],[quality]],Lookups!$A$28:$C$37,3,FALSE),1)</f>
        <v>0.96265813922927435</v>
      </c>
      <c r="BV811" s="2">
        <f>_xlfn.IFNA(VLOOKUP(Wapato_Inventory[[#This Row],[condition]],Lookups!$A$41:$C$48,3,FALSE),1)</f>
        <v>0.9832333997567807</v>
      </c>
      <c r="BW811" s="2">
        <f>IF(Wapato_Inventory[[#This Row],[decade]]="",1,_xlfn.IFNA(VLOOKUP(Wapato_Inventory[[#This Row],[decade]],Lookups!$F$28:$H$45,3,FALSE),1))</f>
        <v>0.93664589651353292</v>
      </c>
      <c r="BX811" s="2">
        <f>_xlfn.IFNA(VLOOKUP(Wapato_Inventory[[#This Row],[living_area_range]],Lookups!$K$28:$M$37,3,FALSE),1)</f>
        <v>1.0061411172456287</v>
      </c>
      <c r="BY811" s="2">
        <f>AVERAGE(Wapato_Inventory[[#This Row],[qual_adj]:[range_adj]])</f>
        <v>0.97216963818630409</v>
      </c>
      <c r="BZ811" s="7">
        <f>(Wapato_Inventory[[#This Row],[sum_land]]-IF(Wapato_Inventory[[#This Row],[no_utilities]]=1,12000,0))/IF(Wapato_Inventory[[#This Row],[unbuildable]]=1,2,1)</f>
        <v>53000</v>
      </c>
      <c r="CA811" s="7">
        <f>Wapato_Inventory[[#This Row],[pre_res]]*Wapato_Inventory[[#This Row],[overall_adj]]</f>
        <v>145117.72309071184</v>
      </c>
      <c r="CB81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11" s="3">
        <f>IF(ROUND(Wapato_Inventory[[#This Row],[adj_res]]*Lookups!$H$48,-2)&lt;Wapato_Inventory[[#This Row],[min_res]],Wapato_Inventory[[#This Row],[min_res]],ROUND(Wapato_Inventory[[#This Row],[adj_res]]*Lookups!$H$48,-2))</f>
        <v>137900</v>
      </c>
      <c r="CD811" s="3">
        <f>ROUND(Wapato_Inventory[[#This Row],[det_value]]*Lookups!$H$48,-2)</f>
        <v>2200</v>
      </c>
      <c r="CE811" s="3">
        <f>Wapato_Inventory[[#This Row],[final_res]]+Wapato_Inventory[[#This Row],[final_det]]</f>
        <v>140100</v>
      </c>
      <c r="CF811" s="3">
        <f>Wapato_Inventory[[#This Row],[crop_value]]+Wapato_Inventory[[#This Row],[final_land]]+Wapato_Inventory[[#This Row],[final_imp]]</f>
        <v>190500</v>
      </c>
      <c r="CH811" t="str">
        <f t="shared" si="12"/>
        <v>update valuation set market_land =50400, market_bldg=140100, market_total =190500, market_mdno =405, market_date ='9/10/2023' where link_id = (select link_id from parcel where parcel_year = '2024' and parcel_id = '19111514474');</v>
      </c>
    </row>
    <row r="812" spans="1:86" x14ac:dyDescent="0.25">
      <c r="A812">
        <v>19111514475</v>
      </c>
      <c r="B812">
        <v>0.15</v>
      </c>
      <c r="C812">
        <v>6392</v>
      </c>
      <c r="D812" t="s">
        <v>144</v>
      </c>
      <c r="E812" t="s">
        <v>54</v>
      </c>
      <c r="F812" t="s">
        <v>54</v>
      </c>
      <c r="G812">
        <v>3</v>
      </c>
      <c r="H812" t="s">
        <v>55</v>
      </c>
      <c r="I812">
        <v>104700</v>
      </c>
      <c r="J812">
        <v>32300</v>
      </c>
      <c r="K812">
        <v>0.15</v>
      </c>
      <c r="L812">
        <f>IF(Wapato_Inventory[[#This Row],[parcel_acres]]-Wapato_Inventory[[#This Row],[non_valued_acres]] =0,0,LN(Wapato_Inventory[[#This Row],[parcel_acres]]-Wapato_Inventory[[#This Row],[non_valued_acres]]))</f>
        <v>-1.8971199848858813</v>
      </c>
      <c r="M812">
        <v>0</v>
      </c>
      <c r="N812">
        <v>0</v>
      </c>
      <c r="O812">
        <v>0</v>
      </c>
      <c r="P812">
        <v>27904.037</v>
      </c>
      <c r="Q812">
        <v>74398</v>
      </c>
      <c r="R812" s="3">
        <f>(Wapato_Inventory[[#This Row],[ln_acres]]*Wapato_Inventory[[#This Row],[coeff]])+Wapato_Inventory[[#This Row],[const]]</f>
        <v>21460.693748304926</v>
      </c>
      <c r="S812" t="s">
        <v>66</v>
      </c>
      <c r="T812">
        <v>1</v>
      </c>
      <c r="U812" t="s">
        <v>71</v>
      </c>
      <c r="V812" t="s">
        <v>68</v>
      </c>
      <c r="W812">
        <v>0</v>
      </c>
      <c r="X812">
        <v>0</v>
      </c>
      <c r="Y812">
        <v>57</v>
      </c>
      <c r="Z812">
        <v>103</v>
      </c>
      <c r="AA812">
        <v>110</v>
      </c>
      <c r="AB812">
        <v>1500</v>
      </c>
      <c r="AC812">
        <v>1088</v>
      </c>
      <c r="AD812">
        <v>1088</v>
      </c>
      <c r="AE812">
        <v>0</v>
      </c>
      <c r="AF812">
        <v>0</v>
      </c>
      <c r="AG812">
        <v>0</v>
      </c>
      <c r="AH812">
        <v>150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144</v>
      </c>
      <c r="AO812">
        <v>0</v>
      </c>
      <c r="AP812">
        <v>5</v>
      </c>
      <c r="AQ812">
        <v>0</v>
      </c>
      <c r="AR812">
        <v>0</v>
      </c>
      <c r="AS812" t="s">
        <v>59</v>
      </c>
      <c r="AT812">
        <v>1</v>
      </c>
      <c r="AU812" t="s">
        <v>72</v>
      </c>
      <c r="AV812" t="s">
        <v>65</v>
      </c>
      <c r="AW812">
        <v>0</v>
      </c>
      <c r="AX812">
        <v>2</v>
      </c>
      <c r="AY812">
        <v>0</v>
      </c>
      <c r="AZ812">
        <v>5800</v>
      </c>
      <c r="BA812">
        <v>100</v>
      </c>
      <c r="BB812">
        <v>100</v>
      </c>
      <c r="BC812">
        <v>100</v>
      </c>
      <c r="BD812">
        <v>100</v>
      </c>
      <c r="BE812">
        <v>1</v>
      </c>
      <c r="BF812">
        <v>15000</v>
      </c>
      <c r="BG812">
        <v>1000</v>
      </c>
      <c r="BH812" s="7">
        <f>ROUND(Wapato_Inventory[[#This Row],[detatched_value]]*Lookups!$B$22*Lookups!$H$48,-2)</f>
        <v>5200</v>
      </c>
      <c r="BI812" s="7">
        <f>ROUND(((Wapato_Inventory[[#This Row],[land_extract]]*Lookups!$B$3) +(Lookups!$B$2*0.5))*Lookups!$H$48,-2)</f>
        <v>53100</v>
      </c>
      <c r="BJ812" s="7">
        <f>IF(Wapato_Inventory[[#This Row],[bldg_style]]="",0,Lookups!$B$2*0.5)</f>
        <v>53765.27</v>
      </c>
      <c r="BK812" s="7">
        <f>_xlfn.IFNA(VLOOKUP(Wapato_Inventory[[#This Row],[quality]],Lookups!$H$2:$J$14,3,FALSE),0)</f>
        <v>28034</v>
      </c>
      <c r="BL812" s="7">
        <f>_xlfn.IFNA(VLOOKUP(Wapato_Inventory[[#This Row],[condition]],Lookups!$H$17:$J$24,3,FALSE),0)</f>
        <v>52231</v>
      </c>
      <c r="BM812" s="7">
        <f>Wapato_Inventory[[#This Row],[Age]]*Lookups!$B$16</f>
        <v>-38179.597099999999</v>
      </c>
      <c r="BN812" s="7">
        <f>Wapato_Inventory[[#This Row],[Main Floor]]*Lookups!$B$17</f>
        <v>45479.204032000001</v>
      </c>
      <c r="BO812" s="7">
        <f>Wapato_Inventory[[#This Row],[Upper Floor]]*Lookups!$B$18</f>
        <v>0</v>
      </c>
      <c r="BP812" s="7">
        <f>Wapato_Inventory[[#This Row],[Fin BSMT]]*Lookups!$B$19</f>
        <v>0</v>
      </c>
      <c r="BQ812" s="7">
        <f>(Wapato_Inventory[[#This Row],[att_gar]]+Wapato_Inventory[[#This Row],[blt_gar]])*Lookups!$B$20</f>
        <v>0</v>
      </c>
      <c r="BR812" s="7">
        <f>Wapato_Inventory[[#This Row],[Patio]]*Lookups!$B$21</f>
        <v>0</v>
      </c>
      <c r="BS812" s="7">
        <f>SUM(Wapato_Inventory[[#This Row],[intercept]:[patio_value]])*Wapato_Inventory[[#This Row],[res_pct]]</f>
        <v>141329.87693199998</v>
      </c>
      <c r="BT812" s="7">
        <f>Wapato_Inventory[[#This Row],[land_value]]</f>
        <v>53100</v>
      </c>
      <c r="BU812" s="2">
        <f>_xlfn.IFNA(VLOOKUP(Wapato_Inventory[[#This Row],[quality]],Lookups!$A$28:$C$37,3,FALSE),1)</f>
        <v>0.96265813922927435</v>
      </c>
      <c r="BV812" s="2">
        <f>_xlfn.IFNA(VLOOKUP(Wapato_Inventory[[#This Row],[condition]],Lookups!$A$41:$C$48,3,FALSE),1)</f>
        <v>0.9832333997567807</v>
      </c>
      <c r="BW812" s="2">
        <f>IF(Wapato_Inventory[[#This Row],[decade]]="",1,_xlfn.IFNA(VLOOKUP(Wapato_Inventory[[#This Row],[decade]],Lookups!$F$28:$H$45,3,FALSE),1))</f>
        <v>0.93664589651353292</v>
      </c>
      <c r="BX812" s="2">
        <f>_xlfn.IFNA(VLOOKUP(Wapato_Inventory[[#This Row],[living_area_range]],Lookups!$K$28:$M$37,3,FALSE),1)</f>
        <v>1.0061411172456287</v>
      </c>
      <c r="BY812" s="2">
        <f>AVERAGE(Wapato_Inventory[[#This Row],[qual_adj]:[range_adj]])</f>
        <v>0.97216963818630409</v>
      </c>
      <c r="BZ812" s="7">
        <f>(Wapato_Inventory[[#This Row],[sum_land]]-IF(Wapato_Inventory[[#This Row],[no_utilities]]=1,12000,0))/IF(Wapato_Inventory[[#This Row],[unbuildable]]=1,2,1)</f>
        <v>53100</v>
      </c>
      <c r="CA812" s="7">
        <f>Wapato_Inventory[[#This Row],[pre_res]]*Wapato_Inventory[[#This Row],[overall_adj]]</f>
        <v>137396.61532189732</v>
      </c>
      <c r="CB81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12" s="3">
        <f>IF(ROUND(Wapato_Inventory[[#This Row],[adj_res]]*Lookups!$H$48,-2)&lt;Wapato_Inventory[[#This Row],[min_res]],Wapato_Inventory[[#This Row],[min_res]],ROUND(Wapato_Inventory[[#This Row],[adj_res]]*Lookups!$H$48,-2))</f>
        <v>130500</v>
      </c>
      <c r="CD812" s="3">
        <f>ROUND(Wapato_Inventory[[#This Row],[det_value]]*Lookups!$H$48,-2)</f>
        <v>4900</v>
      </c>
      <c r="CE812" s="3">
        <f>Wapato_Inventory[[#This Row],[final_res]]+Wapato_Inventory[[#This Row],[final_det]]</f>
        <v>135400</v>
      </c>
      <c r="CF812" s="3">
        <f>Wapato_Inventory[[#This Row],[crop_value]]+Wapato_Inventory[[#This Row],[final_land]]+Wapato_Inventory[[#This Row],[final_imp]]</f>
        <v>185800</v>
      </c>
      <c r="CH812" t="str">
        <f t="shared" si="12"/>
        <v>update valuation set market_land =50400, market_bldg=135400, market_total =185800, market_mdno =405, market_date ='9/10/2023' where link_id = (select link_id from parcel where parcel_year = '2024' and parcel_id = '19111514475');</v>
      </c>
    </row>
    <row r="813" spans="1:86" x14ac:dyDescent="0.25">
      <c r="A813">
        <v>19111514476</v>
      </c>
      <c r="B813">
        <v>0.14000000000000001</v>
      </c>
      <c r="C813">
        <v>5948</v>
      </c>
      <c r="D813" t="s">
        <v>144</v>
      </c>
      <c r="E813" t="s">
        <v>54</v>
      </c>
      <c r="F813" t="s">
        <v>54</v>
      </c>
      <c r="G813">
        <v>3</v>
      </c>
      <c r="H813" t="s">
        <v>55</v>
      </c>
      <c r="I813">
        <v>164300</v>
      </c>
      <c r="J813">
        <v>31900</v>
      </c>
      <c r="K813">
        <v>0.14000000000000001</v>
      </c>
      <c r="L813">
        <f>IF(Wapato_Inventory[[#This Row],[parcel_acres]]-Wapato_Inventory[[#This Row],[non_valued_acres]] =0,0,LN(Wapato_Inventory[[#This Row],[parcel_acres]]-Wapato_Inventory[[#This Row],[non_valued_acres]]))</f>
        <v>-1.9661128563728327</v>
      </c>
      <c r="M813">
        <v>0</v>
      </c>
      <c r="N813">
        <v>0</v>
      </c>
      <c r="O813">
        <v>0</v>
      </c>
      <c r="P813">
        <v>27904.037</v>
      </c>
      <c r="Q813">
        <v>74398</v>
      </c>
      <c r="R813" s="3">
        <f>(Wapato_Inventory[[#This Row],[ln_acres]]*Wapato_Inventory[[#This Row],[coeff]])+Wapato_Inventory[[#This Row],[const]]</f>
        <v>19535.514109596792</v>
      </c>
      <c r="S813" t="s">
        <v>66</v>
      </c>
      <c r="T813">
        <v>1</v>
      </c>
      <c r="U813" t="s">
        <v>71</v>
      </c>
      <c r="V813" t="s">
        <v>69</v>
      </c>
      <c r="W813">
        <v>0</v>
      </c>
      <c r="X813">
        <v>0</v>
      </c>
      <c r="Y813">
        <v>47</v>
      </c>
      <c r="Z813">
        <v>103</v>
      </c>
      <c r="AA813">
        <v>110</v>
      </c>
      <c r="AB813">
        <v>1500</v>
      </c>
      <c r="AC813">
        <v>1200</v>
      </c>
      <c r="AD813">
        <v>1200</v>
      </c>
      <c r="AE813">
        <v>0</v>
      </c>
      <c r="AF813">
        <v>0</v>
      </c>
      <c r="AG813">
        <v>0</v>
      </c>
      <c r="AH813">
        <v>0</v>
      </c>
      <c r="AI813">
        <v>216</v>
      </c>
      <c r="AJ813">
        <v>0</v>
      </c>
      <c r="AK813">
        <v>0</v>
      </c>
      <c r="AL813">
        <v>0</v>
      </c>
      <c r="AM813">
        <v>0</v>
      </c>
      <c r="AN813">
        <v>120</v>
      </c>
      <c r="AO813">
        <v>0</v>
      </c>
      <c r="AP813">
        <v>5</v>
      </c>
      <c r="AQ813">
        <v>1</v>
      </c>
      <c r="AR813">
        <v>0</v>
      </c>
      <c r="AS813" t="s">
        <v>59</v>
      </c>
      <c r="AT813">
        <v>1</v>
      </c>
      <c r="AU813" t="s">
        <v>76</v>
      </c>
      <c r="AV813" t="s">
        <v>61</v>
      </c>
      <c r="AW813">
        <v>0</v>
      </c>
      <c r="AX813">
        <v>2</v>
      </c>
      <c r="AY813">
        <v>0</v>
      </c>
      <c r="AZ813">
        <v>0</v>
      </c>
      <c r="BA813">
        <v>100</v>
      </c>
      <c r="BB813">
        <v>100</v>
      </c>
      <c r="BC813">
        <v>100</v>
      </c>
      <c r="BD813">
        <v>100</v>
      </c>
      <c r="BE813">
        <v>1</v>
      </c>
      <c r="BF813">
        <v>15000</v>
      </c>
      <c r="BG813">
        <v>1000</v>
      </c>
      <c r="BH813" s="7">
        <f>ROUND(Wapato_Inventory[[#This Row],[detatched_value]]*Lookups!$B$22*Lookups!$H$48,-2)</f>
        <v>0</v>
      </c>
      <c r="BI813" s="7">
        <f>ROUND(((Wapato_Inventory[[#This Row],[land_extract]]*Lookups!$B$3) +(Lookups!$B$2*0.5))*Lookups!$H$48,-2)</f>
        <v>53000</v>
      </c>
      <c r="BJ813" s="7">
        <f>IF(Wapato_Inventory[[#This Row],[bldg_style]]="",0,Lookups!$B$2*0.5)</f>
        <v>53765.27</v>
      </c>
      <c r="BK813" s="7">
        <f>_xlfn.IFNA(VLOOKUP(Wapato_Inventory[[#This Row],[quality]],Lookups!$H$2:$J$14,3,FALSE),0)</f>
        <v>28034</v>
      </c>
      <c r="BL813" s="7">
        <f>_xlfn.IFNA(VLOOKUP(Wapato_Inventory[[#This Row],[condition]],Lookups!$H$17:$J$24,3,FALSE),0)</f>
        <v>74543</v>
      </c>
      <c r="BM813" s="7">
        <f>Wapato_Inventory[[#This Row],[Age]]*Lookups!$B$16</f>
        <v>-38179.597099999999</v>
      </c>
      <c r="BN813" s="7">
        <f>Wapato_Inventory[[#This Row],[Main Floor]]*Lookups!$B$17</f>
        <v>50160.8868</v>
      </c>
      <c r="BO813" s="7">
        <f>Wapato_Inventory[[#This Row],[Upper Floor]]*Lookups!$B$18</f>
        <v>0</v>
      </c>
      <c r="BP813" s="7">
        <f>Wapato_Inventory[[#This Row],[Fin BSMT]]*Lookups!$B$19</f>
        <v>0</v>
      </c>
      <c r="BQ813" s="7">
        <f>(Wapato_Inventory[[#This Row],[att_gar]]+Wapato_Inventory[[#This Row],[blt_gar]])*Lookups!$B$20</f>
        <v>7993.8904320000001</v>
      </c>
      <c r="BR813" s="7">
        <f>Wapato_Inventory[[#This Row],[Patio]]*Lookups!$B$21</f>
        <v>0</v>
      </c>
      <c r="BS813" s="7">
        <f>SUM(Wapato_Inventory[[#This Row],[intercept]:[patio_value]])*Wapato_Inventory[[#This Row],[res_pct]]</f>
        <v>176317.45013199997</v>
      </c>
      <c r="BT813" s="7">
        <f>Wapato_Inventory[[#This Row],[land_value]]</f>
        <v>53000</v>
      </c>
      <c r="BU813" s="2">
        <f>_xlfn.IFNA(VLOOKUP(Wapato_Inventory[[#This Row],[quality]],Lookups!$A$28:$C$37,3,FALSE),1)</f>
        <v>0.96265813922927435</v>
      </c>
      <c r="BV813" s="2">
        <f>_xlfn.IFNA(VLOOKUP(Wapato_Inventory[[#This Row],[condition]],Lookups!$A$41:$C$48,3,FALSE),1)</f>
        <v>0.98442438223270734</v>
      </c>
      <c r="BW813" s="2">
        <f>IF(Wapato_Inventory[[#This Row],[decade]]="",1,_xlfn.IFNA(VLOOKUP(Wapato_Inventory[[#This Row],[decade]],Lookups!$F$28:$H$45,3,FALSE),1))</f>
        <v>0.93664589651353292</v>
      </c>
      <c r="BX813" s="2">
        <f>_xlfn.IFNA(VLOOKUP(Wapato_Inventory[[#This Row],[living_area_range]],Lookups!$K$28:$M$37,3,FALSE),1)</f>
        <v>1.0061411172456287</v>
      </c>
      <c r="BY813" s="2">
        <f>AVERAGE(Wapato_Inventory[[#This Row],[qual_adj]:[range_adj]])</f>
        <v>0.97246738380528575</v>
      </c>
      <c r="BZ813" s="7">
        <f>(Wapato_Inventory[[#This Row],[sum_land]]-IF(Wapato_Inventory[[#This Row],[no_utilities]]=1,12000,0))/IF(Wapato_Inventory[[#This Row],[unbuildable]]=1,2,1)</f>
        <v>53000</v>
      </c>
      <c r="CA813" s="7">
        <f>Wapato_Inventory[[#This Row],[pre_res]]*Wapato_Inventory[[#This Row],[overall_adj]]</f>
        <v>171462.96944908495</v>
      </c>
      <c r="CB81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13" s="3">
        <f>IF(ROUND(Wapato_Inventory[[#This Row],[adj_res]]*Lookups!$H$48,-2)&lt;Wapato_Inventory[[#This Row],[min_res]],Wapato_Inventory[[#This Row],[min_res]],ROUND(Wapato_Inventory[[#This Row],[adj_res]]*Lookups!$H$48,-2))</f>
        <v>162900</v>
      </c>
      <c r="CD813" s="3">
        <f>ROUND(Wapato_Inventory[[#This Row],[det_value]]*Lookups!$H$48,-2)</f>
        <v>0</v>
      </c>
      <c r="CE813" s="3">
        <f>Wapato_Inventory[[#This Row],[final_res]]+Wapato_Inventory[[#This Row],[final_det]]</f>
        <v>162900</v>
      </c>
      <c r="CF813" s="3">
        <f>Wapato_Inventory[[#This Row],[crop_value]]+Wapato_Inventory[[#This Row],[final_land]]+Wapato_Inventory[[#This Row],[final_imp]]</f>
        <v>213300</v>
      </c>
      <c r="CH813" t="str">
        <f t="shared" si="12"/>
        <v>update valuation set market_land =50400, market_bldg=162900, market_total =213300, market_mdno =405, market_date ='9/10/2023' where link_id = (select link_id from parcel where parcel_year = '2024' and parcel_id = '19111514476');</v>
      </c>
    </row>
    <row r="814" spans="1:86" x14ac:dyDescent="0.25">
      <c r="A814">
        <v>19111514477</v>
      </c>
      <c r="B814">
        <v>0.14000000000000001</v>
      </c>
      <c r="C814">
        <v>5945</v>
      </c>
      <c r="D814" t="s">
        <v>144</v>
      </c>
      <c r="E814" t="s">
        <v>54</v>
      </c>
      <c r="F814" t="s">
        <v>54</v>
      </c>
      <c r="G814">
        <v>3</v>
      </c>
      <c r="H814" t="s">
        <v>55</v>
      </c>
      <c r="I814">
        <v>134100</v>
      </c>
      <c r="J814">
        <v>31900</v>
      </c>
      <c r="K814">
        <v>0.14000000000000001</v>
      </c>
      <c r="L814">
        <f>IF(Wapato_Inventory[[#This Row],[parcel_acres]]-Wapato_Inventory[[#This Row],[non_valued_acres]] =0,0,LN(Wapato_Inventory[[#This Row],[parcel_acres]]-Wapato_Inventory[[#This Row],[non_valued_acres]]))</f>
        <v>-1.9661128563728327</v>
      </c>
      <c r="M814">
        <v>0</v>
      </c>
      <c r="N814">
        <v>0</v>
      </c>
      <c r="O814">
        <v>0</v>
      </c>
      <c r="P814">
        <v>27904.037</v>
      </c>
      <c r="Q814">
        <v>74398</v>
      </c>
      <c r="R814" s="3">
        <f>(Wapato_Inventory[[#This Row],[ln_acres]]*Wapato_Inventory[[#This Row],[coeff]])+Wapato_Inventory[[#This Row],[const]]</f>
        <v>19535.514109596792</v>
      </c>
      <c r="S814" t="s">
        <v>56</v>
      </c>
      <c r="T814">
        <v>2</v>
      </c>
      <c r="U814" t="s">
        <v>71</v>
      </c>
      <c r="V814" t="s">
        <v>68</v>
      </c>
      <c r="W814">
        <v>0</v>
      </c>
      <c r="X814">
        <v>0</v>
      </c>
      <c r="Y814">
        <v>65</v>
      </c>
      <c r="Z814">
        <v>113</v>
      </c>
      <c r="AA814">
        <v>120</v>
      </c>
      <c r="AB814">
        <v>2000</v>
      </c>
      <c r="AC814">
        <v>1747</v>
      </c>
      <c r="AD814">
        <v>1299</v>
      </c>
      <c r="AE814">
        <v>448</v>
      </c>
      <c r="AF814">
        <v>0</v>
      </c>
      <c r="AG814">
        <v>0</v>
      </c>
      <c r="AH814">
        <v>0</v>
      </c>
      <c r="AI814">
        <v>0</v>
      </c>
      <c r="AJ814">
        <v>0</v>
      </c>
      <c r="AK814">
        <v>0</v>
      </c>
      <c r="AL814">
        <v>0</v>
      </c>
      <c r="AM814">
        <v>84</v>
      </c>
      <c r="AN814">
        <v>0</v>
      </c>
      <c r="AO814">
        <v>84</v>
      </c>
      <c r="AP814">
        <v>5</v>
      </c>
      <c r="AQ814">
        <v>0</v>
      </c>
      <c r="AR814">
        <v>0</v>
      </c>
      <c r="AS814" t="s">
        <v>59</v>
      </c>
      <c r="AT814">
        <v>1</v>
      </c>
      <c r="AU814" t="s">
        <v>76</v>
      </c>
      <c r="AV814" t="s">
        <v>61</v>
      </c>
      <c r="AW814">
        <v>0</v>
      </c>
      <c r="AX814">
        <v>3</v>
      </c>
      <c r="AY814">
        <v>0</v>
      </c>
      <c r="AZ814">
        <v>0</v>
      </c>
      <c r="BA814">
        <v>100</v>
      </c>
      <c r="BB814">
        <v>100</v>
      </c>
      <c r="BC814">
        <v>100</v>
      </c>
      <c r="BD814">
        <v>100</v>
      </c>
      <c r="BE814">
        <v>1</v>
      </c>
      <c r="BF814">
        <v>15000</v>
      </c>
      <c r="BG814">
        <v>1000</v>
      </c>
      <c r="BH814" s="7">
        <f>ROUND(Wapato_Inventory[[#This Row],[detatched_value]]*Lookups!$B$22*Lookups!$H$48,-2)</f>
        <v>0</v>
      </c>
      <c r="BI814" s="7">
        <f>ROUND(((Wapato_Inventory[[#This Row],[land_extract]]*Lookups!$B$3) +(Lookups!$B$2*0.5))*Lookups!$H$48,-2)</f>
        <v>53000</v>
      </c>
      <c r="BJ814" s="7">
        <f>IF(Wapato_Inventory[[#This Row],[bldg_style]]="",0,Lookups!$B$2*0.5)</f>
        <v>53765.27</v>
      </c>
      <c r="BK814" s="7">
        <f>_xlfn.IFNA(VLOOKUP(Wapato_Inventory[[#This Row],[quality]],Lookups!$H$2:$J$14,3,FALSE),0)</f>
        <v>28034</v>
      </c>
      <c r="BL814" s="7">
        <f>_xlfn.IFNA(VLOOKUP(Wapato_Inventory[[#This Row],[condition]],Lookups!$H$17:$J$24,3,FALSE),0)</f>
        <v>52231</v>
      </c>
      <c r="BM814" s="7">
        <f>Wapato_Inventory[[#This Row],[Age]]*Lookups!$B$16</f>
        <v>-41886.354100000004</v>
      </c>
      <c r="BN814" s="7">
        <f>Wapato_Inventory[[#This Row],[Main Floor]]*Lookups!$B$17</f>
        <v>54299.159960999998</v>
      </c>
      <c r="BO814" s="7">
        <f>Wapato_Inventory[[#This Row],[Upper Floor]]*Lookups!$B$18</f>
        <v>22221.310272000002</v>
      </c>
      <c r="BP814" s="7">
        <f>Wapato_Inventory[[#This Row],[Fin BSMT]]*Lookups!$B$19</f>
        <v>0</v>
      </c>
      <c r="BQ814" s="7">
        <f>(Wapato_Inventory[[#This Row],[att_gar]]+Wapato_Inventory[[#This Row],[blt_gar]])*Lookups!$B$20</f>
        <v>0</v>
      </c>
      <c r="BR814" s="7">
        <f>Wapato_Inventory[[#This Row],[Patio]]*Lookups!$B$21</f>
        <v>3639.2142360000003</v>
      </c>
      <c r="BS814" s="7">
        <f>SUM(Wapato_Inventory[[#This Row],[intercept]:[patio_value]])*Wapato_Inventory[[#This Row],[res_pct]]</f>
        <v>172303.60036899999</v>
      </c>
      <c r="BT814" s="7">
        <f>Wapato_Inventory[[#This Row],[land_value]]</f>
        <v>53000</v>
      </c>
      <c r="BU814" s="2">
        <f>_xlfn.IFNA(VLOOKUP(Wapato_Inventory[[#This Row],[quality]],Lookups!$A$28:$C$37,3,FALSE),1)</f>
        <v>0.96265813922927435</v>
      </c>
      <c r="BV814" s="2">
        <f>_xlfn.IFNA(VLOOKUP(Wapato_Inventory[[#This Row],[condition]],Lookups!$A$41:$C$48,3,FALSE),1)</f>
        <v>0.9832333997567807</v>
      </c>
      <c r="BW814" s="2">
        <f>IF(Wapato_Inventory[[#This Row],[decade]]="",1,_xlfn.IFNA(VLOOKUP(Wapato_Inventory[[#This Row],[decade]],Lookups!$F$28:$H$45,3,FALSE),1))</f>
        <v>0.93664589651353292</v>
      </c>
      <c r="BX814" s="2">
        <f>_xlfn.IFNA(VLOOKUP(Wapato_Inventory[[#This Row],[living_area_range]],Lookups!$K$28:$M$37,3,FALSE),1)</f>
        <v>0.99330894324714125</v>
      </c>
      <c r="BY814" s="2">
        <f>AVERAGE(Wapato_Inventory[[#This Row],[qual_adj]:[range_adj]])</f>
        <v>0.96896159468668219</v>
      </c>
      <c r="BZ814" s="7">
        <f>(Wapato_Inventory[[#This Row],[sum_land]]-IF(Wapato_Inventory[[#This Row],[no_utilities]]=1,12000,0))/IF(Wapato_Inventory[[#This Row],[unbuildable]]=1,2,1)</f>
        <v>53000</v>
      </c>
      <c r="CA814" s="7">
        <f>Wapato_Inventory[[#This Row],[pre_res]]*Wapato_Inventory[[#This Row],[overall_adj]]</f>
        <v>166955.57138380304</v>
      </c>
      <c r="CB81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14" s="3">
        <f>IF(ROUND(Wapato_Inventory[[#This Row],[adj_res]]*Lookups!$H$48,-2)&lt;Wapato_Inventory[[#This Row],[min_res]],Wapato_Inventory[[#This Row],[min_res]],ROUND(Wapato_Inventory[[#This Row],[adj_res]]*Lookups!$H$48,-2))</f>
        <v>158600</v>
      </c>
      <c r="CD814" s="3">
        <f>ROUND(Wapato_Inventory[[#This Row],[det_value]]*Lookups!$H$48,-2)</f>
        <v>0</v>
      </c>
      <c r="CE814" s="3">
        <f>Wapato_Inventory[[#This Row],[final_res]]+Wapato_Inventory[[#This Row],[final_det]]</f>
        <v>158600</v>
      </c>
      <c r="CF814" s="3">
        <f>Wapato_Inventory[[#This Row],[crop_value]]+Wapato_Inventory[[#This Row],[final_land]]+Wapato_Inventory[[#This Row],[final_imp]]</f>
        <v>209000</v>
      </c>
      <c r="CH814" t="str">
        <f t="shared" si="12"/>
        <v>update valuation set market_land =50400, market_bldg=158600, market_total =209000, market_mdno =405, market_date ='9/10/2023' where link_id = (select link_id from parcel where parcel_year = '2024' and parcel_id = '19111514477');</v>
      </c>
    </row>
    <row r="815" spans="1:86" x14ac:dyDescent="0.25">
      <c r="A815">
        <v>19111514478</v>
      </c>
      <c r="B815">
        <v>0.14000000000000001</v>
      </c>
      <c r="C815">
        <v>6224</v>
      </c>
      <c r="D815" t="s">
        <v>144</v>
      </c>
      <c r="E815" t="s">
        <v>54</v>
      </c>
      <c r="F815" t="s">
        <v>54</v>
      </c>
      <c r="G815">
        <v>3</v>
      </c>
      <c r="H815" t="s">
        <v>55</v>
      </c>
      <c r="I815">
        <v>164500</v>
      </c>
      <c r="J815">
        <v>31900</v>
      </c>
      <c r="K815">
        <v>0.14000000000000001</v>
      </c>
      <c r="L815">
        <f>IF(Wapato_Inventory[[#This Row],[parcel_acres]]-Wapato_Inventory[[#This Row],[non_valued_acres]] =0,0,LN(Wapato_Inventory[[#This Row],[parcel_acres]]-Wapato_Inventory[[#This Row],[non_valued_acres]]))</f>
        <v>-1.9661128563728327</v>
      </c>
      <c r="M815">
        <v>0</v>
      </c>
      <c r="N815">
        <v>0</v>
      </c>
      <c r="O815">
        <v>0</v>
      </c>
      <c r="P815">
        <v>27904.037</v>
      </c>
      <c r="Q815">
        <v>74398</v>
      </c>
      <c r="R815" s="3">
        <f>(Wapato_Inventory[[#This Row],[ln_acres]]*Wapato_Inventory[[#This Row],[coeff]])+Wapato_Inventory[[#This Row],[const]]</f>
        <v>19535.514109596792</v>
      </c>
      <c r="S815" t="s">
        <v>145</v>
      </c>
      <c r="T815">
        <v>1</v>
      </c>
      <c r="U815" t="s">
        <v>67</v>
      </c>
      <c r="V815" t="s">
        <v>68</v>
      </c>
      <c r="W815">
        <v>0</v>
      </c>
      <c r="X815">
        <v>0</v>
      </c>
      <c r="Y815">
        <v>57</v>
      </c>
      <c r="Z815">
        <v>103</v>
      </c>
      <c r="AA815">
        <v>110</v>
      </c>
      <c r="AB815">
        <v>2000</v>
      </c>
      <c r="AC815">
        <v>1895</v>
      </c>
      <c r="AD815">
        <v>1402</v>
      </c>
      <c r="AE815">
        <v>0</v>
      </c>
      <c r="AF815">
        <v>0</v>
      </c>
      <c r="AG815">
        <v>493</v>
      </c>
      <c r="AH815">
        <v>492</v>
      </c>
      <c r="AI815">
        <v>0</v>
      </c>
      <c r="AJ815">
        <v>0</v>
      </c>
      <c r="AK815">
        <v>480</v>
      </c>
      <c r="AL815">
        <v>0</v>
      </c>
      <c r="AM815">
        <v>136</v>
      </c>
      <c r="AN815">
        <v>66</v>
      </c>
      <c r="AO815">
        <v>160</v>
      </c>
      <c r="AP815">
        <v>7</v>
      </c>
      <c r="AQ815">
        <v>0</v>
      </c>
      <c r="AR815">
        <v>1</v>
      </c>
      <c r="AS815" t="s">
        <v>59</v>
      </c>
      <c r="AT815">
        <v>1</v>
      </c>
      <c r="AU815" t="s">
        <v>64</v>
      </c>
      <c r="AV815" t="s">
        <v>65</v>
      </c>
      <c r="AW815">
        <v>1</v>
      </c>
      <c r="AX815">
        <v>3</v>
      </c>
      <c r="AY815">
        <v>0</v>
      </c>
      <c r="AZ815">
        <v>4100</v>
      </c>
      <c r="BA815">
        <v>100</v>
      </c>
      <c r="BB815">
        <v>100</v>
      </c>
      <c r="BC815">
        <v>100</v>
      </c>
      <c r="BD815">
        <v>100</v>
      </c>
      <c r="BE815">
        <v>1</v>
      </c>
      <c r="BF815">
        <v>15000</v>
      </c>
      <c r="BG815">
        <v>1000</v>
      </c>
      <c r="BH815" s="7">
        <f>ROUND(Wapato_Inventory[[#This Row],[detatched_value]]*Lookups!$B$22*Lookups!$H$48,-2)</f>
        <v>3700</v>
      </c>
      <c r="BI815" s="7">
        <f>ROUND(((Wapato_Inventory[[#This Row],[land_extract]]*Lookups!$B$3) +(Lookups!$B$2*0.5))*Lookups!$H$48,-2)</f>
        <v>53000</v>
      </c>
      <c r="BJ815" s="7">
        <f>IF(Wapato_Inventory[[#This Row],[bldg_style]]="",0,Lookups!$B$2*0.5)</f>
        <v>53765.27</v>
      </c>
      <c r="BK815" s="7">
        <f>_xlfn.IFNA(VLOOKUP(Wapato_Inventory[[#This Row],[quality]],Lookups!$H$2:$J$14,3,FALSE),0)</f>
        <v>50405</v>
      </c>
      <c r="BL815" s="7">
        <f>_xlfn.IFNA(VLOOKUP(Wapato_Inventory[[#This Row],[condition]],Lookups!$H$17:$J$24,3,FALSE),0)</f>
        <v>52231</v>
      </c>
      <c r="BM815" s="7">
        <f>Wapato_Inventory[[#This Row],[Age]]*Lookups!$B$16</f>
        <v>-38179.597099999999</v>
      </c>
      <c r="BN815" s="7">
        <f>Wapato_Inventory[[#This Row],[Main Floor]]*Lookups!$B$17</f>
        <v>58604.636078000003</v>
      </c>
      <c r="BO815" s="7">
        <f>Wapato_Inventory[[#This Row],[Upper Floor]]*Lookups!$B$18</f>
        <v>0</v>
      </c>
      <c r="BP815" s="7">
        <f>Wapato_Inventory[[#This Row],[Fin BSMT]]*Lookups!$B$19</f>
        <v>12012.802820000001</v>
      </c>
      <c r="BQ815" s="7">
        <f>(Wapato_Inventory[[#This Row],[att_gar]]+Wapato_Inventory[[#This Row],[blt_gar]])*Lookups!$B$20</f>
        <v>0</v>
      </c>
      <c r="BR815" s="7">
        <f>Wapato_Inventory[[#This Row],[Patio]]*Lookups!$B$21</f>
        <v>5892.0611440000002</v>
      </c>
      <c r="BS815" s="7">
        <f>SUM(Wapato_Inventory[[#This Row],[intercept]:[patio_value]])*Wapato_Inventory[[#This Row],[res_pct]]</f>
        <v>194731.172942</v>
      </c>
      <c r="BT815" s="7">
        <f>Wapato_Inventory[[#This Row],[land_value]]</f>
        <v>53000</v>
      </c>
      <c r="BU815" s="2">
        <f>_xlfn.IFNA(VLOOKUP(Wapato_Inventory[[#This Row],[quality]],Lookups!$A$28:$C$37,3,FALSE),1)</f>
        <v>0.97993206410140754</v>
      </c>
      <c r="BV815" s="2">
        <f>_xlfn.IFNA(VLOOKUP(Wapato_Inventory[[#This Row],[condition]],Lookups!$A$41:$C$48,3,FALSE),1)</f>
        <v>0.9832333997567807</v>
      </c>
      <c r="BW815" s="2">
        <f>IF(Wapato_Inventory[[#This Row],[decade]]="",1,_xlfn.IFNA(VLOOKUP(Wapato_Inventory[[#This Row],[decade]],Lookups!$F$28:$H$45,3,FALSE),1))</f>
        <v>0.93664589651353292</v>
      </c>
      <c r="BX815" s="2">
        <f>_xlfn.IFNA(VLOOKUP(Wapato_Inventory[[#This Row],[living_area_range]],Lookups!$K$28:$M$37,3,FALSE),1)</f>
        <v>0.99330894324714125</v>
      </c>
      <c r="BY815" s="2">
        <f>AVERAGE(Wapato_Inventory[[#This Row],[qual_adj]:[range_adj]])</f>
        <v>0.97328007590471566</v>
      </c>
      <c r="BZ815" s="7">
        <f>(Wapato_Inventory[[#This Row],[sum_land]]-IF(Wapato_Inventory[[#This Row],[no_utilities]]=1,12000,0))/IF(Wapato_Inventory[[#This Row],[unbuildable]]=1,2,1)</f>
        <v>53000</v>
      </c>
      <c r="CA815" s="7">
        <f>Wapato_Inventory[[#This Row],[pre_res]]*Wapato_Inventory[[#This Row],[overall_adj]]</f>
        <v>189527.97078200406</v>
      </c>
      <c r="CB81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15" s="3">
        <f>IF(ROUND(Wapato_Inventory[[#This Row],[adj_res]]*Lookups!$H$48,-2)&lt;Wapato_Inventory[[#This Row],[min_res]],Wapato_Inventory[[#This Row],[min_res]],ROUND(Wapato_Inventory[[#This Row],[adj_res]]*Lookups!$H$48,-2))</f>
        <v>180100</v>
      </c>
      <c r="CD815" s="3">
        <f>ROUND(Wapato_Inventory[[#This Row],[det_value]]*Lookups!$H$48,-2)</f>
        <v>3500</v>
      </c>
      <c r="CE815" s="3">
        <f>Wapato_Inventory[[#This Row],[final_res]]+Wapato_Inventory[[#This Row],[final_det]]</f>
        <v>183600</v>
      </c>
      <c r="CF815" s="3">
        <f>Wapato_Inventory[[#This Row],[crop_value]]+Wapato_Inventory[[#This Row],[final_land]]+Wapato_Inventory[[#This Row],[final_imp]]</f>
        <v>234000</v>
      </c>
      <c r="CH815" t="str">
        <f t="shared" si="12"/>
        <v>update valuation set market_land =50400, market_bldg=183600, market_total =234000, market_mdno =405, market_date ='9/10/2023' where link_id = (select link_id from parcel where parcel_year = '2024' and parcel_id = '19111514478');</v>
      </c>
    </row>
    <row r="816" spans="1:86" x14ac:dyDescent="0.25">
      <c r="A816">
        <v>19111514479</v>
      </c>
      <c r="B816">
        <v>0.15</v>
      </c>
      <c r="C816">
        <v>6743</v>
      </c>
      <c r="D816" t="s">
        <v>144</v>
      </c>
      <c r="E816" t="s">
        <v>54</v>
      </c>
      <c r="F816" t="s">
        <v>54</v>
      </c>
      <c r="G816">
        <v>3</v>
      </c>
      <c r="H816" t="s">
        <v>55</v>
      </c>
      <c r="I816">
        <v>112500</v>
      </c>
      <c r="J816">
        <v>32300</v>
      </c>
      <c r="K816">
        <v>0.15</v>
      </c>
      <c r="L816">
        <f>IF(Wapato_Inventory[[#This Row],[parcel_acres]]-Wapato_Inventory[[#This Row],[non_valued_acres]] =0,0,LN(Wapato_Inventory[[#This Row],[parcel_acres]]-Wapato_Inventory[[#This Row],[non_valued_acres]]))</f>
        <v>-1.8971199848858813</v>
      </c>
      <c r="M816">
        <v>0</v>
      </c>
      <c r="N816">
        <v>0</v>
      </c>
      <c r="O816">
        <v>0</v>
      </c>
      <c r="P816">
        <v>27904.037</v>
      </c>
      <c r="Q816">
        <v>74398</v>
      </c>
      <c r="R816" s="3">
        <f>(Wapato_Inventory[[#This Row],[ln_acres]]*Wapato_Inventory[[#This Row],[coeff]])+Wapato_Inventory[[#This Row],[const]]</f>
        <v>21460.693748304926</v>
      </c>
      <c r="S816" t="s">
        <v>66</v>
      </c>
      <c r="T816">
        <v>1</v>
      </c>
      <c r="U816" t="s">
        <v>71</v>
      </c>
      <c r="V816" t="s">
        <v>68</v>
      </c>
      <c r="W816">
        <v>0</v>
      </c>
      <c r="X816">
        <v>0</v>
      </c>
      <c r="Y816">
        <v>57</v>
      </c>
      <c r="Z816">
        <v>103</v>
      </c>
      <c r="AA816">
        <v>110</v>
      </c>
      <c r="AB816">
        <v>1500</v>
      </c>
      <c r="AC816">
        <v>1098</v>
      </c>
      <c r="AD816">
        <v>1098</v>
      </c>
      <c r="AE816">
        <v>0</v>
      </c>
      <c r="AF816">
        <v>0</v>
      </c>
      <c r="AG816">
        <v>0</v>
      </c>
      <c r="AH816">
        <v>300</v>
      </c>
      <c r="AI816">
        <v>0</v>
      </c>
      <c r="AJ816">
        <v>0</v>
      </c>
      <c r="AK816">
        <v>0</v>
      </c>
      <c r="AL816">
        <v>0</v>
      </c>
      <c r="AM816">
        <v>0</v>
      </c>
      <c r="AN816">
        <v>168</v>
      </c>
      <c r="AO816">
        <v>0</v>
      </c>
      <c r="AP816">
        <v>5</v>
      </c>
      <c r="AQ816">
        <v>0</v>
      </c>
      <c r="AR816">
        <v>0</v>
      </c>
      <c r="AS816" t="s">
        <v>59</v>
      </c>
      <c r="AT816">
        <v>1</v>
      </c>
      <c r="AU816" t="s">
        <v>64</v>
      </c>
      <c r="AV816" t="s">
        <v>65</v>
      </c>
      <c r="AW816">
        <v>0</v>
      </c>
      <c r="AX816">
        <v>2</v>
      </c>
      <c r="AY816">
        <v>0</v>
      </c>
      <c r="AZ816">
        <v>2700</v>
      </c>
      <c r="BA816">
        <v>100</v>
      </c>
      <c r="BB816">
        <v>100</v>
      </c>
      <c r="BC816">
        <v>100</v>
      </c>
      <c r="BD816">
        <v>100</v>
      </c>
      <c r="BE816">
        <v>1</v>
      </c>
      <c r="BF816">
        <v>15000</v>
      </c>
      <c r="BG816">
        <v>1000</v>
      </c>
      <c r="BH816" s="7">
        <f>ROUND(Wapato_Inventory[[#This Row],[detatched_value]]*Lookups!$B$22*Lookups!$H$48,-2)</f>
        <v>2400</v>
      </c>
      <c r="BI816" s="7">
        <f>ROUND(((Wapato_Inventory[[#This Row],[land_extract]]*Lookups!$B$3) +(Lookups!$B$2*0.5))*Lookups!$H$48,-2)</f>
        <v>53100</v>
      </c>
      <c r="BJ816" s="7">
        <f>IF(Wapato_Inventory[[#This Row],[bldg_style]]="",0,Lookups!$B$2*0.5)</f>
        <v>53765.27</v>
      </c>
      <c r="BK816" s="7">
        <f>_xlfn.IFNA(VLOOKUP(Wapato_Inventory[[#This Row],[quality]],Lookups!$H$2:$J$14,3,FALSE),0)</f>
        <v>28034</v>
      </c>
      <c r="BL816" s="7">
        <f>_xlfn.IFNA(VLOOKUP(Wapato_Inventory[[#This Row],[condition]],Lookups!$H$17:$J$24,3,FALSE),0)</f>
        <v>52231</v>
      </c>
      <c r="BM816" s="7">
        <f>Wapato_Inventory[[#This Row],[Age]]*Lookups!$B$16</f>
        <v>-38179.597099999999</v>
      </c>
      <c r="BN816" s="7">
        <f>Wapato_Inventory[[#This Row],[Main Floor]]*Lookups!$B$17</f>
        <v>45897.211422</v>
      </c>
      <c r="BO816" s="7">
        <f>Wapato_Inventory[[#This Row],[Upper Floor]]*Lookups!$B$18</f>
        <v>0</v>
      </c>
      <c r="BP816" s="7">
        <f>Wapato_Inventory[[#This Row],[Fin BSMT]]*Lookups!$B$19</f>
        <v>0</v>
      </c>
      <c r="BQ816" s="7">
        <f>(Wapato_Inventory[[#This Row],[att_gar]]+Wapato_Inventory[[#This Row],[blt_gar]])*Lookups!$B$20</f>
        <v>0</v>
      </c>
      <c r="BR816" s="7">
        <f>Wapato_Inventory[[#This Row],[Patio]]*Lookups!$B$21</f>
        <v>0</v>
      </c>
      <c r="BS816" s="7">
        <f>SUM(Wapato_Inventory[[#This Row],[intercept]:[patio_value]])*Wapato_Inventory[[#This Row],[res_pct]]</f>
        <v>141747.884322</v>
      </c>
      <c r="BT816" s="7">
        <f>Wapato_Inventory[[#This Row],[land_value]]</f>
        <v>53100</v>
      </c>
      <c r="BU816" s="2">
        <f>_xlfn.IFNA(VLOOKUP(Wapato_Inventory[[#This Row],[quality]],Lookups!$A$28:$C$37,3,FALSE),1)</f>
        <v>0.96265813922927435</v>
      </c>
      <c r="BV816" s="2">
        <f>_xlfn.IFNA(VLOOKUP(Wapato_Inventory[[#This Row],[condition]],Lookups!$A$41:$C$48,3,FALSE),1)</f>
        <v>0.9832333997567807</v>
      </c>
      <c r="BW816" s="2">
        <f>IF(Wapato_Inventory[[#This Row],[decade]]="",1,_xlfn.IFNA(VLOOKUP(Wapato_Inventory[[#This Row],[decade]],Lookups!$F$28:$H$45,3,FALSE),1))</f>
        <v>0.93664589651353292</v>
      </c>
      <c r="BX816" s="2">
        <f>_xlfn.IFNA(VLOOKUP(Wapato_Inventory[[#This Row],[living_area_range]],Lookups!$K$28:$M$37,3,FALSE),1)</f>
        <v>1.0061411172456287</v>
      </c>
      <c r="BY816" s="2">
        <f>AVERAGE(Wapato_Inventory[[#This Row],[qual_adj]:[range_adj]])</f>
        <v>0.97216963818630409</v>
      </c>
      <c r="BZ816" s="7">
        <f>(Wapato_Inventory[[#This Row],[sum_land]]-IF(Wapato_Inventory[[#This Row],[no_utilities]]=1,12000,0))/IF(Wapato_Inventory[[#This Row],[unbuildable]]=1,2,1)</f>
        <v>53100</v>
      </c>
      <c r="CA816" s="7">
        <f>Wapato_Inventory[[#This Row],[pre_res]]*Wapato_Inventory[[#This Row],[overall_adj]]</f>
        <v>137802.98941499283</v>
      </c>
      <c r="CB81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16" s="3">
        <f>IF(ROUND(Wapato_Inventory[[#This Row],[adj_res]]*Lookups!$H$48,-2)&lt;Wapato_Inventory[[#This Row],[min_res]],Wapato_Inventory[[#This Row],[min_res]],ROUND(Wapato_Inventory[[#This Row],[adj_res]]*Lookups!$H$48,-2))</f>
        <v>130900</v>
      </c>
      <c r="CD816" s="3">
        <f>ROUND(Wapato_Inventory[[#This Row],[det_value]]*Lookups!$H$48,-2)</f>
        <v>2300</v>
      </c>
      <c r="CE816" s="3">
        <f>Wapato_Inventory[[#This Row],[final_res]]+Wapato_Inventory[[#This Row],[final_det]]</f>
        <v>133200</v>
      </c>
      <c r="CF816" s="3">
        <f>Wapato_Inventory[[#This Row],[crop_value]]+Wapato_Inventory[[#This Row],[final_land]]+Wapato_Inventory[[#This Row],[final_imp]]</f>
        <v>183600</v>
      </c>
      <c r="CH816" t="str">
        <f t="shared" si="12"/>
        <v>update valuation set market_land =50400, market_bldg=133200, market_total =183600, market_mdno =405, market_date ='9/10/2023' where link_id = (select link_id from parcel where parcel_year = '2024' and parcel_id = '19111514479');</v>
      </c>
    </row>
    <row r="817" spans="1:86" x14ac:dyDescent="0.25">
      <c r="A817">
        <v>19111514480</v>
      </c>
      <c r="B817">
        <v>0.14000000000000001</v>
      </c>
      <c r="C817">
        <v>6022</v>
      </c>
      <c r="D817" t="s">
        <v>144</v>
      </c>
      <c r="E817" t="s">
        <v>54</v>
      </c>
      <c r="F817" t="s">
        <v>54</v>
      </c>
      <c r="G817">
        <v>3</v>
      </c>
      <c r="H817" t="s">
        <v>55</v>
      </c>
      <c r="I817">
        <v>253300</v>
      </c>
      <c r="J817">
        <v>31900</v>
      </c>
      <c r="K817">
        <v>0.14000000000000001</v>
      </c>
      <c r="L817">
        <f>IF(Wapato_Inventory[[#This Row],[parcel_acres]]-Wapato_Inventory[[#This Row],[non_valued_acres]] =0,0,LN(Wapato_Inventory[[#This Row],[parcel_acres]]-Wapato_Inventory[[#This Row],[non_valued_acres]]))</f>
        <v>-1.9661128563728327</v>
      </c>
      <c r="M817">
        <v>0</v>
      </c>
      <c r="N817">
        <v>0</v>
      </c>
      <c r="O817">
        <v>0</v>
      </c>
      <c r="P817">
        <v>27904.037</v>
      </c>
      <c r="Q817">
        <v>74398</v>
      </c>
      <c r="R817" s="3">
        <f>(Wapato_Inventory[[#This Row],[ln_acres]]*Wapato_Inventory[[#This Row],[coeff]])+Wapato_Inventory[[#This Row],[const]]</f>
        <v>19535.514109596792</v>
      </c>
      <c r="S817" t="s">
        <v>66</v>
      </c>
      <c r="T817">
        <v>1</v>
      </c>
      <c r="U817" t="s">
        <v>67</v>
      </c>
      <c r="V817" t="s">
        <v>70</v>
      </c>
      <c r="W817">
        <v>0</v>
      </c>
      <c r="X817">
        <v>0</v>
      </c>
      <c r="Y817">
        <v>33</v>
      </c>
      <c r="Z817">
        <v>113</v>
      </c>
      <c r="AA817">
        <v>120</v>
      </c>
      <c r="AB817">
        <v>2000</v>
      </c>
      <c r="AC817">
        <v>1583</v>
      </c>
      <c r="AD817">
        <v>1543</v>
      </c>
      <c r="AE817">
        <v>0</v>
      </c>
      <c r="AF817">
        <v>0</v>
      </c>
      <c r="AG817">
        <v>40</v>
      </c>
      <c r="AH817">
        <v>200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208</v>
      </c>
      <c r="AO817">
        <v>0</v>
      </c>
      <c r="AP817">
        <v>8</v>
      </c>
      <c r="AQ817">
        <v>0</v>
      </c>
      <c r="AR817">
        <v>0</v>
      </c>
      <c r="AS817" t="s">
        <v>59</v>
      </c>
      <c r="AT817">
        <v>1</v>
      </c>
      <c r="AU817" t="s">
        <v>60</v>
      </c>
      <c r="AV817" t="s">
        <v>61</v>
      </c>
      <c r="AW817">
        <v>1</v>
      </c>
      <c r="AX817">
        <v>3</v>
      </c>
      <c r="AY817">
        <v>0</v>
      </c>
      <c r="AZ817">
        <v>2700</v>
      </c>
      <c r="BA817">
        <v>100</v>
      </c>
      <c r="BB817">
        <v>100</v>
      </c>
      <c r="BC817">
        <v>100</v>
      </c>
      <c r="BD817">
        <v>100</v>
      </c>
      <c r="BE817">
        <v>1</v>
      </c>
      <c r="BF817">
        <v>15000</v>
      </c>
      <c r="BG817">
        <v>1000</v>
      </c>
      <c r="BH817" s="7">
        <f>ROUND(Wapato_Inventory[[#This Row],[detatched_value]]*Lookups!$B$22*Lookups!$H$48,-2)</f>
        <v>2400</v>
      </c>
      <c r="BI817" s="7">
        <f>ROUND(((Wapato_Inventory[[#This Row],[land_extract]]*Lookups!$B$3) +(Lookups!$B$2*0.5))*Lookups!$H$48,-2)</f>
        <v>53000</v>
      </c>
      <c r="BJ817" s="7">
        <f>IF(Wapato_Inventory[[#This Row],[bldg_style]]="",0,Lookups!$B$2*0.5)</f>
        <v>53765.27</v>
      </c>
      <c r="BK817" s="7">
        <f>_xlfn.IFNA(VLOOKUP(Wapato_Inventory[[#This Row],[quality]],Lookups!$H$2:$J$14,3,FALSE),0)</f>
        <v>50405</v>
      </c>
      <c r="BL817" s="7">
        <f>_xlfn.IFNA(VLOOKUP(Wapato_Inventory[[#This Row],[condition]],Lookups!$H$17:$J$24,3,FALSE),0)</f>
        <v>84338</v>
      </c>
      <c r="BM817" s="7">
        <f>Wapato_Inventory[[#This Row],[Age]]*Lookups!$B$16</f>
        <v>-41886.354100000004</v>
      </c>
      <c r="BN817" s="7">
        <f>Wapato_Inventory[[#This Row],[Main Floor]]*Lookups!$B$17</f>
        <v>64498.540277</v>
      </c>
      <c r="BO817" s="7">
        <f>Wapato_Inventory[[#This Row],[Upper Floor]]*Lookups!$B$18</f>
        <v>0</v>
      </c>
      <c r="BP817" s="7">
        <f>Wapato_Inventory[[#This Row],[Fin BSMT]]*Lookups!$B$19</f>
        <v>974.66959999999995</v>
      </c>
      <c r="BQ817" s="7">
        <f>(Wapato_Inventory[[#This Row],[att_gar]]+Wapato_Inventory[[#This Row],[blt_gar]])*Lookups!$B$20</f>
        <v>0</v>
      </c>
      <c r="BR817" s="7">
        <f>Wapato_Inventory[[#This Row],[Patio]]*Lookups!$B$21</f>
        <v>0</v>
      </c>
      <c r="BS817" s="7">
        <f>SUM(Wapato_Inventory[[#This Row],[intercept]:[patio_value]])*Wapato_Inventory[[#This Row],[res_pct]]</f>
        <v>212095.12577699998</v>
      </c>
      <c r="BT817" s="7">
        <f>Wapato_Inventory[[#This Row],[land_value]]</f>
        <v>53000</v>
      </c>
      <c r="BU817" s="2">
        <f>_xlfn.IFNA(VLOOKUP(Wapato_Inventory[[#This Row],[quality]],Lookups!$A$28:$C$37,3,FALSE),1)</f>
        <v>0.97993206410140754</v>
      </c>
      <c r="BV817" s="2">
        <f>_xlfn.IFNA(VLOOKUP(Wapato_Inventory[[#This Row],[condition]],Lookups!$A$41:$C$48,3,FALSE),1)</f>
        <v>0.99478075210508476</v>
      </c>
      <c r="BW817" s="2">
        <f>IF(Wapato_Inventory[[#This Row],[decade]]="",1,_xlfn.IFNA(VLOOKUP(Wapato_Inventory[[#This Row],[decade]],Lookups!$F$28:$H$45,3,FALSE),1))</f>
        <v>0.93664589651353292</v>
      </c>
      <c r="BX817" s="2">
        <f>_xlfn.IFNA(VLOOKUP(Wapato_Inventory[[#This Row],[living_area_range]],Lookups!$K$28:$M$37,3,FALSE),1)</f>
        <v>0.99330894324714125</v>
      </c>
      <c r="BY817" s="2">
        <f>AVERAGE(Wapato_Inventory[[#This Row],[qual_adj]:[range_adj]])</f>
        <v>0.97616691399179156</v>
      </c>
      <c r="BZ817" s="7">
        <f>(Wapato_Inventory[[#This Row],[sum_land]]-IF(Wapato_Inventory[[#This Row],[no_utilities]]=1,12000,0))/IF(Wapato_Inventory[[#This Row],[unbuildable]]=1,2,1)</f>
        <v>53000</v>
      </c>
      <c r="CA817" s="7">
        <f>Wapato_Inventory[[#This Row],[pre_res]]*Wapato_Inventory[[#This Row],[overall_adj]]</f>
        <v>207040.24440243494</v>
      </c>
      <c r="CB81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17" s="3">
        <f>IF(ROUND(Wapato_Inventory[[#This Row],[adj_res]]*Lookups!$H$48,-2)&lt;Wapato_Inventory[[#This Row],[min_res]],Wapato_Inventory[[#This Row],[min_res]],ROUND(Wapato_Inventory[[#This Row],[adj_res]]*Lookups!$H$48,-2))</f>
        <v>196700</v>
      </c>
      <c r="CD817" s="3">
        <f>ROUND(Wapato_Inventory[[#This Row],[det_value]]*Lookups!$H$48,-2)</f>
        <v>2300</v>
      </c>
      <c r="CE817" s="3">
        <f>Wapato_Inventory[[#This Row],[final_res]]+Wapato_Inventory[[#This Row],[final_det]]</f>
        <v>199000</v>
      </c>
      <c r="CF817" s="3">
        <f>Wapato_Inventory[[#This Row],[crop_value]]+Wapato_Inventory[[#This Row],[final_land]]+Wapato_Inventory[[#This Row],[final_imp]]</f>
        <v>249400</v>
      </c>
      <c r="CH817" t="str">
        <f t="shared" si="12"/>
        <v>update valuation set market_land =50400, market_bldg=199000, market_total =249400, market_mdno =405, market_date ='9/10/2023' where link_id = (select link_id from parcel where parcel_year = '2024' and parcel_id = '19111514480');</v>
      </c>
    </row>
    <row r="818" spans="1:86" x14ac:dyDescent="0.25">
      <c r="A818">
        <v>19111514481</v>
      </c>
      <c r="B818">
        <v>7.0000000000000007E-2</v>
      </c>
      <c r="C818">
        <v>3264</v>
      </c>
      <c r="D818" t="s">
        <v>144</v>
      </c>
      <c r="E818" t="s">
        <v>54</v>
      </c>
      <c r="F818" t="s">
        <v>54</v>
      </c>
      <c r="G818">
        <v>3</v>
      </c>
      <c r="H818" t="s">
        <v>55</v>
      </c>
      <c r="I818">
        <v>167200</v>
      </c>
      <c r="J818">
        <v>26900</v>
      </c>
      <c r="K818">
        <v>7.0000000000000007E-2</v>
      </c>
      <c r="L818">
        <f>IF(Wapato_Inventory[[#This Row],[parcel_acres]]-Wapato_Inventory[[#This Row],[non_valued_acres]] =0,0,LN(Wapato_Inventory[[#This Row],[parcel_acres]]-Wapato_Inventory[[#This Row],[non_valued_acres]]))</f>
        <v>-2.6592600369327779</v>
      </c>
      <c r="M818">
        <v>0</v>
      </c>
      <c r="N818">
        <v>0</v>
      </c>
      <c r="O818">
        <v>0</v>
      </c>
      <c r="P818">
        <v>27904.037</v>
      </c>
      <c r="Q818">
        <v>74398</v>
      </c>
      <c r="R818" s="3">
        <f>(Wapato_Inventory[[#This Row],[ln_acres]]*Wapato_Inventory[[#This Row],[coeff]])+Wapato_Inventory[[#This Row],[const]]</f>
        <v>193.90953680640087</v>
      </c>
      <c r="S818" t="s">
        <v>66</v>
      </c>
      <c r="T818">
        <v>1</v>
      </c>
      <c r="U818" t="s">
        <v>75</v>
      </c>
      <c r="V818" t="s">
        <v>68</v>
      </c>
      <c r="W818">
        <v>0</v>
      </c>
      <c r="X818">
        <v>0</v>
      </c>
      <c r="Y818">
        <v>33</v>
      </c>
      <c r="Z818">
        <v>33</v>
      </c>
      <c r="AA818">
        <v>40</v>
      </c>
      <c r="AB818">
        <v>1500</v>
      </c>
      <c r="AC818">
        <v>1116</v>
      </c>
      <c r="AD818">
        <v>1116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0</v>
      </c>
      <c r="AK818">
        <v>0</v>
      </c>
      <c r="AL818">
        <v>0</v>
      </c>
      <c r="AM818">
        <v>0</v>
      </c>
      <c r="AN818">
        <v>16</v>
      </c>
      <c r="AO818">
        <v>0</v>
      </c>
      <c r="AP818">
        <v>5</v>
      </c>
      <c r="AQ818">
        <v>0</v>
      </c>
      <c r="AR818">
        <v>0</v>
      </c>
      <c r="AS818" t="s">
        <v>59</v>
      </c>
      <c r="AT818">
        <v>1</v>
      </c>
      <c r="AU818" t="s">
        <v>72</v>
      </c>
      <c r="AV818" t="s">
        <v>61</v>
      </c>
      <c r="AW818">
        <v>0</v>
      </c>
      <c r="AX818">
        <v>3</v>
      </c>
      <c r="AY818">
        <v>0</v>
      </c>
      <c r="AZ818">
        <v>0</v>
      </c>
      <c r="BA818">
        <v>100</v>
      </c>
      <c r="BB818">
        <v>100</v>
      </c>
      <c r="BC818">
        <v>100</v>
      </c>
      <c r="BD818">
        <v>100</v>
      </c>
      <c r="BE818">
        <v>1</v>
      </c>
      <c r="BF818">
        <v>15000</v>
      </c>
      <c r="BG818">
        <v>1000</v>
      </c>
      <c r="BH818" s="7">
        <f>ROUND(Wapato_Inventory[[#This Row],[detatched_value]]*Lookups!$B$22*Lookups!$H$48,-2)</f>
        <v>0</v>
      </c>
      <c r="BI818" s="7">
        <f>ROUND(((Wapato_Inventory[[#This Row],[land_extract]]*Lookups!$B$3) +(Lookups!$B$2*0.5))*Lookups!$H$48,-2)</f>
        <v>51100</v>
      </c>
      <c r="BJ818" s="7">
        <f>IF(Wapato_Inventory[[#This Row],[bldg_style]]="",0,Lookups!$B$2*0.5)</f>
        <v>53765.27</v>
      </c>
      <c r="BK818" s="7">
        <f>_xlfn.IFNA(VLOOKUP(Wapato_Inventory[[#This Row],[quality]],Lookups!$H$2:$J$14,3,FALSE),0)</f>
        <v>48043</v>
      </c>
      <c r="BL818" s="7">
        <f>_xlfn.IFNA(VLOOKUP(Wapato_Inventory[[#This Row],[condition]],Lookups!$H$17:$J$24,3,FALSE),0)</f>
        <v>52231</v>
      </c>
      <c r="BM818" s="7">
        <f>Wapato_Inventory[[#This Row],[Age]]*Lookups!$B$16</f>
        <v>-12232.2981</v>
      </c>
      <c r="BN818" s="7">
        <f>Wapato_Inventory[[#This Row],[Main Floor]]*Lookups!$B$17</f>
        <v>46649.624724000001</v>
      </c>
      <c r="BO818" s="7">
        <f>Wapato_Inventory[[#This Row],[Upper Floor]]*Lookups!$B$18</f>
        <v>0</v>
      </c>
      <c r="BP818" s="7">
        <f>Wapato_Inventory[[#This Row],[Fin BSMT]]*Lookups!$B$19</f>
        <v>0</v>
      </c>
      <c r="BQ818" s="7">
        <f>(Wapato_Inventory[[#This Row],[att_gar]]+Wapato_Inventory[[#This Row],[blt_gar]])*Lookups!$B$20</f>
        <v>0</v>
      </c>
      <c r="BR818" s="7">
        <f>Wapato_Inventory[[#This Row],[Patio]]*Lookups!$B$21</f>
        <v>0</v>
      </c>
      <c r="BS818" s="7">
        <f>SUM(Wapato_Inventory[[#This Row],[intercept]:[patio_value]])*Wapato_Inventory[[#This Row],[res_pct]]</f>
        <v>188456.596624</v>
      </c>
      <c r="BT818" s="7">
        <f>Wapato_Inventory[[#This Row],[land_value]]</f>
        <v>51100</v>
      </c>
      <c r="BU818" s="2">
        <f>_xlfn.IFNA(VLOOKUP(Wapato_Inventory[[#This Row],[quality]],Lookups!$A$28:$C$37,3,FALSE),1)</f>
        <v>0.98196844879778955</v>
      </c>
      <c r="BV818" s="2">
        <f>_xlfn.IFNA(VLOOKUP(Wapato_Inventory[[#This Row],[condition]],Lookups!$A$41:$C$48,3,FALSE),1)</f>
        <v>0.9832333997567807</v>
      </c>
      <c r="BW818" s="2">
        <f>IF(Wapato_Inventory[[#This Row],[decade]]="",1,_xlfn.IFNA(VLOOKUP(Wapato_Inventory[[#This Row],[decade]],Lookups!$F$28:$H$45,3,FALSE),1))</f>
        <v>1.0327621624630683</v>
      </c>
      <c r="BX818" s="2">
        <f>_xlfn.IFNA(VLOOKUP(Wapato_Inventory[[#This Row],[living_area_range]],Lookups!$K$28:$M$37,3,FALSE),1)</f>
        <v>1.0061411172456287</v>
      </c>
      <c r="BY818" s="2">
        <f>AVERAGE(Wapato_Inventory[[#This Row],[qual_adj]:[range_adj]])</f>
        <v>1.0010262820658169</v>
      </c>
      <c r="BZ818" s="7">
        <f>(Wapato_Inventory[[#This Row],[sum_land]]-IF(Wapato_Inventory[[#This Row],[no_utilities]]=1,12000,0))/IF(Wapato_Inventory[[#This Row],[unbuildable]]=1,2,1)</f>
        <v>51100</v>
      </c>
      <c r="CA818" s="7">
        <f>Wapato_Inventory[[#This Row],[pre_res]]*Wapato_Inventory[[#This Row],[overall_adj]]</f>
        <v>188650.00624930009</v>
      </c>
      <c r="CB818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818" s="3">
        <f>IF(ROUND(Wapato_Inventory[[#This Row],[adj_res]]*Lookups!$H$48,-2)&lt;Wapato_Inventory[[#This Row],[min_res]],Wapato_Inventory[[#This Row],[min_res]],ROUND(Wapato_Inventory[[#This Row],[adj_res]]*Lookups!$H$48,-2))</f>
        <v>179200</v>
      </c>
      <c r="CD818" s="3">
        <f>ROUND(Wapato_Inventory[[#This Row],[det_value]]*Lookups!$H$48,-2)</f>
        <v>0</v>
      </c>
      <c r="CE818" s="3">
        <f>Wapato_Inventory[[#This Row],[final_res]]+Wapato_Inventory[[#This Row],[final_det]]</f>
        <v>179200</v>
      </c>
      <c r="CF818" s="3">
        <f>Wapato_Inventory[[#This Row],[crop_value]]+Wapato_Inventory[[#This Row],[final_land]]+Wapato_Inventory[[#This Row],[final_imp]]</f>
        <v>227700</v>
      </c>
      <c r="CH818" t="str">
        <f t="shared" si="12"/>
        <v>update valuation set market_land =48500, market_bldg=179200, market_total =227700, market_mdno =405, market_date ='9/10/2023' where link_id = (select link_id from parcel where parcel_year = '2024' and parcel_id = '19111514481');</v>
      </c>
    </row>
    <row r="819" spans="1:86" x14ac:dyDescent="0.25">
      <c r="A819">
        <v>19111514482</v>
      </c>
      <c r="B819">
        <v>0.06</v>
      </c>
      <c r="C819">
        <v>2597</v>
      </c>
      <c r="D819" t="s">
        <v>144</v>
      </c>
      <c r="E819" t="s">
        <v>54</v>
      </c>
      <c r="F819" t="s">
        <v>54</v>
      </c>
      <c r="G819">
        <v>3</v>
      </c>
      <c r="H819" t="s">
        <v>55</v>
      </c>
      <c r="I819">
        <v>121100</v>
      </c>
      <c r="J819">
        <v>25800</v>
      </c>
      <c r="K819">
        <v>0.06</v>
      </c>
      <c r="L819">
        <f>IF(Wapato_Inventory[[#This Row],[parcel_acres]]-Wapato_Inventory[[#This Row],[non_valued_acres]] =0,0,LN(Wapato_Inventory[[#This Row],[parcel_acres]]-Wapato_Inventory[[#This Row],[non_valued_acres]]))</f>
        <v>-2.8134107167600364</v>
      </c>
      <c r="M819">
        <v>0</v>
      </c>
      <c r="N819">
        <v>0</v>
      </c>
      <c r="O819">
        <v>0</v>
      </c>
      <c r="P819">
        <v>27904.037</v>
      </c>
      <c r="Q819">
        <v>74398</v>
      </c>
      <c r="R819" s="3">
        <f>(Wapato_Inventory[[#This Row],[ln_acres]]*Wapato_Inventory[[#This Row],[coeff]])+Wapato_Inventory[[#This Row],[const]]</f>
        <v>-4107.5167366685782</v>
      </c>
      <c r="S819" t="s">
        <v>66</v>
      </c>
      <c r="T819">
        <v>1</v>
      </c>
      <c r="U819" t="s">
        <v>78</v>
      </c>
      <c r="V819" t="s">
        <v>68</v>
      </c>
      <c r="W819">
        <v>0</v>
      </c>
      <c r="X819">
        <v>0</v>
      </c>
      <c r="Y819">
        <v>57</v>
      </c>
      <c r="Z819">
        <v>103</v>
      </c>
      <c r="AA819">
        <v>110</v>
      </c>
      <c r="AB819">
        <v>1500</v>
      </c>
      <c r="AC819">
        <v>1176</v>
      </c>
      <c r="AD819">
        <v>1176</v>
      </c>
      <c r="AE819">
        <v>0</v>
      </c>
      <c r="AF819">
        <v>0</v>
      </c>
      <c r="AG819">
        <v>0</v>
      </c>
      <c r="AH819">
        <v>100</v>
      </c>
      <c r="AI819">
        <v>0</v>
      </c>
      <c r="AJ819">
        <v>0</v>
      </c>
      <c r="AK819">
        <v>0</v>
      </c>
      <c r="AL819">
        <v>0</v>
      </c>
      <c r="AM819">
        <v>0</v>
      </c>
      <c r="AN819">
        <v>0</v>
      </c>
      <c r="AO819">
        <v>0</v>
      </c>
      <c r="AP819">
        <v>5</v>
      </c>
      <c r="AQ819">
        <v>0</v>
      </c>
      <c r="AR819">
        <v>0</v>
      </c>
      <c r="AS819" t="s">
        <v>59</v>
      </c>
      <c r="AT819">
        <v>1</v>
      </c>
      <c r="AU819" t="s">
        <v>76</v>
      </c>
      <c r="AV819" t="s">
        <v>61</v>
      </c>
      <c r="AW819">
        <v>0</v>
      </c>
      <c r="AX819">
        <v>2</v>
      </c>
      <c r="AY819">
        <v>0</v>
      </c>
      <c r="AZ819">
        <v>0</v>
      </c>
      <c r="BA819">
        <v>100</v>
      </c>
      <c r="BB819">
        <v>100</v>
      </c>
      <c r="BC819">
        <v>100</v>
      </c>
      <c r="BD819">
        <v>100</v>
      </c>
      <c r="BE819">
        <v>1</v>
      </c>
      <c r="BF819">
        <v>15000</v>
      </c>
      <c r="BG819">
        <v>1000</v>
      </c>
      <c r="BH819" s="7">
        <f>ROUND(Wapato_Inventory[[#This Row],[detatched_value]]*Lookups!$B$22*Lookups!$H$48,-2)</f>
        <v>0</v>
      </c>
      <c r="BI819" s="7">
        <f>ROUND(((Wapato_Inventory[[#This Row],[land_extract]]*Lookups!$B$3) +(Lookups!$B$2*0.5))*Lookups!$H$48,-2)</f>
        <v>50700</v>
      </c>
      <c r="BJ819" s="7">
        <f>IF(Wapato_Inventory[[#This Row],[bldg_style]]="",0,Lookups!$B$2*0.5)</f>
        <v>53765.27</v>
      </c>
      <c r="BK819" s="7">
        <f>_xlfn.IFNA(VLOOKUP(Wapato_Inventory[[#This Row],[quality]],Lookups!$H$2:$J$14,3,FALSE),0)</f>
        <v>23424</v>
      </c>
      <c r="BL819" s="7">
        <f>_xlfn.IFNA(VLOOKUP(Wapato_Inventory[[#This Row],[condition]],Lookups!$H$17:$J$24,3,FALSE),0)</f>
        <v>52231</v>
      </c>
      <c r="BM819" s="7">
        <f>Wapato_Inventory[[#This Row],[Age]]*Lookups!$B$16</f>
        <v>-38179.597099999999</v>
      </c>
      <c r="BN819" s="7">
        <f>Wapato_Inventory[[#This Row],[Main Floor]]*Lookups!$B$17</f>
        <v>49157.669064000002</v>
      </c>
      <c r="BO819" s="7">
        <f>Wapato_Inventory[[#This Row],[Upper Floor]]*Lookups!$B$18</f>
        <v>0</v>
      </c>
      <c r="BP819" s="7">
        <f>Wapato_Inventory[[#This Row],[Fin BSMT]]*Lookups!$B$19</f>
        <v>0</v>
      </c>
      <c r="BQ819" s="7">
        <f>(Wapato_Inventory[[#This Row],[att_gar]]+Wapato_Inventory[[#This Row],[blt_gar]])*Lookups!$B$20</f>
        <v>0</v>
      </c>
      <c r="BR819" s="7">
        <f>Wapato_Inventory[[#This Row],[Patio]]*Lookups!$B$21</f>
        <v>0</v>
      </c>
      <c r="BS819" s="7">
        <f>SUM(Wapato_Inventory[[#This Row],[intercept]:[patio_value]])*Wapato_Inventory[[#This Row],[res_pct]]</f>
        <v>140398.34196399999</v>
      </c>
      <c r="BT819" s="7">
        <f>Wapato_Inventory[[#This Row],[land_value]]</f>
        <v>50700</v>
      </c>
      <c r="BU819" s="2">
        <f>_xlfn.IFNA(VLOOKUP(Wapato_Inventory[[#This Row],[quality]],Lookups!$A$28:$C$37,3,FALSE),1)</f>
        <v>1.0091195562373767</v>
      </c>
      <c r="BV819" s="2">
        <f>_xlfn.IFNA(VLOOKUP(Wapato_Inventory[[#This Row],[condition]],Lookups!$A$41:$C$48,3,FALSE),1)</f>
        <v>0.9832333997567807</v>
      </c>
      <c r="BW819" s="2">
        <f>IF(Wapato_Inventory[[#This Row],[decade]]="",1,_xlfn.IFNA(VLOOKUP(Wapato_Inventory[[#This Row],[decade]],Lookups!$F$28:$H$45,3,FALSE),1))</f>
        <v>0.93664589651353292</v>
      </c>
      <c r="BX819" s="2">
        <f>_xlfn.IFNA(VLOOKUP(Wapato_Inventory[[#This Row],[living_area_range]],Lookups!$K$28:$M$37,3,FALSE),1)</f>
        <v>1.0061411172456287</v>
      </c>
      <c r="BY819" s="2">
        <f>AVERAGE(Wapato_Inventory[[#This Row],[qual_adj]:[range_adj]])</f>
        <v>0.98378499243832973</v>
      </c>
      <c r="BZ819" s="7">
        <f>(Wapato_Inventory[[#This Row],[sum_land]]-IF(Wapato_Inventory[[#This Row],[no_utilities]]=1,12000,0))/IF(Wapato_Inventory[[#This Row],[unbuildable]]=1,2,1)</f>
        <v>50700</v>
      </c>
      <c r="CA819" s="7">
        <f>Wapato_Inventory[[#This Row],[pre_res]]*Wapato_Inventory[[#This Row],[overall_adj]]</f>
        <v>138121.78178740776</v>
      </c>
      <c r="CB819" s="3">
        <f>IF(ROUND(Wapato_Inventory[[#This Row],[adj_land]]*Lookups!$H$48,-2)&lt;Wapato_Inventory[[#This Row],[min_land]],Wapato_Inventory[[#This Row],[min_land]],ROUND(Wapato_Inventory[[#This Row],[adj_land]]*Lookups!$H$48,-2))</f>
        <v>48200</v>
      </c>
      <c r="CC819" s="3">
        <f>IF(ROUND(Wapato_Inventory[[#This Row],[adj_res]]*Lookups!$H$48,-2)&lt;Wapato_Inventory[[#This Row],[min_res]],Wapato_Inventory[[#This Row],[min_res]],ROUND(Wapato_Inventory[[#This Row],[adj_res]]*Lookups!$H$48,-2))</f>
        <v>131200</v>
      </c>
      <c r="CD819" s="3">
        <f>ROUND(Wapato_Inventory[[#This Row],[det_value]]*Lookups!$H$48,-2)</f>
        <v>0</v>
      </c>
      <c r="CE819" s="3">
        <f>Wapato_Inventory[[#This Row],[final_res]]+Wapato_Inventory[[#This Row],[final_det]]</f>
        <v>131200</v>
      </c>
      <c r="CF819" s="3">
        <f>Wapato_Inventory[[#This Row],[crop_value]]+Wapato_Inventory[[#This Row],[final_land]]+Wapato_Inventory[[#This Row],[final_imp]]</f>
        <v>179400</v>
      </c>
      <c r="CH819" t="str">
        <f t="shared" si="12"/>
        <v>update valuation set market_land =48200, market_bldg=131200, market_total =179400, market_mdno =405, market_date ='9/10/2023' where link_id = (select link_id from parcel where parcel_year = '2024' and parcel_id = '19111514482');</v>
      </c>
    </row>
    <row r="820" spans="1:86" x14ac:dyDescent="0.25">
      <c r="A820">
        <v>19111514483</v>
      </c>
      <c r="B820">
        <v>0.15</v>
      </c>
      <c r="C820">
        <v>6679</v>
      </c>
      <c r="D820" t="s">
        <v>144</v>
      </c>
      <c r="E820" t="s">
        <v>54</v>
      </c>
      <c r="F820" t="s">
        <v>54</v>
      </c>
      <c r="G820">
        <v>3</v>
      </c>
      <c r="H820" t="s">
        <v>55</v>
      </c>
      <c r="I820">
        <v>50000</v>
      </c>
      <c r="J820">
        <v>32300</v>
      </c>
      <c r="K820">
        <v>0.15</v>
      </c>
      <c r="L820">
        <f>IF(Wapato_Inventory[[#This Row],[parcel_acres]]-Wapato_Inventory[[#This Row],[non_valued_acres]] =0,0,LN(Wapato_Inventory[[#This Row],[parcel_acres]]-Wapato_Inventory[[#This Row],[non_valued_acres]]))</f>
        <v>-1.8971199848858813</v>
      </c>
      <c r="M820">
        <v>0</v>
      </c>
      <c r="N820">
        <v>0</v>
      </c>
      <c r="O820">
        <v>0</v>
      </c>
      <c r="P820">
        <v>27904.037</v>
      </c>
      <c r="Q820">
        <v>74398</v>
      </c>
      <c r="R820" s="3">
        <f>(Wapato_Inventory[[#This Row],[ln_acres]]*Wapato_Inventory[[#This Row],[coeff]])+Wapato_Inventory[[#This Row],[const]]</f>
        <v>21460.693748304926</v>
      </c>
      <c r="S820" t="s">
        <v>66</v>
      </c>
      <c r="T820">
        <v>1</v>
      </c>
      <c r="U820" t="s">
        <v>78</v>
      </c>
      <c r="V820" t="s">
        <v>73</v>
      </c>
      <c r="W820">
        <v>0</v>
      </c>
      <c r="X820">
        <v>0</v>
      </c>
      <c r="Y820">
        <v>53</v>
      </c>
      <c r="Z820">
        <v>93</v>
      </c>
      <c r="AA820">
        <v>100</v>
      </c>
      <c r="AB820">
        <v>1000</v>
      </c>
      <c r="AC820">
        <v>520</v>
      </c>
      <c r="AD820">
        <v>520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104</v>
      </c>
      <c r="AN820">
        <v>0</v>
      </c>
      <c r="AO820">
        <v>104</v>
      </c>
      <c r="AP820">
        <v>5</v>
      </c>
      <c r="AQ820">
        <v>0</v>
      </c>
      <c r="AR820">
        <v>0</v>
      </c>
      <c r="AS820" t="s">
        <v>146</v>
      </c>
      <c r="AT820">
        <v>0</v>
      </c>
      <c r="AU820" t="s">
        <v>80</v>
      </c>
      <c r="AV820" t="s">
        <v>65</v>
      </c>
      <c r="AW820">
        <v>0</v>
      </c>
      <c r="AX820">
        <v>2</v>
      </c>
      <c r="AY820">
        <v>0</v>
      </c>
      <c r="AZ820">
        <v>0</v>
      </c>
      <c r="BA820">
        <v>100</v>
      </c>
      <c r="BB820">
        <v>100</v>
      </c>
      <c r="BC820">
        <v>100</v>
      </c>
      <c r="BD820">
        <v>100</v>
      </c>
      <c r="BE820">
        <v>1</v>
      </c>
      <c r="BF820">
        <v>15000</v>
      </c>
      <c r="BG820">
        <v>1000</v>
      </c>
      <c r="BH820" s="7">
        <f>ROUND(Wapato_Inventory[[#This Row],[detatched_value]]*Lookups!$B$22*Lookups!$H$48,-2)</f>
        <v>0</v>
      </c>
      <c r="BI820" s="7">
        <f>ROUND(((Wapato_Inventory[[#This Row],[land_extract]]*Lookups!$B$3) +(Lookups!$B$2*0.5))*Lookups!$H$48,-2)</f>
        <v>53100</v>
      </c>
      <c r="BJ820" s="7">
        <f>IF(Wapato_Inventory[[#This Row],[bldg_style]]="",0,Lookups!$B$2*0.5)</f>
        <v>53765.27</v>
      </c>
      <c r="BK820" s="7">
        <f>_xlfn.IFNA(VLOOKUP(Wapato_Inventory[[#This Row],[quality]],Lookups!$H$2:$J$14,3,FALSE),0)</f>
        <v>23424</v>
      </c>
      <c r="BL820" s="7">
        <f>_xlfn.IFNA(VLOOKUP(Wapato_Inventory[[#This Row],[condition]],Lookups!$H$17:$J$24,3,FALSE),0)</f>
        <v>16276</v>
      </c>
      <c r="BM820" s="7">
        <f>Wapato_Inventory[[#This Row],[Age]]*Lookups!$B$16</f>
        <v>-34472.840100000001</v>
      </c>
      <c r="BN820" s="7">
        <f>Wapato_Inventory[[#This Row],[Main Floor]]*Lookups!$B$17</f>
        <v>21736.384279999998</v>
      </c>
      <c r="BO820" s="7">
        <f>Wapato_Inventory[[#This Row],[Upper Floor]]*Lookups!$B$18</f>
        <v>0</v>
      </c>
      <c r="BP820" s="7">
        <f>Wapato_Inventory[[#This Row],[Fin BSMT]]*Lookups!$B$19</f>
        <v>0</v>
      </c>
      <c r="BQ820" s="7">
        <f>(Wapato_Inventory[[#This Row],[att_gar]]+Wapato_Inventory[[#This Row],[blt_gar]])*Lookups!$B$20</f>
        <v>0</v>
      </c>
      <c r="BR820" s="7">
        <f>Wapato_Inventory[[#This Row],[Patio]]*Lookups!$B$21</f>
        <v>4505.693816</v>
      </c>
      <c r="BS820" s="7">
        <f>SUM(Wapato_Inventory[[#This Row],[intercept]:[patio_value]])*Wapato_Inventory[[#This Row],[res_pct]]</f>
        <v>85234.507995999986</v>
      </c>
      <c r="BT820" s="7">
        <f>Wapato_Inventory[[#This Row],[land_value]]</f>
        <v>53100</v>
      </c>
      <c r="BU820" s="2">
        <f>_xlfn.IFNA(VLOOKUP(Wapato_Inventory[[#This Row],[quality]],Lookups!$A$28:$C$37,3,FALSE),1)</f>
        <v>1.0091195562373767</v>
      </c>
      <c r="BV820" s="2">
        <f>_xlfn.IFNA(VLOOKUP(Wapato_Inventory[[#This Row],[condition]],Lookups!$A$41:$C$48,3,FALSE),1)</f>
        <v>0.93399385491337139</v>
      </c>
      <c r="BW820" s="2">
        <f>IF(Wapato_Inventory[[#This Row],[decade]]="",1,_xlfn.IFNA(VLOOKUP(Wapato_Inventory[[#This Row],[decade]],Lookups!$F$28:$H$45,3,FALSE),1))</f>
        <v>1.0114203040664467</v>
      </c>
      <c r="BX820" s="2">
        <f>_xlfn.IFNA(VLOOKUP(Wapato_Inventory[[#This Row],[living_area_range]],Lookups!$K$28:$M$37,3,FALSE),1)</f>
        <v>0.99022994770196116</v>
      </c>
      <c r="BY820" s="2">
        <f>AVERAGE(Wapato_Inventory[[#This Row],[qual_adj]:[range_adj]])</f>
        <v>0.9861909157297889</v>
      </c>
      <c r="BZ820" s="7">
        <f>(Wapato_Inventory[[#This Row],[sum_land]]-IF(Wapato_Inventory[[#This Row],[no_utilities]]=1,12000,0))/IF(Wapato_Inventory[[#This Row],[unbuildable]]=1,2,1)</f>
        <v>53100</v>
      </c>
      <c r="CA820" s="7">
        <f>Wapato_Inventory[[#This Row],[pre_res]]*Wapato_Inventory[[#This Row],[overall_adj]]</f>
        <v>84057.497492353243</v>
      </c>
      <c r="CB82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20" s="3">
        <f>IF(ROUND(Wapato_Inventory[[#This Row],[adj_res]]*Lookups!$H$48,-2)&lt;Wapato_Inventory[[#This Row],[min_res]],Wapato_Inventory[[#This Row],[min_res]],ROUND(Wapato_Inventory[[#This Row],[adj_res]]*Lookups!$H$48,-2))</f>
        <v>79900</v>
      </c>
      <c r="CD820" s="3">
        <f>ROUND(Wapato_Inventory[[#This Row],[det_value]]*Lookups!$H$48,-2)</f>
        <v>0</v>
      </c>
      <c r="CE820" s="3">
        <f>Wapato_Inventory[[#This Row],[final_res]]+Wapato_Inventory[[#This Row],[final_det]]</f>
        <v>79900</v>
      </c>
      <c r="CF820" s="3">
        <f>Wapato_Inventory[[#This Row],[crop_value]]+Wapato_Inventory[[#This Row],[final_land]]+Wapato_Inventory[[#This Row],[final_imp]]</f>
        <v>130300</v>
      </c>
      <c r="CH820" t="str">
        <f t="shared" si="12"/>
        <v>update valuation set market_land =50400, market_bldg=79900, market_total =130300, market_mdno =405, market_date ='9/10/2023' where link_id = (select link_id from parcel where parcel_year = '2024' and parcel_id = '19111514483');</v>
      </c>
    </row>
    <row r="821" spans="1:86" x14ac:dyDescent="0.25">
      <c r="A821">
        <v>19111514485</v>
      </c>
      <c r="B821">
        <v>0.09</v>
      </c>
      <c r="C821">
        <v>3976</v>
      </c>
      <c r="D821" t="s">
        <v>144</v>
      </c>
      <c r="E821" t="s">
        <v>54</v>
      </c>
      <c r="F821" t="s">
        <v>54</v>
      </c>
      <c r="G821">
        <v>3</v>
      </c>
      <c r="H821" t="s">
        <v>55</v>
      </c>
      <c r="I821">
        <v>69900</v>
      </c>
      <c r="J821">
        <v>28700</v>
      </c>
      <c r="K821">
        <v>0.09</v>
      </c>
      <c r="L821">
        <f>IF(Wapato_Inventory[[#This Row],[parcel_acres]]-Wapato_Inventory[[#This Row],[non_valued_acres]] =0,0,LN(Wapato_Inventory[[#This Row],[parcel_acres]]-Wapato_Inventory[[#This Row],[non_valued_acres]]))</f>
        <v>-2.4079456086518722</v>
      </c>
      <c r="M821">
        <v>0</v>
      </c>
      <c r="N821">
        <v>0</v>
      </c>
      <c r="O821">
        <v>0</v>
      </c>
      <c r="P821">
        <v>27904.037</v>
      </c>
      <c r="Q821">
        <v>74398</v>
      </c>
      <c r="R821" s="3">
        <f>(Wapato_Inventory[[#This Row],[ln_acres]]*Wapato_Inventory[[#This Row],[coeff]])+Wapato_Inventory[[#This Row],[const]]</f>
        <v>7206.5966421906342</v>
      </c>
      <c r="S821" t="s">
        <v>66</v>
      </c>
      <c r="T821">
        <v>1</v>
      </c>
      <c r="U821" t="s">
        <v>71</v>
      </c>
      <c r="V821" t="s">
        <v>73</v>
      </c>
      <c r="W821">
        <v>0</v>
      </c>
      <c r="X821">
        <v>0</v>
      </c>
      <c r="Y821">
        <v>51</v>
      </c>
      <c r="Z821">
        <v>83</v>
      </c>
      <c r="AA821">
        <v>90</v>
      </c>
      <c r="AB821">
        <v>1000</v>
      </c>
      <c r="AC821">
        <v>844</v>
      </c>
      <c r="AD821">
        <v>844</v>
      </c>
      <c r="AE821">
        <v>0</v>
      </c>
      <c r="AF821">
        <v>0</v>
      </c>
      <c r="AG821">
        <v>0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0</v>
      </c>
      <c r="AN821">
        <v>40</v>
      </c>
      <c r="AO821">
        <v>0</v>
      </c>
      <c r="AP821">
        <v>5</v>
      </c>
      <c r="AQ821">
        <v>0</v>
      </c>
      <c r="AR821">
        <v>0</v>
      </c>
      <c r="AS821" t="s">
        <v>59</v>
      </c>
      <c r="AT821">
        <v>1</v>
      </c>
      <c r="AU821" t="s">
        <v>64</v>
      </c>
      <c r="AV821" t="s">
        <v>65</v>
      </c>
      <c r="AW821">
        <v>0</v>
      </c>
      <c r="AX821">
        <v>2</v>
      </c>
      <c r="AY821">
        <v>0</v>
      </c>
      <c r="AZ821">
        <v>0</v>
      </c>
      <c r="BA821">
        <v>100</v>
      </c>
      <c r="BB821">
        <v>100</v>
      </c>
      <c r="BC821">
        <v>100</v>
      </c>
      <c r="BD821">
        <v>100</v>
      </c>
      <c r="BE821">
        <v>1</v>
      </c>
      <c r="BF821">
        <v>15000</v>
      </c>
      <c r="BG821">
        <v>1000</v>
      </c>
      <c r="BH821" s="7">
        <f>ROUND(Wapato_Inventory[[#This Row],[detatched_value]]*Lookups!$B$22*Lookups!$H$48,-2)</f>
        <v>0</v>
      </c>
      <c r="BI821" s="7">
        <f>ROUND(((Wapato_Inventory[[#This Row],[land_extract]]*Lookups!$B$3) +(Lookups!$B$2*0.5))*Lookups!$H$48,-2)</f>
        <v>51800</v>
      </c>
      <c r="BJ821" s="7">
        <f>IF(Wapato_Inventory[[#This Row],[bldg_style]]="",0,Lookups!$B$2*0.5)</f>
        <v>53765.27</v>
      </c>
      <c r="BK821" s="7">
        <f>_xlfn.IFNA(VLOOKUP(Wapato_Inventory[[#This Row],[quality]],Lookups!$H$2:$J$14,3,FALSE),0)</f>
        <v>28034</v>
      </c>
      <c r="BL821" s="7">
        <f>_xlfn.IFNA(VLOOKUP(Wapato_Inventory[[#This Row],[condition]],Lookups!$H$17:$J$24,3,FALSE),0)</f>
        <v>16276</v>
      </c>
      <c r="BM821" s="7">
        <f>Wapato_Inventory[[#This Row],[Age]]*Lookups!$B$16</f>
        <v>-30766.0831</v>
      </c>
      <c r="BN821" s="7">
        <f>Wapato_Inventory[[#This Row],[Main Floor]]*Lookups!$B$17</f>
        <v>35279.823715999999</v>
      </c>
      <c r="BO821" s="7">
        <f>Wapato_Inventory[[#This Row],[Upper Floor]]*Lookups!$B$18</f>
        <v>0</v>
      </c>
      <c r="BP821" s="7">
        <f>Wapato_Inventory[[#This Row],[Fin BSMT]]*Lookups!$B$19</f>
        <v>0</v>
      </c>
      <c r="BQ821" s="7">
        <f>(Wapato_Inventory[[#This Row],[att_gar]]+Wapato_Inventory[[#This Row],[blt_gar]])*Lookups!$B$20</f>
        <v>0</v>
      </c>
      <c r="BR821" s="7">
        <f>Wapato_Inventory[[#This Row],[Patio]]*Lookups!$B$21</f>
        <v>0</v>
      </c>
      <c r="BS821" s="7">
        <f>SUM(Wapato_Inventory[[#This Row],[intercept]:[patio_value]])*Wapato_Inventory[[#This Row],[res_pct]]</f>
        <v>102589.01061599999</v>
      </c>
      <c r="BT821" s="7">
        <f>Wapato_Inventory[[#This Row],[land_value]]</f>
        <v>51800</v>
      </c>
      <c r="BU821" s="2">
        <f>_xlfn.IFNA(VLOOKUP(Wapato_Inventory[[#This Row],[quality]],Lookups!$A$28:$C$37,3,FALSE),1)</f>
        <v>0.96265813922927435</v>
      </c>
      <c r="BV821" s="2">
        <f>_xlfn.IFNA(VLOOKUP(Wapato_Inventory[[#This Row],[condition]],Lookups!$A$41:$C$48,3,FALSE),1)</f>
        <v>0.93399385491337139</v>
      </c>
      <c r="BW821" s="2">
        <f>IF(Wapato_Inventory[[#This Row],[decade]]="",1,_xlfn.IFNA(VLOOKUP(Wapato_Inventory[[#This Row],[decade]],Lookups!$F$28:$H$45,3,FALSE),1))</f>
        <v>0.94742695999815718</v>
      </c>
      <c r="BX821" s="2">
        <f>_xlfn.IFNA(VLOOKUP(Wapato_Inventory[[#This Row],[living_area_range]],Lookups!$K$28:$M$37,3,FALSE),1)</f>
        <v>0.99022994770196116</v>
      </c>
      <c r="BY821" s="2">
        <f>AVERAGE(Wapato_Inventory[[#This Row],[qual_adj]:[range_adj]])</f>
        <v>0.95857722546069102</v>
      </c>
      <c r="BZ821" s="7">
        <f>(Wapato_Inventory[[#This Row],[sum_land]]-IF(Wapato_Inventory[[#This Row],[no_utilities]]=1,12000,0))/IF(Wapato_Inventory[[#This Row],[unbuildable]]=1,2,1)</f>
        <v>51800</v>
      </c>
      <c r="CA821" s="7">
        <f>Wapato_Inventory[[#This Row],[pre_res]]*Wapato_Inventory[[#This Row],[overall_adj]]</f>
        <v>98339.489159042641</v>
      </c>
      <c r="CB821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821" s="3">
        <f>IF(ROUND(Wapato_Inventory[[#This Row],[adj_res]]*Lookups!$H$48,-2)&lt;Wapato_Inventory[[#This Row],[min_res]],Wapato_Inventory[[#This Row],[min_res]],ROUND(Wapato_Inventory[[#This Row],[adj_res]]*Lookups!$H$48,-2))</f>
        <v>93400</v>
      </c>
      <c r="CD821" s="3">
        <f>ROUND(Wapato_Inventory[[#This Row],[det_value]]*Lookups!$H$48,-2)</f>
        <v>0</v>
      </c>
      <c r="CE821" s="3">
        <f>Wapato_Inventory[[#This Row],[final_res]]+Wapato_Inventory[[#This Row],[final_det]]</f>
        <v>93400</v>
      </c>
      <c r="CF821" s="3">
        <f>Wapato_Inventory[[#This Row],[crop_value]]+Wapato_Inventory[[#This Row],[final_land]]+Wapato_Inventory[[#This Row],[final_imp]]</f>
        <v>142600</v>
      </c>
      <c r="CH821" t="str">
        <f t="shared" si="12"/>
        <v>update valuation set market_land =49200, market_bldg=93400, market_total =142600, market_mdno =405, market_date ='9/10/2023' where link_id = (select link_id from parcel where parcel_year = '2024' and parcel_id = '19111514485');</v>
      </c>
    </row>
    <row r="822" spans="1:86" x14ac:dyDescent="0.25">
      <c r="A822">
        <v>19111514486</v>
      </c>
      <c r="B822">
        <v>0.13</v>
      </c>
      <c r="C822">
        <v>5864</v>
      </c>
      <c r="D822" t="s">
        <v>144</v>
      </c>
      <c r="E822" t="s">
        <v>54</v>
      </c>
      <c r="F822" t="s">
        <v>54</v>
      </c>
      <c r="G822">
        <v>3</v>
      </c>
      <c r="H822" t="s">
        <v>55</v>
      </c>
      <c r="I822">
        <v>71800</v>
      </c>
      <c r="J822">
        <v>31400</v>
      </c>
      <c r="K822">
        <v>0.13</v>
      </c>
      <c r="L822">
        <f>IF(Wapato_Inventory[[#This Row],[parcel_acres]]-Wapato_Inventory[[#This Row],[non_valued_acres]] =0,0,LN(Wapato_Inventory[[#This Row],[parcel_acres]]-Wapato_Inventory[[#This Row],[non_valued_acres]]))</f>
        <v>-2.0402208285265546</v>
      </c>
      <c r="M822">
        <v>0</v>
      </c>
      <c r="N822">
        <v>0</v>
      </c>
      <c r="O822">
        <v>0</v>
      </c>
      <c r="P822">
        <v>27904.037</v>
      </c>
      <c r="Q822">
        <v>74398</v>
      </c>
      <c r="R822" s="3">
        <f>(Wapato_Inventory[[#This Row],[ln_acres]]*Wapato_Inventory[[#This Row],[coeff]])+Wapato_Inventory[[#This Row],[const]]</f>
        <v>17467.602512624362</v>
      </c>
      <c r="S822" t="s">
        <v>66</v>
      </c>
      <c r="T822">
        <v>1</v>
      </c>
      <c r="U822" t="s">
        <v>78</v>
      </c>
      <c r="V822" t="s">
        <v>73</v>
      </c>
      <c r="W822">
        <v>0</v>
      </c>
      <c r="X822">
        <v>0</v>
      </c>
      <c r="Y822">
        <v>65</v>
      </c>
      <c r="Z822">
        <v>113</v>
      </c>
      <c r="AA822">
        <v>120</v>
      </c>
      <c r="AB822">
        <v>1000</v>
      </c>
      <c r="AC822">
        <v>960</v>
      </c>
      <c r="AD822">
        <v>960</v>
      </c>
      <c r="AE822">
        <v>0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48</v>
      </c>
      <c r="AO822">
        <v>0</v>
      </c>
      <c r="AP822">
        <v>5</v>
      </c>
      <c r="AQ822">
        <v>0</v>
      </c>
      <c r="AR822">
        <v>0</v>
      </c>
      <c r="AS822" t="s">
        <v>59</v>
      </c>
      <c r="AT822">
        <v>0</v>
      </c>
      <c r="AU822" t="s">
        <v>80</v>
      </c>
      <c r="AV822" t="s">
        <v>65</v>
      </c>
      <c r="AW822">
        <v>0</v>
      </c>
      <c r="AX822">
        <v>1</v>
      </c>
      <c r="AY822">
        <v>0</v>
      </c>
      <c r="AZ822">
        <v>0</v>
      </c>
      <c r="BA822">
        <v>100</v>
      </c>
      <c r="BB822">
        <v>100</v>
      </c>
      <c r="BC822">
        <v>100</v>
      </c>
      <c r="BD822">
        <v>100</v>
      </c>
      <c r="BE822">
        <v>1</v>
      </c>
      <c r="BF822">
        <v>15000</v>
      </c>
      <c r="BG822">
        <v>1000</v>
      </c>
      <c r="BH822" s="7">
        <f>ROUND(Wapato_Inventory[[#This Row],[detatched_value]]*Lookups!$B$22*Lookups!$H$48,-2)</f>
        <v>0</v>
      </c>
      <c r="BI822" s="7">
        <f>ROUND(((Wapato_Inventory[[#This Row],[land_extract]]*Lookups!$B$3) +(Lookups!$B$2*0.5))*Lookups!$H$48,-2)</f>
        <v>52800</v>
      </c>
      <c r="BJ822" s="7">
        <f>IF(Wapato_Inventory[[#This Row],[bldg_style]]="",0,Lookups!$B$2*0.5)</f>
        <v>53765.27</v>
      </c>
      <c r="BK822" s="7">
        <f>_xlfn.IFNA(VLOOKUP(Wapato_Inventory[[#This Row],[quality]],Lookups!$H$2:$J$14,3,FALSE),0)</f>
        <v>23424</v>
      </c>
      <c r="BL822" s="7">
        <f>_xlfn.IFNA(VLOOKUP(Wapato_Inventory[[#This Row],[condition]],Lookups!$H$17:$J$24,3,FALSE),0)</f>
        <v>16276</v>
      </c>
      <c r="BM822" s="7">
        <f>Wapato_Inventory[[#This Row],[Age]]*Lookups!$B$16</f>
        <v>-41886.354100000004</v>
      </c>
      <c r="BN822" s="7">
        <f>Wapato_Inventory[[#This Row],[Main Floor]]*Lookups!$B$17</f>
        <v>40128.709439999999</v>
      </c>
      <c r="BO822" s="7">
        <f>Wapato_Inventory[[#This Row],[Upper Floor]]*Lookups!$B$18</f>
        <v>0</v>
      </c>
      <c r="BP822" s="7">
        <f>Wapato_Inventory[[#This Row],[Fin BSMT]]*Lookups!$B$19</f>
        <v>0</v>
      </c>
      <c r="BQ822" s="7">
        <f>(Wapato_Inventory[[#This Row],[att_gar]]+Wapato_Inventory[[#This Row],[blt_gar]])*Lookups!$B$20</f>
        <v>0</v>
      </c>
      <c r="BR822" s="7">
        <f>Wapato_Inventory[[#This Row],[Patio]]*Lookups!$B$21</f>
        <v>0</v>
      </c>
      <c r="BS822" s="7">
        <f>SUM(Wapato_Inventory[[#This Row],[intercept]:[patio_value]])*Wapato_Inventory[[#This Row],[res_pct]]</f>
        <v>91707.625339999984</v>
      </c>
      <c r="BT822" s="7">
        <f>Wapato_Inventory[[#This Row],[land_value]]</f>
        <v>52800</v>
      </c>
      <c r="BU822" s="2">
        <f>_xlfn.IFNA(VLOOKUP(Wapato_Inventory[[#This Row],[quality]],Lookups!$A$28:$C$37,3,FALSE),1)</f>
        <v>1.0091195562373767</v>
      </c>
      <c r="BV822" s="2">
        <f>_xlfn.IFNA(VLOOKUP(Wapato_Inventory[[#This Row],[condition]],Lookups!$A$41:$C$48,3,FALSE),1)</f>
        <v>0.93399385491337139</v>
      </c>
      <c r="BW822" s="2">
        <f>IF(Wapato_Inventory[[#This Row],[decade]]="",1,_xlfn.IFNA(VLOOKUP(Wapato_Inventory[[#This Row],[decade]],Lookups!$F$28:$H$45,3,FALSE),1))</f>
        <v>0.93664589651353292</v>
      </c>
      <c r="BX822" s="2">
        <f>_xlfn.IFNA(VLOOKUP(Wapato_Inventory[[#This Row],[living_area_range]],Lookups!$K$28:$M$37,3,FALSE),1)</f>
        <v>0.99022994770196116</v>
      </c>
      <c r="BY822" s="2">
        <f>AVERAGE(Wapato_Inventory[[#This Row],[qual_adj]:[range_adj]])</f>
        <v>0.96749731384156046</v>
      </c>
      <c r="BZ822" s="7">
        <f>(Wapato_Inventory[[#This Row],[sum_land]]-IF(Wapato_Inventory[[#This Row],[no_utilities]]=1,12000,0))/IF(Wapato_Inventory[[#This Row],[unbuildable]]=1,2,1)</f>
        <v>52800</v>
      </c>
      <c r="CA822" s="7">
        <f>Wapato_Inventory[[#This Row],[pre_res]]*Wapato_Inventory[[#This Row],[overall_adj]]</f>
        <v>88726.881175238203</v>
      </c>
      <c r="CB822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22" s="3">
        <f>IF(ROUND(Wapato_Inventory[[#This Row],[adj_res]]*Lookups!$H$48,-2)&lt;Wapato_Inventory[[#This Row],[min_res]],Wapato_Inventory[[#This Row],[min_res]],ROUND(Wapato_Inventory[[#This Row],[adj_res]]*Lookups!$H$48,-2))</f>
        <v>84300</v>
      </c>
      <c r="CD822" s="3">
        <f>ROUND(Wapato_Inventory[[#This Row],[det_value]]*Lookups!$H$48,-2)</f>
        <v>0</v>
      </c>
      <c r="CE822" s="3">
        <f>Wapato_Inventory[[#This Row],[final_res]]+Wapato_Inventory[[#This Row],[final_det]]</f>
        <v>84300</v>
      </c>
      <c r="CF822" s="3">
        <f>Wapato_Inventory[[#This Row],[crop_value]]+Wapato_Inventory[[#This Row],[final_land]]+Wapato_Inventory[[#This Row],[final_imp]]</f>
        <v>134500</v>
      </c>
      <c r="CH822" t="str">
        <f t="shared" si="12"/>
        <v>update valuation set market_land =50200, market_bldg=84300, market_total =134500, market_mdno =405, market_date ='9/10/2023' where link_id = (select link_id from parcel where parcel_year = '2024' and parcel_id = '19111514486');</v>
      </c>
    </row>
    <row r="823" spans="1:86" x14ac:dyDescent="0.25">
      <c r="A823">
        <v>19111514487</v>
      </c>
      <c r="B823">
        <v>0.1</v>
      </c>
      <c r="C823">
        <v>4447</v>
      </c>
      <c r="D823" t="s">
        <v>144</v>
      </c>
      <c r="E823" t="s">
        <v>54</v>
      </c>
      <c r="F823" t="s">
        <v>54</v>
      </c>
      <c r="G823">
        <v>3</v>
      </c>
      <c r="H823" t="s">
        <v>55</v>
      </c>
      <c r="I823">
        <v>210500</v>
      </c>
      <c r="J823">
        <v>29500</v>
      </c>
      <c r="K823">
        <v>0.1</v>
      </c>
      <c r="L823">
        <f>IF(Wapato_Inventory[[#This Row],[parcel_acres]]-Wapato_Inventory[[#This Row],[non_valued_acres]] =0,0,LN(Wapato_Inventory[[#This Row],[parcel_acres]]-Wapato_Inventory[[#This Row],[non_valued_acres]]))</f>
        <v>-2.3025850929940455</v>
      </c>
      <c r="M823">
        <v>0</v>
      </c>
      <c r="N823">
        <v>0</v>
      </c>
      <c r="O823">
        <v>0</v>
      </c>
      <c r="P823">
        <v>27904.037</v>
      </c>
      <c r="Q823">
        <v>74398</v>
      </c>
      <c r="R823" s="3">
        <f>(Wapato_Inventory[[#This Row],[ln_acres]]*Wapato_Inventory[[#This Row],[coeff]])+Wapato_Inventory[[#This Row],[const]]</f>
        <v>10146.580369445714</v>
      </c>
      <c r="S823" t="s">
        <v>66</v>
      </c>
      <c r="T823">
        <v>1</v>
      </c>
      <c r="U823" t="s">
        <v>75</v>
      </c>
      <c r="V823" t="s">
        <v>69</v>
      </c>
      <c r="W823">
        <v>0</v>
      </c>
      <c r="X823">
        <v>0</v>
      </c>
      <c r="Y823">
        <v>20</v>
      </c>
      <c r="Z823">
        <v>20</v>
      </c>
      <c r="AA823">
        <v>20</v>
      </c>
      <c r="AB823">
        <v>1000</v>
      </c>
      <c r="AC823">
        <v>936</v>
      </c>
      <c r="AD823">
        <v>936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792</v>
      </c>
      <c r="AL823">
        <v>0</v>
      </c>
      <c r="AM823">
        <v>0</v>
      </c>
      <c r="AN823">
        <v>0</v>
      </c>
      <c r="AO823">
        <v>0</v>
      </c>
      <c r="AP823">
        <v>5</v>
      </c>
      <c r="AQ823">
        <v>0</v>
      </c>
      <c r="AR823">
        <v>0</v>
      </c>
      <c r="AS823" t="s">
        <v>59</v>
      </c>
      <c r="AT823">
        <v>1</v>
      </c>
      <c r="AU823" t="s">
        <v>64</v>
      </c>
      <c r="AV823" t="s">
        <v>61</v>
      </c>
      <c r="AW823">
        <v>1</v>
      </c>
      <c r="AX823">
        <v>3</v>
      </c>
      <c r="AY823">
        <v>0</v>
      </c>
      <c r="AZ823">
        <v>0</v>
      </c>
      <c r="BA823">
        <v>100</v>
      </c>
      <c r="BB823">
        <v>100</v>
      </c>
      <c r="BC823">
        <v>100</v>
      </c>
      <c r="BD823">
        <v>100</v>
      </c>
      <c r="BE823">
        <v>1</v>
      </c>
      <c r="BF823">
        <v>15000</v>
      </c>
      <c r="BG823">
        <v>1000</v>
      </c>
      <c r="BH823" s="7">
        <f>ROUND(Wapato_Inventory[[#This Row],[detatched_value]]*Lookups!$B$22*Lookups!$H$48,-2)</f>
        <v>0</v>
      </c>
      <c r="BI823" s="7">
        <f>ROUND(((Wapato_Inventory[[#This Row],[land_extract]]*Lookups!$B$3) +(Lookups!$B$2*0.5))*Lookups!$H$48,-2)</f>
        <v>52100</v>
      </c>
      <c r="BJ823" s="7">
        <f>IF(Wapato_Inventory[[#This Row],[bldg_style]]="",0,Lookups!$B$2*0.5)</f>
        <v>53765.27</v>
      </c>
      <c r="BK823" s="7">
        <f>_xlfn.IFNA(VLOOKUP(Wapato_Inventory[[#This Row],[quality]],Lookups!$H$2:$J$14,3,FALSE),0)</f>
        <v>48043</v>
      </c>
      <c r="BL823" s="7">
        <f>_xlfn.IFNA(VLOOKUP(Wapato_Inventory[[#This Row],[condition]],Lookups!$H$17:$J$24,3,FALSE),0)</f>
        <v>74543</v>
      </c>
      <c r="BM823" s="7">
        <f>Wapato_Inventory[[#This Row],[Age]]*Lookups!$B$16</f>
        <v>-7413.5140000000001</v>
      </c>
      <c r="BN823" s="7">
        <f>Wapato_Inventory[[#This Row],[Main Floor]]*Lookups!$B$17</f>
        <v>39125.491704</v>
      </c>
      <c r="BO823" s="7">
        <f>Wapato_Inventory[[#This Row],[Upper Floor]]*Lookups!$B$18</f>
        <v>0</v>
      </c>
      <c r="BP823" s="7">
        <f>Wapato_Inventory[[#This Row],[Fin BSMT]]*Lookups!$B$19</f>
        <v>0</v>
      </c>
      <c r="BQ823" s="7">
        <f>(Wapato_Inventory[[#This Row],[att_gar]]+Wapato_Inventory[[#This Row],[blt_gar]])*Lookups!$B$20</f>
        <v>0</v>
      </c>
      <c r="BR823" s="7">
        <f>Wapato_Inventory[[#This Row],[Patio]]*Lookups!$B$21</f>
        <v>0</v>
      </c>
      <c r="BS823" s="7">
        <f>SUM(Wapato_Inventory[[#This Row],[intercept]:[patio_value]])*Wapato_Inventory[[#This Row],[res_pct]]</f>
        <v>208063.24770399998</v>
      </c>
      <c r="BT823" s="7">
        <f>Wapato_Inventory[[#This Row],[land_value]]</f>
        <v>52100</v>
      </c>
      <c r="BU823" s="2">
        <f>_xlfn.IFNA(VLOOKUP(Wapato_Inventory[[#This Row],[quality]],Lookups!$A$28:$C$37,3,FALSE),1)</f>
        <v>0.98196844879778955</v>
      </c>
      <c r="BV823" s="2">
        <f>_xlfn.IFNA(VLOOKUP(Wapato_Inventory[[#This Row],[condition]],Lookups!$A$41:$C$48,3,FALSE),1)</f>
        <v>0.98442438223270734</v>
      </c>
      <c r="BW823" s="2">
        <f>IF(Wapato_Inventory[[#This Row],[decade]]="",1,_xlfn.IFNA(VLOOKUP(Wapato_Inventory[[#This Row],[decade]],Lookups!$F$28:$H$45,3,FALSE),1))</f>
        <v>1.0658609603367226</v>
      </c>
      <c r="BX823" s="2">
        <f>_xlfn.IFNA(VLOOKUP(Wapato_Inventory[[#This Row],[living_area_range]],Lookups!$K$28:$M$37,3,FALSE),1)</f>
        <v>0.99022994770196116</v>
      </c>
      <c r="BY823" s="2">
        <f>AVERAGE(Wapato_Inventory[[#This Row],[qual_adj]:[range_adj]])</f>
        <v>1.0056209347672951</v>
      </c>
      <c r="BZ823" s="7">
        <f>(Wapato_Inventory[[#This Row],[sum_land]]-IF(Wapato_Inventory[[#This Row],[no_utilities]]=1,12000,0))/IF(Wapato_Inventory[[#This Row],[unbuildable]]=1,2,1)</f>
        <v>52100</v>
      </c>
      <c r="CA823" s="7">
        <f>Wapato_Inventory[[#This Row],[pre_res]]*Wapato_Inventory[[#This Row],[overall_adj]]</f>
        <v>209232.75764681573</v>
      </c>
      <c r="CB823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823" s="3">
        <f>IF(ROUND(Wapato_Inventory[[#This Row],[adj_res]]*Lookups!$H$48,-2)&lt;Wapato_Inventory[[#This Row],[min_res]],Wapato_Inventory[[#This Row],[min_res]],ROUND(Wapato_Inventory[[#This Row],[adj_res]]*Lookups!$H$48,-2))</f>
        <v>198800</v>
      </c>
      <c r="CD823" s="3">
        <f>ROUND(Wapato_Inventory[[#This Row],[det_value]]*Lookups!$H$48,-2)</f>
        <v>0</v>
      </c>
      <c r="CE823" s="3">
        <f>Wapato_Inventory[[#This Row],[final_res]]+Wapato_Inventory[[#This Row],[final_det]]</f>
        <v>198800</v>
      </c>
      <c r="CF823" s="3">
        <f>Wapato_Inventory[[#This Row],[crop_value]]+Wapato_Inventory[[#This Row],[final_land]]+Wapato_Inventory[[#This Row],[final_imp]]</f>
        <v>248300</v>
      </c>
      <c r="CH823" t="str">
        <f t="shared" si="12"/>
        <v>update valuation set market_land =49500, market_bldg=198800, market_total =248300, market_mdno =405, market_date ='9/10/2023' where link_id = (select link_id from parcel where parcel_year = '2024' and parcel_id = '19111514487');</v>
      </c>
    </row>
    <row r="824" spans="1:86" x14ac:dyDescent="0.25">
      <c r="A824">
        <v>19111514488</v>
      </c>
      <c r="B824">
        <v>0.17</v>
      </c>
      <c r="C824">
        <v>7532</v>
      </c>
      <c r="D824" t="s">
        <v>144</v>
      </c>
      <c r="E824" t="s">
        <v>54</v>
      </c>
      <c r="F824" t="s">
        <v>54</v>
      </c>
      <c r="G824">
        <v>3</v>
      </c>
      <c r="H824" t="s">
        <v>55</v>
      </c>
      <c r="I824">
        <v>212800</v>
      </c>
      <c r="J824">
        <v>33200</v>
      </c>
      <c r="K824">
        <v>0.17</v>
      </c>
      <c r="L824">
        <f>IF(Wapato_Inventory[[#This Row],[parcel_acres]]-Wapato_Inventory[[#This Row],[non_valued_acres]] =0,0,LN(Wapato_Inventory[[#This Row],[parcel_acres]]-Wapato_Inventory[[#This Row],[non_valued_acres]]))</f>
        <v>-1.7719568419318752</v>
      </c>
      <c r="M824">
        <v>0</v>
      </c>
      <c r="N824">
        <v>0</v>
      </c>
      <c r="O824">
        <v>0</v>
      </c>
      <c r="P824">
        <v>27904.037</v>
      </c>
      <c r="Q824">
        <v>74398</v>
      </c>
      <c r="R824" s="3">
        <f>(Wapato_Inventory[[#This Row],[ln_acres]]*Wapato_Inventory[[#This Row],[coeff]])+Wapato_Inventory[[#This Row],[const]]</f>
        <v>24953.250720329801</v>
      </c>
      <c r="S824" t="s">
        <v>62</v>
      </c>
      <c r="T824">
        <v>1</v>
      </c>
      <c r="U824" t="s">
        <v>67</v>
      </c>
      <c r="V824" t="s">
        <v>68</v>
      </c>
      <c r="W824">
        <v>0</v>
      </c>
      <c r="X824">
        <v>0</v>
      </c>
      <c r="Y824">
        <v>49</v>
      </c>
      <c r="Z824">
        <v>68</v>
      </c>
      <c r="AA824">
        <v>70</v>
      </c>
      <c r="AB824">
        <v>2000</v>
      </c>
      <c r="AC824">
        <v>1788</v>
      </c>
      <c r="AD824">
        <v>1788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280</v>
      </c>
      <c r="AN824">
        <v>18</v>
      </c>
      <c r="AO824">
        <v>280</v>
      </c>
      <c r="AP824">
        <v>5</v>
      </c>
      <c r="AQ824">
        <v>0</v>
      </c>
      <c r="AR824">
        <v>1</v>
      </c>
      <c r="AS824" t="s">
        <v>59</v>
      </c>
      <c r="AT824">
        <v>1</v>
      </c>
      <c r="AU824" t="s">
        <v>60</v>
      </c>
      <c r="AV824" t="s">
        <v>65</v>
      </c>
      <c r="AW824">
        <v>1</v>
      </c>
      <c r="AX824">
        <v>2</v>
      </c>
      <c r="AY824">
        <v>0</v>
      </c>
      <c r="AZ824">
        <v>0</v>
      </c>
      <c r="BA824">
        <v>100</v>
      </c>
      <c r="BB824">
        <v>100</v>
      </c>
      <c r="BC824">
        <v>100</v>
      </c>
      <c r="BD824">
        <v>100</v>
      </c>
      <c r="BE824">
        <v>1</v>
      </c>
      <c r="BF824">
        <v>15000</v>
      </c>
      <c r="BG824">
        <v>1000</v>
      </c>
      <c r="BH824" s="7">
        <f>ROUND(Wapato_Inventory[[#This Row],[detatched_value]]*Lookups!$B$22*Lookups!$H$48,-2)</f>
        <v>0</v>
      </c>
      <c r="BI824" s="7">
        <f>ROUND(((Wapato_Inventory[[#This Row],[land_extract]]*Lookups!$B$3) +(Lookups!$B$2*0.5))*Lookups!$H$48,-2)</f>
        <v>53500</v>
      </c>
      <c r="BJ824" s="7">
        <f>IF(Wapato_Inventory[[#This Row],[bldg_style]]="",0,Lookups!$B$2*0.5)</f>
        <v>53765.27</v>
      </c>
      <c r="BK824" s="7">
        <f>_xlfn.IFNA(VLOOKUP(Wapato_Inventory[[#This Row],[quality]],Lookups!$H$2:$J$14,3,FALSE),0)</f>
        <v>50405</v>
      </c>
      <c r="BL824" s="7">
        <f>_xlfn.IFNA(VLOOKUP(Wapato_Inventory[[#This Row],[condition]],Lookups!$H$17:$J$24,3,FALSE),0)</f>
        <v>52231</v>
      </c>
      <c r="BM824" s="7">
        <f>Wapato_Inventory[[#This Row],[Age]]*Lookups!$B$16</f>
        <v>-25205.9476</v>
      </c>
      <c r="BN824" s="7">
        <f>Wapato_Inventory[[#This Row],[Main Floor]]*Lookups!$B$17</f>
        <v>74739.721332000001</v>
      </c>
      <c r="BO824" s="7">
        <f>Wapato_Inventory[[#This Row],[Upper Floor]]*Lookups!$B$18</f>
        <v>0</v>
      </c>
      <c r="BP824" s="7">
        <f>Wapato_Inventory[[#This Row],[Fin BSMT]]*Lookups!$B$19</f>
        <v>0</v>
      </c>
      <c r="BQ824" s="7">
        <f>(Wapato_Inventory[[#This Row],[att_gar]]+Wapato_Inventory[[#This Row],[blt_gar]])*Lookups!$B$20</f>
        <v>0</v>
      </c>
      <c r="BR824" s="7">
        <f>Wapato_Inventory[[#This Row],[Patio]]*Lookups!$B$21</f>
        <v>12130.714120000001</v>
      </c>
      <c r="BS824" s="7">
        <f>SUM(Wapato_Inventory[[#This Row],[intercept]:[patio_value]])*Wapato_Inventory[[#This Row],[res_pct]]</f>
        <v>218065.75785199998</v>
      </c>
      <c r="BT824" s="7">
        <f>Wapato_Inventory[[#This Row],[land_value]]</f>
        <v>53500</v>
      </c>
      <c r="BU824" s="2">
        <f>_xlfn.IFNA(VLOOKUP(Wapato_Inventory[[#This Row],[quality]],Lookups!$A$28:$C$37,3,FALSE),1)</f>
        <v>0.97993206410140754</v>
      </c>
      <c r="BV824" s="2">
        <f>_xlfn.IFNA(VLOOKUP(Wapato_Inventory[[#This Row],[condition]],Lookups!$A$41:$C$48,3,FALSE),1)</f>
        <v>0.9832333997567807</v>
      </c>
      <c r="BW824" s="2">
        <f>IF(Wapato_Inventory[[#This Row],[decade]]="",1,_xlfn.IFNA(VLOOKUP(Wapato_Inventory[[#This Row],[decade]],Lookups!$F$28:$H$45,3,FALSE),1))</f>
        <v>1.0012715221492001</v>
      </c>
      <c r="BX824" s="2">
        <f>_xlfn.IFNA(VLOOKUP(Wapato_Inventory[[#This Row],[living_area_range]],Lookups!$K$28:$M$37,3,FALSE),1)</f>
        <v>0.99330894324714125</v>
      </c>
      <c r="BY824" s="2">
        <f>AVERAGE(Wapato_Inventory[[#This Row],[qual_adj]:[range_adj]])</f>
        <v>0.98943648231363246</v>
      </c>
      <c r="BZ824" s="7">
        <f>(Wapato_Inventory[[#This Row],[sum_land]]-IF(Wapato_Inventory[[#This Row],[no_utilities]]=1,12000,0))/IF(Wapato_Inventory[[#This Row],[unbuildable]]=1,2,1)</f>
        <v>53500</v>
      </c>
      <c r="CA824" s="7">
        <f>Wapato_Inventory[[#This Row],[pre_res]]*Wapato_Inventory[[#This Row],[overall_adj]]</f>
        <v>215762.21636213924</v>
      </c>
      <c r="CB824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824" s="3">
        <f>IF(ROUND(Wapato_Inventory[[#This Row],[adj_res]]*Lookups!$H$48,-2)&lt;Wapato_Inventory[[#This Row],[min_res]],Wapato_Inventory[[#This Row],[min_res]],ROUND(Wapato_Inventory[[#This Row],[adj_res]]*Lookups!$H$48,-2))</f>
        <v>205000</v>
      </c>
      <c r="CD824" s="3">
        <f>ROUND(Wapato_Inventory[[#This Row],[det_value]]*Lookups!$H$48,-2)</f>
        <v>0</v>
      </c>
      <c r="CE824" s="3">
        <f>Wapato_Inventory[[#This Row],[final_res]]+Wapato_Inventory[[#This Row],[final_det]]</f>
        <v>205000</v>
      </c>
      <c r="CF824" s="3">
        <f>Wapato_Inventory[[#This Row],[crop_value]]+Wapato_Inventory[[#This Row],[final_land]]+Wapato_Inventory[[#This Row],[final_imp]]</f>
        <v>255800</v>
      </c>
      <c r="CH824" t="str">
        <f t="shared" si="12"/>
        <v>update valuation set market_land =50800, market_bldg=205000, market_total =255800, market_mdno =405, market_date ='9/10/2023' where link_id = (select link_id from parcel where parcel_year = '2024' and parcel_id = '19111514488');</v>
      </c>
    </row>
    <row r="825" spans="1:86" x14ac:dyDescent="0.25">
      <c r="A825">
        <v>19111514489</v>
      </c>
      <c r="B825">
        <v>0.13</v>
      </c>
      <c r="C825">
        <v>5629</v>
      </c>
      <c r="D825" t="s">
        <v>144</v>
      </c>
      <c r="E825" t="s">
        <v>54</v>
      </c>
      <c r="F825" t="s">
        <v>54</v>
      </c>
      <c r="G825">
        <v>3</v>
      </c>
      <c r="H825" t="s">
        <v>55</v>
      </c>
      <c r="I825">
        <v>186000</v>
      </c>
      <c r="J825">
        <v>31400</v>
      </c>
      <c r="K825">
        <v>0.13</v>
      </c>
      <c r="L825">
        <f>IF(Wapato_Inventory[[#This Row],[parcel_acres]]-Wapato_Inventory[[#This Row],[non_valued_acres]] =0,0,LN(Wapato_Inventory[[#This Row],[parcel_acres]]-Wapato_Inventory[[#This Row],[non_valued_acres]]))</f>
        <v>-2.0402208285265546</v>
      </c>
      <c r="M825">
        <v>0</v>
      </c>
      <c r="N825">
        <v>0</v>
      </c>
      <c r="O825">
        <v>0</v>
      </c>
      <c r="P825">
        <v>27904.037</v>
      </c>
      <c r="Q825">
        <v>74398</v>
      </c>
      <c r="R825" s="3">
        <f>(Wapato_Inventory[[#This Row],[ln_acres]]*Wapato_Inventory[[#This Row],[coeff]])+Wapato_Inventory[[#This Row],[const]]</f>
        <v>17467.602512624362</v>
      </c>
      <c r="S825" t="s">
        <v>66</v>
      </c>
      <c r="T825">
        <v>1</v>
      </c>
      <c r="U825" t="s">
        <v>75</v>
      </c>
      <c r="V825" t="s">
        <v>68</v>
      </c>
      <c r="W825">
        <v>0</v>
      </c>
      <c r="X825">
        <v>0</v>
      </c>
      <c r="Y825">
        <v>57</v>
      </c>
      <c r="Z825">
        <v>103</v>
      </c>
      <c r="AA825">
        <v>110</v>
      </c>
      <c r="AB825">
        <v>1500</v>
      </c>
      <c r="AC825">
        <v>1320</v>
      </c>
      <c r="AD825">
        <v>1320</v>
      </c>
      <c r="AE825">
        <v>0</v>
      </c>
      <c r="AF825">
        <v>0</v>
      </c>
      <c r="AG825">
        <v>0</v>
      </c>
      <c r="AH825">
        <v>660</v>
      </c>
      <c r="AI825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5</v>
      </c>
      <c r="AQ825">
        <v>0</v>
      </c>
      <c r="AR825">
        <v>0</v>
      </c>
      <c r="AS825" t="s">
        <v>59</v>
      </c>
      <c r="AT825">
        <v>1</v>
      </c>
      <c r="AU825" t="s">
        <v>60</v>
      </c>
      <c r="AV825" t="s">
        <v>61</v>
      </c>
      <c r="AW825">
        <v>1</v>
      </c>
      <c r="AX825">
        <v>3</v>
      </c>
      <c r="AY825">
        <v>0</v>
      </c>
      <c r="AZ825">
        <v>2800</v>
      </c>
      <c r="BA825">
        <v>100</v>
      </c>
      <c r="BB825">
        <v>100</v>
      </c>
      <c r="BC825">
        <v>100</v>
      </c>
      <c r="BD825">
        <v>100</v>
      </c>
      <c r="BE825">
        <v>1</v>
      </c>
      <c r="BF825">
        <v>15000</v>
      </c>
      <c r="BG825">
        <v>1000</v>
      </c>
      <c r="BH825" s="7">
        <f>ROUND(Wapato_Inventory[[#This Row],[detatched_value]]*Lookups!$B$22*Lookups!$H$48,-2)</f>
        <v>2500</v>
      </c>
      <c r="BI825" s="7">
        <f>ROUND(((Wapato_Inventory[[#This Row],[land_extract]]*Lookups!$B$3) +(Lookups!$B$2*0.5))*Lookups!$H$48,-2)</f>
        <v>52800</v>
      </c>
      <c r="BJ825" s="7">
        <f>IF(Wapato_Inventory[[#This Row],[bldg_style]]="",0,Lookups!$B$2*0.5)</f>
        <v>53765.27</v>
      </c>
      <c r="BK825" s="7">
        <f>_xlfn.IFNA(VLOOKUP(Wapato_Inventory[[#This Row],[quality]],Lookups!$H$2:$J$14,3,FALSE),0)</f>
        <v>48043</v>
      </c>
      <c r="BL825" s="7">
        <f>_xlfn.IFNA(VLOOKUP(Wapato_Inventory[[#This Row],[condition]],Lookups!$H$17:$J$24,3,FALSE),0)</f>
        <v>52231</v>
      </c>
      <c r="BM825" s="7">
        <f>Wapato_Inventory[[#This Row],[Age]]*Lookups!$B$16</f>
        <v>-38179.597099999999</v>
      </c>
      <c r="BN825" s="7">
        <f>Wapato_Inventory[[#This Row],[Main Floor]]*Lookups!$B$17</f>
        <v>55176.975480000001</v>
      </c>
      <c r="BO825" s="7">
        <f>Wapato_Inventory[[#This Row],[Upper Floor]]*Lookups!$B$18</f>
        <v>0</v>
      </c>
      <c r="BP825" s="7">
        <f>Wapato_Inventory[[#This Row],[Fin BSMT]]*Lookups!$B$19</f>
        <v>0</v>
      </c>
      <c r="BQ825" s="7">
        <f>(Wapato_Inventory[[#This Row],[att_gar]]+Wapato_Inventory[[#This Row],[blt_gar]])*Lookups!$B$20</f>
        <v>0</v>
      </c>
      <c r="BR825" s="7">
        <f>Wapato_Inventory[[#This Row],[Patio]]*Lookups!$B$21</f>
        <v>0</v>
      </c>
      <c r="BS825" s="7">
        <f>SUM(Wapato_Inventory[[#This Row],[intercept]:[patio_value]])*Wapato_Inventory[[#This Row],[res_pct]]</f>
        <v>171036.64838</v>
      </c>
      <c r="BT825" s="7">
        <f>Wapato_Inventory[[#This Row],[land_value]]</f>
        <v>52800</v>
      </c>
      <c r="BU825" s="2">
        <f>_xlfn.IFNA(VLOOKUP(Wapato_Inventory[[#This Row],[quality]],Lookups!$A$28:$C$37,3,FALSE),1)</f>
        <v>0.98196844879778955</v>
      </c>
      <c r="BV825" s="2">
        <f>_xlfn.IFNA(VLOOKUP(Wapato_Inventory[[#This Row],[condition]],Lookups!$A$41:$C$48,3,FALSE),1)</f>
        <v>0.9832333997567807</v>
      </c>
      <c r="BW825" s="2">
        <f>IF(Wapato_Inventory[[#This Row],[decade]]="",1,_xlfn.IFNA(VLOOKUP(Wapato_Inventory[[#This Row],[decade]],Lookups!$F$28:$H$45,3,FALSE),1))</f>
        <v>0.93664589651353292</v>
      </c>
      <c r="BX825" s="2">
        <f>_xlfn.IFNA(VLOOKUP(Wapato_Inventory[[#This Row],[living_area_range]],Lookups!$K$28:$M$37,3,FALSE),1)</f>
        <v>1.0061411172456287</v>
      </c>
      <c r="BY825" s="2">
        <f>AVERAGE(Wapato_Inventory[[#This Row],[qual_adj]:[range_adj]])</f>
        <v>0.976997215578433</v>
      </c>
      <c r="BZ825" s="7">
        <f>(Wapato_Inventory[[#This Row],[sum_land]]-IF(Wapato_Inventory[[#This Row],[no_utilities]]=1,12000,0))/IF(Wapato_Inventory[[#This Row],[unbuildable]]=1,2,1)</f>
        <v>52800</v>
      </c>
      <c r="CA825" s="7">
        <f>Wapato_Inventory[[#This Row],[pre_res]]*Wapato_Inventory[[#This Row],[overall_adj]]</f>
        <v>167102.3292291275</v>
      </c>
      <c r="CB825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25" s="3">
        <f>IF(ROUND(Wapato_Inventory[[#This Row],[adj_res]]*Lookups!$H$48,-2)&lt;Wapato_Inventory[[#This Row],[min_res]],Wapato_Inventory[[#This Row],[min_res]],ROUND(Wapato_Inventory[[#This Row],[adj_res]]*Lookups!$H$48,-2))</f>
        <v>158700</v>
      </c>
      <c r="CD825" s="3">
        <f>ROUND(Wapato_Inventory[[#This Row],[det_value]]*Lookups!$H$48,-2)</f>
        <v>2400</v>
      </c>
      <c r="CE825" s="3">
        <f>Wapato_Inventory[[#This Row],[final_res]]+Wapato_Inventory[[#This Row],[final_det]]</f>
        <v>161100</v>
      </c>
      <c r="CF825" s="3">
        <f>Wapato_Inventory[[#This Row],[crop_value]]+Wapato_Inventory[[#This Row],[final_land]]+Wapato_Inventory[[#This Row],[final_imp]]</f>
        <v>211300</v>
      </c>
      <c r="CH825" t="str">
        <f t="shared" si="12"/>
        <v>update valuation set market_land =50200, market_bldg=161100, market_total =211300, market_mdno =405, market_date ='9/10/2023' where link_id = (select link_id from parcel where parcel_year = '2024' and parcel_id = '19111514489');</v>
      </c>
    </row>
    <row r="826" spans="1:86" x14ac:dyDescent="0.25">
      <c r="A826">
        <v>19111514490</v>
      </c>
      <c r="B826">
        <v>0.14000000000000001</v>
      </c>
      <c r="C826">
        <v>6179</v>
      </c>
      <c r="D826" t="s">
        <v>144</v>
      </c>
      <c r="E826" t="s">
        <v>54</v>
      </c>
      <c r="F826" t="s">
        <v>54</v>
      </c>
      <c r="G826">
        <v>3</v>
      </c>
      <c r="H826" t="s">
        <v>55</v>
      </c>
      <c r="I826">
        <v>208200</v>
      </c>
      <c r="J826">
        <v>31900</v>
      </c>
      <c r="K826">
        <v>0.14000000000000001</v>
      </c>
      <c r="L826">
        <f>IF(Wapato_Inventory[[#This Row],[parcel_acres]]-Wapato_Inventory[[#This Row],[non_valued_acres]] =0,0,LN(Wapato_Inventory[[#This Row],[parcel_acres]]-Wapato_Inventory[[#This Row],[non_valued_acres]]))</f>
        <v>-1.9661128563728327</v>
      </c>
      <c r="M826">
        <v>0</v>
      </c>
      <c r="N826">
        <v>0</v>
      </c>
      <c r="O826">
        <v>0</v>
      </c>
      <c r="P826">
        <v>27904.037</v>
      </c>
      <c r="Q826">
        <v>74398</v>
      </c>
      <c r="R826" s="3">
        <f>(Wapato_Inventory[[#This Row],[ln_acres]]*Wapato_Inventory[[#This Row],[coeff]])+Wapato_Inventory[[#This Row],[const]]</f>
        <v>19535.514109596792</v>
      </c>
      <c r="S826" t="s">
        <v>56</v>
      </c>
      <c r="T826">
        <v>2</v>
      </c>
      <c r="U826" t="s">
        <v>75</v>
      </c>
      <c r="V826" t="s">
        <v>69</v>
      </c>
      <c r="W826">
        <v>0</v>
      </c>
      <c r="X826">
        <v>0</v>
      </c>
      <c r="Y826">
        <v>57</v>
      </c>
      <c r="Z826">
        <v>103</v>
      </c>
      <c r="AA826">
        <v>110</v>
      </c>
      <c r="AB826">
        <v>2000</v>
      </c>
      <c r="AC826">
        <v>1604</v>
      </c>
      <c r="AD826">
        <v>1284</v>
      </c>
      <c r="AE826">
        <v>320</v>
      </c>
      <c r="AF826">
        <v>0</v>
      </c>
      <c r="AG826">
        <v>0</v>
      </c>
      <c r="AH826">
        <v>480</v>
      </c>
      <c r="AI826">
        <v>0</v>
      </c>
      <c r="AJ826">
        <v>0</v>
      </c>
      <c r="AK826">
        <v>0</v>
      </c>
      <c r="AL826">
        <v>0</v>
      </c>
      <c r="AM826">
        <v>0</v>
      </c>
      <c r="AN826">
        <v>96</v>
      </c>
      <c r="AO826">
        <v>0</v>
      </c>
      <c r="AP826">
        <v>7</v>
      </c>
      <c r="AQ826">
        <v>0</v>
      </c>
      <c r="AR826">
        <v>0</v>
      </c>
      <c r="AS826" t="s">
        <v>59</v>
      </c>
      <c r="AT826">
        <v>1</v>
      </c>
      <c r="AU826" t="s">
        <v>72</v>
      </c>
      <c r="AV826" t="s">
        <v>61</v>
      </c>
      <c r="AW826">
        <v>0</v>
      </c>
      <c r="AX826">
        <v>4</v>
      </c>
      <c r="AY826">
        <v>0</v>
      </c>
      <c r="AZ826">
        <v>6000</v>
      </c>
      <c r="BA826">
        <v>100</v>
      </c>
      <c r="BB826">
        <v>100</v>
      </c>
      <c r="BC826">
        <v>100</v>
      </c>
      <c r="BD826">
        <v>100</v>
      </c>
      <c r="BE826">
        <v>1</v>
      </c>
      <c r="BF826">
        <v>15000</v>
      </c>
      <c r="BG826">
        <v>1000</v>
      </c>
      <c r="BH826" s="7">
        <f>ROUND(Wapato_Inventory[[#This Row],[detatched_value]]*Lookups!$B$22*Lookups!$H$48,-2)</f>
        <v>5400</v>
      </c>
      <c r="BI826" s="7">
        <f>ROUND(((Wapato_Inventory[[#This Row],[land_extract]]*Lookups!$B$3) +(Lookups!$B$2*0.5))*Lookups!$H$48,-2)</f>
        <v>53000</v>
      </c>
      <c r="BJ826" s="7">
        <f>IF(Wapato_Inventory[[#This Row],[bldg_style]]="",0,Lookups!$B$2*0.5)</f>
        <v>53765.27</v>
      </c>
      <c r="BK826" s="7">
        <f>_xlfn.IFNA(VLOOKUP(Wapato_Inventory[[#This Row],[quality]],Lookups!$H$2:$J$14,3,FALSE),0)</f>
        <v>48043</v>
      </c>
      <c r="BL826" s="7">
        <f>_xlfn.IFNA(VLOOKUP(Wapato_Inventory[[#This Row],[condition]],Lookups!$H$17:$J$24,3,FALSE),0)</f>
        <v>74543</v>
      </c>
      <c r="BM826" s="7">
        <f>Wapato_Inventory[[#This Row],[Age]]*Lookups!$B$16</f>
        <v>-38179.597099999999</v>
      </c>
      <c r="BN826" s="7">
        <f>Wapato_Inventory[[#This Row],[Main Floor]]*Lookups!$B$17</f>
        <v>53672.148875999999</v>
      </c>
      <c r="BO826" s="7">
        <f>Wapato_Inventory[[#This Row],[Upper Floor]]*Lookups!$B$18</f>
        <v>15872.36448</v>
      </c>
      <c r="BP826" s="7">
        <f>Wapato_Inventory[[#This Row],[Fin BSMT]]*Lookups!$B$19</f>
        <v>0</v>
      </c>
      <c r="BQ826" s="7">
        <f>(Wapato_Inventory[[#This Row],[att_gar]]+Wapato_Inventory[[#This Row],[blt_gar]])*Lookups!$B$20</f>
        <v>0</v>
      </c>
      <c r="BR826" s="7">
        <f>Wapato_Inventory[[#This Row],[Patio]]*Lookups!$B$21</f>
        <v>0</v>
      </c>
      <c r="BS826" s="7">
        <f>SUM(Wapato_Inventory[[#This Row],[intercept]:[patio_value]])*Wapato_Inventory[[#This Row],[res_pct]]</f>
        <v>207716.18625599999</v>
      </c>
      <c r="BT826" s="7">
        <f>Wapato_Inventory[[#This Row],[land_value]]</f>
        <v>53000</v>
      </c>
      <c r="BU826" s="2">
        <f>_xlfn.IFNA(VLOOKUP(Wapato_Inventory[[#This Row],[quality]],Lookups!$A$28:$C$37,3,FALSE),1)</f>
        <v>0.98196844879778955</v>
      </c>
      <c r="BV826" s="2">
        <f>_xlfn.IFNA(VLOOKUP(Wapato_Inventory[[#This Row],[condition]],Lookups!$A$41:$C$48,3,FALSE),1)</f>
        <v>0.98442438223270734</v>
      </c>
      <c r="BW826" s="2">
        <f>IF(Wapato_Inventory[[#This Row],[decade]]="",1,_xlfn.IFNA(VLOOKUP(Wapato_Inventory[[#This Row],[decade]],Lookups!$F$28:$H$45,3,FALSE),1))</f>
        <v>0.93664589651353292</v>
      </c>
      <c r="BX826" s="2">
        <f>_xlfn.IFNA(VLOOKUP(Wapato_Inventory[[#This Row],[living_area_range]],Lookups!$K$28:$M$37,3,FALSE),1)</f>
        <v>0.99330894324714125</v>
      </c>
      <c r="BY826" s="2">
        <f>AVERAGE(Wapato_Inventory[[#This Row],[qual_adj]:[range_adj]])</f>
        <v>0.97408691769779276</v>
      </c>
      <c r="BZ826" s="7">
        <f>(Wapato_Inventory[[#This Row],[sum_land]]-IF(Wapato_Inventory[[#This Row],[no_utilities]]=1,12000,0))/IF(Wapato_Inventory[[#This Row],[unbuildable]]=1,2,1)</f>
        <v>53000</v>
      </c>
      <c r="CA826" s="7">
        <f>Wapato_Inventory[[#This Row],[pre_res]]*Wapato_Inventory[[#This Row],[overall_adj]]</f>
        <v>202333.61962604764</v>
      </c>
      <c r="CB82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26" s="3">
        <f>IF(ROUND(Wapato_Inventory[[#This Row],[adj_res]]*Lookups!$H$48,-2)&lt;Wapato_Inventory[[#This Row],[min_res]],Wapato_Inventory[[#This Row],[min_res]],ROUND(Wapato_Inventory[[#This Row],[adj_res]]*Lookups!$H$48,-2))</f>
        <v>192200</v>
      </c>
      <c r="CD826" s="3">
        <f>ROUND(Wapato_Inventory[[#This Row],[det_value]]*Lookups!$H$48,-2)</f>
        <v>5100</v>
      </c>
      <c r="CE826" s="3">
        <f>Wapato_Inventory[[#This Row],[final_res]]+Wapato_Inventory[[#This Row],[final_det]]</f>
        <v>197300</v>
      </c>
      <c r="CF826" s="3">
        <f>Wapato_Inventory[[#This Row],[crop_value]]+Wapato_Inventory[[#This Row],[final_land]]+Wapato_Inventory[[#This Row],[final_imp]]</f>
        <v>247700</v>
      </c>
      <c r="CH826" t="str">
        <f t="shared" si="12"/>
        <v>update valuation set market_land =50400, market_bldg=197300, market_total =247700, market_mdno =405, market_date ='9/10/2023' where link_id = (select link_id from parcel where parcel_year = '2024' and parcel_id = '19111514490');</v>
      </c>
    </row>
    <row r="827" spans="1:86" x14ac:dyDescent="0.25">
      <c r="A827">
        <v>19111514491</v>
      </c>
      <c r="B827">
        <v>0.13</v>
      </c>
      <c r="C827">
        <v>5708</v>
      </c>
      <c r="D827" t="s">
        <v>144</v>
      </c>
      <c r="E827" t="s">
        <v>54</v>
      </c>
      <c r="F827" t="s">
        <v>54</v>
      </c>
      <c r="G827">
        <v>3</v>
      </c>
      <c r="H827" t="s">
        <v>55</v>
      </c>
      <c r="I827">
        <v>202200</v>
      </c>
      <c r="J827">
        <v>31400</v>
      </c>
      <c r="K827">
        <v>0.13</v>
      </c>
      <c r="L827">
        <f>IF(Wapato_Inventory[[#This Row],[parcel_acres]]-Wapato_Inventory[[#This Row],[non_valued_acres]] =0,0,LN(Wapato_Inventory[[#This Row],[parcel_acres]]-Wapato_Inventory[[#This Row],[non_valued_acres]]))</f>
        <v>-2.0402208285265546</v>
      </c>
      <c r="M827">
        <v>0</v>
      </c>
      <c r="N827">
        <v>0</v>
      </c>
      <c r="O827">
        <v>0</v>
      </c>
      <c r="P827">
        <v>27904.037</v>
      </c>
      <c r="Q827">
        <v>74398</v>
      </c>
      <c r="R827" s="3">
        <f>(Wapato_Inventory[[#This Row],[ln_acres]]*Wapato_Inventory[[#This Row],[coeff]])+Wapato_Inventory[[#This Row],[const]]</f>
        <v>17467.602512624362</v>
      </c>
      <c r="S827" t="s">
        <v>56</v>
      </c>
      <c r="T827">
        <v>2</v>
      </c>
      <c r="U827" t="s">
        <v>75</v>
      </c>
      <c r="V827" t="s">
        <v>69</v>
      </c>
      <c r="W827">
        <v>0</v>
      </c>
      <c r="X827">
        <v>0</v>
      </c>
      <c r="Y827">
        <v>71</v>
      </c>
      <c r="Z827">
        <v>119</v>
      </c>
      <c r="AA827">
        <v>120</v>
      </c>
      <c r="AB827">
        <v>2000</v>
      </c>
      <c r="AC827">
        <v>1800</v>
      </c>
      <c r="AD827">
        <v>1333</v>
      </c>
      <c r="AE827">
        <v>467</v>
      </c>
      <c r="AF827">
        <v>0</v>
      </c>
      <c r="AG827">
        <v>0</v>
      </c>
      <c r="AH827">
        <v>0</v>
      </c>
      <c r="AI827">
        <v>0</v>
      </c>
      <c r="AJ827">
        <v>0</v>
      </c>
      <c r="AK827">
        <v>0</v>
      </c>
      <c r="AL827">
        <v>0</v>
      </c>
      <c r="AM827">
        <v>0</v>
      </c>
      <c r="AN827">
        <v>175</v>
      </c>
      <c r="AO827">
        <v>0</v>
      </c>
      <c r="AP827">
        <v>9</v>
      </c>
      <c r="AQ827">
        <v>0</v>
      </c>
      <c r="AR827">
        <v>0</v>
      </c>
      <c r="AS827" t="s">
        <v>59</v>
      </c>
      <c r="AT827">
        <v>1</v>
      </c>
      <c r="AU827" t="s">
        <v>76</v>
      </c>
      <c r="AV827" t="s">
        <v>61</v>
      </c>
      <c r="AW827">
        <v>0</v>
      </c>
      <c r="AX827">
        <v>3</v>
      </c>
      <c r="AY827">
        <v>0</v>
      </c>
      <c r="AZ827">
        <v>3400</v>
      </c>
      <c r="BA827">
        <v>100</v>
      </c>
      <c r="BB827">
        <v>100</v>
      </c>
      <c r="BC827">
        <v>100</v>
      </c>
      <c r="BD827">
        <v>100</v>
      </c>
      <c r="BE827">
        <v>1</v>
      </c>
      <c r="BF827">
        <v>15000</v>
      </c>
      <c r="BG827">
        <v>1000</v>
      </c>
      <c r="BH827" s="7">
        <f>ROUND(Wapato_Inventory[[#This Row],[detatched_value]]*Lookups!$B$22*Lookups!$H$48,-2)</f>
        <v>3000</v>
      </c>
      <c r="BI827" s="7">
        <f>ROUND(((Wapato_Inventory[[#This Row],[land_extract]]*Lookups!$B$3) +(Lookups!$B$2*0.5))*Lookups!$H$48,-2)</f>
        <v>52800</v>
      </c>
      <c r="BJ827" s="7">
        <f>IF(Wapato_Inventory[[#This Row],[bldg_style]]="",0,Lookups!$B$2*0.5)</f>
        <v>53765.27</v>
      </c>
      <c r="BK827" s="7">
        <f>_xlfn.IFNA(VLOOKUP(Wapato_Inventory[[#This Row],[quality]],Lookups!$H$2:$J$14,3,FALSE),0)</f>
        <v>48043</v>
      </c>
      <c r="BL827" s="7">
        <f>_xlfn.IFNA(VLOOKUP(Wapato_Inventory[[#This Row],[condition]],Lookups!$H$17:$J$24,3,FALSE),0)</f>
        <v>74543</v>
      </c>
      <c r="BM827" s="7">
        <f>Wapato_Inventory[[#This Row],[Age]]*Lookups!$B$16</f>
        <v>-44110.408300000003</v>
      </c>
      <c r="BN827" s="7">
        <f>Wapato_Inventory[[#This Row],[Main Floor]]*Lookups!$B$17</f>
        <v>55720.385087000002</v>
      </c>
      <c r="BO827" s="7">
        <f>Wapato_Inventory[[#This Row],[Upper Floor]]*Lookups!$B$18</f>
        <v>23163.731913000003</v>
      </c>
      <c r="BP827" s="7">
        <f>Wapato_Inventory[[#This Row],[Fin BSMT]]*Lookups!$B$19</f>
        <v>0</v>
      </c>
      <c r="BQ827" s="7">
        <f>(Wapato_Inventory[[#This Row],[att_gar]]+Wapato_Inventory[[#This Row],[blt_gar]])*Lookups!$B$20</f>
        <v>0</v>
      </c>
      <c r="BR827" s="7">
        <f>Wapato_Inventory[[#This Row],[Patio]]*Lookups!$B$21</f>
        <v>0</v>
      </c>
      <c r="BS827" s="7">
        <f>SUM(Wapato_Inventory[[#This Row],[intercept]:[patio_value]])*Wapato_Inventory[[#This Row],[res_pct]]</f>
        <v>211124.97869999998</v>
      </c>
      <c r="BT827" s="7">
        <f>Wapato_Inventory[[#This Row],[land_value]]</f>
        <v>52800</v>
      </c>
      <c r="BU827" s="2">
        <f>_xlfn.IFNA(VLOOKUP(Wapato_Inventory[[#This Row],[quality]],Lookups!$A$28:$C$37,3,FALSE),1)</f>
        <v>0.98196844879778955</v>
      </c>
      <c r="BV827" s="2">
        <f>_xlfn.IFNA(VLOOKUP(Wapato_Inventory[[#This Row],[condition]],Lookups!$A$41:$C$48,3,FALSE),1)</f>
        <v>0.98442438223270734</v>
      </c>
      <c r="BW827" s="2">
        <f>IF(Wapato_Inventory[[#This Row],[decade]]="",1,_xlfn.IFNA(VLOOKUP(Wapato_Inventory[[#This Row],[decade]],Lookups!$F$28:$H$45,3,FALSE),1))</f>
        <v>0.93664589651353292</v>
      </c>
      <c r="BX827" s="2">
        <f>_xlfn.IFNA(VLOOKUP(Wapato_Inventory[[#This Row],[living_area_range]],Lookups!$K$28:$M$37,3,FALSE),1)</f>
        <v>0.99330894324714125</v>
      </c>
      <c r="BY827" s="2">
        <f>AVERAGE(Wapato_Inventory[[#This Row],[qual_adj]:[range_adj]])</f>
        <v>0.97408691769779276</v>
      </c>
      <c r="BZ827" s="7">
        <f>(Wapato_Inventory[[#This Row],[sum_land]]-IF(Wapato_Inventory[[#This Row],[no_utilities]]=1,12000,0))/IF(Wapato_Inventory[[#This Row],[unbuildable]]=1,2,1)</f>
        <v>52800</v>
      </c>
      <c r="CA827" s="7">
        <f>Wapato_Inventory[[#This Row],[pre_res]]*Wapato_Inventory[[#This Row],[overall_adj]]</f>
        <v>205654.07975089512</v>
      </c>
      <c r="CB82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27" s="3">
        <f>IF(ROUND(Wapato_Inventory[[#This Row],[adj_res]]*Lookups!$H$48,-2)&lt;Wapato_Inventory[[#This Row],[min_res]],Wapato_Inventory[[#This Row],[min_res]],ROUND(Wapato_Inventory[[#This Row],[adj_res]]*Lookups!$H$48,-2))</f>
        <v>195400</v>
      </c>
      <c r="CD827" s="3">
        <f>ROUND(Wapato_Inventory[[#This Row],[det_value]]*Lookups!$H$48,-2)</f>
        <v>2900</v>
      </c>
      <c r="CE827" s="3">
        <f>Wapato_Inventory[[#This Row],[final_res]]+Wapato_Inventory[[#This Row],[final_det]]</f>
        <v>198300</v>
      </c>
      <c r="CF827" s="3">
        <f>Wapato_Inventory[[#This Row],[crop_value]]+Wapato_Inventory[[#This Row],[final_land]]+Wapato_Inventory[[#This Row],[final_imp]]</f>
        <v>248500</v>
      </c>
      <c r="CH827" t="str">
        <f t="shared" si="12"/>
        <v>update valuation set market_land =50200, market_bldg=198300, market_total =248500, market_mdno =405, market_date ='9/10/2023' where link_id = (select link_id from parcel where parcel_year = '2024' and parcel_id = '19111514491');</v>
      </c>
    </row>
    <row r="828" spans="1:86" x14ac:dyDescent="0.25">
      <c r="A828">
        <v>19111514492</v>
      </c>
      <c r="B828">
        <v>0.15</v>
      </c>
      <c r="C828">
        <v>6357</v>
      </c>
      <c r="D828" t="s">
        <v>144</v>
      </c>
      <c r="E828" t="s">
        <v>54</v>
      </c>
      <c r="F828" t="s">
        <v>54</v>
      </c>
      <c r="G828">
        <v>3</v>
      </c>
      <c r="H828" t="s">
        <v>55</v>
      </c>
      <c r="I828">
        <v>126200</v>
      </c>
      <c r="J828">
        <v>32300</v>
      </c>
      <c r="K828">
        <v>0.15</v>
      </c>
      <c r="L828">
        <f>IF(Wapato_Inventory[[#This Row],[parcel_acres]]-Wapato_Inventory[[#This Row],[non_valued_acres]] =0,0,LN(Wapato_Inventory[[#This Row],[parcel_acres]]-Wapato_Inventory[[#This Row],[non_valued_acres]]))</f>
        <v>-1.8971199848858813</v>
      </c>
      <c r="M828">
        <v>0</v>
      </c>
      <c r="N828">
        <v>0</v>
      </c>
      <c r="O828">
        <v>0</v>
      </c>
      <c r="P828">
        <v>27904.037</v>
      </c>
      <c r="Q828">
        <v>74398</v>
      </c>
      <c r="R828" s="3">
        <f>(Wapato_Inventory[[#This Row],[ln_acres]]*Wapato_Inventory[[#This Row],[coeff]])+Wapato_Inventory[[#This Row],[const]]</f>
        <v>21460.693748304926</v>
      </c>
      <c r="S828" t="s">
        <v>66</v>
      </c>
      <c r="T828">
        <v>1</v>
      </c>
      <c r="U828" t="s">
        <v>71</v>
      </c>
      <c r="V828" t="s">
        <v>68</v>
      </c>
      <c r="W828">
        <v>0</v>
      </c>
      <c r="X828">
        <v>0</v>
      </c>
      <c r="Y828">
        <v>57</v>
      </c>
      <c r="Z828">
        <v>103</v>
      </c>
      <c r="AA828">
        <v>110</v>
      </c>
      <c r="AB828">
        <v>1500</v>
      </c>
      <c r="AC828">
        <v>1154</v>
      </c>
      <c r="AD828">
        <v>1154</v>
      </c>
      <c r="AE828">
        <v>0</v>
      </c>
      <c r="AF828">
        <v>0</v>
      </c>
      <c r="AG828">
        <v>0</v>
      </c>
      <c r="AH828">
        <v>948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5</v>
      </c>
      <c r="AQ828">
        <v>0</v>
      </c>
      <c r="AR828">
        <v>0</v>
      </c>
      <c r="AS828" t="s">
        <v>59</v>
      </c>
      <c r="AT828">
        <v>1</v>
      </c>
      <c r="AU828" t="s">
        <v>76</v>
      </c>
      <c r="AV828" t="s">
        <v>61</v>
      </c>
      <c r="AW828">
        <v>0</v>
      </c>
      <c r="AX828">
        <v>2</v>
      </c>
      <c r="AY828">
        <v>0</v>
      </c>
      <c r="AZ828">
        <v>15200</v>
      </c>
      <c r="BA828">
        <v>100</v>
      </c>
      <c r="BB828">
        <v>100</v>
      </c>
      <c r="BC828">
        <v>100</v>
      </c>
      <c r="BD828">
        <v>100</v>
      </c>
      <c r="BE828">
        <v>1</v>
      </c>
      <c r="BF828">
        <v>15000</v>
      </c>
      <c r="BG828">
        <v>1000</v>
      </c>
      <c r="BH828" s="7">
        <f>ROUND(Wapato_Inventory[[#This Row],[detatched_value]]*Lookups!$B$22*Lookups!$H$48,-2)</f>
        <v>13600</v>
      </c>
      <c r="BI828" s="7">
        <f>ROUND(((Wapato_Inventory[[#This Row],[land_extract]]*Lookups!$B$3) +(Lookups!$B$2*0.5))*Lookups!$H$48,-2)</f>
        <v>53100</v>
      </c>
      <c r="BJ828" s="7">
        <f>IF(Wapato_Inventory[[#This Row],[bldg_style]]="",0,Lookups!$B$2*0.5)</f>
        <v>53765.27</v>
      </c>
      <c r="BK828" s="7">
        <f>_xlfn.IFNA(VLOOKUP(Wapato_Inventory[[#This Row],[quality]],Lookups!$H$2:$J$14,3,FALSE),0)</f>
        <v>28034</v>
      </c>
      <c r="BL828" s="7">
        <f>_xlfn.IFNA(VLOOKUP(Wapato_Inventory[[#This Row],[condition]],Lookups!$H$17:$J$24,3,FALSE),0)</f>
        <v>52231</v>
      </c>
      <c r="BM828" s="7">
        <f>Wapato_Inventory[[#This Row],[Age]]*Lookups!$B$16</f>
        <v>-38179.597099999999</v>
      </c>
      <c r="BN828" s="7">
        <f>Wapato_Inventory[[#This Row],[Main Floor]]*Lookups!$B$17</f>
        <v>48238.052806</v>
      </c>
      <c r="BO828" s="7">
        <f>Wapato_Inventory[[#This Row],[Upper Floor]]*Lookups!$B$18</f>
        <v>0</v>
      </c>
      <c r="BP828" s="7">
        <f>Wapato_Inventory[[#This Row],[Fin BSMT]]*Lookups!$B$19</f>
        <v>0</v>
      </c>
      <c r="BQ828" s="7">
        <f>(Wapato_Inventory[[#This Row],[att_gar]]+Wapato_Inventory[[#This Row],[blt_gar]])*Lookups!$B$20</f>
        <v>0</v>
      </c>
      <c r="BR828" s="7">
        <f>Wapato_Inventory[[#This Row],[Patio]]*Lookups!$B$21</f>
        <v>0</v>
      </c>
      <c r="BS828" s="7">
        <f>SUM(Wapato_Inventory[[#This Row],[intercept]:[patio_value]])*Wapato_Inventory[[#This Row],[res_pct]]</f>
        <v>144088.725706</v>
      </c>
      <c r="BT828" s="7">
        <f>Wapato_Inventory[[#This Row],[land_value]]</f>
        <v>53100</v>
      </c>
      <c r="BU828" s="2">
        <f>_xlfn.IFNA(VLOOKUP(Wapato_Inventory[[#This Row],[quality]],Lookups!$A$28:$C$37,3,FALSE),1)</f>
        <v>0.96265813922927435</v>
      </c>
      <c r="BV828" s="2">
        <f>_xlfn.IFNA(VLOOKUP(Wapato_Inventory[[#This Row],[condition]],Lookups!$A$41:$C$48,3,FALSE),1)</f>
        <v>0.9832333997567807</v>
      </c>
      <c r="BW828" s="2">
        <f>IF(Wapato_Inventory[[#This Row],[decade]]="",1,_xlfn.IFNA(VLOOKUP(Wapato_Inventory[[#This Row],[decade]],Lookups!$F$28:$H$45,3,FALSE),1))</f>
        <v>0.93664589651353292</v>
      </c>
      <c r="BX828" s="2">
        <f>_xlfn.IFNA(VLOOKUP(Wapato_Inventory[[#This Row],[living_area_range]],Lookups!$K$28:$M$37,3,FALSE),1)</f>
        <v>1.0061411172456287</v>
      </c>
      <c r="BY828" s="2">
        <f>AVERAGE(Wapato_Inventory[[#This Row],[qual_adj]:[range_adj]])</f>
        <v>0.97216963818630409</v>
      </c>
      <c r="BZ828" s="7">
        <f>(Wapato_Inventory[[#This Row],[sum_land]]-IF(Wapato_Inventory[[#This Row],[no_utilities]]=1,12000,0))/IF(Wapato_Inventory[[#This Row],[unbuildable]]=1,2,1)</f>
        <v>53100</v>
      </c>
      <c r="CA828" s="7">
        <f>Wapato_Inventory[[#This Row],[pre_res]]*Wapato_Inventory[[#This Row],[overall_adj]]</f>
        <v>140078.68433632763</v>
      </c>
      <c r="CB82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28" s="3">
        <f>IF(ROUND(Wapato_Inventory[[#This Row],[adj_res]]*Lookups!$H$48,-2)&lt;Wapato_Inventory[[#This Row],[min_res]],Wapato_Inventory[[#This Row],[min_res]],ROUND(Wapato_Inventory[[#This Row],[adj_res]]*Lookups!$H$48,-2))</f>
        <v>133100</v>
      </c>
      <c r="CD828" s="3">
        <f>ROUND(Wapato_Inventory[[#This Row],[det_value]]*Lookups!$H$48,-2)</f>
        <v>12900</v>
      </c>
      <c r="CE828" s="3">
        <f>Wapato_Inventory[[#This Row],[final_res]]+Wapato_Inventory[[#This Row],[final_det]]</f>
        <v>146000</v>
      </c>
      <c r="CF828" s="3">
        <f>Wapato_Inventory[[#This Row],[crop_value]]+Wapato_Inventory[[#This Row],[final_land]]+Wapato_Inventory[[#This Row],[final_imp]]</f>
        <v>196400</v>
      </c>
      <c r="CH828" t="str">
        <f t="shared" si="12"/>
        <v>update valuation set market_land =50400, market_bldg=146000, market_total =196400, market_mdno =405, market_date ='9/10/2023' where link_id = (select link_id from parcel where parcel_year = '2024' and parcel_id = '19111514492');</v>
      </c>
    </row>
    <row r="829" spans="1:86" x14ac:dyDescent="0.25">
      <c r="A829">
        <v>19111514494</v>
      </c>
      <c r="B829">
        <v>0.13</v>
      </c>
      <c r="C829">
        <v>5695</v>
      </c>
      <c r="D829" t="s">
        <v>144</v>
      </c>
      <c r="E829" t="s">
        <v>54</v>
      </c>
      <c r="F829" t="s">
        <v>54</v>
      </c>
      <c r="G829">
        <v>3</v>
      </c>
      <c r="H829" t="s">
        <v>55</v>
      </c>
      <c r="I829">
        <v>76300</v>
      </c>
      <c r="J829">
        <v>31400</v>
      </c>
      <c r="K829">
        <v>0.13</v>
      </c>
      <c r="L829">
        <f>IF(Wapato_Inventory[[#This Row],[parcel_acres]]-Wapato_Inventory[[#This Row],[non_valued_acres]] =0,0,LN(Wapato_Inventory[[#This Row],[parcel_acres]]-Wapato_Inventory[[#This Row],[non_valued_acres]]))</f>
        <v>-2.0402208285265546</v>
      </c>
      <c r="M829">
        <v>0</v>
      </c>
      <c r="N829">
        <v>0</v>
      </c>
      <c r="O829">
        <v>0</v>
      </c>
      <c r="P829">
        <v>27904.037</v>
      </c>
      <c r="Q829">
        <v>74398</v>
      </c>
      <c r="R829" s="3">
        <f>(Wapato_Inventory[[#This Row],[ln_acres]]*Wapato_Inventory[[#This Row],[coeff]])+Wapato_Inventory[[#This Row],[const]]</f>
        <v>17467.602512624362</v>
      </c>
      <c r="S829" t="s">
        <v>66</v>
      </c>
      <c r="T829">
        <v>1</v>
      </c>
      <c r="U829" t="s">
        <v>71</v>
      </c>
      <c r="V829" t="s">
        <v>68</v>
      </c>
      <c r="W829">
        <v>0</v>
      </c>
      <c r="X829">
        <v>0</v>
      </c>
      <c r="Y829">
        <v>57</v>
      </c>
      <c r="Z829">
        <v>103</v>
      </c>
      <c r="AA829">
        <v>110</v>
      </c>
      <c r="AB829">
        <v>1000</v>
      </c>
      <c r="AC829">
        <v>792</v>
      </c>
      <c r="AD829">
        <v>672</v>
      </c>
      <c r="AE829">
        <v>0</v>
      </c>
      <c r="AF829">
        <v>0</v>
      </c>
      <c r="AG829">
        <v>120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336</v>
      </c>
      <c r="AN829">
        <v>0</v>
      </c>
      <c r="AO829">
        <v>336</v>
      </c>
      <c r="AP829">
        <v>5</v>
      </c>
      <c r="AQ829">
        <v>0</v>
      </c>
      <c r="AR829">
        <v>0</v>
      </c>
      <c r="AS829" t="s">
        <v>59</v>
      </c>
      <c r="AT829">
        <v>1</v>
      </c>
      <c r="AU829" t="s">
        <v>72</v>
      </c>
      <c r="AV829" t="s">
        <v>65</v>
      </c>
      <c r="AW829">
        <v>0</v>
      </c>
      <c r="AX829">
        <v>4</v>
      </c>
      <c r="AY829">
        <v>0</v>
      </c>
      <c r="AZ829">
        <v>0</v>
      </c>
      <c r="BA829">
        <v>100</v>
      </c>
      <c r="BB829">
        <v>100</v>
      </c>
      <c r="BC829">
        <v>100</v>
      </c>
      <c r="BD829">
        <v>100</v>
      </c>
      <c r="BE829">
        <v>1</v>
      </c>
      <c r="BF829">
        <v>15000</v>
      </c>
      <c r="BG829">
        <v>1000</v>
      </c>
      <c r="BH829" s="7">
        <f>ROUND(Wapato_Inventory[[#This Row],[detatched_value]]*Lookups!$B$22*Lookups!$H$48,-2)</f>
        <v>0</v>
      </c>
      <c r="BI829" s="7">
        <f>ROUND(((Wapato_Inventory[[#This Row],[land_extract]]*Lookups!$B$3) +(Lookups!$B$2*0.5))*Lookups!$H$48,-2)</f>
        <v>52800</v>
      </c>
      <c r="BJ829" s="7">
        <f>IF(Wapato_Inventory[[#This Row],[bldg_style]]="",0,Lookups!$B$2*0.5)</f>
        <v>53765.27</v>
      </c>
      <c r="BK829" s="7">
        <f>_xlfn.IFNA(VLOOKUP(Wapato_Inventory[[#This Row],[quality]],Lookups!$H$2:$J$14,3,FALSE),0)</f>
        <v>28034</v>
      </c>
      <c r="BL829" s="7">
        <f>_xlfn.IFNA(VLOOKUP(Wapato_Inventory[[#This Row],[condition]],Lookups!$H$17:$J$24,3,FALSE),0)</f>
        <v>52231</v>
      </c>
      <c r="BM829" s="7">
        <f>Wapato_Inventory[[#This Row],[Age]]*Lookups!$B$16</f>
        <v>-38179.597099999999</v>
      </c>
      <c r="BN829" s="7">
        <f>Wapato_Inventory[[#This Row],[Main Floor]]*Lookups!$B$17</f>
        <v>28090.096608</v>
      </c>
      <c r="BO829" s="7">
        <f>Wapato_Inventory[[#This Row],[Upper Floor]]*Lookups!$B$18</f>
        <v>0</v>
      </c>
      <c r="BP829" s="7">
        <f>Wapato_Inventory[[#This Row],[Fin BSMT]]*Lookups!$B$19</f>
        <v>2924.0088000000001</v>
      </c>
      <c r="BQ829" s="7">
        <f>(Wapato_Inventory[[#This Row],[att_gar]]+Wapato_Inventory[[#This Row],[blt_gar]])*Lookups!$B$20</f>
        <v>0</v>
      </c>
      <c r="BR829" s="7">
        <f>Wapato_Inventory[[#This Row],[Patio]]*Lookups!$B$21</f>
        <v>14556.856944000001</v>
      </c>
      <c r="BS829" s="7">
        <f>SUM(Wapato_Inventory[[#This Row],[intercept]:[patio_value]])*Wapato_Inventory[[#This Row],[res_pct]]</f>
        <v>141421.63525200001</v>
      </c>
      <c r="BT829" s="7">
        <f>Wapato_Inventory[[#This Row],[land_value]]</f>
        <v>52800</v>
      </c>
      <c r="BU829" s="2">
        <f>_xlfn.IFNA(VLOOKUP(Wapato_Inventory[[#This Row],[quality]],Lookups!$A$28:$C$37,3,FALSE),1)</f>
        <v>0.96265813922927435</v>
      </c>
      <c r="BV829" s="2">
        <f>_xlfn.IFNA(VLOOKUP(Wapato_Inventory[[#This Row],[condition]],Lookups!$A$41:$C$48,3,FALSE),1)</f>
        <v>0.9832333997567807</v>
      </c>
      <c r="BW829" s="2">
        <f>IF(Wapato_Inventory[[#This Row],[decade]]="",1,_xlfn.IFNA(VLOOKUP(Wapato_Inventory[[#This Row],[decade]],Lookups!$F$28:$H$45,3,FALSE),1))</f>
        <v>0.93664589651353292</v>
      </c>
      <c r="BX829" s="2">
        <f>_xlfn.IFNA(VLOOKUP(Wapato_Inventory[[#This Row],[living_area_range]],Lookups!$K$28:$M$37,3,FALSE),1)</f>
        <v>0.99022994770196116</v>
      </c>
      <c r="BY829" s="2">
        <f>AVERAGE(Wapato_Inventory[[#This Row],[qual_adj]:[range_adj]])</f>
        <v>0.9681918458003872</v>
      </c>
      <c r="BZ829" s="7">
        <f>(Wapato_Inventory[[#This Row],[sum_land]]-IF(Wapato_Inventory[[#This Row],[no_utilities]]=1,12000,0))/IF(Wapato_Inventory[[#This Row],[unbuildable]]=1,2,1)</f>
        <v>52800</v>
      </c>
      <c r="CA829" s="7">
        <f>Wapato_Inventory[[#This Row],[pre_res]]*Wapato_Inventory[[#This Row],[overall_adj]]</f>
        <v>136923.27407074301</v>
      </c>
      <c r="CB829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29" s="3">
        <f>IF(ROUND(Wapato_Inventory[[#This Row],[adj_res]]*Lookups!$H$48,-2)&lt;Wapato_Inventory[[#This Row],[min_res]],Wapato_Inventory[[#This Row],[min_res]],ROUND(Wapato_Inventory[[#This Row],[adj_res]]*Lookups!$H$48,-2))</f>
        <v>130100</v>
      </c>
      <c r="CD829" s="3">
        <f>ROUND(Wapato_Inventory[[#This Row],[det_value]]*Lookups!$H$48,-2)</f>
        <v>0</v>
      </c>
      <c r="CE829" s="3">
        <f>Wapato_Inventory[[#This Row],[final_res]]+Wapato_Inventory[[#This Row],[final_det]]</f>
        <v>130100</v>
      </c>
      <c r="CF829" s="3">
        <f>Wapato_Inventory[[#This Row],[crop_value]]+Wapato_Inventory[[#This Row],[final_land]]+Wapato_Inventory[[#This Row],[final_imp]]</f>
        <v>180300</v>
      </c>
      <c r="CH829" t="str">
        <f t="shared" si="12"/>
        <v>update valuation set market_land =50200, market_bldg=130100, market_total =180300, market_mdno =405, market_date ='9/10/2023' where link_id = (select link_id from parcel where parcel_year = '2024' and parcel_id = '19111514494');</v>
      </c>
    </row>
    <row r="830" spans="1:86" x14ac:dyDescent="0.25">
      <c r="A830">
        <v>19111514495</v>
      </c>
      <c r="B830">
        <v>0.14000000000000001</v>
      </c>
      <c r="C830">
        <v>6269</v>
      </c>
      <c r="D830" t="s">
        <v>144</v>
      </c>
      <c r="E830" t="s">
        <v>54</v>
      </c>
      <c r="F830" t="s">
        <v>54</v>
      </c>
      <c r="G830">
        <v>3</v>
      </c>
      <c r="H830" t="s">
        <v>55</v>
      </c>
      <c r="I830">
        <v>188600</v>
      </c>
      <c r="J830">
        <v>31900</v>
      </c>
      <c r="K830">
        <v>0.14000000000000001</v>
      </c>
      <c r="L830">
        <f>IF(Wapato_Inventory[[#This Row],[parcel_acres]]-Wapato_Inventory[[#This Row],[non_valued_acres]] =0,0,LN(Wapato_Inventory[[#This Row],[parcel_acres]]-Wapato_Inventory[[#This Row],[non_valued_acres]]))</f>
        <v>-1.9661128563728327</v>
      </c>
      <c r="M830">
        <v>0</v>
      </c>
      <c r="N830">
        <v>0</v>
      </c>
      <c r="O830">
        <v>0</v>
      </c>
      <c r="P830">
        <v>27904.037</v>
      </c>
      <c r="Q830">
        <v>74398</v>
      </c>
      <c r="R830" s="3">
        <f>(Wapato_Inventory[[#This Row],[ln_acres]]*Wapato_Inventory[[#This Row],[coeff]])+Wapato_Inventory[[#This Row],[const]]</f>
        <v>19535.514109596792</v>
      </c>
      <c r="S830" t="s">
        <v>66</v>
      </c>
      <c r="T830">
        <v>1</v>
      </c>
      <c r="U830" t="s">
        <v>78</v>
      </c>
      <c r="V830" t="s">
        <v>69</v>
      </c>
      <c r="W830">
        <v>0</v>
      </c>
      <c r="X830">
        <v>0</v>
      </c>
      <c r="Y830">
        <v>57</v>
      </c>
      <c r="Z830">
        <v>103</v>
      </c>
      <c r="AA830">
        <v>110</v>
      </c>
      <c r="AB830">
        <v>2000</v>
      </c>
      <c r="AC830">
        <v>1540</v>
      </c>
      <c r="AD830">
        <v>1540</v>
      </c>
      <c r="AE830">
        <v>0</v>
      </c>
      <c r="AF830">
        <v>0</v>
      </c>
      <c r="AG830">
        <v>0</v>
      </c>
      <c r="AH830">
        <v>120</v>
      </c>
      <c r="AI830">
        <v>0</v>
      </c>
      <c r="AJ830"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5</v>
      </c>
      <c r="AQ830">
        <v>0</v>
      </c>
      <c r="AR830">
        <v>0</v>
      </c>
      <c r="AS830" t="s">
        <v>59</v>
      </c>
      <c r="AT830">
        <v>1</v>
      </c>
      <c r="AU830" t="s">
        <v>72</v>
      </c>
      <c r="AV830" t="s">
        <v>65</v>
      </c>
      <c r="AW830">
        <v>0</v>
      </c>
      <c r="AX830">
        <v>2</v>
      </c>
      <c r="AY830">
        <v>0</v>
      </c>
      <c r="AZ830">
        <v>16600</v>
      </c>
      <c r="BA830">
        <v>100</v>
      </c>
      <c r="BB830">
        <v>100</v>
      </c>
      <c r="BC830">
        <v>100</v>
      </c>
      <c r="BD830">
        <v>100</v>
      </c>
      <c r="BE830">
        <v>1</v>
      </c>
      <c r="BF830">
        <v>15000</v>
      </c>
      <c r="BG830">
        <v>1000</v>
      </c>
      <c r="BH830" s="7">
        <f>ROUND(Wapato_Inventory[[#This Row],[detatched_value]]*Lookups!$B$22*Lookups!$H$48,-2)</f>
        <v>14800</v>
      </c>
      <c r="BI830" s="7">
        <f>ROUND(((Wapato_Inventory[[#This Row],[land_extract]]*Lookups!$B$3) +(Lookups!$B$2*0.5))*Lookups!$H$48,-2)</f>
        <v>53000</v>
      </c>
      <c r="BJ830" s="7">
        <f>IF(Wapato_Inventory[[#This Row],[bldg_style]]="",0,Lookups!$B$2*0.5)</f>
        <v>53765.27</v>
      </c>
      <c r="BK830" s="7">
        <f>_xlfn.IFNA(VLOOKUP(Wapato_Inventory[[#This Row],[quality]],Lookups!$H$2:$J$14,3,FALSE),0)</f>
        <v>23424</v>
      </c>
      <c r="BL830" s="7">
        <f>_xlfn.IFNA(VLOOKUP(Wapato_Inventory[[#This Row],[condition]],Lookups!$H$17:$J$24,3,FALSE),0)</f>
        <v>74543</v>
      </c>
      <c r="BM830" s="7">
        <f>Wapato_Inventory[[#This Row],[Age]]*Lookups!$B$16</f>
        <v>-38179.597099999999</v>
      </c>
      <c r="BN830" s="7">
        <f>Wapato_Inventory[[#This Row],[Main Floor]]*Lookups!$B$17</f>
        <v>64373.138059999997</v>
      </c>
      <c r="BO830" s="7">
        <f>Wapato_Inventory[[#This Row],[Upper Floor]]*Lookups!$B$18</f>
        <v>0</v>
      </c>
      <c r="BP830" s="7">
        <f>Wapato_Inventory[[#This Row],[Fin BSMT]]*Lookups!$B$19</f>
        <v>0</v>
      </c>
      <c r="BQ830" s="7">
        <f>(Wapato_Inventory[[#This Row],[att_gar]]+Wapato_Inventory[[#This Row],[blt_gar]])*Lookups!$B$20</f>
        <v>0</v>
      </c>
      <c r="BR830" s="7">
        <f>Wapato_Inventory[[#This Row],[Patio]]*Lookups!$B$21</f>
        <v>0</v>
      </c>
      <c r="BS830" s="7">
        <f>SUM(Wapato_Inventory[[#This Row],[intercept]:[patio_value]])*Wapato_Inventory[[#This Row],[res_pct]]</f>
        <v>177925.81095999997</v>
      </c>
      <c r="BT830" s="7">
        <f>Wapato_Inventory[[#This Row],[land_value]]</f>
        <v>53000</v>
      </c>
      <c r="BU830" s="2">
        <f>_xlfn.IFNA(VLOOKUP(Wapato_Inventory[[#This Row],[quality]],Lookups!$A$28:$C$37,3,FALSE),1)</f>
        <v>1.0091195562373767</v>
      </c>
      <c r="BV830" s="2">
        <f>_xlfn.IFNA(VLOOKUP(Wapato_Inventory[[#This Row],[condition]],Lookups!$A$41:$C$48,3,FALSE),1)</f>
        <v>0.98442438223270734</v>
      </c>
      <c r="BW830" s="2">
        <f>IF(Wapato_Inventory[[#This Row],[decade]]="",1,_xlfn.IFNA(VLOOKUP(Wapato_Inventory[[#This Row],[decade]],Lookups!$F$28:$H$45,3,FALSE),1))</f>
        <v>0.93664589651353292</v>
      </c>
      <c r="BX830" s="2">
        <f>_xlfn.IFNA(VLOOKUP(Wapato_Inventory[[#This Row],[living_area_range]],Lookups!$K$28:$M$37,3,FALSE),1)</f>
        <v>0.99330894324714125</v>
      </c>
      <c r="BY830" s="2">
        <f>AVERAGE(Wapato_Inventory[[#This Row],[qual_adj]:[range_adj]])</f>
        <v>0.9808746945576895</v>
      </c>
      <c r="BZ830" s="7">
        <f>(Wapato_Inventory[[#This Row],[sum_land]]-IF(Wapato_Inventory[[#This Row],[no_utilities]]=1,12000,0))/IF(Wapato_Inventory[[#This Row],[unbuildable]]=1,2,1)</f>
        <v>53000</v>
      </c>
      <c r="CA830" s="7">
        <f>Wapato_Inventory[[#This Row],[pre_res]]*Wapato_Inventory[[#This Row],[overall_adj]]</f>
        <v>174522.92547931918</v>
      </c>
      <c r="CB83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30" s="3">
        <f>IF(ROUND(Wapato_Inventory[[#This Row],[adj_res]]*Lookups!$H$48,-2)&lt;Wapato_Inventory[[#This Row],[min_res]],Wapato_Inventory[[#This Row],[min_res]],ROUND(Wapato_Inventory[[#This Row],[adj_res]]*Lookups!$H$48,-2))</f>
        <v>165800</v>
      </c>
      <c r="CD830" s="3">
        <f>ROUND(Wapato_Inventory[[#This Row],[det_value]]*Lookups!$H$48,-2)</f>
        <v>14100</v>
      </c>
      <c r="CE830" s="3">
        <f>Wapato_Inventory[[#This Row],[final_res]]+Wapato_Inventory[[#This Row],[final_det]]</f>
        <v>179900</v>
      </c>
      <c r="CF830" s="3">
        <f>Wapato_Inventory[[#This Row],[crop_value]]+Wapato_Inventory[[#This Row],[final_land]]+Wapato_Inventory[[#This Row],[final_imp]]</f>
        <v>230300</v>
      </c>
      <c r="CH830" t="str">
        <f t="shared" si="12"/>
        <v>update valuation set market_land =50400, market_bldg=179900, market_total =230300, market_mdno =405, market_date ='9/10/2023' where link_id = (select link_id from parcel where parcel_year = '2024' and parcel_id = '19111514495');</v>
      </c>
    </row>
    <row r="831" spans="1:86" x14ac:dyDescent="0.25">
      <c r="A831">
        <v>19111514496</v>
      </c>
      <c r="B831">
        <v>0.13</v>
      </c>
      <c r="C831">
        <v>5806</v>
      </c>
      <c r="D831" t="s">
        <v>144</v>
      </c>
      <c r="E831" t="s">
        <v>54</v>
      </c>
      <c r="F831" t="s">
        <v>54</v>
      </c>
      <c r="G831">
        <v>3</v>
      </c>
      <c r="H831" t="s">
        <v>55</v>
      </c>
      <c r="I831">
        <v>144000</v>
      </c>
      <c r="J831">
        <v>31400</v>
      </c>
      <c r="K831">
        <v>0.13</v>
      </c>
      <c r="L831">
        <f>IF(Wapato_Inventory[[#This Row],[parcel_acres]]-Wapato_Inventory[[#This Row],[non_valued_acres]] =0,0,LN(Wapato_Inventory[[#This Row],[parcel_acres]]-Wapato_Inventory[[#This Row],[non_valued_acres]]))</f>
        <v>-2.0402208285265546</v>
      </c>
      <c r="M831">
        <v>0</v>
      </c>
      <c r="N831">
        <v>0</v>
      </c>
      <c r="O831">
        <v>0</v>
      </c>
      <c r="P831">
        <v>27904.037</v>
      </c>
      <c r="Q831">
        <v>74398</v>
      </c>
      <c r="R831" s="3">
        <f>(Wapato_Inventory[[#This Row],[ln_acres]]*Wapato_Inventory[[#This Row],[coeff]])+Wapato_Inventory[[#This Row],[const]]</f>
        <v>17467.602512624362</v>
      </c>
      <c r="S831" t="s">
        <v>66</v>
      </c>
      <c r="T831">
        <v>1</v>
      </c>
      <c r="U831" t="s">
        <v>75</v>
      </c>
      <c r="V831" t="s">
        <v>68</v>
      </c>
      <c r="W831">
        <v>0</v>
      </c>
      <c r="X831">
        <v>0</v>
      </c>
      <c r="Y831">
        <v>57</v>
      </c>
      <c r="Z831">
        <v>103</v>
      </c>
      <c r="AA831">
        <v>110</v>
      </c>
      <c r="AB831">
        <v>1000</v>
      </c>
      <c r="AC831">
        <v>960</v>
      </c>
      <c r="AD831">
        <v>960</v>
      </c>
      <c r="AE831">
        <v>0</v>
      </c>
      <c r="AF831">
        <v>0</v>
      </c>
      <c r="AG831">
        <v>0</v>
      </c>
      <c r="AH831">
        <v>100</v>
      </c>
      <c r="AI831">
        <v>0</v>
      </c>
      <c r="AJ831">
        <v>0</v>
      </c>
      <c r="AK831">
        <v>0</v>
      </c>
      <c r="AL831">
        <v>0</v>
      </c>
      <c r="AM831">
        <v>250</v>
      </c>
      <c r="AN831">
        <v>0</v>
      </c>
      <c r="AO831">
        <v>0</v>
      </c>
      <c r="AP831">
        <v>7</v>
      </c>
      <c r="AQ831">
        <v>0</v>
      </c>
      <c r="AR831">
        <v>1</v>
      </c>
      <c r="AS831" t="s">
        <v>59</v>
      </c>
      <c r="AT831">
        <v>0</v>
      </c>
      <c r="AU831" t="s">
        <v>80</v>
      </c>
      <c r="AV831" t="s">
        <v>65</v>
      </c>
      <c r="AW831">
        <v>0</v>
      </c>
      <c r="AX831">
        <v>2</v>
      </c>
      <c r="AY831">
        <v>0</v>
      </c>
      <c r="AZ831">
        <v>12500</v>
      </c>
      <c r="BA831">
        <v>100</v>
      </c>
      <c r="BB831">
        <v>100</v>
      </c>
      <c r="BC831">
        <v>100</v>
      </c>
      <c r="BD831">
        <v>100</v>
      </c>
      <c r="BE831">
        <v>1</v>
      </c>
      <c r="BF831">
        <v>15000</v>
      </c>
      <c r="BG831">
        <v>1000</v>
      </c>
      <c r="BH831" s="7">
        <f>ROUND(Wapato_Inventory[[#This Row],[detatched_value]]*Lookups!$B$22*Lookups!$H$48,-2)</f>
        <v>11200</v>
      </c>
      <c r="BI831" s="7">
        <f>ROUND(((Wapato_Inventory[[#This Row],[land_extract]]*Lookups!$B$3) +(Lookups!$B$2*0.5))*Lookups!$H$48,-2)</f>
        <v>52800</v>
      </c>
      <c r="BJ831" s="7">
        <f>IF(Wapato_Inventory[[#This Row],[bldg_style]]="",0,Lookups!$B$2*0.5)</f>
        <v>53765.27</v>
      </c>
      <c r="BK831" s="7">
        <f>_xlfn.IFNA(VLOOKUP(Wapato_Inventory[[#This Row],[quality]],Lookups!$H$2:$J$14,3,FALSE),0)</f>
        <v>48043</v>
      </c>
      <c r="BL831" s="7">
        <f>_xlfn.IFNA(VLOOKUP(Wapato_Inventory[[#This Row],[condition]],Lookups!$H$17:$J$24,3,FALSE),0)</f>
        <v>52231</v>
      </c>
      <c r="BM831" s="7">
        <f>Wapato_Inventory[[#This Row],[Age]]*Lookups!$B$16</f>
        <v>-38179.597099999999</v>
      </c>
      <c r="BN831" s="7">
        <f>Wapato_Inventory[[#This Row],[Main Floor]]*Lookups!$B$17</f>
        <v>40128.709439999999</v>
      </c>
      <c r="BO831" s="7">
        <f>Wapato_Inventory[[#This Row],[Upper Floor]]*Lookups!$B$18</f>
        <v>0</v>
      </c>
      <c r="BP831" s="7">
        <f>Wapato_Inventory[[#This Row],[Fin BSMT]]*Lookups!$B$19</f>
        <v>0</v>
      </c>
      <c r="BQ831" s="7">
        <f>(Wapato_Inventory[[#This Row],[att_gar]]+Wapato_Inventory[[#This Row],[blt_gar]])*Lookups!$B$20</f>
        <v>0</v>
      </c>
      <c r="BR831" s="7">
        <f>Wapato_Inventory[[#This Row],[Patio]]*Lookups!$B$21</f>
        <v>10830.99475</v>
      </c>
      <c r="BS831" s="7">
        <f>SUM(Wapato_Inventory[[#This Row],[intercept]:[patio_value]])*Wapato_Inventory[[#This Row],[res_pct]]</f>
        <v>166819.37708999999</v>
      </c>
      <c r="BT831" s="7">
        <f>Wapato_Inventory[[#This Row],[land_value]]</f>
        <v>52800</v>
      </c>
      <c r="BU831" s="2">
        <f>_xlfn.IFNA(VLOOKUP(Wapato_Inventory[[#This Row],[quality]],Lookups!$A$28:$C$37,3,FALSE),1)</f>
        <v>0.98196844879778955</v>
      </c>
      <c r="BV831" s="2">
        <f>_xlfn.IFNA(VLOOKUP(Wapato_Inventory[[#This Row],[condition]],Lookups!$A$41:$C$48,3,FALSE),1)</f>
        <v>0.9832333997567807</v>
      </c>
      <c r="BW831" s="2">
        <f>IF(Wapato_Inventory[[#This Row],[decade]]="",1,_xlfn.IFNA(VLOOKUP(Wapato_Inventory[[#This Row],[decade]],Lookups!$F$28:$H$45,3,FALSE),1))</f>
        <v>0.93664589651353292</v>
      </c>
      <c r="BX831" s="2">
        <f>_xlfn.IFNA(VLOOKUP(Wapato_Inventory[[#This Row],[living_area_range]],Lookups!$K$28:$M$37,3,FALSE),1)</f>
        <v>0.99022994770196116</v>
      </c>
      <c r="BY831" s="2">
        <f>AVERAGE(Wapato_Inventory[[#This Row],[qual_adj]:[range_adj]])</f>
        <v>0.97301942319251611</v>
      </c>
      <c r="BZ831" s="7">
        <f>(Wapato_Inventory[[#This Row],[sum_land]]-IF(Wapato_Inventory[[#This Row],[no_utilities]]=1,12000,0))/IF(Wapato_Inventory[[#This Row],[unbuildable]]=1,2,1)</f>
        <v>52800</v>
      </c>
      <c r="CA831" s="7">
        <f>Wapato_Inventory[[#This Row],[pre_res]]*Wapato_Inventory[[#This Row],[overall_adj]]</f>
        <v>162318.49407344664</v>
      </c>
      <c r="CB831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31" s="3">
        <f>IF(ROUND(Wapato_Inventory[[#This Row],[adj_res]]*Lookups!$H$48,-2)&lt;Wapato_Inventory[[#This Row],[min_res]],Wapato_Inventory[[#This Row],[min_res]],ROUND(Wapato_Inventory[[#This Row],[adj_res]]*Lookups!$H$48,-2))</f>
        <v>154200</v>
      </c>
      <c r="CD831" s="3">
        <f>ROUND(Wapato_Inventory[[#This Row],[det_value]]*Lookups!$H$48,-2)</f>
        <v>10600</v>
      </c>
      <c r="CE831" s="3">
        <f>Wapato_Inventory[[#This Row],[final_res]]+Wapato_Inventory[[#This Row],[final_det]]</f>
        <v>164800</v>
      </c>
      <c r="CF831" s="3">
        <f>Wapato_Inventory[[#This Row],[crop_value]]+Wapato_Inventory[[#This Row],[final_land]]+Wapato_Inventory[[#This Row],[final_imp]]</f>
        <v>215000</v>
      </c>
      <c r="CH831" t="str">
        <f t="shared" si="12"/>
        <v>update valuation set market_land =50200, market_bldg=164800, market_total =215000, market_mdno =405, market_date ='9/10/2023' where link_id = (select link_id from parcel where parcel_year = '2024' and parcel_id = '19111514496');</v>
      </c>
    </row>
    <row r="832" spans="1:86" x14ac:dyDescent="0.25">
      <c r="A832">
        <v>19111514499</v>
      </c>
      <c r="B832">
        <v>0.28000000000000003</v>
      </c>
      <c r="C832">
        <v>12299</v>
      </c>
      <c r="D832" t="s">
        <v>144</v>
      </c>
      <c r="E832" t="s">
        <v>54</v>
      </c>
      <c r="F832" t="s">
        <v>54</v>
      </c>
      <c r="G832">
        <v>3</v>
      </c>
      <c r="H832" t="s">
        <v>55</v>
      </c>
      <c r="I832">
        <v>215300</v>
      </c>
      <c r="J832">
        <v>36800</v>
      </c>
      <c r="K832">
        <v>0.28000000000000003</v>
      </c>
      <c r="L832">
        <f>IF(Wapato_Inventory[[#This Row],[parcel_acres]]-Wapato_Inventory[[#This Row],[non_valued_acres]] =0,0,LN(Wapato_Inventory[[#This Row],[parcel_acres]]-Wapato_Inventory[[#This Row],[non_valued_acres]]))</f>
        <v>-1.2729656758128873</v>
      </c>
      <c r="M832">
        <v>0</v>
      </c>
      <c r="N832">
        <v>0</v>
      </c>
      <c r="O832">
        <v>0</v>
      </c>
      <c r="P832">
        <v>27904.037</v>
      </c>
      <c r="Q832">
        <v>74398</v>
      </c>
      <c r="R832" s="3">
        <f>(Wapato_Inventory[[#This Row],[ln_acres]]*Wapato_Inventory[[#This Row],[coeff]])+Wapato_Inventory[[#This Row],[const]]</f>
        <v>38877.118682387183</v>
      </c>
      <c r="S832" t="s">
        <v>56</v>
      </c>
      <c r="T832">
        <v>2</v>
      </c>
      <c r="U832" t="s">
        <v>67</v>
      </c>
      <c r="V832" t="s">
        <v>68</v>
      </c>
      <c r="W832">
        <v>0</v>
      </c>
      <c r="X832">
        <v>0</v>
      </c>
      <c r="Y832">
        <v>75</v>
      </c>
      <c r="Z832">
        <v>123</v>
      </c>
      <c r="AA832">
        <v>130</v>
      </c>
      <c r="AB832">
        <v>2000</v>
      </c>
      <c r="AC832">
        <v>1795</v>
      </c>
      <c r="AD832">
        <v>1403</v>
      </c>
      <c r="AE832">
        <v>392</v>
      </c>
      <c r="AF832">
        <v>0</v>
      </c>
      <c r="AG832">
        <v>0</v>
      </c>
      <c r="AH832">
        <v>0</v>
      </c>
      <c r="AI832">
        <v>0</v>
      </c>
      <c r="AJ832">
        <v>0</v>
      </c>
      <c r="AK832">
        <v>460</v>
      </c>
      <c r="AL832">
        <v>0</v>
      </c>
      <c r="AM832">
        <v>180</v>
      </c>
      <c r="AN832">
        <v>108</v>
      </c>
      <c r="AO832">
        <v>0</v>
      </c>
      <c r="AP832">
        <v>5</v>
      </c>
      <c r="AQ832">
        <v>0</v>
      </c>
      <c r="AR832">
        <v>0</v>
      </c>
      <c r="AS832" t="s">
        <v>59</v>
      </c>
      <c r="AT832">
        <v>1</v>
      </c>
      <c r="AU832" t="s">
        <v>64</v>
      </c>
      <c r="AV832" t="s">
        <v>65</v>
      </c>
      <c r="AW832">
        <v>1</v>
      </c>
      <c r="AX832">
        <v>3</v>
      </c>
      <c r="AY832">
        <v>0</v>
      </c>
      <c r="AZ832">
        <v>41700</v>
      </c>
      <c r="BA832">
        <v>100</v>
      </c>
      <c r="BB832">
        <v>100</v>
      </c>
      <c r="BC832">
        <v>100</v>
      </c>
      <c r="BD832">
        <v>100</v>
      </c>
      <c r="BE832">
        <v>1</v>
      </c>
      <c r="BF832">
        <v>15000</v>
      </c>
      <c r="BG832">
        <v>1000</v>
      </c>
      <c r="BH832" s="7">
        <f>ROUND(Wapato_Inventory[[#This Row],[detatched_value]]*Lookups!$B$22*Lookups!$H$48,-2)</f>
        <v>37200</v>
      </c>
      <c r="BI832" s="7">
        <f>ROUND(((Wapato_Inventory[[#This Row],[land_extract]]*Lookups!$B$3) +(Lookups!$B$2*0.5))*Lookups!$H$48,-2)</f>
        <v>54800</v>
      </c>
      <c r="BJ832" s="7">
        <f>IF(Wapato_Inventory[[#This Row],[bldg_style]]="",0,Lookups!$B$2*0.5)</f>
        <v>53765.27</v>
      </c>
      <c r="BK832" s="7">
        <f>_xlfn.IFNA(VLOOKUP(Wapato_Inventory[[#This Row],[quality]],Lookups!$H$2:$J$14,3,FALSE),0)</f>
        <v>50405</v>
      </c>
      <c r="BL832" s="7">
        <f>_xlfn.IFNA(VLOOKUP(Wapato_Inventory[[#This Row],[condition]],Lookups!$H$17:$J$24,3,FALSE),0)</f>
        <v>52231</v>
      </c>
      <c r="BM832" s="7">
        <f>Wapato_Inventory[[#This Row],[Age]]*Lookups!$B$16</f>
        <v>-45593.111100000002</v>
      </c>
      <c r="BN832" s="7">
        <f>Wapato_Inventory[[#This Row],[Main Floor]]*Lookups!$B$17</f>
        <v>58646.436817000002</v>
      </c>
      <c r="BO832" s="7">
        <f>Wapato_Inventory[[#This Row],[Upper Floor]]*Lookups!$B$18</f>
        <v>19443.646488000002</v>
      </c>
      <c r="BP832" s="7">
        <f>Wapato_Inventory[[#This Row],[Fin BSMT]]*Lookups!$B$19</f>
        <v>0</v>
      </c>
      <c r="BQ832" s="7">
        <f>(Wapato_Inventory[[#This Row],[att_gar]]+Wapato_Inventory[[#This Row],[blt_gar]])*Lookups!$B$20</f>
        <v>0</v>
      </c>
      <c r="BR832" s="7">
        <f>Wapato_Inventory[[#This Row],[Patio]]*Lookups!$B$21</f>
        <v>7798.3162200000006</v>
      </c>
      <c r="BS832" s="7">
        <f>SUM(Wapato_Inventory[[#This Row],[intercept]:[patio_value]])*Wapato_Inventory[[#This Row],[res_pct]]</f>
        <v>196696.558425</v>
      </c>
      <c r="BT832" s="7">
        <f>Wapato_Inventory[[#This Row],[land_value]]</f>
        <v>54800</v>
      </c>
      <c r="BU832" s="2">
        <f>_xlfn.IFNA(VLOOKUP(Wapato_Inventory[[#This Row],[quality]],Lookups!$A$28:$C$37,3,FALSE),1)</f>
        <v>0.97993206410140754</v>
      </c>
      <c r="BV832" s="2">
        <f>_xlfn.IFNA(VLOOKUP(Wapato_Inventory[[#This Row],[condition]],Lookups!$A$41:$C$48,3,FALSE),1)</f>
        <v>0.9832333997567807</v>
      </c>
      <c r="BW832" s="2">
        <f>IF(Wapato_Inventory[[#This Row],[decade]]="",1,_xlfn.IFNA(VLOOKUP(Wapato_Inventory[[#This Row],[decade]],Lookups!$F$28:$H$45,3,FALSE),1))</f>
        <v>0.93664589651353292</v>
      </c>
      <c r="BX832" s="2">
        <f>_xlfn.IFNA(VLOOKUP(Wapato_Inventory[[#This Row],[living_area_range]],Lookups!$K$28:$M$37,3,FALSE),1)</f>
        <v>0.99330894324714125</v>
      </c>
      <c r="BY832" s="2">
        <f>AVERAGE(Wapato_Inventory[[#This Row],[qual_adj]:[range_adj]])</f>
        <v>0.97328007590471566</v>
      </c>
      <c r="BZ832" s="7">
        <f>(Wapato_Inventory[[#This Row],[sum_land]]-IF(Wapato_Inventory[[#This Row],[no_utilities]]=1,12000,0))/IF(Wapato_Inventory[[#This Row],[unbuildable]]=1,2,1)</f>
        <v>54800</v>
      </c>
      <c r="CA832" s="7">
        <f>Wapato_Inventory[[#This Row],[pre_res]]*Wapato_Inventory[[#This Row],[overall_adj]]</f>
        <v>191440.84131408035</v>
      </c>
      <c r="CB832" s="3">
        <f>IF(ROUND(Wapato_Inventory[[#This Row],[adj_land]]*Lookups!$H$48,-2)&lt;Wapato_Inventory[[#This Row],[min_land]],Wapato_Inventory[[#This Row],[min_land]],ROUND(Wapato_Inventory[[#This Row],[adj_land]]*Lookups!$H$48,-2))</f>
        <v>52100</v>
      </c>
      <c r="CC832" s="3">
        <f>IF(ROUND(Wapato_Inventory[[#This Row],[adj_res]]*Lookups!$H$48,-2)&lt;Wapato_Inventory[[#This Row],[min_res]],Wapato_Inventory[[#This Row],[min_res]],ROUND(Wapato_Inventory[[#This Row],[adj_res]]*Lookups!$H$48,-2))</f>
        <v>181900</v>
      </c>
      <c r="CD832" s="3">
        <f>ROUND(Wapato_Inventory[[#This Row],[det_value]]*Lookups!$H$48,-2)</f>
        <v>35300</v>
      </c>
      <c r="CE832" s="3">
        <f>Wapato_Inventory[[#This Row],[final_res]]+Wapato_Inventory[[#This Row],[final_det]]</f>
        <v>217200</v>
      </c>
      <c r="CF832" s="3">
        <f>Wapato_Inventory[[#This Row],[crop_value]]+Wapato_Inventory[[#This Row],[final_land]]+Wapato_Inventory[[#This Row],[final_imp]]</f>
        <v>269300</v>
      </c>
      <c r="CH832" t="str">
        <f t="shared" si="12"/>
        <v>update valuation set market_land =52100, market_bldg=217200, market_total =269300, market_mdno =405, market_date ='9/10/2023' where link_id = (select link_id from parcel where parcel_year = '2024' and parcel_id = '19111514499');</v>
      </c>
    </row>
    <row r="833" spans="1:86" x14ac:dyDescent="0.25">
      <c r="A833">
        <v>19111514500</v>
      </c>
      <c r="B833">
        <v>0.15</v>
      </c>
      <c r="C833">
        <v>6474</v>
      </c>
      <c r="D833" t="s">
        <v>144</v>
      </c>
      <c r="E833" t="s">
        <v>54</v>
      </c>
      <c r="F833" t="s">
        <v>54</v>
      </c>
      <c r="G833">
        <v>3</v>
      </c>
      <c r="H833" t="s">
        <v>55</v>
      </c>
      <c r="I833">
        <v>192800</v>
      </c>
      <c r="J833">
        <v>32300</v>
      </c>
      <c r="K833">
        <v>0.15</v>
      </c>
      <c r="L833">
        <f>IF(Wapato_Inventory[[#This Row],[parcel_acres]]-Wapato_Inventory[[#This Row],[non_valued_acres]] =0,0,LN(Wapato_Inventory[[#This Row],[parcel_acres]]-Wapato_Inventory[[#This Row],[non_valued_acres]]))</f>
        <v>-1.8971199848858813</v>
      </c>
      <c r="M833">
        <v>0</v>
      </c>
      <c r="N833">
        <v>0</v>
      </c>
      <c r="O833">
        <v>0</v>
      </c>
      <c r="P833">
        <v>27904.037</v>
      </c>
      <c r="Q833">
        <v>74398</v>
      </c>
      <c r="R833" s="3">
        <f>(Wapato_Inventory[[#This Row],[ln_acres]]*Wapato_Inventory[[#This Row],[coeff]])+Wapato_Inventory[[#This Row],[const]]</f>
        <v>21460.693748304926</v>
      </c>
      <c r="S833" t="s">
        <v>145</v>
      </c>
      <c r="T833">
        <v>2</v>
      </c>
      <c r="U833" t="s">
        <v>67</v>
      </c>
      <c r="V833" t="s">
        <v>68</v>
      </c>
      <c r="W833">
        <v>0</v>
      </c>
      <c r="X833">
        <v>0</v>
      </c>
      <c r="Y833">
        <v>51</v>
      </c>
      <c r="Z833">
        <v>83</v>
      </c>
      <c r="AA833">
        <v>90</v>
      </c>
      <c r="AB833">
        <v>2500</v>
      </c>
      <c r="AC833">
        <v>2447</v>
      </c>
      <c r="AD833">
        <v>1336</v>
      </c>
      <c r="AE833">
        <v>448</v>
      </c>
      <c r="AF833">
        <v>0</v>
      </c>
      <c r="AG833">
        <v>663</v>
      </c>
      <c r="AH833">
        <v>673</v>
      </c>
      <c r="AI833">
        <v>0</v>
      </c>
      <c r="AJ833">
        <v>0</v>
      </c>
      <c r="AK833">
        <v>276</v>
      </c>
      <c r="AL833">
        <v>0</v>
      </c>
      <c r="AM833">
        <v>230</v>
      </c>
      <c r="AN833">
        <v>63</v>
      </c>
      <c r="AO833">
        <v>230</v>
      </c>
      <c r="AP833">
        <v>10</v>
      </c>
      <c r="AQ833">
        <v>0</v>
      </c>
      <c r="AR833">
        <v>1</v>
      </c>
      <c r="AS833" t="s">
        <v>59</v>
      </c>
      <c r="AT833">
        <v>1</v>
      </c>
      <c r="AU833" t="s">
        <v>64</v>
      </c>
      <c r="AV833" t="s">
        <v>65</v>
      </c>
      <c r="AW833">
        <v>1</v>
      </c>
      <c r="AX833">
        <v>4</v>
      </c>
      <c r="AY833">
        <v>0</v>
      </c>
      <c r="AZ833">
        <v>5800</v>
      </c>
      <c r="BA833">
        <v>100</v>
      </c>
      <c r="BB833">
        <v>100</v>
      </c>
      <c r="BC833">
        <v>100</v>
      </c>
      <c r="BD833">
        <v>100</v>
      </c>
      <c r="BE833">
        <v>1</v>
      </c>
      <c r="BF833">
        <v>15000</v>
      </c>
      <c r="BG833">
        <v>1000</v>
      </c>
      <c r="BH833" s="7">
        <f>ROUND(Wapato_Inventory[[#This Row],[detatched_value]]*Lookups!$B$22*Lookups!$H$48,-2)</f>
        <v>5200</v>
      </c>
      <c r="BI833" s="7">
        <f>ROUND(((Wapato_Inventory[[#This Row],[land_extract]]*Lookups!$B$3) +(Lookups!$B$2*0.5))*Lookups!$H$48,-2)</f>
        <v>53100</v>
      </c>
      <c r="BJ833" s="7">
        <f>IF(Wapato_Inventory[[#This Row],[bldg_style]]="",0,Lookups!$B$2*0.5)</f>
        <v>53765.27</v>
      </c>
      <c r="BK833" s="7">
        <f>_xlfn.IFNA(VLOOKUP(Wapato_Inventory[[#This Row],[quality]],Lookups!$H$2:$J$14,3,FALSE),0)</f>
        <v>50405</v>
      </c>
      <c r="BL833" s="7">
        <f>_xlfn.IFNA(VLOOKUP(Wapato_Inventory[[#This Row],[condition]],Lookups!$H$17:$J$24,3,FALSE),0)</f>
        <v>52231</v>
      </c>
      <c r="BM833" s="7">
        <f>Wapato_Inventory[[#This Row],[Age]]*Lookups!$B$16</f>
        <v>-30766.0831</v>
      </c>
      <c r="BN833" s="7">
        <f>Wapato_Inventory[[#This Row],[Main Floor]]*Lookups!$B$17</f>
        <v>55845.787303999998</v>
      </c>
      <c r="BO833" s="7">
        <f>Wapato_Inventory[[#This Row],[Upper Floor]]*Lookups!$B$18</f>
        <v>22221.310272000002</v>
      </c>
      <c r="BP833" s="7">
        <f>Wapato_Inventory[[#This Row],[Fin BSMT]]*Lookups!$B$19</f>
        <v>16155.14862</v>
      </c>
      <c r="BQ833" s="7">
        <f>(Wapato_Inventory[[#This Row],[att_gar]]+Wapato_Inventory[[#This Row],[blt_gar]])*Lookups!$B$20</f>
        <v>0</v>
      </c>
      <c r="BR833" s="7">
        <f>Wapato_Inventory[[#This Row],[Patio]]*Lookups!$B$21</f>
        <v>9964.5151700000006</v>
      </c>
      <c r="BS833" s="7">
        <f>SUM(Wapato_Inventory[[#This Row],[intercept]:[patio_value]])*Wapato_Inventory[[#This Row],[res_pct]]</f>
        <v>229821.94826599996</v>
      </c>
      <c r="BT833" s="7">
        <f>Wapato_Inventory[[#This Row],[land_value]]</f>
        <v>53100</v>
      </c>
      <c r="BU833" s="2">
        <f>_xlfn.IFNA(VLOOKUP(Wapato_Inventory[[#This Row],[quality]],Lookups!$A$28:$C$37,3,FALSE),1)</f>
        <v>0.97993206410140754</v>
      </c>
      <c r="BV833" s="2">
        <f>_xlfn.IFNA(VLOOKUP(Wapato_Inventory[[#This Row],[condition]],Lookups!$A$41:$C$48,3,FALSE),1)</f>
        <v>0.9832333997567807</v>
      </c>
      <c r="BW833" s="2">
        <f>IF(Wapato_Inventory[[#This Row],[decade]]="",1,_xlfn.IFNA(VLOOKUP(Wapato_Inventory[[#This Row],[decade]],Lookups!$F$28:$H$45,3,FALSE),1))</f>
        <v>0.94742695999815718</v>
      </c>
      <c r="BX833" s="2">
        <f>_xlfn.IFNA(VLOOKUP(Wapato_Inventory[[#This Row],[living_area_range]],Lookups!$K$28:$M$37,3,FALSE),1)</f>
        <v>0.90813907160181651</v>
      </c>
      <c r="BY833" s="2">
        <f>AVERAGE(Wapato_Inventory[[#This Row],[qual_adj]:[range_adj]])</f>
        <v>0.95468287386454054</v>
      </c>
      <c r="BZ833" s="7">
        <f>(Wapato_Inventory[[#This Row],[sum_land]]-IF(Wapato_Inventory[[#This Row],[no_utilities]]=1,12000,0))/IF(Wapato_Inventory[[#This Row],[unbuildable]]=1,2,1)</f>
        <v>53100</v>
      </c>
      <c r="CA833" s="7">
        <f>Wapato_Inventory[[#This Row],[pre_res]]*Wapato_Inventory[[#This Row],[overall_adj]]</f>
        <v>219407.07804773259</v>
      </c>
      <c r="CB83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33" s="3">
        <f>IF(ROUND(Wapato_Inventory[[#This Row],[adj_res]]*Lookups!$H$48,-2)&lt;Wapato_Inventory[[#This Row],[min_res]],Wapato_Inventory[[#This Row],[min_res]],ROUND(Wapato_Inventory[[#This Row],[adj_res]]*Lookups!$H$48,-2))</f>
        <v>208400</v>
      </c>
      <c r="CD833" s="3">
        <f>ROUND(Wapato_Inventory[[#This Row],[det_value]]*Lookups!$H$48,-2)</f>
        <v>4900</v>
      </c>
      <c r="CE833" s="3">
        <f>Wapato_Inventory[[#This Row],[final_res]]+Wapato_Inventory[[#This Row],[final_det]]</f>
        <v>213300</v>
      </c>
      <c r="CF833" s="3">
        <f>Wapato_Inventory[[#This Row],[crop_value]]+Wapato_Inventory[[#This Row],[final_land]]+Wapato_Inventory[[#This Row],[final_imp]]</f>
        <v>263700</v>
      </c>
      <c r="CH833" t="str">
        <f t="shared" si="12"/>
        <v>update valuation set market_land =50400, market_bldg=213300, market_total =263700, market_mdno =405, market_date ='9/10/2023' where link_id = (select link_id from parcel where parcel_year = '2024' and parcel_id = '19111514500');</v>
      </c>
    </row>
    <row r="834" spans="1:86" x14ac:dyDescent="0.25">
      <c r="A834">
        <v>19111514501</v>
      </c>
      <c r="B834">
        <v>0.14000000000000001</v>
      </c>
      <c r="C834">
        <v>6040</v>
      </c>
      <c r="D834" t="s">
        <v>144</v>
      </c>
      <c r="E834" t="s">
        <v>54</v>
      </c>
      <c r="F834" t="s">
        <v>54</v>
      </c>
      <c r="G834">
        <v>3</v>
      </c>
      <c r="H834" t="s">
        <v>55</v>
      </c>
      <c r="I834">
        <v>167100</v>
      </c>
      <c r="J834">
        <v>31900</v>
      </c>
      <c r="K834">
        <v>0.14000000000000001</v>
      </c>
      <c r="L834">
        <f>IF(Wapato_Inventory[[#This Row],[parcel_acres]]-Wapato_Inventory[[#This Row],[non_valued_acres]] =0,0,LN(Wapato_Inventory[[#This Row],[parcel_acres]]-Wapato_Inventory[[#This Row],[non_valued_acres]]))</f>
        <v>-1.9661128563728327</v>
      </c>
      <c r="M834">
        <v>0</v>
      </c>
      <c r="N834">
        <v>0</v>
      </c>
      <c r="O834">
        <v>0</v>
      </c>
      <c r="P834">
        <v>27904.037</v>
      </c>
      <c r="Q834">
        <v>74398</v>
      </c>
      <c r="R834" s="3">
        <f>(Wapato_Inventory[[#This Row],[ln_acres]]*Wapato_Inventory[[#This Row],[coeff]])+Wapato_Inventory[[#This Row],[const]]</f>
        <v>19535.514109596792</v>
      </c>
      <c r="S834" t="s">
        <v>154</v>
      </c>
      <c r="T834">
        <v>2</v>
      </c>
      <c r="U834" t="s">
        <v>67</v>
      </c>
      <c r="V834" t="s">
        <v>68</v>
      </c>
      <c r="W834">
        <v>0</v>
      </c>
      <c r="X834">
        <v>0</v>
      </c>
      <c r="Y834">
        <v>60</v>
      </c>
      <c r="Z834">
        <v>108</v>
      </c>
      <c r="AA834">
        <v>110</v>
      </c>
      <c r="AB834">
        <v>2000</v>
      </c>
      <c r="AC834">
        <v>1566</v>
      </c>
      <c r="AD834">
        <v>864</v>
      </c>
      <c r="AE834">
        <v>702</v>
      </c>
      <c r="AF834">
        <v>0</v>
      </c>
      <c r="AG834">
        <v>0</v>
      </c>
      <c r="AH834">
        <v>120</v>
      </c>
      <c r="AI834">
        <v>0</v>
      </c>
      <c r="AJ834">
        <v>0</v>
      </c>
      <c r="AK834">
        <v>0</v>
      </c>
      <c r="AL834">
        <v>0</v>
      </c>
      <c r="AM834">
        <v>0</v>
      </c>
      <c r="AN834">
        <v>192</v>
      </c>
      <c r="AO834">
        <v>0</v>
      </c>
      <c r="AP834">
        <v>3</v>
      </c>
      <c r="AQ834">
        <v>0</v>
      </c>
      <c r="AR834">
        <v>1</v>
      </c>
      <c r="AS834" t="s">
        <v>59</v>
      </c>
      <c r="AT834">
        <v>0</v>
      </c>
      <c r="AU834" t="s">
        <v>80</v>
      </c>
      <c r="AV834" t="s">
        <v>77</v>
      </c>
      <c r="AW834">
        <v>0</v>
      </c>
      <c r="AX834">
        <v>3</v>
      </c>
      <c r="AY834">
        <v>0</v>
      </c>
      <c r="AZ834">
        <v>17200</v>
      </c>
      <c r="BA834">
        <v>100</v>
      </c>
      <c r="BB834">
        <v>100</v>
      </c>
      <c r="BC834">
        <v>100</v>
      </c>
      <c r="BD834">
        <v>100</v>
      </c>
      <c r="BE834">
        <v>1</v>
      </c>
      <c r="BF834">
        <v>15000</v>
      </c>
      <c r="BG834">
        <v>1000</v>
      </c>
      <c r="BH834" s="7">
        <f>ROUND(Wapato_Inventory[[#This Row],[detatched_value]]*Lookups!$B$22*Lookups!$H$48,-2)</f>
        <v>15400</v>
      </c>
      <c r="BI834" s="7">
        <f>ROUND(((Wapato_Inventory[[#This Row],[land_extract]]*Lookups!$B$3) +(Lookups!$B$2*0.5))*Lookups!$H$48,-2)</f>
        <v>53000</v>
      </c>
      <c r="BJ834" s="7">
        <f>IF(Wapato_Inventory[[#This Row],[bldg_style]]="",0,Lookups!$B$2*0.5)</f>
        <v>53765.27</v>
      </c>
      <c r="BK834" s="7">
        <f>_xlfn.IFNA(VLOOKUP(Wapato_Inventory[[#This Row],[quality]],Lookups!$H$2:$J$14,3,FALSE),0)</f>
        <v>50405</v>
      </c>
      <c r="BL834" s="7">
        <f>_xlfn.IFNA(VLOOKUP(Wapato_Inventory[[#This Row],[condition]],Lookups!$H$17:$J$24,3,FALSE),0)</f>
        <v>52231</v>
      </c>
      <c r="BM834" s="7">
        <f>Wapato_Inventory[[#This Row],[Age]]*Lookups!$B$16</f>
        <v>-40032.975599999998</v>
      </c>
      <c r="BN834" s="7">
        <f>Wapato_Inventory[[#This Row],[Main Floor]]*Lookups!$B$17</f>
        <v>36115.838495999997</v>
      </c>
      <c r="BO834" s="7">
        <f>Wapato_Inventory[[#This Row],[Upper Floor]]*Lookups!$B$18</f>
        <v>34819.999578000003</v>
      </c>
      <c r="BP834" s="7">
        <f>Wapato_Inventory[[#This Row],[Fin BSMT]]*Lookups!$B$19</f>
        <v>0</v>
      </c>
      <c r="BQ834" s="7">
        <f>(Wapato_Inventory[[#This Row],[att_gar]]+Wapato_Inventory[[#This Row],[blt_gar]])*Lookups!$B$20</f>
        <v>0</v>
      </c>
      <c r="BR834" s="7">
        <f>Wapato_Inventory[[#This Row],[Patio]]*Lookups!$B$21</f>
        <v>0</v>
      </c>
      <c r="BS834" s="7">
        <f>SUM(Wapato_Inventory[[#This Row],[intercept]:[patio_value]])*Wapato_Inventory[[#This Row],[res_pct]]</f>
        <v>187304.13247399998</v>
      </c>
      <c r="BT834" s="7">
        <f>Wapato_Inventory[[#This Row],[land_value]]</f>
        <v>53000</v>
      </c>
      <c r="BU834" s="2">
        <f>_xlfn.IFNA(VLOOKUP(Wapato_Inventory[[#This Row],[quality]],Lookups!$A$28:$C$37,3,FALSE),1)</f>
        <v>0.97993206410140754</v>
      </c>
      <c r="BV834" s="2">
        <f>_xlfn.IFNA(VLOOKUP(Wapato_Inventory[[#This Row],[condition]],Lookups!$A$41:$C$48,3,FALSE),1)</f>
        <v>0.9832333997567807</v>
      </c>
      <c r="BW834" s="2">
        <f>IF(Wapato_Inventory[[#This Row],[decade]]="",1,_xlfn.IFNA(VLOOKUP(Wapato_Inventory[[#This Row],[decade]],Lookups!$F$28:$H$45,3,FALSE),1))</f>
        <v>0.93664589651353292</v>
      </c>
      <c r="BX834" s="2">
        <f>_xlfn.IFNA(VLOOKUP(Wapato_Inventory[[#This Row],[living_area_range]],Lookups!$K$28:$M$37,3,FALSE),1)</f>
        <v>0.99330894324714125</v>
      </c>
      <c r="BY834" s="2">
        <f>AVERAGE(Wapato_Inventory[[#This Row],[qual_adj]:[range_adj]])</f>
        <v>0.97328007590471566</v>
      </c>
      <c r="BZ834" s="7">
        <f>(Wapato_Inventory[[#This Row],[sum_land]]-IF(Wapato_Inventory[[#This Row],[no_utilities]]=1,12000,0))/IF(Wapato_Inventory[[#This Row],[unbuildable]]=1,2,1)</f>
        <v>53000</v>
      </c>
      <c r="CA834" s="7">
        <f>Wapato_Inventory[[#This Row],[pre_res]]*Wapato_Inventory[[#This Row],[overall_adj]]</f>
        <v>182299.38027156162</v>
      </c>
      <c r="CB83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34" s="3">
        <f>IF(ROUND(Wapato_Inventory[[#This Row],[adj_res]]*Lookups!$H$48,-2)&lt;Wapato_Inventory[[#This Row],[min_res]],Wapato_Inventory[[#This Row],[min_res]],ROUND(Wapato_Inventory[[#This Row],[adj_res]]*Lookups!$H$48,-2))</f>
        <v>173200</v>
      </c>
      <c r="CD834" s="3">
        <f>ROUND(Wapato_Inventory[[#This Row],[det_value]]*Lookups!$H$48,-2)</f>
        <v>14600</v>
      </c>
      <c r="CE834" s="3">
        <f>Wapato_Inventory[[#This Row],[final_res]]+Wapato_Inventory[[#This Row],[final_det]]</f>
        <v>187800</v>
      </c>
      <c r="CF834" s="3">
        <f>Wapato_Inventory[[#This Row],[crop_value]]+Wapato_Inventory[[#This Row],[final_land]]+Wapato_Inventory[[#This Row],[final_imp]]</f>
        <v>238200</v>
      </c>
      <c r="CH834" t="str">
        <f t="shared" ref="CH834:CH897" si="13">"update valuation set market_land ="&amp;CB834&amp;", market_bldg="&amp;CE834&amp;", market_total ="&amp;CF834&amp;", market_mdno ="&amp;$CH$1&amp;", market_date ='"&amp;TEXT($CI$1,"m/d/yyyy")&amp;"' where link_id = (select link_id from parcel where parcel_year = '2024' and parcel_id = '"&amp;A834&amp;"');"</f>
        <v>update valuation set market_land =50400, market_bldg=187800, market_total =238200, market_mdno =405, market_date ='9/10/2023' where link_id = (select link_id from parcel where parcel_year = '2024' and parcel_id = '19111514501');</v>
      </c>
    </row>
    <row r="835" spans="1:86" x14ac:dyDescent="0.25">
      <c r="A835">
        <v>19111514505</v>
      </c>
      <c r="B835">
        <v>0.15</v>
      </c>
      <c r="C835">
        <v>6696</v>
      </c>
      <c r="D835" t="s">
        <v>144</v>
      </c>
      <c r="E835" t="s">
        <v>54</v>
      </c>
      <c r="F835" t="s">
        <v>54</v>
      </c>
      <c r="G835">
        <v>3</v>
      </c>
      <c r="H835" t="s">
        <v>55</v>
      </c>
      <c r="I835">
        <v>200300</v>
      </c>
      <c r="J835">
        <v>32300</v>
      </c>
      <c r="K835">
        <v>0.15</v>
      </c>
      <c r="L835">
        <f>IF(Wapato_Inventory[[#This Row],[parcel_acres]]-Wapato_Inventory[[#This Row],[non_valued_acres]] =0,0,LN(Wapato_Inventory[[#This Row],[parcel_acres]]-Wapato_Inventory[[#This Row],[non_valued_acres]]))</f>
        <v>-1.8971199848858813</v>
      </c>
      <c r="M835">
        <v>0</v>
      </c>
      <c r="N835">
        <v>0</v>
      </c>
      <c r="O835">
        <v>0</v>
      </c>
      <c r="P835">
        <v>27904.037</v>
      </c>
      <c r="Q835">
        <v>74398</v>
      </c>
      <c r="R835" s="3">
        <f>(Wapato_Inventory[[#This Row],[ln_acres]]*Wapato_Inventory[[#This Row],[coeff]])+Wapato_Inventory[[#This Row],[const]]</f>
        <v>21460.693748304926</v>
      </c>
      <c r="S835" t="s">
        <v>56</v>
      </c>
      <c r="T835">
        <v>2</v>
      </c>
      <c r="U835" t="s">
        <v>63</v>
      </c>
      <c r="V835" t="s">
        <v>69</v>
      </c>
      <c r="W835">
        <v>0</v>
      </c>
      <c r="X835">
        <v>0</v>
      </c>
      <c r="Y835">
        <v>65</v>
      </c>
      <c r="Z835">
        <v>113</v>
      </c>
      <c r="AA835">
        <v>120</v>
      </c>
      <c r="AB835">
        <v>2500</v>
      </c>
      <c r="AC835">
        <v>2104</v>
      </c>
      <c r="AD835">
        <v>1200</v>
      </c>
      <c r="AE835">
        <v>400</v>
      </c>
      <c r="AF835">
        <v>0</v>
      </c>
      <c r="AG835">
        <v>504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288</v>
      </c>
      <c r="AN835">
        <v>160</v>
      </c>
      <c r="AO835">
        <v>288</v>
      </c>
      <c r="AP835">
        <v>12</v>
      </c>
      <c r="AQ835">
        <v>0</v>
      </c>
      <c r="AR835">
        <v>0</v>
      </c>
      <c r="AS835" t="s">
        <v>59</v>
      </c>
      <c r="AT835">
        <v>1</v>
      </c>
      <c r="AU835" t="s">
        <v>64</v>
      </c>
      <c r="AV835" t="s">
        <v>65</v>
      </c>
      <c r="AW835">
        <v>1</v>
      </c>
      <c r="AX835">
        <v>3</v>
      </c>
      <c r="AY835">
        <v>0</v>
      </c>
      <c r="AZ835">
        <v>2000</v>
      </c>
      <c r="BA835">
        <v>100</v>
      </c>
      <c r="BB835">
        <v>100</v>
      </c>
      <c r="BC835">
        <v>100</v>
      </c>
      <c r="BD835">
        <v>100</v>
      </c>
      <c r="BE835">
        <v>1</v>
      </c>
      <c r="BF835">
        <v>15000</v>
      </c>
      <c r="BG835">
        <v>1000</v>
      </c>
      <c r="BH835" s="7">
        <f>ROUND(Wapato_Inventory[[#This Row],[detatched_value]]*Lookups!$B$22*Lookups!$H$48,-2)</f>
        <v>1800</v>
      </c>
      <c r="BI835" s="7">
        <f>ROUND(((Wapato_Inventory[[#This Row],[land_extract]]*Lookups!$B$3) +(Lookups!$B$2*0.5))*Lookups!$H$48,-2)</f>
        <v>53100</v>
      </c>
      <c r="BJ835" s="7">
        <f>IF(Wapato_Inventory[[#This Row],[bldg_style]]="",0,Lookups!$B$2*0.5)</f>
        <v>53765.27</v>
      </c>
      <c r="BK835" s="7">
        <f>_xlfn.IFNA(VLOOKUP(Wapato_Inventory[[#This Row],[quality]],Lookups!$H$2:$J$14,3,FALSE),0)</f>
        <v>50594</v>
      </c>
      <c r="BL835" s="7">
        <f>_xlfn.IFNA(VLOOKUP(Wapato_Inventory[[#This Row],[condition]],Lookups!$H$17:$J$24,3,FALSE),0)</f>
        <v>74543</v>
      </c>
      <c r="BM835" s="7">
        <f>Wapato_Inventory[[#This Row],[Age]]*Lookups!$B$16</f>
        <v>-41886.354100000004</v>
      </c>
      <c r="BN835" s="7">
        <f>Wapato_Inventory[[#This Row],[Main Floor]]*Lookups!$B$17</f>
        <v>50160.8868</v>
      </c>
      <c r="BO835" s="7">
        <f>Wapato_Inventory[[#This Row],[Upper Floor]]*Lookups!$B$18</f>
        <v>19840.455600000001</v>
      </c>
      <c r="BP835" s="7">
        <f>Wapato_Inventory[[#This Row],[Fin BSMT]]*Lookups!$B$19</f>
        <v>12280.836960000001</v>
      </c>
      <c r="BQ835" s="7">
        <f>(Wapato_Inventory[[#This Row],[att_gar]]+Wapato_Inventory[[#This Row],[blt_gar]])*Lookups!$B$20</f>
        <v>0</v>
      </c>
      <c r="BR835" s="7">
        <f>Wapato_Inventory[[#This Row],[Patio]]*Lookups!$B$21</f>
        <v>12477.305952000001</v>
      </c>
      <c r="BS835" s="7">
        <f>SUM(Wapato_Inventory[[#This Row],[intercept]:[patio_value]])*Wapato_Inventory[[#This Row],[res_pct]]</f>
        <v>231775.40121199997</v>
      </c>
      <c r="BT835" s="7">
        <f>Wapato_Inventory[[#This Row],[land_value]]</f>
        <v>53100</v>
      </c>
      <c r="BU835" s="2">
        <f>_xlfn.IFNA(VLOOKUP(Wapato_Inventory[[#This Row],[quality]],Lookups!$A$28:$C$37,3,FALSE),1)</f>
        <v>0.99197423394367223</v>
      </c>
      <c r="BV835" s="2">
        <f>_xlfn.IFNA(VLOOKUP(Wapato_Inventory[[#This Row],[condition]],Lookups!$A$41:$C$48,3,FALSE),1)</f>
        <v>0.98442438223270734</v>
      </c>
      <c r="BW835" s="2">
        <f>IF(Wapato_Inventory[[#This Row],[decade]]="",1,_xlfn.IFNA(VLOOKUP(Wapato_Inventory[[#This Row],[decade]],Lookups!$F$28:$H$45,3,FALSE),1))</f>
        <v>0.93664589651353292</v>
      </c>
      <c r="BX835" s="2">
        <f>_xlfn.IFNA(VLOOKUP(Wapato_Inventory[[#This Row],[living_area_range]],Lookups!$K$28:$M$37,3,FALSE),1)</f>
        <v>0.90813907160181651</v>
      </c>
      <c r="BY835" s="2">
        <f>AVERAGE(Wapato_Inventory[[#This Row],[qual_adj]:[range_adj]])</f>
        <v>0.9552958960729323</v>
      </c>
      <c r="BZ835" s="7">
        <f>(Wapato_Inventory[[#This Row],[sum_land]]-IF(Wapato_Inventory[[#This Row],[no_utilities]]=1,12000,0))/IF(Wapato_Inventory[[#This Row],[unbuildable]]=1,2,1)</f>
        <v>53100</v>
      </c>
      <c r="CA835" s="7">
        <f>Wapato_Inventory[[#This Row],[pre_res]]*Wapato_Inventory[[#This Row],[overall_adj]]</f>
        <v>221414.08958848091</v>
      </c>
      <c r="CB83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35" s="3">
        <f>IF(ROUND(Wapato_Inventory[[#This Row],[adj_res]]*Lookups!$H$48,-2)&lt;Wapato_Inventory[[#This Row],[min_res]],Wapato_Inventory[[#This Row],[min_res]],ROUND(Wapato_Inventory[[#This Row],[adj_res]]*Lookups!$H$48,-2))</f>
        <v>210300</v>
      </c>
      <c r="CD835" s="3">
        <f>ROUND(Wapato_Inventory[[#This Row],[det_value]]*Lookups!$H$48,-2)</f>
        <v>1700</v>
      </c>
      <c r="CE835" s="3">
        <f>Wapato_Inventory[[#This Row],[final_res]]+Wapato_Inventory[[#This Row],[final_det]]</f>
        <v>212000</v>
      </c>
      <c r="CF835" s="3">
        <f>Wapato_Inventory[[#This Row],[crop_value]]+Wapato_Inventory[[#This Row],[final_land]]+Wapato_Inventory[[#This Row],[final_imp]]</f>
        <v>262400</v>
      </c>
      <c r="CH835" t="str">
        <f t="shared" si="13"/>
        <v>update valuation set market_land =50400, market_bldg=212000, market_total =262400, market_mdno =405, market_date ='9/10/2023' where link_id = (select link_id from parcel where parcel_year = '2024' and parcel_id = '19111514505');</v>
      </c>
    </row>
    <row r="836" spans="1:86" x14ac:dyDescent="0.25">
      <c r="A836">
        <v>19111514506</v>
      </c>
      <c r="B836">
        <v>0.14000000000000001</v>
      </c>
      <c r="C836">
        <v>6028</v>
      </c>
      <c r="D836" t="s">
        <v>144</v>
      </c>
      <c r="E836" t="s">
        <v>54</v>
      </c>
      <c r="F836" t="s">
        <v>54</v>
      </c>
      <c r="G836">
        <v>3</v>
      </c>
      <c r="H836" t="s">
        <v>55</v>
      </c>
      <c r="I836">
        <v>106300</v>
      </c>
      <c r="J836">
        <v>31900</v>
      </c>
      <c r="K836">
        <v>0.14000000000000001</v>
      </c>
      <c r="L836">
        <f>IF(Wapato_Inventory[[#This Row],[parcel_acres]]-Wapato_Inventory[[#This Row],[non_valued_acres]] =0,0,LN(Wapato_Inventory[[#This Row],[parcel_acres]]-Wapato_Inventory[[#This Row],[non_valued_acres]]))</f>
        <v>-1.9661128563728327</v>
      </c>
      <c r="M836">
        <v>0</v>
      </c>
      <c r="N836">
        <v>0</v>
      </c>
      <c r="O836">
        <v>0</v>
      </c>
      <c r="P836">
        <v>27904.037</v>
      </c>
      <c r="Q836">
        <v>74398</v>
      </c>
      <c r="R836" s="3">
        <f>(Wapato_Inventory[[#This Row],[ln_acres]]*Wapato_Inventory[[#This Row],[coeff]])+Wapato_Inventory[[#This Row],[const]]</f>
        <v>19535.514109596792</v>
      </c>
      <c r="S836" t="s">
        <v>56</v>
      </c>
      <c r="T836">
        <v>2</v>
      </c>
      <c r="U836" t="s">
        <v>75</v>
      </c>
      <c r="V836" t="s">
        <v>73</v>
      </c>
      <c r="W836">
        <v>0</v>
      </c>
      <c r="X836">
        <v>0</v>
      </c>
      <c r="Y836">
        <v>65</v>
      </c>
      <c r="Z836">
        <v>113</v>
      </c>
      <c r="AA836">
        <v>120</v>
      </c>
      <c r="AB836">
        <v>1500</v>
      </c>
      <c r="AC836">
        <v>1314</v>
      </c>
      <c r="AD836">
        <v>964</v>
      </c>
      <c r="AE836">
        <v>350</v>
      </c>
      <c r="AF836">
        <v>0</v>
      </c>
      <c r="AG836">
        <v>0</v>
      </c>
      <c r="AH836">
        <v>482</v>
      </c>
      <c r="AI836">
        <v>0</v>
      </c>
      <c r="AJ836">
        <v>0</v>
      </c>
      <c r="AK836">
        <v>0</v>
      </c>
      <c r="AL836">
        <v>0</v>
      </c>
      <c r="AM836">
        <v>0</v>
      </c>
      <c r="AN836">
        <v>224</v>
      </c>
      <c r="AO836">
        <v>0</v>
      </c>
      <c r="AP836">
        <v>8</v>
      </c>
      <c r="AQ836">
        <v>0</v>
      </c>
      <c r="AR836">
        <v>0</v>
      </c>
      <c r="AS836" t="s">
        <v>59</v>
      </c>
      <c r="AT836">
        <v>1</v>
      </c>
      <c r="AU836" t="s">
        <v>64</v>
      </c>
      <c r="AV836" t="s">
        <v>65</v>
      </c>
      <c r="AW836">
        <v>0</v>
      </c>
      <c r="AX836">
        <v>3</v>
      </c>
      <c r="AY836">
        <v>0</v>
      </c>
      <c r="AZ836">
        <v>0</v>
      </c>
      <c r="BA836">
        <v>100</v>
      </c>
      <c r="BB836">
        <v>100</v>
      </c>
      <c r="BC836">
        <v>100</v>
      </c>
      <c r="BD836">
        <v>100</v>
      </c>
      <c r="BE836">
        <v>1</v>
      </c>
      <c r="BF836">
        <v>15000</v>
      </c>
      <c r="BG836">
        <v>1000</v>
      </c>
      <c r="BH836" s="7">
        <f>ROUND(Wapato_Inventory[[#This Row],[detatched_value]]*Lookups!$B$22*Lookups!$H$48,-2)</f>
        <v>0</v>
      </c>
      <c r="BI836" s="7">
        <f>ROUND(((Wapato_Inventory[[#This Row],[land_extract]]*Lookups!$B$3) +(Lookups!$B$2*0.5))*Lookups!$H$48,-2)</f>
        <v>53000</v>
      </c>
      <c r="BJ836" s="7">
        <f>IF(Wapato_Inventory[[#This Row],[bldg_style]]="",0,Lookups!$B$2*0.5)</f>
        <v>53765.27</v>
      </c>
      <c r="BK836" s="7">
        <f>_xlfn.IFNA(VLOOKUP(Wapato_Inventory[[#This Row],[quality]],Lookups!$H$2:$J$14,3,FALSE),0)</f>
        <v>48043</v>
      </c>
      <c r="BL836" s="7">
        <f>_xlfn.IFNA(VLOOKUP(Wapato_Inventory[[#This Row],[condition]],Lookups!$H$17:$J$24,3,FALSE),0)</f>
        <v>16276</v>
      </c>
      <c r="BM836" s="7">
        <f>Wapato_Inventory[[#This Row],[Age]]*Lookups!$B$16</f>
        <v>-41886.354100000004</v>
      </c>
      <c r="BN836" s="7">
        <f>Wapato_Inventory[[#This Row],[Main Floor]]*Lookups!$B$17</f>
        <v>40295.912396</v>
      </c>
      <c r="BO836" s="7">
        <f>Wapato_Inventory[[#This Row],[Upper Floor]]*Lookups!$B$18</f>
        <v>17360.398650000003</v>
      </c>
      <c r="BP836" s="7">
        <f>Wapato_Inventory[[#This Row],[Fin BSMT]]*Lookups!$B$19</f>
        <v>0</v>
      </c>
      <c r="BQ836" s="7">
        <f>(Wapato_Inventory[[#This Row],[att_gar]]+Wapato_Inventory[[#This Row],[blt_gar]])*Lookups!$B$20</f>
        <v>0</v>
      </c>
      <c r="BR836" s="7">
        <f>Wapato_Inventory[[#This Row],[Patio]]*Lookups!$B$21</f>
        <v>0</v>
      </c>
      <c r="BS836" s="7">
        <f>SUM(Wapato_Inventory[[#This Row],[intercept]:[patio_value]])*Wapato_Inventory[[#This Row],[res_pct]]</f>
        <v>133854.22694600001</v>
      </c>
      <c r="BT836" s="7">
        <f>Wapato_Inventory[[#This Row],[land_value]]</f>
        <v>53000</v>
      </c>
      <c r="BU836" s="2">
        <f>_xlfn.IFNA(VLOOKUP(Wapato_Inventory[[#This Row],[quality]],Lookups!$A$28:$C$37,3,FALSE),1)</f>
        <v>0.98196844879778955</v>
      </c>
      <c r="BV836" s="2">
        <f>_xlfn.IFNA(VLOOKUP(Wapato_Inventory[[#This Row],[condition]],Lookups!$A$41:$C$48,3,FALSE),1)</f>
        <v>0.93399385491337139</v>
      </c>
      <c r="BW836" s="2">
        <f>IF(Wapato_Inventory[[#This Row],[decade]]="",1,_xlfn.IFNA(VLOOKUP(Wapato_Inventory[[#This Row],[decade]],Lookups!$F$28:$H$45,3,FALSE),1))</f>
        <v>0.93664589651353292</v>
      </c>
      <c r="BX836" s="2">
        <f>_xlfn.IFNA(VLOOKUP(Wapato_Inventory[[#This Row],[living_area_range]],Lookups!$K$28:$M$37,3,FALSE),1)</f>
        <v>1.0061411172456287</v>
      </c>
      <c r="BY836" s="2">
        <f>AVERAGE(Wapato_Inventory[[#This Row],[qual_adj]:[range_adj]])</f>
        <v>0.96468732936758061</v>
      </c>
      <c r="BZ836" s="7">
        <f>(Wapato_Inventory[[#This Row],[sum_land]]-IF(Wapato_Inventory[[#This Row],[no_utilities]]=1,12000,0))/IF(Wapato_Inventory[[#This Row],[unbuildable]]=1,2,1)</f>
        <v>53000</v>
      </c>
      <c r="CA836" s="7">
        <f>Wapato_Inventory[[#This Row],[pre_res]]*Wapato_Inventory[[#This Row],[overall_adj]]</f>
        <v>129127.47671709879</v>
      </c>
      <c r="CB83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36" s="3">
        <f>IF(ROUND(Wapato_Inventory[[#This Row],[adj_res]]*Lookups!$H$48,-2)&lt;Wapato_Inventory[[#This Row],[min_res]],Wapato_Inventory[[#This Row],[min_res]],ROUND(Wapato_Inventory[[#This Row],[adj_res]]*Lookups!$H$48,-2))</f>
        <v>122700</v>
      </c>
      <c r="CD836" s="3">
        <f>ROUND(Wapato_Inventory[[#This Row],[det_value]]*Lookups!$H$48,-2)</f>
        <v>0</v>
      </c>
      <c r="CE836" s="3">
        <f>Wapato_Inventory[[#This Row],[final_res]]+Wapato_Inventory[[#This Row],[final_det]]</f>
        <v>122700</v>
      </c>
      <c r="CF836" s="3">
        <f>Wapato_Inventory[[#This Row],[crop_value]]+Wapato_Inventory[[#This Row],[final_land]]+Wapato_Inventory[[#This Row],[final_imp]]</f>
        <v>173100</v>
      </c>
      <c r="CH836" t="str">
        <f t="shared" si="13"/>
        <v>update valuation set market_land =50400, market_bldg=122700, market_total =173100, market_mdno =405, market_date ='9/10/2023' where link_id = (select link_id from parcel where parcel_year = '2024' and parcel_id = '19111514506');</v>
      </c>
    </row>
    <row r="837" spans="1:86" x14ac:dyDescent="0.25">
      <c r="A837">
        <v>19111514507</v>
      </c>
      <c r="B837">
        <v>0.16</v>
      </c>
      <c r="C837">
        <v>6825</v>
      </c>
      <c r="D837" t="s">
        <v>144</v>
      </c>
      <c r="E837" t="s">
        <v>54</v>
      </c>
      <c r="F837" t="s">
        <v>54</v>
      </c>
      <c r="G837">
        <v>3</v>
      </c>
      <c r="H837" t="s">
        <v>55</v>
      </c>
      <c r="I837">
        <v>145300</v>
      </c>
      <c r="J837">
        <v>32800</v>
      </c>
      <c r="K837">
        <v>0.16</v>
      </c>
      <c r="L837">
        <f>IF(Wapato_Inventory[[#This Row],[parcel_acres]]-Wapato_Inventory[[#This Row],[non_valued_acres]] =0,0,LN(Wapato_Inventory[[#This Row],[parcel_acres]]-Wapato_Inventory[[#This Row],[non_valued_acres]]))</f>
        <v>-1.8325814637483102</v>
      </c>
      <c r="M837">
        <v>0</v>
      </c>
      <c r="N837">
        <v>0</v>
      </c>
      <c r="O837">
        <v>0</v>
      </c>
      <c r="P837">
        <v>27904.037</v>
      </c>
      <c r="Q837">
        <v>74398</v>
      </c>
      <c r="R837" s="3">
        <f>(Wapato_Inventory[[#This Row],[ln_acres]]*Wapato_Inventory[[#This Row],[coeff]])+Wapato_Inventory[[#This Row],[const]]</f>
        <v>23261.579030052992</v>
      </c>
      <c r="S837" t="s">
        <v>66</v>
      </c>
      <c r="T837">
        <v>1</v>
      </c>
      <c r="U837" t="s">
        <v>75</v>
      </c>
      <c r="V837" t="s">
        <v>68</v>
      </c>
      <c r="W837">
        <v>0</v>
      </c>
      <c r="X837">
        <v>0</v>
      </c>
      <c r="Y837">
        <v>57</v>
      </c>
      <c r="Z837">
        <v>103</v>
      </c>
      <c r="AA837">
        <v>110</v>
      </c>
      <c r="AB837">
        <v>1500</v>
      </c>
      <c r="AC837">
        <v>1224</v>
      </c>
      <c r="AD837">
        <v>1224</v>
      </c>
      <c r="AE837">
        <v>0</v>
      </c>
      <c r="AF837">
        <v>0</v>
      </c>
      <c r="AG837">
        <v>0</v>
      </c>
      <c r="AH837">
        <v>180</v>
      </c>
      <c r="AI837">
        <v>0</v>
      </c>
      <c r="AJ837">
        <v>0</v>
      </c>
      <c r="AK837">
        <v>0</v>
      </c>
      <c r="AL837">
        <v>0</v>
      </c>
      <c r="AM837">
        <v>0</v>
      </c>
      <c r="AN837">
        <v>0</v>
      </c>
      <c r="AO837">
        <v>0</v>
      </c>
      <c r="AP837">
        <v>5</v>
      </c>
      <c r="AQ837">
        <v>0</v>
      </c>
      <c r="AR837">
        <v>0</v>
      </c>
      <c r="AS837" t="s">
        <v>59</v>
      </c>
      <c r="AT837">
        <v>1</v>
      </c>
      <c r="AU837" t="s">
        <v>64</v>
      </c>
      <c r="AV837" t="s">
        <v>65</v>
      </c>
      <c r="AW837">
        <v>0</v>
      </c>
      <c r="AX837">
        <v>2</v>
      </c>
      <c r="AY837">
        <v>0</v>
      </c>
      <c r="AZ837">
        <v>2900</v>
      </c>
      <c r="BA837">
        <v>100</v>
      </c>
      <c r="BB837">
        <v>100</v>
      </c>
      <c r="BC837">
        <v>100</v>
      </c>
      <c r="BD837">
        <v>100</v>
      </c>
      <c r="BE837">
        <v>1</v>
      </c>
      <c r="BF837">
        <v>15000</v>
      </c>
      <c r="BG837">
        <v>1000</v>
      </c>
      <c r="BH837" s="7">
        <f>ROUND(Wapato_Inventory[[#This Row],[detatched_value]]*Lookups!$B$22*Lookups!$H$48,-2)</f>
        <v>2600</v>
      </c>
      <c r="BI837" s="7">
        <f>ROUND(((Wapato_Inventory[[#This Row],[land_extract]]*Lookups!$B$3) +(Lookups!$B$2*0.5))*Lookups!$H$48,-2)</f>
        <v>53300</v>
      </c>
      <c r="BJ837" s="7">
        <f>IF(Wapato_Inventory[[#This Row],[bldg_style]]="",0,Lookups!$B$2*0.5)</f>
        <v>53765.27</v>
      </c>
      <c r="BK837" s="7">
        <f>_xlfn.IFNA(VLOOKUP(Wapato_Inventory[[#This Row],[quality]],Lookups!$H$2:$J$14,3,FALSE),0)</f>
        <v>48043</v>
      </c>
      <c r="BL837" s="7">
        <f>_xlfn.IFNA(VLOOKUP(Wapato_Inventory[[#This Row],[condition]],Lookups!$H$17:$J$24,3,FALSE),0)</f>
        <v>52231</v>
      </c>
      <c r="BM837" s="7">
        <f>Wapato_Inventory[[#This Row],[Age]]*Lookups!$B$16</f>
        <v>-38179.597099999999</v>
      </c>
      <c r="BN837" s="7">
        <f>Wapato_Inventory[[#This Row],[Main Floor]]*Lookups!$B$17</f>
        <v>51164.104535999999</v>
      </c>
      <c r="BO837" s="7">
        <f>Wapato_Inventory[[#This Row],[Upper Floor]]*Lookups!$B$18</f>
        <v>0</v>
      </c>
      <c r="BP837" s="7">
        <f>Wapato_Inventory[[#This Row],[Fin BSMT]]*Lookups!$B$19</f>
        <v>0</v>
      </c>
      <c r="BQ837" s="7">
        <f>(Wapato_Inventory[[#This Row],[att_gar]]+Wapato_Inventory[[#This Row],[blt_gar]])*Lookups!$B$20</f>
        <v>0</v>
      </c>
      <c r="BR837" s="7">
        <f>Wapato_Inventory[[#This Row],[Patio]]*Lookups!$B$21</f>
        <v>0</v>
      </c>
      <c r="BS837" s="7">
        <f>SUM(Wapato_Inventory[[#This Row],[intercept]:[patio_value]])*Wapato_Inventory[[#This Row],[res_pct]]</f>
        <v>167023.777436</v>
      </c>
      <c r="BT837" s="7">
        <f>Wapato_Inventory[[#This Row],[land_value]]</f>
        <v>53300</v>
      </c>
      <c r="BU837" s="2">
        <f>_xlfn.IFNA(VLOOKUP(Wapato_Inventory[[#This Row],[quality]],Lookups!$A$28:$C$37,3,FALSE),1)</f>
        <v>0.98196844879778955</v>
      </c>
      <c r="BV837" s="2">
        <f>_xlfn.IFNA(VLOOKUP(Wapato_Inventory[[#This Row],[condition]],Lookups!$A$41:$C$48,3,FALSE),1)</f>
        <v>0.9832333997567807</v>
      </c>
      <c r="BW837" s="2">
        <f>IF(Wapato_Inventory[[#This Row],[decade]]="",1,_xlfn.IFNA(VLOOKUP(Wapato_Inventory[[#This Row],[decade]],Lookups!$F$28:$H$45,3,FALSE),1))</f>
        <v>0.93664589651353292</v>
      </c>
      <c r="BX837" s="2">
        <f>_xlfn.IFNA(VLOOKUP(Wapato_Inventory[[#This Row],[living_area_range]],Lookups!$K$28:$M$37,3,FALSE),1)</f>
        <v>1.0061411172456287</v>
      </c>
      <c r="BY837" s="2">
        <f>AVERAGE(Wapato_Inventory[[#This Row],[qual_adj]:[range_adj]])</f>
        <v>0.976997215578433</v>
      </c>
      <c r="BZ837" s="7">
        <f>(Wapato_Inventory[[#This Row],[sum_land]]-IF(Wapato_Inventory[[#This Row],[no_utilities]]=1,12000,0))/IF(Wapato_Inventory[[#This Row],[unbuildable]]=1,2,1)</f>
        <v>53300</v>
      </c>
      <c r="CA837" s="7">
        <f>Wapato_Inventory[[#This Row],[pre_res]]*Wapato_Inventory[[#This Row],[overall_adj]]</f>
        <v>163181.7654903639</v>
      </c>
      <c r="CB837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837" s="3">
        <f>IF(ROUND(Wapato_Inventory[[#This Row],[adj_res]]*Lookups!$H$48,-2)&lt;Wapato_Inventory[[#This Row],[min_res]],Wapato_Inventory[[#This Row],[min_res]],ROUND(Wapato_Inventory[[#This Row],[adj_res]]*Lookups!$H$48,-2))</f>
        <v>155000</v>
      </c>
      <c r="CD837" s="3">
        <f>ROUND(Wapato_Inventory[[#This Row],[det_value]]*Lookups!$H$48,-2)</f>
        <v>2500</v>
      </c>
      <c r="CE837" s="3">
        <f>Wapato_Inventory[[#This Row],[final_res]]+Wapato_Inventory[[#This Row],[final_det]]</f>
        <v>157500</v>
      </c>
      <c r="CF837" s="3">
        <f>Wapato_Inventory[[#This Row],[crop_value]]+Wapato_Inventory[[#This Row],[final_land]]+Wapato_Inventory[[#This Row],[final_imp]]</f>
        <v>208100</v>
      </c>
      <c r="CH837" t="str">
        <f t="shared" si="13"/>
        <v>update valuation set market_land =50600, market_bldg=157500, market_total =208100, market_mdno =405, market_date ='9/10/2023' where link_id = (select link_id from parcel where parcel_year = '2024' and parcel_id = '19111514507');</v>
      </c>
    </row>
    <row r="838" spans="1:86" x14ac:dyDescent="0.25">
      <c r="A838">
        <v>19111514508</v>
      </c>
      <c r="B838">
        <v>0.14000000000000001</v>
      </c>
      <c r="C838">
        <v>6192</v>
      </c>
      <c r="D838" t="s">
        <v>144</v>
      </c>
      <c r="E838" t="s">
        <v>54</v>
      </c>
      <c r="F838" t="s">
        <v>54</v>
      </c>
      <c r="G838">
        <v>3</v>
      </c>
      <c r="H838" t="s">
        <v>55</v>
      </c>
      <c r="I838">
        <v>131700</v>
      </c>
      <c r="J838">
        <v>31900</v>
      </c>
      <c r="K838">
        <v>0.14000000000000001</v>
      </c>
      <c r="L838">
        <f>IF(Wapato_Inventory[[#This Row],[parcel_acres]]-Wapato_Inventory[[#This Row],[non_valued_acres]] =0,0,LN(Wapato_Inventory[[#This Row],[parcel_acres]]-Wapato_Inventory[[#This Row],[non_valued_acres]]))</f>
        <v>-1.9661128563728327</v>
      </c>
      <c r="M838">
        <v>0</v>
      </c>
      <c r="N838">
        <v>0</v>
      </c>
      <c r="O838">
        <v>0</v>
      </c>
      <c r="P838">
        <v>27904.037</v>
      </c>
      <c r="Q838">
        <v>74398</v>
      </c>
      <c r="R838" s="3">
        <f>(Wapato_Inventory[[#This Row],[ln_acres]]*Wapato_Inventory[[#This Row],[coeff]])+Wapato_Inventory[[#This Row],[const]]</f>
        <v>19535.514109596792</v>
      </c>
      <c r="S838" t="s">
        <v>56</v>
      </c>
      <c r="T838">
        <v>2</v>
      </c>
      <c r="U838" t="s">
        <v>78</v>
      </c>
      <c r="V838" t="s">
        <v>68</v>
      </c>
      <c r="W838">
        <v>0</v>
      </c>
      <c r="X838">
        <v>0</v>
      </c>
      <c r="Y838">
        <v>65</v>
      </c>
      <c r="Z838">
        <v>113</v>
      </c>
      <c r="AA838">
        <v>120</v>
      </c>
      <c r="AB838">
        <v>1500</v>
      </c>
      <c r="AC838">
        <v>1324</v>
      </c>
      <c r="AD838">
        <v>1024</v>
      </c>
      <c r="AE838">
        <v>300</v>
      </c>
      <c r="AF838">
        <v>0</v>
      </c>
      <c r="AG838">
        <v>0</v>
      </c>
      <c r="AH838">
        <v>0</v>
      </c>
      <c r="AI838">
        <v>0</v>
      </c>
      <c r="AJ838">
        <v>0</v>
      </c>
      <c r="AK838">
        <v>432</v>
      </c>
      <c r="AL838">
        <v>0</v>
      </c>
      <c r="AM838">
        <v>0</v>
      </c>
      <c r="AN838">
        <v>0</v>
      </c>
      <c r="AO838">
        <v>0</v>
      </c>
      <c r="AP838">
        <v>8</v>
      </c>
      <c r="AQ838">
        <v>1</v>
      </c>
      <c r="AR838">
        <v>0</v>
      </c>
      <c r="AS838" t="s">
        <v>59</v>
      </c>
      <c r="AT838">
        <v>0</v>
      </c>
      <c r="AU838" t="s">
        <v>80</v>
      </c>
      <c r="AV838" t="s">
        <v>65</v>
      </c>
      <c r="AW838">
        <v>0</v>
      </c>
      <c r="AX838">
        <v>3</v>
      </c>
      <c r="AY838">
        <v>0</v>
      </c>
      <c r="AZ838">
        <v>2600</v>
      </c>
      <c r="BA838">
        <v>100</v>
      </c>
      <c r="BB838">
        <v>100</v>
      </c>
      <c r="BC838">
        <v>100</v>
      </c>
      <c r="BD838">
        <v>100</v>
      </c>
      <c r="BE838">
        <v>1</v>
      </c>
      <c r="BF838">
        <v>15000</v>
      </c>
      <c r="BG838">
        <v>1000</v>
      </c>
      <c r="BH838" s="7">
        <f>ROUND(Wapato_Inventory[[#This Row],[detatched_value]]*Lookups!$B$22*Lookups!$H$48,-2)</f>
        <v>2300</v>
      </c>
      <c r="BI838" s="7">
        <f>ROUND(((Wapato_Inventory[[#This Row],[land_extract]]*Lookups!$B$3) +(Lookups!$B$2*0.5))*Lookups!$H$48,-2)</f>
        <v>53000</v>
      </c>
      <c r="BJ838" s="7">
        <f>IF(Wapato_Inventory[[#This Row],[bldg_style]]="",0,Lookups!$B$2*0.5)</f>
        <v>53765.27</v>
      </c>
      <c r="BK838" s="7">
        <f>_xlfn.IFNA(VLOOKUP(Wapato_Inventory[[#This Row],[quality]],Lookups!$H$2:$J$14,3,FALSE),0)</f>
        <v>23424</v>
      </c>
      <c r="BL838" s="7">
        <f>_xlfn.IFNA(VLOOKUP(Wapato_Inventory[[#This Row],[condition]],Lookups!$H$17:$J$24,3,FALSE),0)</f>
        <v>52231</v>
      </c>
      <c r="BM838" s="7">
        <f>Wapato_Inventory[[#This Row],[Age]]*Lookups!$B$16</f>
        <v>-41886.354100000004</v>
      </c>
      <c r="BN838" s="7">
        <f>Wapato_Inventory[[#This Row],[Main Floor]]*Lookups!$B$17</f>
        <v>42803.956736</v>
      </c>
      <c r="BO838" s="7">
        <f>Wapato_Inventory[[#This Row],[Upper Floor]]*Lookups!$B$18</f>
        <v>14880.341700000001</v>
      </c>
      <c r="BP838" s="7">
        <f>Wapato_Inventory[[#This Row],[Fin BSMT]]*Lookups!$B$19</f>
        <v>0</v>
      </c>
      <c r="BQ838" s="7">
        <f>(Wapato_Inventory[[#This Row],[att_gar]]+Wapato_Inventory[[#This Row],[blt_gar]])*Lookups!$B$20</f>
        <v>0</v>
      </c>
      <c r="BR838" s="7">
        <f>Wapato_Inventory[[#This Row],[Patio]]*Lookups!$B$21</f>
        <v>0</v>
      </c>
      <c r="BS838" s="7">
        <f>SUM(Wapato_Inventory[[#This Row],[intercept]:[patio_value]])*Wapato_Inventory[[#This Row],[res_pct]]</f>
        <v>145218.21433599998</v>
      </c>
      <c r="BT838" s="7">
        <f>Wapato_Inventory[[#This Row],[land_value]]</f>
        <v>53000</v>
      </c>
      <c r="BU838" s="2">
        <f>_xlfn.IFNA(VLOOKUP(Wapato_Inventory[[#This Row],[quality]],Lookups!$A$28:$C$37,3,FALSE),1)</f>
        <v>1.0091195562373767</v>
      </c>
      <c r="BV838" s="2">
        <f>_xlfn.IFNA(VLOOKUP(Wapato_Inventory[[#This Row],[condition]],Lookups!$A$41:$C$48,3,FALSE),1)</f>
        <v>0.9832333997567807</v>
      </c>
      <c r="BW838" s="2">
        <f>IF(Wapato_Inventory[[#This Row],[decade]]="",1,_xlfn.IFNA(VLOOKUP(Wapato_Inventory[[#This Row],[decade]],Lookups!$F$28:$H$45,3,FALSE),1))</f>
        <v>0.93664589651353292</v>
      </c>
      <c r="BX838" s="2">
        <f>_xlfn.IFNA(VLOOKUP(Wapato_Inventory[[#This Row],[living_area_range]],Lookups!$K$28:$M$37,3,FALSE),1)</f>
        <v>1.0061411172456287</v>
      </c>
      <c r="BY838" s="2">
        <f>AVERAGE(Wapato_Inventory[[#This Row],[qual_adj]:[range_adj]])</f>
        <v>0.98378499243832973</v>
      </c>
      <c r="BZ838" s="7">
        <f>(Wapato_Inventory[[#This Row],[sum_land]]-IF(Wapato_Inventory[[#This Row],[no_utilities]]=1,12000,0))/IF(Wapato_Inventory[[#This Row],[unbuildable]]=1,2,1)</f>
        <v>53000</v>
      </c>
      <c r="CA838" s="7">
        <f>Wapato_Inventory[[#This Row],[pre_res]]*Wapato_Inventory[[#This Row],[overall_adj]]</f>
        <v>142863.49989244947</v>
      </c>
      <c r="CB83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38" s="3">
        <f>IF(ROUND(Wapato_Inventory[[#This Row],[adj_res]]*Lookups!$H$48,-2)&lt;Wapato_Inventory[[#This Row],[min_res]],Wapato_Inventory[[#This Row],[min_res]],ROUND(Wapato_Inventory[[#This Row],[adj_res]]*Lookups!$H$48,-2))</f>
        <v>135700</v>
      </c>
      <c r="CD838" s="3">
        <f>ROUND(Wapato_Inventory[[#This Row],[det_value]]*Lookups!$H$48,-2)</f>
        <v>2200</v>
      </c>
      <c r="CE838" s="3">
        <f>Wapato_Inventory[[#This Row],[final_res]]+Wapato_Inventory[[#This Row],[final_det]]</f>
        <v>137900</v>
      </c>
      <c r="CF838" s="3">
        <f>Wapato_Inventory[[#This Row],[crop_value]]+Wapato_Inventory[[#This Row],[final_land]]+Wapato_Inventory[[#This Row],[final_imp]]</f>
        <v>188300</v>
      </c>
      <c r="CH838" t="str">
        <f t="shared" si="13"/>
        <v>update valuation set market_land =50400, market_bldg=137900, market_total =188300, market_mdno =405, market_date ='9/10/2023' where link_id = (select link_id from parcel where parcel_year = '2024' and parcel_id = '19111514508');</v>
      </c>
    </row>
    <row r="839" spans="1:86" x14ac:dyDescent="0.25">
      <c r="A839">
        <v>19111514509</v>
      </c>
      <c r="B839">
        <v>0.13</v>
      </c>
      <c r="C839">
        <v>5859</v>
      </c>
      <c r="D839" t="s">
        <v>144</v>
      </c>
      <c r="E839" t="s">
        <v>54</v>
      </c>
      <c r="F839" t="s">
        <v>54</v>
      </c>
      <c r="G839">
        <v>3</v>
      </c>
      <c r="H839" t="s">
        <v>55</v>
      </c>
      <c r="I839">
        <v>106000</v>
      </c>
      <c r="J839">
        <v>31400</v>
      </c>
      <c r="K839">
        <v>0.13</v>
      </c>
      <c r="L839">
        <f>IF(Wapato_Inventory[[#This Row],[parcel_acres]]-Wapato_Inventory[[#This Row],[non_valued_acres]] =0,0,LN(Wapato_Inventory[[#This Row],[parcel_acres]]-Wapato_Inventory[[#This Row],[non_valued_acres]]))</f>
        <v>-2.0402208285265546</v>
      </c>
      <c r="M839">
        <v>0</v>
      </c>
      <c r="N839">
        <v>0</v>
      </c>
      <c r="O839">
        <v>0</v>
      </c>
      <c r="P839">
        <v>27904.037</v>
      </c>
      <c r="Q839">
        <v>74398</v>
      </c>
      <c r="R839" s="3">
        <f>(Wapato_Inventory[[#This Row],[ln_acres]]*Wapato_Inventory[[#This Row],[coeff]])+Wapato_Inventory[[#This Row],[const]]</f>
        <v>17467.602512624362</v>
      </c>
      <c r="S839" t="s">
        <v>56</v>
      </c>
      <c r="T839">
        <v>1</v>
      </c>
      <c r="U839" t="s">
        <v>71</v>
      </c>
      <c r="V839" t="s">
        <v>73</v>
      </c>
      <c r="W839">
        <v>0</v>
      </c>
      <c r="X839">
        <v>0</v>
      </c>
      <c r="Y839">
        <v>53</v>
      </c>
      <c r="Z839">
        <v>93</v>
      </c>
      <c r="AA839">
        <v>100</v>
      </c>
      <c r="AB839">
        <v>2000</v>
      </c>
      <c r="AC839">
        <v>1834</v>
      </c>
      <c r="AD839">
        <v>1444</v>
      </c>
      <c r="AE839">
        <v>0</v>
      </c>
      <c r="AF839">
        <v>0</v>
      </c>
      <c r="AG839">
        <v>390</v>
      </c>
      <c r="AH839">
        <v>390</v>
      </c>
      <c r="AI839">
        <v>0</v>
      </c>
      <c r="AJ839">
        <v>0</v>
      </c>
      <c r="AK839">
        <v>520</v>
      </c>
      <c r="AL839">
        <v>0</v>
      </c>
      <c r="AM839">
        <v>72</v>
      </c>
      <c r="AN839">
        <v>120</v>
      </c>
      <c r="AO839">
        <v>72</v>
      </c>
      <c r="AP839">
        <v>5</v>
      </c>
      <c r="AQ839">
        <v>0</v>
      </c>
      <c r="AR839">
        <v>0</v>
      </c>
      <c r="AS839" t="s">
        <v>59</v>
      </c>
      <c r="AT839">
        <v>1</v>
      </c>
      <c r="AU839" t="s">
        <v>64</v>
      </c>
      <c r="AV839" t="s">
        <v>65</v>
      </c>
      <c r="AW839">
        <v>0</v>
      </c>
      <c r="AX839">
        <v>4</v>
      </c>
      <c r="AY839">
        <v>0</v>
      </c>
      <c r="AZ839">
        <v>0</v>
      </c>
      <c r="BA839">
        <v>100</v>
      </c>
      <c r="BB839">
        <v>100</v>
      </c>
      <c r="BC839">
        <v>100</v>
      </c>
      <c r="BD839">
        <v>100</v>
      </c>
      <c r="BE839">
        <v>1</v>
      </c>
      <c r="BF839">
        <v>15000</v>
      </c>
      <c r="BG839">
        <v>1000</v>
      </c>
      <c r="BH839" s="7">
        <f>ROUND(Wapato_Inventory[[#This Row],[detatched_value]]*Lookups!$B$22*Lookups!$H$48,-2)</f>
        <v>0</v>
      </c>
      <c r="BI839" s="7">
        <f>ROUND(((Wapato_Inventory[[#This Row],[land_extract]]*Lookups!$B$3) +(Lookups!$B$2*0.5))*Lookups!$H$48,-2)</f>
        <v>52800</v>
      </c>
      <c r="BJ839" s="7">
        <f>IF(Wapato_Inventory[[#This Row],[bldg_style]]="",0,Lookups!$B$2*0.5)</f>
        <v>53765.27</v>
      </c>
      <c r="BK839" s="7">
        <f>_xlfn.IFNA(VLOOKUP(Wapato_Inventory[[#This Row],[quality]],Lookups!$H$2:$J$14,3,FALSE),0)</f>
        <v>28034</v>
      </c>
      <c r="BL839" s="7">
        <f>_xlfn.IFNA(VLOOKUP(Wapato_Inventory[[#This Row],[condition]],Lookups!$H$17:$J$24,3,FALSE),0)</f>
        <v>16276</v>
      </c>
      <c r="BM839" s="7">
        <f>Wapato_Inventory[[#This Row],[Age]]*Lookups!$B$16</f>
        <v>-34472.840100000001</v>
      </c>
      <c r="BN839" s="7">
        <f>Wapato_Inventory[[#This Row],[Main Floor]]*Lookups!$B$17</f>
        <v>60360.267116000003</v>
      </c>
      <c r="BO839" s="7">
        <f>Wapato_Inventory[[#This Row],[Upper Floor]]*Lookups!$B$18</f>
        <v>0</v>
      </c>
      <c r="BP839" s="7">
        <f>Wapato_Inventory[[#This Row],[Fin BSMT]]*Lookups!$B$19</f>
        <v>9503.0285999999996</v>
      </c>
      <c r="BQ839" s="7">
        <f>(Wapato_Inventory[[#This Row],[att_gar]]+Wapato_Inventory[[#This Row],[blt_gar]])*Lookups!$B$20</f>
        <v>0</v>
      </c>
      <c r="BR839" s="7">
        <f>Wapato_Inventory[[#This Row],[Patio]]*Lookups!$B$21</f>
        <v>3119.3264880000002</v>
      </c>
      <c r="BS839" s="7">
        <f>SUM(Wapato_Inventory[[#This Row],[intercept]:[patio_value]])*Wapato_Inventory[[#This Row],[res_pct]]</f>
        <v>136585.05210399997</v>
      </c>
      <c r="BT839" s="7">
        <f>Wapato_Inventory[[#This Row],[land_value]]</f>
        <v>52800</v>
      </c>
      <c r="BU839" s="2">
        <f>_xlfn.IFNA(VLOOKUP(Wapato_Inventory[[#This Row],[quality]],Lookups!$A$28:$C$37,3,FALSE),1)</f>
        <v>0.96265813922927435</v>
      </c>
      <c r="BV839" s="2">
        <f>_xlfn.IFNA(VLOOKUP(Wapato_Inventory[[#This Row],[condition]],Lookups!$A$41:$C$48,3,FALSE),1)</f>
        <v>0.93399385491337139</v>
      </c>
      <c r="BW839" s="2">
        <f>IF(Wapato_Inventory[[#This Row],[decade]]="",1,_xlfn.IFNA(VLOOKUP(Wapato_Inventory[[#This Row],[decade]],Lookups!$F$28:$H$45,3,FALSE),1))</f>
        <v>1.0114203040664467</v>
      </c>
      <c r="BX839" s="2">
        <f>_xlfn.IFNA(VLOOKUP(Wapato_Inventory[[#This Row],[living_area_range]],Lookups!$K$28:$M$37,3,FALSE),1)</f>
        <v>0.99330894324714125</v>
      </c>
      <c r="BY839" s="2">
        <f>AVERAGE(Wapato_Inventory[[#This Row],[qual_adj]:[range_adj]])</f>
        <v>0.97534531036405847</v>
      </c>
      <c r="BZ839" s="7">
        <f>(Wapato_Inventory[[#This Row],[sum_land]]-IF(Wapato_Inventory[[#This Row],[no_utilities]]=1,12000,0))/IF(Wapato_Inventory[[#This Row],[unbuildable]]=1,2,1)</f>
        <v>52800</v>
      </c>
      <c r="CA839" s="7">
        <f>Wapato_Inventory[[#This Row],[pre_res]]*Wapato_Inventory[[#This Row],[overall_adj]]</f>
        <v>133217.59003546694</v>
      </c>
      <c r="CB839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39" s="3">
        <f>IF(ROUND(Wapato_Inventory[[#This Row],[adj_res]]*Lookups!$H$48,-2)&lt;Wapato_Inventory[[#This Row],[min_res]],Wapato_Inventory[[#This Row],[min_res]],ROUND(Wapato_Inventory[[#This Row],[adj_res]]*Lookups!$H$48,-2))</f>
        <v>126600</v>
      </c>
      <c r="CD839" s="3">
        <f>ROUND(Wapato_Inventory[[#This Row],[det_value]]*Lookups!$H$48,-2)</f>
        <v>0</v>
      </c>
      <c r="CE839" s="3">
        <f>Wapato_Inventory[[#This Row],[final_res]]+Wapato_Inventory[[#This Row],[final_det]]</f>
        <v>126600</v>
      </c>
      <c r="CF839" s="3">
        <f>Wapato_Inventory[[#This Row],[crop_value]]+Wapato_Inventory[[#This Row],[final_land]]+Wapato_Inventory[[#This Row],[final_imp]]</f>
        <v>176800</v>
      </c>
      <c r="CH839" t="str">
        <f t="shared" si="13"/>
        <v>update valuation set market_land =50200, market_bldg=126600, market_total =176800, market_mdno =405, market_date ='9/10/2023' where link_id = (select link_id from parcel where parcel_year = '2024' and parcel_id = '19111514509');</v>
      </c>
    </row>
    <row r="840" spans="1:86" x14ac:dyDescent="0.25">
      <c r="A840">
        <v>19111514510</v>
      </c>
      <c r="B840">
        <v>0.16</v>
      </c>
      <c r="C840">
        <v>6834</v>
      </c>
      <c r="D840" t="s">
        <v>144</v>
      </c>
      <c r="E840" t="s">
        <v>54</v>
      </c>
      <c r="F840" t="s">
        <v>54</v>
      </c>
      <c r="G840">
        <v>3</v>
      </c>
      <c r="H840" t="s">
        <v>55</v>
      </c>
      <c r="I840">
        <v>140500</v>
      </c>
      <c r="J840">
        <v>32800</v>
      </c>
      <c r="K840">
        <v>0.16</v>
      </c>
      <c r="L840">
        <f>IF(Wapato_Inventory[[#This Row],[parcel_acres]]-Wapato_Inventory[[#This Row],[non_valued_acres]] =0,0,LN(Wapato_Inventory[[#This Row],[parcel_acres]]-Wapato_Inventory[[#This Row],[non_valued_acres]]))</f>
        <v>-1.8325814637483102</v>
      </c>
      <c r="M840">
        <v>0</v>
      </c>
      <c r="N840">
        <v>0</v>
      </c>
      <c r="O840">
        <v>0</v>
      </c>
      <c r="P840">
        <v>27904.037</v>
      </c>
      <c r="Q840">
        <v>74398</v>
      </c>
      <c r="R840" s="3">
        <f>(Wapato_Inventory[[#This Row],[ln_acres]]*Wapato_Inventory[[#This Row],[coeff]])+Wapato_Inventory[[#This Row],[const]]</f>
        <v>23261.579030052992</v>
      </c>
      <c r="S840" t="s">
        <v>56</v>
      </c>
      <c r="T840">
        <v>2</v>
      </c>
      <c r="U840" t="s">
        <v>67</v>
      </c>
      <c r="V840" t="s">
        <v>73</v>
      </c>
      <c r="W840">
        <v>0</v>
      </c>
      <c r="X840">
        <v>0</v>
      </c>
      <c r="Y840">
        <v>52</v>
      </c>
      <c r="Z840">
        <v>88</v>
      </c>
      <c r="AA840">
        <v>90</v>
      </c>
      <c r="AB840">
        <v>2500</v>
      </c>
      <c r="AC840">
        <v>2216</v>
      </c>
      <c r="AD840">
        <v>1032</v>
      </c>
      <c r="AE840">
        <v>792</v>
      </c>
      <c r="AF840">
        <v>0</v>
      </c>
      <c r="AG840">
        <v>392</v>
      </c>
      <c r="AH840">
        <v>400</v>
      </c>
      <c r="AI840">
        <v>0</v>
      </c>
      <c r="AJ840">
        <v>0</v>
      </c>
      <c r="AK840">
        <v>368</v>
      </c>
      <c r="AL840">
        <v>0</v>
      </c>
      <c r="AM840">
        <v>256</v>
      </c>
      <c r="AN840">
        <v>144</v>
      </c>
      <c r="AO840">
        <v>256</v>
      </c>
      <c r="AP840">
        <v>8</v>
      </c>
      <c r="AQ840">
        <v>0</v>
      </c>
      <c r="AR840">
        <v>0</v>
      </c>
      <c r="AS840" t="s">
        <v>59</v>
      </c>
      <c r="AT840">
        <v>1</v>
      </c>
      <c r="AU840" t="s">
        <v>72</v>
      </c>
      <c r="AV840" t="s">
        <v>61</v>
      </c>
      <c r="AW840">
        <v>0</v>
      </c>
      <c r="AX840">
        <v>5</v>
      </c>
      <c r="AY840">
        <v>0</v>
      </c>
      <c r="AZ840">
        <v>0</v>
      </c>
      <c r="BA840">
        <v>100</v>
      </c>
      <c r="BB840">
        <v>100</v>
      </c>
      <c r="BC840">
        <v>100</v>
      </c>
      <c r="BD840">
        <v>100</v>
      </c>
      <c r="BE840">
        <v>1</v>
      </c>
      <c r="BF840">
        <v>15000</v>
      </c>
      <c r="BG840">
        <v>1000</v>
      </c>
      <c r="BH840" s="7">
        <f>ROUND(Wapato_Inventory[[#This Row],[detatched_value]]*Lookups!$B$22*Lookups!$H$48,-2)</f>
        <v>0</v>
      </c>
      <c r="BI840" s="7">
        <f>ROUND(((Wapato_Inventory[[#This Row],[land_extract]]*Lookups!$B$3) +(Lookups!$B$2*0.5))*Lookups!$H$48,-2)</f>
        <v>53300</v>
      </c>
      <c r="BJ840" s="7">
        <f>IF(Wapato_Inventory[[#This Row],[bldg_style]]="",0,Lookups!$B$2*0.5)</f>
        <v>53765.27</v>
      </c>
      <c r="BK840" s="7">
        <f>_xlfn.IFNA(VLOOKUP(Wapato_Inventory[[#This Row],[quality]],Lookups!$H$2:$J$14,3,FALSE),0)</f>
        <v>50405</v>
      </c>
      <c r="BL840" s="7">
        <f>_xlfn.IFNA(VLOOKUP(Wapato_Inventory[[#This Row],[condition]],Lookups!$H$17:$J$24,3,FALSE),0)</f>
        <v>16276</v>
      </c>
      <c r="BM840" s="7">
        <f>Wapato_Inventory[[#This Row],[Age]]*Lookups!$B$16</f>
        <v>-32619.461600000002</v>
      </c>
      <c r="BN840" s="7">
        <f>Wapato_Inventory[[#This Row],[Main Floor]]*Lookups!$B$17</f>
        <v>43138.362648000002</v>
      </c>
      <c r="BO840" s="7">
        <f>Wapato_Inventory[[#This Row],[Upper Floor]]*Lookups!$B$18</f>
        <v>39284.102088</v>
      </c>
      <c r="BP840" s="7">
        <f>Wapato_Inventory[[#This Row],[Fin BSMT]]*Lookups!$B$19</f>
        <v>9551.7620800000004</v>
      </c>
      <c r="BQ840" s="7">
        <f>(Wapato_Inventory[[#This Row],[att_gar]]+Wapato_Inventory[[#This Row],[blt_gar]])*Lookups!$B$20</f>
        <v>0</v>
      </c>
      <c r="BR840" s="7">
        <f>Wapato_Inventory[[#This Row],[Patio]]*Lookups!$B$21</f>
        <v>11090.938624</v>
      </c>
      <c r="BS840" s="7">
        <f>SUM(Wapato_Inventory[[#This Row],[intercept]:[patio_value]])*Wapato_Inventory[[#This Row],[res_pct]]</f>
        <v>190891.97383999999</v>
      </c>
      <c r="BT840" s="7">
        <f>Wapato_Inventory[[#This Row],[land_value]]</f>
        <v>53300</v>
      </c>
      <c r="BU840" s="2">
        <f>_xlfn.IFNA(VLOOKUP(Wapato_Inventory[[#This Row],[quality]],Lookups!$A$28:$C$37,3,FALSE),1)</f>
        <v>0.97993206410140754</v>
      </c>
      <c r="BV840" s="2">
        <f>_xlfn.IFNA(VLOOKUP(Wapato_Inventory[[#This Row],[condition]],Lookups!$A$41:$C$48,3,FALSE),1)</f>
        <v>0.93399385491337139</v>
      </c>
      <c r="BW840" s="2">
        <f>IF(Wapato_Inventory[[#This Row],[decade]]="",1,_xlfn.IFNA(VLOOKUP(Wapato_Inventory[[#This Row],[decade]],Lookups!$F$28:$H$45,3,FALSE),1))</f>
        <v>0.94742695999815718</v>
      </c>
      <c r="BX840" s="2">
        <f>_xlfn.IFNA(VLOOKUP(Wapato_Inventory[[#This Row],[living_area_range]],Lookups!$K$28:$M$37,3,FALSE),1)</f>
        <v>0.90813907160181651</v>
      </c>
      <c r="BY840" s="2">
        <f>AVERAGE(Wapato_Inventory[[#This Row],[qual_adj]:[range_adj]])</f>
        <v>0.94237298765368815</v>
      </c>
      <c r="BZ840" s="7">
        <f>(Wapato_Inventory[[#This Row],[sum_land]]-IF(Wapato_Inventory[[#This Row],[no_utilities]]=1,12000,0))/IF(Wapato_Inventory[[#This Row],[unbuildable]]=1,2,1)</f>
        <v>53300</v>
      </c>
      <c r="CA840" s="7">
        <f>Wapato_Inventory[[#This Row],[pre_res]]*Wapato_Inventory[[#This Row],[overall_adj]]</f>
        <v>179891.43970671049</v>
      </c>
      <c r="CB840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840" s="3">
        <f>IF(ROUND(Wapato_Inventory[[#This Row],[adj_res]]*Lookups!$H$48,-2)&lt;Wapato_Inventory[[#This Row],[min_res]],Wapato_Inventory[[#This Row],[min_res]],ROUND(Wapato_Inventory[[#This Row],[adj_res]]*Lookups!$H$48,-2))</f>
        <v>170900</v>
      </c>
      <c r="CD840" s="3">
        <f>ROUND(Wapato_Inventory[[#This Row],[det_value]]*Lookups!$H$48,-2)</f>
        <v>0</v>
      </c>
      <c r="CE840" s="3">
        <f>Wapato_Inventory[[#This Row],[final_res]]+Wapato_Inventory[[#This Row],[final_det]]</f>
        <v>170900</v>
      </c>
      <c r="CF840" s="3">
        <f>Wapato_Inventory[[#This Row],[crop_value]]+Wapato_Inventory[[#This Row],[final_land]]+Wapato_Inventory[[#This Row],[final_imp]]</f>
        <v>221500</v>
      </c>
      <c r="CH840" t="str">
        <f t="shared" si="13"/>
        <v>update valuation set market_land =50600, market_bldg=170900, market_total =221500, market_mdno =405, market_date ='9/10/2023' where link_id = (select link_id from parcel where parcel_year = '2024' and parcel_id = '19111514510');</v>
      </c>
    </row>
    <row r="841" spans="1:86" x14ac:dyDescent="0.25">
      <c r="A841">
        <v>19111514511</v>
      </c>
      <c r="B841">
        <v>0.14000000000000001</v>
      </c>
      <c r="C841">
        <v>5955</v>
      </c>
      <c r="D841" t="s">
        <v>144</v>
      </c>
      <c r="E841" t="s">
        <v>54</v>
      </c>
      <c r="F841" t="s">
        <v>54</v>
      </c>
      <c r="G841">
        <v>3</v>
      </c>
      <c r="H841" t="s">
        <v>55</v>
      </c>
      <c r="I841">
        <v>120200</v>
      </c>
      <c r="J841">
        <v>31900</v>
      </c>
      <c r="K841">
        <v>0.14000000000000001</v>
      </c>
      <c r="L841">
        <f>IF(Wapato_Inventory[[#This Row],[parcel_acres]]-Wapato_Inventory[[#This Row],[non_valued_acres]] =0,0,LN(Wapato_Inventory[[#This Row],[parcel_acres]]-Wapato_Inventory[[#This Row],[non_valued_acres]]))</f>
        <v>-1.9661128563728327</v>
      </c>
      <c r="M841">
        <v>0</v>
      </c>
      <c r="N841">
        <v>0</v>
      </c>
      <c r="O841">
        <v>0</v>
      </c>
      <c r="P841">
        <v>27904.037</v>
      </c>
      <c r="Q841">
        <v>74398</v>
      </c>
      <c r="R841" s="3">
        <f>(Wapato_Inventory[[#This Row],[ln_acres]]*Wapato_Inventory[[#This Row],[coeff]])+Wapato_Inventory[[#This Row],[const]]</f>
        <v>19535.514109596792</v>
      </c>
      <c r="S841" t="s">
        <v>66</v>
      </c>
      <c r="T841">
        <v>1</v>
      </c>
      <c r="U841" t="s">
        <v>71</v>
      </c>
      <c r="V841" t="s">
        <v>68</v>
      </c>
      <c r="W841">
        <v>0</v>
      </c>
      <c r="X841">
        <v>0</v>
      </c>
      <c r="Y841">
        <v>57</v>
      </c>
      <c r="Z841">
        <v>103</v>
      </c>
      <c r="AA841">
        <v>110</v>
      </c>
      <c r="AB841">
        <v>1500</v>
      </c>
      <c r="AC841">
        <v>1144</v>
      </c>
      <c r="AD841">
        <v>1144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5</v>
      </c>
      <c r="AQ841">
        <v>1</v>
      </c>
      <c r="AR841">
        <v>0</v>
      </c>
      <c r="AS841" t="s">
        <v>82</v>
      </c>
      <c r="AT841">
        <v>1</v>
      </c>
      <c r="AU841" t="s">
        <v>76</v>
      </c>
      <c r="AV841" t="s">
        <v>61</v>
      </c>
      <c r="AW841">
        <v>0</v>
      </c>
      <c r="AX841">
        <v>2</v>
      </c>
      <c r="AY841">
        <v>0</v>
      </c>
      <c r="AZ841">
        <v>3500</v>
      </c>
      <c r="BA841">
        <v>100</v>
      </c>
      <c r="BB841">
        <v>100</v>
      </c>
      <c r="BC841">
        <v>100</v>
      </c>
      <c r="BD841">
        <v>100</v>
      </c>
      <c r="BE841">
        <v>1</v>
      </c>
      <c r="BF841">
        <v>15000</v>
      </c>
      <c r="BG841">
        <v>1000</v>
      </c>
      <c r="BH841" s="7">
        <f>ROUND(Wapato_Inventory[[#This Row],[detatched_value]]*Lookups!$B$22*Lookups!$H$48,-2)</f>
        <v>3100</v>
      </c>
      <c r="BI841" s="7">
        <f>ROUND(((Wapato_Inventory[[#This Row],[land_extract]]*Lookups!$B$3) +(Lookups!$B$2*0.5))*Lookups!$H$48,-2)</f>
        <v>53000</v>
      </c>
      <c r="BJ841" s="7">
        <f>IF(Wapato_Inventory[[#This Row],[bldg_style]]="",0,Lookups!$B$2*0.5)</f>
        <v>53765.27</v>
      </c>
      <c r="BK841" s="7">
        <f>_xlfn.IFNA(VLOOKUP(Wapato_Inventory[[#This Row],[quality]],Lookups!$H$2:$J$14,3,FALSE),0)</f>
        <v>28034</v>
      </c>
      <c r="BL841" s="7">
        <f>_xlfn.IFNA(VLOOKUP(Wapato_Inventory[[#This Row],[condition]],Lookups!$H$17:$J$24,3,FALSE),0)</f>
        <v>52231</v>
      </c>
      <c r="BM841" s="7">
        <f>Wapato_Inventory[[#This Row],[Age]]*Lookups!$B$16</f>
        <v>-38179.597099999999</v>
      </c>
      <c r="BN841" s="7">
        <f>Wapato_Inventory[[#This Row],[Main Floor]]*Lookups!$B$17</f>
        <v>47820.045416000001</v>
      </c>
      <c r="BO841" s="7">
        <f>Wapato_Inventory[[#This Row],[Upper Floor]]*Lookups!$B$18</f>
        <v>0</v>
      </c>
      <c r="BP841" s="7">
        <f>Wapato_Inventory[[#This Row],[Fin BSMT]]*Lookups!$B$19</f>
        <v>0</v>
      </c>
      <c r="BQ841" s="7">
        <f>(Wapato_Inventory[[#This Row],[att_gar]]+Wapato_Inventory[[#This Row],[blt_gar]])*Lookups!$B$20</f>
        <v>0</v>
      </c>
      <c r="BR841" s="7">
        <f>Wapato_Inventory[[#This Row],[Patio]]*Lookups!$B$21</f>
        <v>0</v>
      </c>
      <c r="BS841" s="7">
        <f>SUM(Wapato_Inventory[[#This Row],[intercept]:[patio_value]])*Wapato_Inventory[[#This Row],[res_pct]]</f>
        <v>143670.71831599998</v>
      </c>
      <c r="BT841" s="7">
        <f>Wapato_Inventory[[#This Row],[land_value]]</f>
        <v>53000</v>
      </c>
      <c r="BU841" s="2">
        <f>_xlfn.IFNA(VLOOKUP(Wapato_Inventory[[#This Row],[quality]],Lookups!$A$28:$C$37,3,FALSE),1)</f>
        <v>0.96265813922927435</v>
      </c>
      <c r="BV841" s="2">
        <f>_xlfn.IFNA(VLOOKUP(Wapato_Inventory[[#This Row],[condition]],Lookups!$A$41:$C$48,3,FALSE),1)</f>
        <v>0.9832333997567807</v>
      </c>
      <c r="BW841" s="2">
        <f>IF(Wapato_Inventory[[#This Row],[decade]]="",1,_xlfn.IFNA(VLOOKUP(Wapato_Inventory[[#This Row],[decade]],Lookups!$F$28:$H$45,3,FALSE),1))</f>
        <v>0.93664589651353292</v>
      </c>
      <c r="BX841" s="2">
        <f>_xlfn.IFNA(VLOOKUP(Wapato_Inventory[[#This Row],[living_area_range]],Lookups!$K$28:$M$37,3,FALSE),1)</f>
        <v>1.0061411172456287</v>
      </c>
      <c r="BY841" s="2">
        <f>AVERAGE(Wapato_Inventory[[#This Row],[qual_adj]:[range_adj]])</f>
        <v>0.97216963818630409</v>
      </c>
      <c r="BZ841" s="7">
        <f>(Wapato_Inventory[[#This Row],[sum_land]]-IF(Wapato_Inventory[[#This Row],[no_utilities]]=1,12000,0))/IF(Wapato_Inventory[[#This Row],[unbuildable]]=1,2,1)</f>
        <v>53000</v>
      </c>
      <c r="CA841" s="7">
        <f>Wapato_Inventory[[#This Row],[pre_res]]*Wapato_Inventory[[#This Row],[overall_adj]]</f>
        <v>139672.31024323212</v>
      </c>
      <c r="CB84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41" s="3">
        <f>IF(ROUND(Wapato_Inventory[[#This Row],[adj_res]]*Lookups!$H$48,-2)&lt;Wapato_Inventory[[#This Row],[min_res]],Wapato_Inventory[[#This Row],[min_res]],ROUND(Wapato_Inventory[[#This Row],[adj_res]]*Lookups!$H$48,-2))</f>
        <v>132700</v>
      </c>
      <c r="CD841" s="3">
        <f>ROUND(Wapato_Inventory[[#This Row],[det_value]]*Lookups!$H$48,-2)</f>
        <v>2900</v>
      </c>
      <c r="CE841" s="3">
        <f>Wapato_Inventory[[#This Row],[final_res]]+Wapato_Inventory[[#This Row],[final_det]]</f>
        <v>135600</v>
      </c>
      <c r="CF841" s="3">
        <f>Wapato_Inventory[[#This Row],[crop_value]]+Wapato_Inventory[[#This Row],[final_land]]+Wapato_Inventory[[#This Row],[final_imp]]</f>
        <v>186000</v>
      </c>
      <c r="CH841" t="str">
        <f t="shared" si="13"/>
        <v>update valuation set market_land =50400, market_bldg=135600, market_total =186000, market_mdno =405, market_date ='9/10/2023' where link_id = (select link_id from parcel where parcel_year = '2024' and parcel_id = '19111514511');</v>
      </c>
    </row>
    <row r="842" spans="1:86" x14ac:dyDescent="0.25">
      <c r="A842">
        <v>19111514512</v>
      </c>
      <c r="B842">
        <v>0.15</v>
      </c>
      <c r="C842">
        <v>6620</v>
      </c>
      <c r="D842" t="s">
        <v>144</v>
      </c>
      <c r="E842" t="s">
        <v>54</v>
      </c>
      <c r="F842" t="s">
        <v>54</v>
      </c>
      <c r="G842">
        <v>3</v>
      </c>
      <c r="H842" t="s">
        <v>55</v>
      </c>
      <c r="I842">
        <v>136800</v>
      </c>
      <c r="J842">
        <v>32300</v>
      </c>
      <c r="K842">
        <v>0.15</v>
      </c>
      <c r="L842">
        <f>IF(Wapato_Inventory[[#This Row],[parcel_acres]]-Wapato_Inventory[[#This Row],[non_valued_acres]] =0,0,LN(Wapato_Inventory[[#This Row],[parcel_acres]]-Wapato_Inventory[[#This Row],[non_valued_acres]]))</f>
        <v>-1.8971199848858813</v>
      </c>
      <c r="M842">
        <v>0</v>
      </c>
      <c r="N842">
        <v>0</v>
      </c>
      <c r="O842">
        <v>0</v>
      </c>
      <c r="P842">
        <v>27904.037</v>
      </c>
      <c r="Q842">
        <v>74398</v>
      </c>
      <c r="R842" s="3">
        <f>(Wapato_Inventory[[#This Row],[ln_acres]]*Wapato_Inventory[[#This Row],[coeff]])+Wapato_Inventory[[#This Row],[const]]</f>
        <v>21460.693748304926</v>
      </c>
      <c r="S842" t="s">
        <v>66</v>
      </c>
      <c r="T842">
        <v>1</v>
      </c>
      <c r="U842" t="s">
        <v>71</v>
      </c>
      <c r="V842" t="s">
        <v>69</v>
      </c>
      <c r="W842">
        <v>0</v>
      </c>
      <c r="X842">
        <v>0</v>
      </c>
      <c r="Y842">
        <v>33</v>
      </c>
      <c r="Z842">
        <v>103</v>
      </c>
      <c r="AA842">
        <v>110</v>
      </c>
      <c r="AB842">
        <v>1000</v>
      </c>
      <c r="AC842">
        <v>880</v>
      </c>
      <c r="AD842">
        <v>880</v>
      </c>
      <c r="AE842">
        <v>0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0</v>
      </c>
      <c r="AP842">
        <v>5</v>
      </c>
      <c r="AQ842">
        <v>0</v>
      </c>
      <c r="AR842">
        <v>0</v>
      </c>
      <c r="AS842" t="s">
        <v>59</v>
      </c>
      <c r="AT842">
        <v>1</v>
      </c>
      <c r="AU842" t="s">
        <v>64</v>
      </c>
      <c r="AV842" t="s">
        <v>65</v>
      </c>
      <c r="AW842">
        <v>0</v>
      </c>
      <c r="AX842">
        <v>2</v>
      </c>
      <c r="AY842">
        <v>0</v>
      </c>
      <c r="AZ842">
        <v>6200</v>
      </c>
      <c r="BA842">
        <v>100</v>
      </c>
      <c r="BB842">
        <v>100</v>
      </c>
      <c r="BC842">
        <v>100</v>
      </c>
      <c r="BD842">
        <v>100</v>
      </c>
      <c r="BE842">
        <v>1</v>
      </c>
      <c r="BF842">
        <v>15000</v>
      </c>
      <c r="BG842">
        <v>1000</v>
      </c>
      <c r="BH842" s="7">
        <f>ROUND(Wapato_Inventory[[#This Row],[detatched_value]]*Lookups!$B$22*Lookups!$H$48,-2)</f>
        <v>5500</v>
      </c>
      <c r="BI842" s="7">
        <f>ROUND(((Wapato_Inventory[[#This Row],[land_extract]]*Lookups!$B$3) +(Lookups!$B$2*0.5))*Lookups!$H$48,-2)</f>
        <v>53100</v>
      </c>
      <c r="BJ842" s="7">
        <f>IF(Wapato_Inventory[[#This Row],[bldg_style]]="",0,Lookups!$B$2*0.5)</f>
        <v>53765.27</v>
      </c>
      <c r="BK842" s="7">
        <f>_xlfn.IFNA(VLOOKUP(Wapato_Inventory[[#This Row],[quality]],Lookups!$H$2:$J$14,3,FALSE),0)</f>
        <v>28034</v>
      </c>
      <c r="BL842" s="7">
        <f>_xlfn.IFNA(VLOOKUP(Wapato_Inventory[[#This Row],[condition]],Lookups!$H$17:$J$24,3,FALSE),0)</f>
        <v>74543</v>
      </c>
      <c r="BM842" s="7">
        <f>Wapato_Inventory[[#This Row],[Age]]*Lookups!$B$16</f>
        <v>-38179.597099999999</v>
      </c>
      <c r="BN842" s="7">
        <f>Wapato_Inventory[[#This Row],[Main Floor]]*Lookups!$B$17</f>
        <v>36784.650320000001</v>
      </c>
      <c r="BO842" s="7">
        <f>Wapato_Inventory[[#This Row],[Upper Floor]]*Lookups!$B$18</f>
        <v>0</v>
      </c>
      <c r="BP842" s="7">
        <f>Wapato_Inventory[[#This Row],[Fin BSMT]]*Lookups!$B$19</f>
        <v>0</v>
      </c>
      <c r="BQ842" s="7">
        <f>(Wapato_Inventory[[#This Row],[att_gar]]+Wapato_Inventory[[#This Row],[blt_gar]])*Lookups!$B$20</f>
        <v>0</v>
      </c>
      <c r="BR842" s="7">
        <f>Wapato_Inventory[[#This Row],[Patio]]*Lookups!$B$21</f>
        <v>0</v>
      </c>
      <c r="BS842" s="7">
        <f>SUM(Wapato_Inventory[[#This Row],[intercept]:[patio_value]])*Wapato_Inventory[[#This Row],[res_pct]]</f>
        <v>154947.32321999999</v>
      </c>
      <c r="BT842" s="7">
        <f>Wapato_Inventory[[#This Row],[land_value]]</f>
        <v>53100</v>
      </c>
      <c r="BU842" s="2">
        <f>_xlfn.IFNA(VLOOKUP(Wapato_Inventory[[#This Row],[quality]],Lookups!$A$28:$C$37,3,FALSE),1)</f>
        <v>0.96265813922927435</v>
      </c>
      <c r="BV842" s="2">
        <f>_xlfn.IFNA(VLOOKUP(Wapato_Inventory[[#This Row],[condition]],Lookups!$A$41:$C$48,3,FALSE),1)</f>
        <v>0.98442438223270734</v>
      </c>
      <c r="BW842" s="2">
        <f>IF(Wapato_Inventory[[#This Row],[decade]]="",1,_xlfn.IFNA(VLOOKUP(Wapato_Inventory[[#This Row],[decade]],Lookups!$F$28:$H$45,3,FALSE),1))</f>
        <v>0.93664589651353292</v>
      </c>
      <c r="BX842" s="2">
        <f>_xlfn.IFNA(VLOOKUP(Wapato_Inventory[[#This Row],[living_area_range]],Lookups!$K$28:$M$37,3,FALSE),1)</f>
        <v>0.99022994770196116</v>
      </c>
      <c r="BY842" s="2">
        <f>AVERAGE(Wapato_Inventory[[#This Row],[qual_adj]:[range_adj]])</f>
        <v>0.96848959141936886</v>
      </c>
      <c r="BZ842" s="7">
        <f>(Wapato_Inventory[[#This Row],[sum_land]]-IF(Wapato_Inventory[[#This Row],[no_utilities]]=1,12000,0))/IF(Wapato_Inventory[[#This Row],[unbuildable]]=1,2,1)</f>
        <v>53100</v>
      </c>
      <c r="CA842" s="7">
        <f>Wapato_Inventory[[#This Row],[pre_res]]*Wapato_Inventory[[#This Row],[overall_adj]]</f>
        <v>150064.86975686267</v>
      </c>
      <c r="CB84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42" s="3">
        <f>IF(ROUND(Wapato_Inventory[[#This Row],[adj_res]]*Lookups!$H$48,-2)&lt;Wapato_Inventory[[#This Row],[min_res]],Wapato_Inventory[[#This Row],[min_res]],ROUND(Wapato_Inventory[[#This Row],[adj_res]]*Lookups!$H$48,-2))</f>
        <v>142600</v>
      </c>
      <c r="CD842" s="3">
        <f>ROUND(Wapato_Inventory[[#This Row],[det_value]]*Lookups!$H$48,-2)</f>
        <v>5200</v>
      </c>
      <c r="CE842" s="3">
        <f>Wapato_Inventory[[#This Row],[final_res]]+Wapato_Inventory[[#This Row],[final_det]]</f>
        <v>147800</v>
      </c>
      <c r="CF842" s="3">
        <f>Wapato_Inventory[[#This Row],[crop_value]]+Wapato_Inventory[[#This Row],[final_land]]+Wapato_Inventory[[#This Row],[final_imp]]</f>
        <v>198200</v>
      </c>
      <c r="CH842" t="str">
        <f t="shared" si="13"/>
        <v>update valuation set market_land =50400, market_bldg=147800, market_total =198200, market_mdno =405, market_date ='9/10/2023' where link_id = (select link_id from parcel where parcel_year = '2024' and parcel_id = '19111514512');</v>
      </c>
    </row>
    <row r="843" spans="1:86" x14ac:dyDescent="0.25">
      <c r="A843">
        <v>19111514513</v>
      </c>
      <c r="B843">
        <v>0.14000000000000001</v>
      </c>
      <c r="C843">
        <v>6175</v>
      </c>
      <c r="D843" t="s">
        <v>144</v>
      </c>
      <c r="E843" t="s">
        <v>54</v>
      </c>
      <c r="F843" t="s">
        <v>54</v>
      </c>
      <c r="G843">
        <v>3</v>
      </c>
      <c r="H843" t="s">
        <v>55</v>
      </c>
      <c r="I843">
        <v>173100</v>
      </c>
      <c r="J843">
        <v>31900</v>
      </c>
      <c r="K843">
        <v>0.14000000000000001</v>
      </c>
      <c r="L843">
        <f>IF(Wapato_Inventory[[#This Row],[parcel_acres]]-Wapato_Inventory[[#This Row],[non_valued_acres]] =0,0,LN(Wapato_Inventory[[#This Row],[parcel_acres]]-Wapato_Inventory[[#This Row],[non_valued_acres]]))</f>
        <v>-1.9661128563728327</v>
      </c>
      <c r="M843">
        <v>0</v>
      </c>
      <c r="N843">
        <v>0</v>
      </c>
      <c r="O843">
        <v>0</v>
      </c>
      <c r="P843">
        <v>27904.037</v>
      </c>
      <c r="Q843">
        <v>74398</v>
      </c>
      <c r="R843" s="3">
        <f>(Wapato_Inventory[[#This Row],[ln_acres]]*Wapato_Inventory[[#This Row],[coeff]])+Wapato_Inventory[[#This Row],[const]]</f>
        <v>19535.514109596792</v>
      </c>
      <c r="S843" t="s">
        <v>66</v>
      </c>
      <c r="T843">
        <v>1</v>
      </c>
      <c r="U843" t="s">
        <v>75</v>
      </c>
      <c r="V843" t="s">
        <v>69</v>
      </c>
      <c r="W843">
        <v>0</v>
      </c>
      <c r="X843">
        <v>0</v>
      </c>
      <c r="Y843">
        <v>65</v>
      </c>
      <c r="Z843">
        <v>113</v>
      </c>
      <c r="AA843">
        <v>120</v>
      </c>
      <c r="AB843">
        <v>1500</v>
      </c>
      <c r="AC843">
        <v>1164</v>
      </c>
      <c r="AD843">
        <v>1164</v>
      </c>
      <c r="AE843">
        <v>0</v>
      </c>
      <c r="AF843">
        <v>0</v>
      </c>
      <c r="AG843">
        <v>0</v>
      </c>
      <c r="AH843">
        <v>291</v>
      </c>
      <c r="AI843">
        <v>0</v>
      </c>
      <c r="AJ843">
        <v>0</v>
      </c>
      <c r="AK843">
        <v>0</v>
      </c>
      <c r="AL843">
        <v>0</v>
      </c>
      <c r="AM843">
        <v>432</v>
      </c>
      <c r="AN843">
        <v>48</v>
      </c>
      <c r="AO843">
        <v>0</v>
      </c>
      <c r="AP843">
        <v>5</v>
      </c>
      <c r="AQ843">
        <v>0</v>
      </c>
      <c r="AR843">
        <v>0</v>
      </c>
      <c r="AS843" t="s">
        <v>59</v>
      </c>
      <c r="AT843">
        <v>1</v>
      </c>
      <c r="AU843" t="s">
        <v>64</v>
      </c>
      <c r="AV843" t="s">
        <v>65</v>
      </c>
      <c r="AW843">
        <v>0</v>
      </c>
      <c r="AX843">
        <v>2</v>
      </c>
      <c r="AY843">
        <v>0</v>
      </c>
      <c r="AZ843">
        <v>0</v>
      </c>
      <c r="BA843">
        <v>100</v>
      </c>
      <c r="BB843">
        <v>100</v>
      </c>
      <c r="BC843">
        <v>100</v>
      </c>
      <c r="BD843">
        <v>100</v>
      </c>
      <c r="BE843">
        <v>1</v>
      </c>
      <c r="BF843">
        <v>15000</v>
      </c>
      <c r="BG843">
        <v>1000</v>
      </c>
      <c r="BH843" s="7">
        <f>ROUND(Wapato_Inventory[[#This Row],[detatched_value]]*Lookups!$B$22*Lookups!$H$48,-2)</f>
        <v>0</v>
      </c>
      <c r="BI843" s="7">
        <f>ROUND(((Wapato_Inventory[[#This Row],[land_extract]]*Lookups!$B$3) +(Lookups!$B$2*0.5))*Lookups!$H$48,-2)</f>
        <v>53000</v>
      </c>
      <c r="BJ843" s="7">
        <f>IF(Wapato_Inventory[[#This Row],[bldg_style]]="",0,Lookups!$B$2*0.5)</f>
        <v>53765.27</v>
      </c>
      <c r="BK843" s="7">
        <f>_xlfn.IFNA(VLOOKUP(Wapato_Inventory[[#This Row],[quality]],Lookups!$H$2:$J$14,3,FALSE),0)</f>
        <v>48043</v>
      </c>
      <c r="BL843" s="7">
        <f>_xlfn.IFNA(VLOOKUP(Wapato_Inventory[[#This Row],[condition]],Lookups!$H$17:$J$24,3,FALSE),0)</f>
        <v>74543</v>
      </c>
      <c r="BM843" s="7">
        <f>Wapato_Inventory[[#This Row],[Age]]*Lookups!$B$16</f>
        <v>-41886.354100000004</v>
      </c>
      <c r="BN843" s="7">
        <f>Wapato_Inventory[[#This Row],[Main Floor]]*Lookups!$B$17</f>
        <v>48656.060195999999</v>
      </c>
      <c r="BO843" s="7">
        <f>Wapato_Inventory[[#This Row],[Upper Floor]]*Lookups!$B$18</f>
        <v>0</v>
      </c>
      <c r="BP843" s="7">
        <f>Wapato_Inventory[[#This Row],[Fin BSMT]]*Lookups!$B$19</f>
        <v>0</v>
      </c>
      <c r="BQ843" s="7">
        <f>(Wapato_Inventory[[#This Row],[att_gar]]+Wapato_Inventory[[#This Row],[blt_gar]])*Lookups!$B$20</f>
        <v>0</v>
      </c>
      <c r="BR843" s="7">
        <f>Wapato_Inventory[[#This Row],[Patio]]*Lookups!$B$21</f>
        <v>18715.958928</v>
      </c>
      <c r="BS843" s="7">
        <f>SUM(Wapato_Inventory[[#This Row],[intercept]:[patio_value]])*Wapato_Inventory[[#This Row],[res_pct]]</f>
        <v>201836.93502400001</v>
      </c>
      <c r="BT843" s="7">
        <f>Wapato_Inventory[[#This Row],[land_value]]</f>
        <v>53000</v>
      </c>
      <c r="BU843" s="2">
        <f>_xlfn.IFNA(VLOOKUP(Wapato_Inventory[[#This Row],[quality]],Lookups!$A$28:$C$37,3,FALSE),1)</f>
        <v>0.98196844879778955</v>
      </c>
      <c r="BV843" s="2">
        <f>_xlfn.IFNA(VLOOKUP(Wapato_Inventory[[#This Row],[condition]],Lookups!$A$41:$C$48,3,FALSE),1)</f>
        <v>0.98442438223270734</v>
      </c>
      <c r="BW843" s="2">
        <f>IF(Wapato_Inventory[[#This Row],[decade]]="",1,_xlfn.IFNA(VLOOKUP(Wapato_Inventory[[#This Row],[decade]],Lookups!$F$28:$H$45,3,FALSE),1))</f>
        <v>0.93664589651353292</v>
      </c>
      <c r="BX843" s="2">
        <f>_xlfn.IFNA(VLOOKUP(Wapato_Inventory[[#This Row],[living_area_range]],Lookups!$K$28:$M$37,3,FALSE),1)</f>
        <v>1.0061411172456287</v>
      </c>
      <c r="BY843" s="2">
        <f>AVERAGE(Wapato_Inventory[[#This Row],[qual_adj]:[range_adj]])</f>
        <v>0.97729496119741466</v>
      </c>
      <c r="BZ843" s="7">
        <f>(Wapato_Inventory[[#This Row],[sum_land]]-IF(Wapato_Inventory[[#This Row],[no_utilities]]=1,12000,0))/IF(Wapato_Inventory[[#This Row],[unbuildable]]=1,2,1)</f>
        <v>53000</v>
      </c>
      <c r="CA843" s="7">
        <f>Wapato_Inventory[[#This Row],[pre_res]]*Wapato_Inventory[[#This Row],[overall_adj]]</f>
        <v>197254.21958248518</v>
      </c>
      <c r="CB84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43" s="3">
        <f>IF(ROUND(Wapato_Inventory[[#This Row],[adj_res]]*Lookups!$H$48,-2)&lt;Wapato_Inventory[[#This Row],[min_res]],Wapato_Inventory[[#This Row],[min_res]],ROUND(Wapato_Inventory[[#This Row],[adj_res]]*Lookups!$H$48,-2))</f>
        <v>187400</v>
      </c>
      <c r="CD843" s="3">
        <f>ROUND(Wapato_Inventory[[#This Row],[det_value]]*Lookups!$H$48,-2)</f>
        <v>0</v>
      </c>
      <c r="CE843" s="3">
        <f>Wapato_Inventory[[#This Row],[final_res]]+Wapato_Inventory[[#This Row],[final_det]]</f>
        <v>187400</v>
      </c>
      <c r="CF843" s="3">
        <f>Wapato_Inventory[[#This Row],[crop_value]]+Wapato_Inventory[[#This Row],[final_land]]+Wapato_Inventory[[#This Row],[final_imp]]</f>
        <v>237800</v>
      </c>
      <c r="CH843" t="str">
        <f t="shared" si="13"/>
        <v>update valuation set market_land =50400, market_bldg=187400, market_total =237800, market_mdno =405, market_date ='9/10/2023' where link_id = (select link_id from parcel where parcel_year = '2024' and parcel_id = '19111514513');</v>
      </c>
    </row>
    <row r="844" spans="1:86" x14ac:dyDescent="0.25">
      <c r="A844">
        <v>19111514514</v>
      </c>
      <c r="B844">
        <v>0.16</v>
      </c>
      <c r="C844">
        <v>6939</v>
      </c>
      <c r="D844" t="s">
        <v>144</v>
      </c>
      <c r="E844" t="s">
        <v>54</v>
      </c>
      <c r="F844" t="s">
        <v>54</v>
      </c>
      <c r="G844">
        <v>3</v>
      </c>
      <c r="H844" t="s">
        <v>55</v>
      </c>
      <c r="I844">
        <v>207000</v>
      </c>
      <c r="J844">
        <v>32800</v>
      </c>
      <c r="K844">
        <v>0.16</v>
      </c>
      <c r="L844">
        <f>IF(Wapato_Inventory[[#This Row],[parcel_acres]]-Wapato_Inventory[[#This Row],[non_valued_acres]] =0,0,LN(Wapato_Inventory[[#This Row],[parcel_acres]]-Wapato_Inventory[[#This Row],[non_valued_acres]]))</f>
        <v>-1.8325814637483102</v>
      </c>
      <c r="M844">
        <v>0</v>
      </c>
      <c r="N844">
        <v>0</v>
      </c>
      <c r="O844">
        <v>0</v>
      </c>
      <c r="P844">
        <v>27904.037</v>
      </c>
      <c r="Q844">
        <v>74398</v>
      </c>
      <c r="R844" s="3">
        <f>(Wapato_Inventory[[#This Row],[ln_acres]]*Wapato_Inventory[[#This Row],[coeff]])+Wapato_Inventory[[#This Row],[const]]</f>
        <v>23261.579030052992</v>
      </c>
      <c r="S844" t="s">
        <v>62</v>
      </c>
      <c r="T844">
        <v>1</v>
      </c>
      <c r="U844" t="s">
        <v>75</v>
      </c>
      <c r="V844" t="s">
        <v>68</v>
      </c>
      <c r="W844">
        <v>0</v>
      </c>
      <c r="X844">
        <v>0</v>
      </c>
      <c r="Y844">
        <v>35</v>
      </c>
      <c r="Z844">
        <v>35</v>
      </c>
      <c r="AA844">
        <v>40</v>
      </c>
      <c r="AB844">
        <v>1500</v>
      </c>
      <c r="AC844">
        <v>1440</v>
      </c>
      <c r="AD844">
        <v>1440</v>
      </c>
      <c r="AE844">
        <v>0</v>
      </c>
      <c r="AF844">
        <v>0</v>
      </c>
      <c r="AG844">
        <v>0</v>
      </c>
      <c r="AH844">
        <v>0</v>
      </c>
      <c r="AI844">
        <v>264</v>
      </c>
      <c r="AJ844">
        <v>0</v>
      </c>
      <c r="AK844">
        <v>0</v>
      </c>
      <c r="AL844">
        <v>0</v>
      </c>
      <c r="AM844">
        <v>396</v>
      </c>
      <c r="AN844">
        <v>0</v>
      </c>
      <c r="AO844">
        <v>396</v>
      </c>
      <c r="AP844">
        <v>8</v>
      </c>
      <c r="AQ844">
        <v>0</v>
      </c>
      <c r="AR844">
        <v>0</v>
      </c>
      <c r="AS844" t="s">
        <v>59</v>
      </c>
      <c r="AT844">
        <v>1</v>
      </c>
      <c r="AU844" t="s">
        <v>72</v>
      </c>
      <c r="AV844" t="s">
        <v>61</v>
      </c>
      <c r="AW844">
        <v>0</v>
      </c>
      <c r="AX844">
        <v>3</v>
      </c>
      <c r="AY844">
        <v>0</v>
      </c>
      <c r="AZ844">
        <v>9600</v>
      </c>
      <c r="BA844">
        <v>100</v>
      </c>
      <c r="BB844">
        <v>100</v>
      </c>
      <c r="BC844">
        <v>100</v>
      </c>
      <c r="BD844">
        <v>100</v>
      </c>
      <c r="BE844">
        <v>1</v>
      </c>
      <c r="BF844">
        <v>15000</v>
      </c>
      <c r="BG844">
        <v>1000</v>
      </c>
      <c r="BH844" s="7">
        <f>ROUND(Wapato_Inventory[[#This Row],[detatched_value]]*Lookups!$B$22*Lookups!$H$48,-2)</f>
        <v>8600</v>
      </c>
      <c r="BI844" s="7">
        <f>ROUND(((Wapato_Inventory[[#This Row],[land_extract]]*Lookups!$B$3) +(Lookups!$B$2*0.5))*Lookups!$H$48,-2)</f>
        <v>53300</v>
      </c>
      <c r="BJ844" s="7">
        <f>IF(Wapato_Inventory[[#This Row],[bldg_style]]="",0,Lookups!$B$2*0.5)</f>
        <v>53765.27</v>
      </c>
      <c r="BK844" s="7">
        <f>_xlfn.IFNA(VLOOKUP(Wapato_Inventory[[#This Row],[quality]],Lookups!$H$2:$J$14,3,FALSE),0)</f>
        <v>48043</v>
      </c>
      <c r="BL844" s="7">
        <f>_xlfn.IFNA(VLOOKUP(Wapato_Inventory[[#This Row],[condition]],Lookups!$H$17:$J$24,3,FALSE),0)</f>
        <v>52231</v>
      </c>
      <c r="BM844" s="7">
        <f>Wapato_Inventory[[#This Row],[Age]]*Lookups!$B$16</f>
        <v>-12973.6495</v>
      </c>
      <c r="BN844" s="7">
        <f>Wapato_Inventory[[#This Row],[Main Floor]]*Lookups!$B$17</f>
        <v>60193.064160000002</v>
      </c>
      <c r="BO844" s="7">
        <f>Wapato_Inventory[[#This Row],[Upper Floor]]*Lookups!$B$18</f>
        <v>0</v>
      </c>
      <c r="BP844" s="7">
        <f>Wapato_Inventory[[#This Row],[Fin BSMT]]*Lookups!$B$19</f>
        <v>0</v>
      </c>
      <c r="BQ844" s="7">
        <f>(Wapato_Inventory[[#This Row],[att_gar]]+Wapato_Inventory[[#This Row],[blt_gar]])*Lookups!$B$20</f>
        <v>9770.310528</v>
      </c>
      <c r="BR844" s="7">
        <f>Wapato_Inventory[[#This Row],[Patio]]*Lookups!$B$21</f>
        <v>17156.295684000001</v>
      </c>
      <c r="BS844" s="7">
        <f>SUM(Wapato_Inventory[[#This Row],[intercept]:[patio_value]])*Wapato_Inventory[[#This Row],[res_pct]]</f>
        <v>228185.29087200001</v>
      </c>
      <c r="BT844" s="7">
        <f>Wapato_Inventory[[#This Row],[land_value]]</f>
        <v>53300</v>
      </c>
      <c r="BU844" s="2">
        <f>_xlfn.IFNA(VLOOKUP(Wapato_Inventory[[#This Row],[quality]],Lookups!$A$28:$C$37,3,FALSE),1)</f>
        <v>0.98196844879778955</v>
      </c>
      <c r="BV844" s="2">
        <f>_xlfn.IFNA(VLOOKUP(Wapato_Inventory[[#This Row],[condition]],Lookups!$A$41:$C$48,3,FALSE),1)</f>
        <v>0.9832333997567807</v>
      </c>
      <c r="BW844" s="2">
        <f>IF(Wapato_Inventory[[#This Row],[decade]]="",1,_xlfn.IFNA(VLOOKUP(Wapato_Inventory[[#This Row],[decade]],Lookups!$F$28:$H$45,3,FALSE),1))</f>
        <v>1.0327621624630683</v>
      </c>
      <c r="BX844" s="2">
        <f>_xlfn.IFNA(VLOOKUP(Wapato_Inventory[[#This Row],[living_area_range]],Lookups!$K$28:$M$37,3,FALSE),1)</f>
        <v>1.0061411172456287</v>
      </c>
      <c r="BY844" s="2">
        <f>AVERAGE(Wapato_Inventory[[#This Row],[qual_adj]:[range_adj]])</f>
        <v>1.0010262820658169</v>
      </c>
      <c r="BZ844" s="7">
        <f>(Wapato_Inventory[[#This Row],[sum_land]]-IF(Wapato_Inventory[[#This Row],[no_utilities]]=1,12000,0))/IF(Wapato_Inventory[[#This Row],[unbuildable]]=1,2,1)</f>
        <v>53300</v>
      </c>
      <c r="CA844" s="7">
        <f>Wapato_Inventory[[#This Row],[pre_res]]*Wapato_Inventory[[#This Row],[overall_adj]]</f>
        <v>228419.47334370515</v>
      </c>
      <c r="CB844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844" s="3">
        <f>IF(ROUND(Wapato_Inventory[[#This Row],[adj_res]]*Lookups!$H$48,-2)&lt;Wapato_Inventory[[#This Row],[min_res]],Wapato_Inventory[[#This Row],[min_res]],ROUND(Wapato_Inventory[[#This Row],[adj_res]]*Lookups!$H$48,-2))</f>
        <v>217000</v>
      </c>
      <c r="CD844" s="3">
        <f>ROUND(Wapato_Inventory[[#This Row],[det_value]]*Lookups!$H$48,-2)</f>
        <v>8200</v>
      </c>
      <c r="CE844" s="3">
        <f>Wapato_Inventory[[#This Row],[final_res]]+Wapato_Inventory[[#This Row],[final_det]]</f>
        <v>225200</v>
      </c>
      <c r="CF844" s="3">
        <f>Wapato_Inventory[[#This Row],[crop_value]]+Wapato_Inventory[[#This Row],[final_land]]+Wapato_Inventory[[#This Row],[final_imp]]</f>
        <v>275800</v>
      </c>
      <c r="CH844" t="str">
        <f t="shared" si="13"/>
        <v>update valuation set market_land =50600, market_bldg=225200, market_total =275800, market_mdno =405, market_date ='9/10/2023' where link_id = (select link_id from parcel where parcel_year = '2024' and parcel_id = '19111514514');</v>
      </c>
    </row>
    <row r="845" spans="1:86" x14ac:dyDescent="0.25">
      <c r="A845">
        <v>19111514515</v>
      </c>
      <c r="B845">
        <v>0.2</v>
      </c>
      <c r="C845">
        <v>8754</v>
      </c>
      <c r="D845" t="s">
        <v>144</v>
      </c>
      <c r="E845" t="s">
        <v>54</v>
      </c>
      <c r="F845" t="s">
        <v>54</v>
      </c>
      <c r="G845">
        <v>3</v>
      </c>
      <c r="H845" t="s">
        <v>55</v>
      </c>
      <c r="I845">
        <v>298200</v>
      </c>
      <c r="J845">
        <v>34400</v>
      </c>
      <c r="K845">
        <v>0.2</v>
      </c>
      <c r="L845">
        <f>IF(Wapato_Inventory[[#This Row],[parcel_acres]]-Wapato_Inventory[[#This Row],[non_valued_acres]] =0,0,LN(Wapato_Inventory[[#This Row],[parcel_acres]]-Wapato_Inventory[[#This Row],[non_valued_acres]]))</f>
        <v>-1.6094379124341003</v>
      </c>
      <c r="M845">
        <v>0</v>
      </c>
      <c r="N845">
        <v>0</v>
      </c>
      <c r="O845">
        <v>0</v>
      </c>
      <c r="P845">
        <v>27904.037</v>
      </c>
      <c r="Q845">
        <v>74398</v>
      </c>
      <c r="R845" s="3">
        <f>(Wapato_Inventory[[#This Row],[ln_acres]]*Wapato_Inventory[[#This Row],[coeff]])+Wapato_Inventory[[#This Row],[const]]</f>
        <v>29488.184942236105</v>
      </c>
      <c r="S845" t="s">
        <v>56</v>
      </c>
      <c r="T845">
        <v>2</v>
      </c>
      <c r="U845" t="s">
        <v>67</v>
      </c>
      <c r="V845" t="s">
        <v>69</v>
      </c>
      <c r="W845">
        <v>0</v>
      </c>
      <c r="X845">
        <v>0</v>
      </c>
      <c r="Y845">
        <v>57</v>
      </c>
      <c r="Z845">
        <v>103</v>
      </c>
      <c r="AA845">
        <v>110</v>
      </c>
      <c r="AB845">
        <v>2500</v>
      </c>
      <c r="AC845">
        <v>2391</v>
      </c>
      <c r="AD845">
        <v>2090</v>
      </c>
      <c r="AE845">
        <v>301</v>
      </c>
      <c r="AF845">
        <v>0</v>
      </c>
      <c r="AG845">
        <v>0</v>
      </c>
      <c r="AH845">
        <v>1200</v>
      </c>
      <c r="AI845">
        <v>0</v>
      </c>
      <c r="AJ845">
        <v>0</v>
      </c>
      <c r="AK845">
        <v>0</v>
      </c>
      <c r="AL845">
        <v>0</v>
      </c>
      <c r="AM845">
        <v>273</v>
      </c>
      <c r="AN845">
        <v>84</v>
      </c>
      <c r="AO845">
        <v>273</v>
      </c>
      <c r="AP845">
        <v>5</v>
      </c>
      <c r="AQ845">
        <v>0</v>
      </c>
      <c r="AR845">
        <v>1</v>
      </c>
      <c r="AS845" t="s">
        <v>79</v>
      </c>
      <c r="AT845">
        <v>1</v>
      </c>
      <c r="AU845" t="s">
        <v>64</v>
      </c>
      <c r="AV845" t="s">
        <v>65</v>
      </c>
      <c r="AW845">
        <v>0</v>
      </c>
      <c r="AX845">
        <v>4</v>
      </c>
      <c r="AY845">
        <v>0</v>
      </c>
      <c r="AZ845">
        <v>10400</v>
      </c>
      <c r="BA845">
        <v>100</v>
      </c>
      <c r="BB845">
        <v>100</v>
      </c>
      <c r="BC845">
        <v>100</v>
      </c>
      <c r="BD845">
        <v>100</v>
      </c>
      <c r="BE845">
        <v>1</v>
      </c>
      <c r="BF845">
        <v>15000</v>
      </c>
      <c r="BG845">
        <v>1000</v>
      </c>
      <c r="BH845" s="7">
        <f>ROUND(Wapato_Inventory[[#This Row],[detatched_value]]*Lookups!$B$22*Lookups!$H$48,-2)</f>
        <v>9300</v>
      </c>
      <c r="BI845" s="7">
        <f>ROUND(((Wapato_Inventory[[#This Row],[land_extract]]*Lookups!$B$3) +(Lookups!$B$2*0.5))*Lookups!$H$48,-2)</f>
        <v>53900</v>
      </c>
      <c r="BJ845" s="7">
        <f>IF(Wapato_Inventory[[#This Row],[bldg_style]]="",0,Lookups!$B$2*0.5)</f>
        <v>53765.27</v>
      </c>
      <c r="BK845" s="7">
        <f>_xlfn.IFNA(VLOOKUP(Wapato_Inventory[[#This Row],[quality]],Lookups!$H$2:$J$14,3,FALSE),0)</f>
        <v>50405</v>
      </c>
      <c r="BL845" s="7">
        <f>_xlfn.IFNA(VLOOKUP(Wapato_Inventory[[#This Row],[condition]],Lookups!$H$17:$J$24,3,FALSE),0)</f>
        <v>74543</v>
      </c>
      <c r="BM845" s="7">
        <f>Wapato_Inventory[[#This Row],[Age]]*Lookups!$B$16</f>
        <v>-38179.597099999999</v>
      </c>
      <c r="BN845" s="7">
        <f>Wapato_Inventory[[#This Row],[Main Floor]]*Lookups!$B$17</f>
        <v>87363.544510000007</v>
      </c>
      <c r="BO845" s="7">
        <f>Wapato_Inventory[[#This Row],[Upper Floor]]*Lookups!$B$18</f>
        <v>14929.942839000001</v>
      </c>
      <c r="BP845" s="7">
        <f>Wapato_Inventory[[#This Row],[Fin BSMT]]*Lookups!$B$19</f>
        <v>0</v>
      </c>
      <c r="BQ845" s="7">
        <f>(Wapato_Inventory[[#This Row],[att_gar]]+Wapato_Inventory[[#This Row],[blt_gar]])*Lookups!$B$20</f>
        <v>0</v>
      </c>
      <c r="BR845" s="7">
        <f>Wapato_Inventory[[#This Row],[Patio]]*Lookups!$B$21</f>
        <v>11827.446267000001</v>
      </c>
      <c r="BS845" s="7">
        <f>SUM(Wapato_Inventory[[#This Row],[intercept]:[patio_value]])*Wapato_Inventory[[#This Row],[res_pct]]</f>
        <v>254654.606516</v>
      </c>
      <c r="BT845" s="7">
        <f>Wapato_Inventory[[#This Row],[land_value]]</f>
        <v>53900</v>
      </c>
      <c r="BU845" s="2">
        <f>_xlfn.IFNA(VLOOKUP(Wapato_Inventory[[#This Row],[quality]],Lookups!$A$28:$C$37,3,FALSE),1)</f>
        <v>0.97993206410140754</v>
      </c>
      <c r="BV845" s="2">
        <f>_xlfn.IFNA(VLOOKUP(Wapato_Inventory[[#This Row],[condition]],Lookups!$A$41:$C$48,3,FALSE),1)</f>
        <v>0.98442438223270734</v>
      </c>
      <c r="BW845" s="2">
        <f>IF(Wapato_Inventory[[#This Row],[decade]]="",1,_xlfn.IFNA(VLOOKUP(Wapato_Inventory[[#This Row],[decade]],Lookups!$F$28:$H$45,3,FALSE),1))</f>
        <v>0.93664589651353292</v>
      </c>
      <c r="BX845" s="2">
        <f>_xlfn.IFNA(VLOOKUP(Wapato_Inventory[[#This Row],[living_area_range]],Lookups!$K$28:$M$37,3,FALSE),1)</f>
        <v>0.90813907160181651</v>
      </c>
      <c r="BY845" s="2">
        <f>AVERAGE(Wapato_Inventory[[#This Row],[qual_adj]:[range_adj]])</f>
        <v>0.9522853536123661</v>
      </c>
      <c r="BZ845" s="7">
        <f>(Wapato_Inventory[[#This Row],[sum_land]]-IF(Wapato_Inventory[[#This Row],[no_utilities]]=1,12000,0))/IF(Wapato_Inventory[[#This Row],[unbuildable]]=1,2,1)</f>
        <v>53900</v>
      </c>
      <c r="CA845" s="7">
        <f>Wapato_Inventory[[#This Row],[pre_res]]*Wapato_Inventory[[#This Row],[overall_adj]]</f>
        <v>242503.852015107</v>
      </c>
      <c r="CB845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845" s="3">
        <f>IF(ROUND(Wapato_Inventory[[#This Row],[adj_res]]*Lookups!$H$48,-2)&lt;Wapato_Inventory[[#This Row],[min_res]],Wapato_Inventory[[#This Row],[min_res]],ROUND(Wapato_Inventory[[#This Row],[adj_res]]*Lookups!$H$48,-2))</f>
        <v>230400</v>
      </c>
      <c r="CD845" s="3">
        <f>ROUND(Wapato_Inventory[[#This Row],[det_value]]*Lookups!$H$48,-2)</f>
        <v>8800</v>
      </c>
      <c r="CE845" s="3">
        <f>Wapato_Inventory[[#This Row],[final_res]]+Wapato_Inventory[[#This Row],[final_det]]</f>
        <v>239200</v>
      </c>
      <c r="CF845" s="3">
        <f>Wapato_Inventory[[#This Row],[crop_value]]+Wapato_Inventory[[#This Row],[final_land]]+Wapato_Inventory[[#This Row],[final_imp]]</f>
        <v>290400</v>
      </c>
      <c r="CH845" t="str">
        <f t="shared" si="13"/>
        <v>update valuation set market_land =51200, market_bldg=239200, market_total =290400, market_mdno =405, market_date ='9/10/2023' where link_id = (select link_id from parcel where parcel_year = '2024' and parcel_id = '19111514515');</v>
      </c>
    </row>
    <row r="846" spans="1:86" x14ac:dyDescent="0.25">
      <c r="A846">
        <v>19111514516</v>
      </c>
      <c r="B846">
        <v>0.16</v>
      </c>
      <c r="C846">
        <v>7164</v>
      </c>
      <c r="D846" t="s">
        <v>144</v>
      </c>
      <c r="E846" t="s">
        <v>54</v>
      </c>
      <c r="F846" t="s">
        <v>54</v>
      </c>
      <c r="G846">
        <v>3</v>
      </c>
      <c r="H846" t="s">
        <v>55</v>
      </c>
      <c r="I846">
        <v>197300</v>
      </c>
      <c r="J846">
        <v>32800</v>
      </c>
      <c r="K846">
        <v>0.16</v>
      </c>
      <c r="L846">
        <f>IF(Wapato_Inventory[[#This Row],[parcel_acres]]-Wapato_Inventory[[#This Row],[non_valued_acres]] =0,0,LN(Wapato_Inventory[[#This Row],[parcel_acres]]-Wapato_Inventory[[#This Row],[non_valued_acres]]))</f>
        <v>-1.8325814637483102</v>
      </c>
      <c r="M846">
        <v>0</v>
      </c>
      <c r="N846">
        <v>0</v>
      </c>
      <c r="O846">
        <v>0</v>
      </c>
      <c r="P846">
        <v>27904.037</v>
      </c>
      <c r="Q846">
        <v>74398</v>
      </c>
      <c r="R846" s="3">
        <f>(Wapato_Inventory[[#This Row],[ln_acres]]*Wapato_Inventory[[#This Row],[coeff]])+Wapato_Inventory[[#This Row],[const]]</f>
        <v>23261.579030052992</v>
      </c>
      <c r="S846" t="s">
        <v>66</v>
      </c>
      <c r="T846">
        <v>1</v>
      </c>
      <c r="U846" t="s">
        <v>63</v>
      </c>
      <c r="V846" t="s">
        <v>68</v>
      </c>
      <c r="W846">
        <v>0</v>
      </c>
      <c r="X846">
        <v>0</v>
      </c>
      <c r="Y846">
        <v>56</v>
      </c>
      <c r="Z846">
        <v>101</v>
      </c>
      <c r="AA846">
        <v>110</v>
      </c>
      <c r="AB846">
        <v>2000</v>
      </c>
      <c r="AC846">
        <v>1871</v>
      </c>
      <c r="AD846">
        <v>1871</v>
      </c>
      <c r="AE846">
        <v>0</v>
      </c>
      <c r="AF846">
        <v>0</v>
      </c>
      <c r="AG846">
        <v>0</v>
      </c>
      <c r="AH846">
        <v>640</v>
      </c>
      <c r="AI846">
        <v>0</v>
      </c>
      <c r="AJ846">
        <v>0</v>
      </c>
      <c r="AK846">
        <v>210</v>
      </c>
      <c r="AL846">
        <v>426</v>
      </c>
      <c r="AM846">
        <v>0</v>
      </c>
      <c r="AN846">
        <v>308</v>
      </c>
      <c r="AO846">
        <v>0</v>
      </c>
      <c r="AP846">
        <v>8</v>
      </c>
      <c r="AQ846">
        <v>0</v>
      </c>
      <c r="AR846">
        <v>1</v>
      </c>
      <c r="AS846" t="s">
        <v>59</v>
      </c>
      <c r="AT846">
        <v>1</v>
      </c>
      <c r="AU846" t="s">
        <v>64</v>
      </c>
      <c r="AV846" t="s">
        <v>65</v>
      </c>
      <c r="AW846">
        <v>1</v>
      </c>
      <c r="AX846">
        <v>3</v>
      </c>
      <c r="AY846">
        <v>0</v>
      </c>
      <c r="AZ846">
        <v>6200</v>
      </c>
      <c r="BA846">
        <v>100</v>
      </c>
      <c r="BB846">
        <v>100</v>
      </c>
      <c r="BC846">
        <v>100</v>
      </c>
      <c r="BD846">
        <v>100</v>
      </c>
      <c r="BE846">
        <v>1</v>
      </c>
      <c r="BF846">
        <v>15000</v>
      </c>
      <c r="BG846">
        <v>1000</v>
      </c>
      <c r="BH846" s="7">
        <f>ROUND(Wapato_Inventory[[#This Row],[detatched_value]]*Lookups!$B$22*Lookups!$H$48,-2)</f>
        <v>5500</v>
      </c>
      <c r="BI846" s="7">
        <f>ROUND(((Wapato_Inventory[[#This Row],[land_extract]]*Lookups!$B$3) +(Lookups!$B$2*0.5))*Lookups!$H$48,-2)</f>
        <v>53300</v>
      </c>
      <c r="BJ846" s="7">
        <f>IF(Wapato_Inventory[[#This Row],[bldg_style]]="",0,Lookups!$B$2*0.5)</f>
        <v>53765.27</v>
      </c>
      <c r="BK846" s="7">
        <f>_xlfn.IFNA(VLOOKUP(Wapato_Inventory[[#This Row],[quality]],Lookups!$H$2:$J$14,3,FALSE),0)</f>
        <v>50594</v>
      </c>
      <c r="BL846" s="7">
        <f>_xlfn.IFNA(VLOOKUP(Wapato_Inventory[[#This Row],[condition]],Lookups!$H$17:$J$24,3,FALSE),0)</f>
        <v>52231</v>
      </c>
      <c r="BM846" s="7">
        <f>Wapato_Inventory[[#This Row],[Age]]*Lookups!$B$16</f>
        <v>-37438.245699999999</v>
      </c>
      <c r="BN846" s="7">
        <f>Wapato_Inventory[[#This Row],[Main Floor]]*Lookups!$B$17</f>
        <v>78209.182669000002</v>
      </c>
      <c r="BO846" s="7">
        <f>Wapato_Inventory[[#This Row],[Upper Floor]]*Lookups!$B$18</f>
        <v>0</v>
      </c>
      <c r="BP846" s="7">
        <f>Wapato_Inventory[[#This Row],[Fin BSMT]]*Lookups!$B$19</f>
        <v>0</v>
      </c>
      <c r="BQ846" s="7">
        <f>(Wapato_Inventory[[#This Row],[att_gar]]+Wapato_Inventory[[#This Row],[blt_gar]])*Lookups!$B$20</f>
        <v>0</v>
      </c>
      <c r="BR846" s="7">
        <f>Wapato_Inventory[[#This Row],[Patio]]*Lookups!$B$21</f>
        <v>0</v>
      </c>
      <c r="BS846" s="7">
        <f>SUM(Wapato_Inventory[[#This Row],[intercept]:[patio_value]])*Wapato_Inventory[[#This Row],[res_pct]]</f>
        <v>197361.20696899999</v>
      </c>
      <c r="BT846" s="7">
        <f>Wapato_Inventory[[#This Row],[land_value]]</f>
        <v>53300</v>
      </c>
      <c r="BU846" s="2">
        <f>_xlfn.IFNA(VLOOKUP(Wapato_Inventory[[#This Row],[quality]],Lookups!$A$28:$C$37,3,FALSE),1)</f>
        <v>0.99197423394367223</v>
      </c>
      <c r="BV846" s="2">
        <f>_xlfn.IFNA(VLOOKUP(Wapato_Inventory[[#This Row],[condition]],Lookups!$A$41:$C$48,3,FALSE),1)</f>
        <v>0.9832333997567807</v>
      </c>
      <c r="BW846" s="2">
        <f>IF(Wapato_Inventory[[#This Row],[decade]]="",1,_xlfn.IFNA(VLOOKUP(Wapato_Inventory[[#This Row],[decade]],Lookups!$F$28:$H$45,3,FALSE),1))</f>
        <v>0.93664589651353292</v>
      </c>
      <c r="BX846" s="2">
        <f>_xlfn.IFNA(VLOOKUP(Wapato_Inventory[[#This Row],[living_area_range]],Lookups!$K$28:$M$37,3,FALSE),1)</f>
        <v>0.99330894324714125</v>
      </c>
      <c r="BY846" s="2">
        <f>AVERAGE(Wapato_Inventory[[#This Row],[qual_adj]:[range_adj]])</f>
        <v>0.97629061836528175</v>
      </c>
      <c r="BZ846" s="7">
        <f>(Wapato_Inventory[[#This Row],[sum_land]]-IF(Wapato_Inventory[[#This Row],[no_utilities]]=1,12000,0))/IF(Wapato_Inventory[[#This Row],[unbuildable]]=1,2,1)</f>
        <v>53300</v>
      </c>
      <c r="CA846" s="7">
        <f>Wapato_Inventory[[#This Row],[pre_res]]*Wapato_Inventory[[#This Row],[overall_adj]]</f>
        <v>192681.89479308337</v>
      </c>
      <c r="CB846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846" s="3">
        <f>IF(ROUND(Wapato_Inventory[[#This Row],[adj_res]]*Lookups!$H$48,-2)&lt;Wapato_Inventory[[#This Row],[min_res]],Wapato_Inventory[[#This Row],[min_res]],ROUND(Wapato_Inventory[[#This Row],[adj_res]]*Lookups!$H$48,-2))</f>
        <v>183000</v>
      </c>
      <c r="CD846" s="3">
        <f>ROUND(Wapato_Inventory[[#This Row],[det_value]]*Lookups!$H$48,-2)</f>
        <v>5200</v>
      </c>
      <c r="CE846" s="3">
        <f>Wapato_Inventory[[#This Row],[final_res]]+Wapato_Inventory[[#This Row],[final_det]]</f>
        <v>188200</v>
      </c>
      <c r="CF846" s="3">
        <f>Wapato_Inventory[[#This Row],[crop_value]]+Wapato_Inventory[[#This Row],[final_land]]+Wapato_Inventory[[#This Row],[final_imp]]</f>
        <v>238800</v>
      </c>
      <c r="CH846" t="str">
        <f t="shared" si="13"/>
        <v>update valuation set market_land =50600, market_bldg=188200, market_total =238800, market_mdno =405, market_date ='9/10/2023' where link_id = (select link_id from parcel where parcel_year = '2024' and parcel_id = '19111514516');</v>
      </c>
    </row>
    <row r="847" spans="1:86" x14ac:dyDescent="0.25">
      <c r="A847">
        <v>19111514517</v>
      </c>
      <c r="B847">
        <v>0.28000000000000003</v>
      </c>
      <c r="C847">
        <v>12353</v>
      </c>
      <c r="D847" t="s">
        <v>144</v>
      </c>
      <c r="E847" t="s">
        <v>54</v>
      </c>
      <c r="F847" t="s">
        <v>54</v>
      </c>
      <c r="G847">
        <v>3</v>
      </c>
      <c r="H847" t="s">
        <v>55</v>
      </c>
      <c r="I847">
        <v>294900</v>
      </c>
      <c r="J847">
        <v>36800</v>
      </c>
      <c r="K847">
        <v>0.28000000000000003</v>
      </c>
      <c r="L847">
        <f>IF(Wapato_Inventory[[#This Row],[parcel_acres]]-Wapato_Inventory[[#This Row],[non_valued_acres]] =0,0,LN(Wapato_Inventory[[#This Row],[parcel_acres]]-Wapato_Inventory[[#This Row],[non_valued_acres]]))</f>
        <v>-1.2729656758128873</v>
      </c>
      <c r="M847">
        <v>0</v>
      </c>
      <c r="N847">
        <v>0</v>
      </c>
      <c r="O847">
        <v>0</v>
      </c>
      <c r="P847">
        <v>27904.037</v>
      </c>
      <c r="Q847">
        <v>74398</v>
      </c>
      <c r="R847" s="3">
        <f>(Wapato_Inventory[[#This Row],[ln_acres]]*Wapato_Inventory[[#This Row],[coeff]])+Wapato_Inventory[[#This Row],[const]]</f>
        <v>38877.118682387183</v>
      </c>
      <c r="S847" t="s">
        <v>66</v>
      </c>
      <c r="T847">
        <v>1</v>
      </c>
      <c r="U847" t="s">
        <v>67</v>
      </c>
      <c r="V847" t="s">
        <v>69</v>
      </c>
      <c r="W847">
        <v>0</v>
      </c>
      <c r="X847">
        <v>0</v>
      </c>
      <c r="Y847">
        <v>57</v>
      </c>
      <c r="Z847">
        <v>103</v>
      </c>
      <c r="AA847">
        <v>110</v>
      </c>
      <c r="AB847">
        <v>1500</v>
      </c>
      <c r="AC847">
        <v>1280</v>
      </c>
      <c r="AD847">
        <v>1280</v>
      </c>
      <c r="AE847">
        <v>0</v>
      </c>
      <c r="AF847">
        <v>0</v>
      </c>
      <c r="AG847">
        <v>0</v>
      </c>
      <c r="AH847">
        <v>960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104</v>
      </c>
      <c r="AO847">
        <v>0</v>
      </c>
      <c r="AP847">
        <v>5</v>
      </c>
      <c r="AQ847">
        <v>0</v>
      </c>
      <c r="AR847">
        <v>1</v>
      </c>
      <c r="AS847" t="s">
        <v>59</v>
      </c>
      <c r="AT847">
        <v>1</v>
      </c>
      <c r="AU847" t="s">
        <v>64</v>
      </c>
      <c r="AV847" t="s">
        <v>65</v>
      </c>
      <c r="AW847">
        <v>0</v>
      </c>
      <c r="AX847">
        <v>3</v>
      </c>
      <c r="AY847">
        <v>0</v>
      </c>
      <c r="AZ847">
        <v>36400</v>
      </c>
      <c r="BA847">
        <v>100</v>
      </c>
      <c r="BB847">
        <v>100</v>
      </c>
      <c r="BC847">
        <v>100</v>
      </c>
      <c r="BD847">
        <v>100</v>
      </c>
      <c r="BE847">
        <v>1</v>
      </c>
      <c r="BF847">
        <v>15000</v>
      </c>
      <c r="BG847">
        <v>1000</v>
      </c>
      <c r="BH847" s="7">
        <f>ROUND(Wapato_Inventory[[#This Row],[detatched_value]]*Lookups!$B$22*Lookups!$H$48,-2)</f>
        <v>32500</v>
      </c>
      <c r="BI847" s="7">
        <f>ROUND(((Wapato_Inventory[[#This Row],[land_extract]]*Lookups!$B$3) +(Lookups!$B$2*0.5))*Lookups!$H$48,-2)</f>
        <v>54800</v>
      </c>
      <c r="BJ847" s="7">
        <f>IF(Wapato_Inventory[[#This Row],[bldg_style]]="",0,Lookups!$B$2*0.5)</f>
        <v>53765.27</v>
      </c>
      <c r="BK847" s="7">
        <f>_xlfn.IFNA(VLOOKUP(Wapato_Inventory[[#This Row],[quality]],Lookups!$H$2:$J$14,3,FALSE),0)</f>
        <v>50405</v>
      </c>
      <c r="BL847" s="7">
        <f>_xlfn.IFNA(VLOOKUP(Wapato_Inventory[[#This Row],[condition]],Lookups!$H$17:$J$24,3,FALSE),0)</f>
        <v>74543</v>
      </c>
      <c r="BM847" s="7">
        <f>Wapato_Inventory[[#This Row],[Age]]*Lookups!$B$16</f>
        <v>-38179.597099999999</v>
      </c>
      <c r="BN847" s="7">
        <f>Wapato_Inventory[[#This Row],[Main Floor]]*Lookups!$B$17</f>
        <v>53504.945919999998</v>
      </c>
      <c r="BO847" s="7">
        <f>Wapato_Inventory[[#This Row],[Upper Floor]]*Lookups!$B$18</f>
        <v>0</v>
      </c>
      <c r="BP847" s="7">
        <f>Wapato_Inventory[[#This Row],[Fin BSMT]]*Lookups!$B$19</f>
        <v>0</v>
      </c>
      <c r="BQ847" s="7">
        <f>(Wapato_Inventory[[#This Row],[att_gar]]+Wapato_Inventory[[#This Row],[blt_gar]])*Lookups!$B$20</f>
        <v>0</v>
      </c>
      <c r="BR847" s="7">
        <f>Wapato_Inventory[[#This Row],[Patio]]*Lookups!$B$21</f>
        <v>0</v>
      </c>
      <c r="BS847" s="7">
        <f>SUM(Wapato_Inventory[[#This Row],[intercept]:[patio_value]])*Wapato_Inventory[[#This Row],[res_pct]]</f>
        <v>194038.61882</v>
      </c>
      <c r="BT847" s="7">
        <f>Wapato_Inventory[[#This Row],[land_value]]</f>
        <v>54800</v>
      </c>
      <c r="BU847" s="2">
        <f>_xlfn.IFNA(VLOOKUP(Wapato_Inventory[[#This Row],[quality]],Lookups!$A$28:$C$37,3,FALSE),1)</f>
        <v>0.97993206410140754</v>
      </c>
      <c r="BV847" s="2">
        <f>_xlfn.IFNA(VLOOKUP(Wapato_Inventory[[#This Row],[condition]],Lookups!$A$41:$C$48,3,FALSE),1)</f>
        <v>0.98442438223270734</v>
      </c>
      <c r="BW847" s="2">
        <f>IF(Wapato_Inventory[[#This Row],[decade]]="",1,_xlfn.IFNA(VLOOKUP(Wapato_Inventory[[#This Row],[decade]],Lookups!$F$28:$H$45,3,FALSE),1))</f>
        <v>0.93664589651353292</v>
      </c>
      <c r="BX847" s="2">
        <f>_xlfn.IFNA(VLOOKUP(Wapato_Inventory[[#This Row],[living_area_range]],Lookups!$K$28:$M$37,3,FALSE),1)</f>
        <v>1.0061411172456287</v>
      </c>
      <c r="BY847" s="2">
        <f>AVERAGE(Wapato_Inventory[[#This Row],[qual_adj]:[range_adj]])</f>
        <v>0.97678586502331921</v>
      </c>
      <c r="BZ847" s="7">
        <f>(Wapato_Inventory[[#This Row],[sum_land]]-IF(Wapato_Inventory[[#This Row],[no_utilities]]=1,12000,0))/IF(Wapato_Inventory[[#This Row],[unbuildable]]=1,2,1)</f>
        <v>54800</v>
      </c>
      <c r="CA847" s="7">
        <f>Wapato_Inventory[[#This Row],[pre_res]]*Wapato_Inventory[[#This Row],[overall_adj]]</f>
        <v>189534.18013202382</v>
      </c>
      <c r="CB847" s="3">
        <f>IF(ROUND(Wapato_Inventory[[#This Row],[adj_land]]*Lookups!$H$48,-2)&lt;Wapato_Inventory[[#This Row],[min_land]],Wapato_Inventory[[#This Row],[min_land]],ROUND(Wapato_Inventory[[#This Row],[adj_land]]*Lookups!$H$48,-2))</f>
        <v>52100</v>
      </c>
      <c r="CC847" s="3">
        <f>IF(ROUND(Wapato_Inventory[[#This Row],[adj_res]]*Lookups!$H$48,-2)&lt;Wapato_Inventory[[#This Row],[min_res]],Wapato_Inventory[[#This Row],[min_res]],ROUND(Wapato_Inventory[[#This Row],[adj_res]]*Lookups!$H$48,-2))</f>
        <v>180100</v>
      </c>
      <c r="CD847" s="3">
        <f>ROUND(Wapato_Inventory[[#This Row],[det_value]]*Lookups!$H$48,-2)</f>
        <v>30900</v>
      </c>
      <c r="CE847" s="3">
        <f>Wapato_Inventory[[#This Row],[final_res]]+Wapato_Inventory[[#This Row],[final_det]]</f>
        <v>211000</v>
      </c>
      <c r="CF847" s="3">
        <f>Wapato_Inventory[[#This Row],[crop_value]]+Wapato_Inventory[[#This Row],[final_land]]+Wapato_Inventory[[#This Row],[final_imp]]</f>
        <v>263100</v>
      </c>
      <c r="CH847" t="str">
        <f t="shared" si="13"/>
        <v>update valuation set market_land =52100, market_bldg=211000, market_total =263100, market_mdno =405, market_date ='9/10/2023' where link_id = (select link_id from parcel where parcel_year = '2024' and parcel_id = '19111514517');</v>
      </c>
    </row>
    <row r="848" spans="1:86" x14ac:dyDescent="0.25">
      <c r="A848">
        <v>19111514518</v>
      </c>
      <c r="B848">
        <v>0.22</v>
      </c>
      <c r="C848">
        <v>9452</v>
      </c>
      <c r="D848" t="s">
        <v>144</v>
      </c>
      <c r="E848" t="s">
        <v>54</v>
      </c>
      <c r="F848" t="s">
        <v>54</v>
      </c>
      <c r="G848">
        <v>3</v>
      </c>
      <c r="H848" t="s">
        <v>55</v>
      </c>
      <c r="I848">
        <v>145000</v>
      </c>
      <c r="J848">
        <v>35100</v>
      </c>
      <c r="K848">
        <v>0.22</v>
      </c>
      <c r="L848">
        <f>IF(Wapato_Inventory[[#This Row],[parcel_acres]]-Wapato_Inventory[[#This Row],[non_valued_acres]] =0,0,LN(Wapato_Inventory[[#This Row],[parcel_acres]]-Wapato_Inventory[[#This Row],[non_valued_acres]]))</f>
        <v>-1.5141277326297755</v>
      </c>
      <c r="M848">
        <v>0</v>
      </c>
      <c r="N848">
        <v>0</v>
      </c>
      <c r="O848">
        <v>0</v>
      </c>
      <c r="P848">
        <v>27904.037</v>
      </c>
      <c r="Q848">
        <v>74398</v>
      </c>
      <c r="R848" s="3">
        <f>(Wapato_Inventory[[#This Row],[ln_acres]]*Wapato_Inventory[[#This Row],[coeff]])+Wapato_Inventory[[#This Row],[const]]</f>
        <v>32147.723725972639</v>
      </c>
      <c r="S848" t="s">
        <v>56</v>
      </c>
      <c r="T848">
        <v>2</v>
      </c>
      <c r="U848" t="s">
        <v>75</v>
      </c>
      <c r="V848" t="s">
        <v>73</v>
      </c>
      <c r="W848">
        <v>0</v>
      </c>
      <c r="X848">
        <v>0</v>
      </c>
      <c r="Y848">
        <v>57</v>
      </c>
      <c r="Z848">
        <v>103</v>
      </c>
      <c r="AA848">
        <v>110</v>
      </c>
      <c r="AB848">
        <v>3000</v>
      </c>
      <c r="AC848">
        <v>2587</v>
      </c>
      <c r="AD848">
        <v>1312</v>
      </c>
      <c r="AE848">
        <v>400</v>
      </c>
      <c r="AF848">
        <v>0</v>
      </c>
      <c r="AG848">
        <v>875</v>
      </c>
      <c r="AH848">
        <v>275</v>
      </c>
      <c r="AI848">
        <v>0</v>
      </c>
      <c r="AJ848">
        <v>0</v>
      </c>
      <c r="AK848">
        <v>0</v>
      </c>
      <c r="AL848">
        <v>0</v>
      </c>
      <c r="AM848">
        <v>324</v>
      </c>
      <c r="AN848">
        <v>60</v>
      </c>
      <c r="AO848">
        <v>0</v>
      </c>
      <c r="AP848">
        <v>10</v>
      </c>
      <c r="AQ848">
        <v>0</v>
      </c>
      <c r="AR848">
        <v>0</v>
      </c>
      <c r="AS848" t="s">
        <v>59</v>
      </c>
      <c r="AT848">
        <v>1</v>
      </c>
      <c r="AU848" t="s">
        <v>64</v>
      </c>
      <c r="AV848" t="s">
        <v>65</v>
      </c>
      <c r="AW848">
        <v>0</v>
      </c>
      <c r="AX848">
        <v>3</v>
      </c>
      <c r="AY848">
        <v>0</v>
      </c>
      <c r="AZ848">
        <v>3700</v>
      </c>
      <c r="BA848">
        <v>100</v>
      </c>
      <c r="BB848">
        <v>100</v>
      </c>
      <c r="BC848">
        <v>100</v>
      </c>
      <c r="BD848">
        <v>100</v>
      </c>
      <c r="BE848">
        <v>1</v>
      </c>
      <c r="BF848">
        <v>15000</v>
      </c>
      <c r="BG848">
        <v>1000</v>
      </c>
      <c r="BH848" s="7">
        <f>ROUND(Wapato_Inventory[[#This Row],[detatched_value]]*Lookups!$B$22*Lookups!$H$48,-2)</f>
        <v>3300</v>
      </c>
      <c r="BI848" s="7">
        <f>ROUND(((Wapato_Inventory[[#This Row],[land_extract]]*Lookups!$B$3) +(Lookups!$B$2*0.5))*Lookups!$H$48,-2)</f>
        <v>54200</v>
      </c>
      <c r="BJ848" s="7">
        <f>IF(Wapato_Inventory[[#This Row],[bldg_style]]="",0,Lookups!$B$2*0.5)</f>
        <v>53765.27</v>
      </c>
      <c r="BK848" s="7">
        <f>_xlfn.IFNA(VLOOKUP(Wapato_Inventory[[#This Row],[quality]],Lookups!$H$2:$J$14,3,FALSE),0)</f>
        <v>48043</v>
      </c>
      <c r="BL848" s="7">
        <f>_xlfn.IFNA(VLOOKUP(Wapato_Inventory[[#This Row],[condition]],Lookups!$H$17:$J$24,3,FALSE),0)</f>
        <v>16276</v>
      </c>
      <c r="BM848" s="7">
        <f>Wapato_Inventory[[#This Row],[Age]]*Lookups!$B$16</f>
        <v>-38179.597099999999</v>
      </c>
      <c r="BN848" s="7">
        <f>Wapato_Inventory[[#This Row],[Main Floor]]*Lookups!$B$17</f>
        <v>54842.569567999999</v>
      </c>
      <c r="BO848" s="7">
        <f>Wapato_Inventory[[#This Row],[Upper Floor]]*Lookups!$B$18</f>
        <v>19840.455600000001</v>
      </c>
      <c r="BP848" s="7">
        <f>Wapato_Inventory[[#This Row],[Fin BSMT]]*Lookups!$B$19</f>
        <v>21320.897499999999</v>
      </c>
      <c r="BQ848" s="7">
        <f>(Wapato_Inventory[[#This Row],[att_gar]]+Wapato_Inventory[[#This Row],[blt_gar]])*Lookups!$B$20</f>
        <v>0</v>
      </c>
      <c r="BR848" s="7">
        <f>Wapato_Inventory[[#This Row],[Patio]]*Lookups!$B$21</f>
        <v>14036.969196</v>
      </c>
      <c r="BS848" s="7">
        <f>SUM(Wapato_Inventory[[#This Row],[intercept]:[patio_value]])*Wapato_Inventory[[#This Row],[res_pct]]</f>
        <v>189945.56476399995</v>
      </c>
      <c r="BT848" s="7">
        <f>Wapato_Inventory[[#This Row],[land_value]]</f>
        <v>54200</v>
      </c>
      <c r="BU848" s="2">
        <f>_xlfn.IFNA(VLOOKUP(Wapato_Inventory[[#This Row],[quality]],Lookups!$A$28:$C$37,3,FALSE),1)</f>
        <v>0.98196844879778955</v>
      </c>
      <c r="BV848" s="2">
        <f>_xlfn.IFNA(VLOOKUP(Wapato_Inventory[[#This Row],[condition]],Lookups!$A$41:$C$48,3,FALSE),1)</f>
        <v>0.93399385491337139</v>
      </c>
      <c r="BW848" s="2">
        <f>IF(Wapato_Inventory[[#This Row],[decade]]="",1,_xlfn.IFNA(VLOOKUP(Wapato_Inventory[[#This Row],[decade]],Lookups!$F$28:$H$45,3,FALSE),1))</f>
        <v>0.93664589651353292</v>
      </c>
      <c r="BX848" s="2">
        <f>_xlfn.IFNA(VLOOKUP(Wapato_Inventory[[#This Row],[living_area_range]],Lookups!$K$28:$M$37,3,FALSE),1)</f>
        <v>1.0155869662067822</v>
      </c>
      <c r="BY848" s="2">
        <f>AVERAGE(Wapato_Inventory[[#This Row],[qual_adj]:[range_adj]])</f>
        <v>0.96704879160786894</v>
      </c>
      <c r="BZ848" s="7">
        <f>(Wapato_Inventory[[#This Row],[sum_land]]-IF(Wapato_Inventory[[#This Row],[no_utilities]]=1,12000,0))/IF(Wapato_Inventory[[#This Row],[unbuildable]]=1,2,1)</f>
        <v>54200</v>
      </c>
      <c r="CA848" s="7">
        <f>Wapato_Inventory[[#This Row],[pre_res]]*Wapato_Inventory[[#This Row],[overall_adj]]</f>
        <v>183686.62887630035</v>
      </c>
      <c r="CB848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848" s="3">
        <f>IF(ROUND(Wapato_Inventory[[#This Row],[adj_res]]*Lookups!$H$48,-2)&lt;Wapato_Inventory[[#This Row],[min_res]],Wapato_Inventory[[#This Row],[min_res]],ROUND(Wapato_Inventory[[#This Row],[adj_res]]*Lookups!$H$48,-2))</f>
        <v>174500</v>
      </c>
      <c r="CD848" s="3">
        <f>ROUND(Wapato_Inventory[[#This Row],[det_value]]*Lookups!$H$48,-2)</f>
        <v>3100</v>
      </c>
      <c r="CE848" s="3">
        <f>Wapato_Inventory[[#This Row],[final_res]]+Wapato_Inventory[[#This Row],[final_det]]</f>
        <v>177600</v>
      </c>
      <c r="CF848" s="3">
        <f>Wapato_Inventory[[#This Row],[crop_value]]+Wapato_Inventory[[#This Row],[final_land]]+Wapato_Inventory[[#This Row],[final_imp]]</f>
        <v>229100</v>
      </c>
      <c r="CH848" t="str">
        <f t="shared" si="13"/>
        <v>update valuation set market_land =51500, market_bldg=177600, market_total =229100, market_mdno =405, market_date ='9/10/2023' where link_id = (select link_id from parcel where parcel_year = '2024' and parcel_id = '19111514518');</v>
      </c>
    </row>
    <row r="849" spans="1:86" x14ac:dyDescent="0.25">
      <c r="A849">
        <v>19111514520</v>
      </c>
      <c r="B849">
        <v>0.15</v>
      </c>
      <c r="C849">
        <v>6343</v>
      </c>
      <c r="D849" t="s">
        <v>144</v>
      </c>
      <c r="E849" t="s">
        <v>54</v>
      </c>
      <c r="F849" t="s">
        <v>54</v>
      </c>
      <c r="G849">
        <v>3</v>
      </c>
      <c r="H849" t="s">
        <v>55</v>
      </c>
      <c r="I849">
        <v>180200</v>
      </c>
      <c r="J849">
        <v>32300</v>
      </c>
      <c r="K849">
        <v>0.15</v>
      </c>
      <c r="L849">
        <f>IF(Wapato_Inventory[[#This Row],[parcel_acres]]-Wapato_Inventory[[#This Row],[non_valued_acres]] =0,0,LN(Wapato_Inventory[[#This Row],[parcel_acres]]-Wapato_Inventory[[#This Row],[non_valued_acres]]))</f>
        <v>-1.8971199848858813</v>
      </c>
      <c r="M849">
        <v>0</v>
      </c>
      <c r="N849">
        <v>0</v>
      </c>
      <c r="O849">
        <v>0</v>
      </c>
      <c r="P849">
        <v>27904.037</v>
      </c>
      <c r="Q849">
        <v>74398</v>
      </c>
      <c r="R849" s="3">
        <f>(Wapato_Inventory[[#This Row],[ln_acres]]*Wapato_Inventory[[#This Row],[coeff]])+Wapato_Inventory[[#This Row],[const]]</f>
        <v>21460.693748304926</v>
      </c>
      <c r="S849" t="s">
        <v>56</v>
      </c>
      <c r="T849">
        <v>2</v>
      </c>
      <c r="U849" t="s">
        <v>75</v>
      </c>
      <c r="V849" t="s">
        <v>68</v>
      </c>
      <c r="W849">
        <v>0</v>
      </c>
      <c r="X849">
        <v>0</v>
      </c>
      <c r="Y849">
        <v>52</v>
      </c>
      <c r="Z849">
        <v>85</v>
      </c>
      <c r="AA849">
        <v>90</v>
      </c>
      <c r="AB849">
        <v>2000</v>
      </c>
      <c r="AC849">
        <v>1527</v>
      </c>
      <c r="AD849">
        <v>1027</v>
      </c>
      <c r="AE849">
        <v>500</v>
      </c>
      <c r="AF849">
        <v>0</v>
      </c>
      <c r="AG849">
        <v>0</v>
      </c>
      <c r="AH849">
        <v>480</v>
      </c>
      <c r="AI849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8</v>
      </c>
      <c r="AQ849">
        <v>0</v>
      </c>
      <c r="AR849">
        <v>0</v>
      </c>
      <c r="AS849" t="s">
        <v>59</v>
      </c>
      <c r="AT849">
        <v>1</v>
      </c>
      <c r="AU849" t="s">
        <v>64</v>
      </c>
      <c r="AV849" t="s">
        <v>61</v>
      </c>
      <c r="AW849">
        <v>1</v>
      </c>
      <c r="AX849">
        <v>3</v>
      </c>
      <c r="AY849">
        <v>0</v>
      </c>
      <c r="AZ849">
        <v>7000</v>
      </c>
      <c r="BA849">
        <v>100</v>
      </c>
      <c r="BB849">
        <v>100</v>
      </c>
      <c r="BC849">
        <v>100</v>
      </c>
      <c r="BD849">
        <v>100</v>
      </c>
      <c r="BE849">
        <v>1</v>
      </c>
      <c r="BF849">
        <v>15000</v>
      </c>
      <c r="BG849">
        <v>1000</v>
      </c>
      <c r="BH849" s="7">
        <f>ROUND(Wapato_Inventory[[#This Row],[detatched_value]]*Lookups!$B$22*Lookups!$H$48,-2)</f>
        <v>6300</v>
      </c>
      <c r="BI849" s="7">
        <f>ROUND(((Wapato_Inventory[[#This Row],[land_extract]]*Lookups!$B$3) +(Lookups!$B$2*0.5))*Lookups!$H$48,-2)</f>
        <v>53100</v>
      </c>
      <c r="BJ849" s="7">
        <f>IF(Wapato_Inventory[[#This Row],[bldg_style]]="",0,Lookups!$B$2*0.5)</f>
        <v>53765.27</v>
      </c>
      <c r="BK849" s="7">
        <f>_xlfn.IFNA(VLOOKUP(Wapato_Inventory[[#This Row],[quality]],Lookups!$H$2:$J$14,3,FALSE),0)</f>
        <v>48043</v>
      </c>
      <c r="BL849" s="7">
        <f>_xlfn.IFNA(VLOOKUP(Wapato_Inventory[[#This Row],[condition]],Lookups!$H$17:$J$24,3,FALSE),0)</f>
        <v>52231</v>
      </c>
      <c r="BM849" s="7">
        <f>Wapato_Inventory[[#This Row],[Age]]*Lookups!$B$16</f>
        <v>-31507.434499999999</v>
      </c>
      <c r="BN849" s="7">
        <f>Wapato_Inventory[[#This Row],[Main Floor]]*Lookups!$B$17</f>
        <v>42929.358953000003</v>
      </c>
      <c r="BO849" s="7">
        <f>Wapato_Inventory[[#This Row],[Upper Floor]]*Lookups!$B$18</f>
        <v>24800.569500000001</v>
      </c>
      <c r="BP849" s="7">
        <f>Wapato_Inventory[[#This Row],[Fin BSMT]]*Lookups!$B$19</f>
        <v>0</v>
      </c>
      <c r="BQ849" s="7">
        <f>(Wapato_Inventory[[#This Row],[att_gar]]+Wapato_Inventory[[#This Row],[blt_gar]])*Lookups!$B$20</f>
        <v>0</v>
      </c>
      <c r="BR849" s="7">
        <f>Wapato_Inventory[[#This Row],[Patio]]*Lookups!$B$21</f>
        <v>0</v>
      </c>
      <c r="BS849" s="7">
        <f>SUM(Wapato_Inventory[[#This Row],[intercept]:[patio_value]])*Wapato_Inventory[[#This Row],[res_pct]]</f>
        <v>190261.76395299999</v>
      </c>
      <c r="BT849" s="7">
        <f>Wapato_Inventory[[#This Row],[land_value]]</f>
        <v>53100</v>
      </c>
      <c r="BU849" s="2">
        <f>_xlfn.IFNA(VLOOKUP(Wapato_Inventory[[#This Row],[quality]],Lookups!$A$28:$C$37,3,FALSE),1)</f>
        <v>0.98196844879778955</v>
      </c>
      <c r="BV849" s="2">
        <f>_xlfn.IFNA(VLOOKUP(Wapato_Inventory[[#This Row],[condition]],Lookups!$A$41:$C$48,3,FALSE),1)</f>
        <v>0.9832333997567807</v>
      </c>
      <c r="BW849" s="2">
        <f>IF(Wapato_Inventory[[#This Row],[decade]]="",1,_xlfn.IFNA(VLOOKUP(Wapato_Inventory[[#This Row],[decade]],Lookups!$F$28:$H$45,3,FALSE),1))</f>
        <v>0.94742695999815718</v>
      </c>
      <c r="BX849" s="2">
        <f>_xlfn.IFNA(VLOOKUP(Wapato_Inventory[[#This Row],[living_area_range]],Lookups!$K$28:$M$37,3,FALSE),1)</f>
        <v>0.99330894324714125</v>
      </c>
      <c r="BY849" s="2">
        <f>AVERAGE(Wapato_Inventory[[#This Row],[qual_adj]:[range_adj]])</f>
        <v>0.97648443794996709</v>
      </c>
      <c r="BZ849" s="7">
        <f>(Wapato_Inventory[[#This Row],[sum_land]]-IF(Wapato_Inventory[[#This Row],[no_utilities]]=1,12000,0))/IF(Wapato_Inventory[[#This Row],[unbuildable]]=1,2,1)</f>
        <v>53100</v>
      </c>
      <c r="CA849" s="7">
        <f>Wapato_Inventory[[#This Row],[pre_res]]*Wapato_Inventory[[#This Row],[overall_adj]]</f>
        <v>185787.6516370145</v>
      </c>
      <c r="CB84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49" s="3">
        <f>IF(ROUND(Wapato_Inventory[[#This Row],[adj_res]]*Lookups!$H$48,-2)&lt;Wapato_Inventory[[#This Row],[min_res]],Wapato_Inventory[[#This Row],[min_res]],ROUND(Wapato_Inventory[[#This Row],[adj_res]]*Lookups!$H$48,-2))</f>
        <v>176500</v>
      </c>
      <c r="CD849" s="3">
        <f>ROUND(Wapato_Inventory[[#This Row],[det_value]]*Lookups!$H$48,-2)</f>
        <v>6000</v>
      </c>
      <c r="CE849" s="3">
        <f>Wapato_Inventory[[#This Row],[final_res]]+Wapato_Inventory[[#This Row],[final_det]]</f>
        <v>182500</v>
      </c>
      <c r="CF849" s="3">
        <f>Wapato_Inventory[[#This Row],[crop_value]]+Wapato_Inventory[[#This Row],[final_land]]+Wapato_Inventory[[#This Row],[final_imp]]</f>
        <v>232900</v>
      </c>
      <c r="CH849" t="str">
        <f t="shared" si="13"/>
        <v>update valuation set market_land =50400, market_bldg=182500, market_total =232900, market_mdno =405, market_date ='9/10/2023' where link_id = (select link_id from parcel where parcel_year = '2024' and parcel_id = '19111514520');</v>
      </c>
    </row>
    <row r="850" spans="1:86" x14ac:dyDescent="0.25">
      <c r="A850">
        <v>19111514521</v>
      </c>
      <c r="B850">
        <v>0.13</v>
      </c>
      <c r="C850">
        <v>5705</v>
      </c>
      <c r="D850" t="s">
        <v>144</v>
      </c>
      <c r="E850" t="s">
        <v>54</v>
      </c>
      <c r="F850" t="s">
        <v>54</v>
      </c>
      <c r="G850">
        <v>3</v>
      </c>
      <c r="H850" t="s">
        <v>55</v>
      </c>
      <c r="I850">
        <v>180500</v>
      </c>
      <c r="J850">
        <v>31400</v>
      </c>
      <c r="K850">
        <v>0.13</v>
      </c>
      <c r="L850">
        <f>IF(Wapato_Inventory[[#This Row],[parcel_acres]]-Wapato_Inventory[[#This Row],[non_valued_acres]] =0,0,LN(Wapato_Inventory[[#This Row],[parcel_acres]]-Wapato_Inventory[[#This Row],[non_valued_acres]]))</f>
        <v>-2.0402208285265546</v>
      </c>
      <c r="M850">
        <v>0</v>
      </c>
      <c r="N850">
        <v>0</v>
      </c>
      <c r="O850">
        <v>0</v>
      </c>
      <c r="P850">
        <v>27904.037</v>
      </c>
      <c r="Q850">
        <v>74398</v>
      </c>
      <c r="R850" s="3">
        <f>(Wapato_Inventory[[#This Row],[ln_acres]]*Wapato_Inventory[[#This Row],[coeff]])+Wapato_Inventory[[#This Row],[const]]</f>
        <v>17467.602512624362</v>
      </c>
      <c r="S850" t="s">
        <v>56</v>
      </c>
      <c r="T850">
        <v>2</v>
      </c>
      <c r="U850" t="s">
        <v>75</v>
      </c>
      <c r="V850" t="s">
        <v>68</v>
      </c>
      <c r="W850">
        <v>0</v>
      </c>
      <c r="X850">
        <v>0</v>
      </c>
      <c r="Y850">
        <v>75</v>
      </c>
      <c r="Z850">
        <v>123</v>
      </c>
      <c r="AA850">
        <v>130</v>
      </c>
      <c r="AB850">
        <v>2000</v>
      </c>
      <c r="AC850">
        <v>1896</v>
      </c>
      <c r="AD850">
        <v>1484</v>
      </c>
      <c r="AE850">
        <v>412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240</v>
      </c>
      <c r="AN850">
        <v>60</v>
      </c>
      <c r="AO850">
        <v>440</v>
      </c>
      <c r="AP850">
        <v>5</v>
      </c>
      <c r="AQ850">
        <v>0</v>
      </c>
      <c r="AR850">
        <v>1</v>
      </c>
      <c r="AS850" t="s">
        <v>82</v>
      </c>
      <c r="AT850">
        <v>1</v>
      </c>
      <c r="AU850" t="s">
        <v>64</v>
      </c>
      <c r="AV850" t="s">
        <v>65</v>
      </c>
      <c r="AW850">
        <v>0</v>
      </c>
      <c r="AX850">
        <v>3</v>
      </c>
      <c r="AY850">
        <v>0</v>
      </c>
      <c r="AZ850">
        <v>1800</v>
      </c>
      <c r="BA850">
        <v>100</v>
      </c>
      <c r="BB850">
        <v>100</v>
      </c>
      <c r="BC850">
        <v>100</v>
      </c>
      <c r="BD850">
        <v>100</v>
      </c>
      <c r="BE850">
        <v>1</v>
      </c>
      <c r="BF850">
        <v>15000</v>
      </c>
      <c r="BG850">
        <v>1000</v>
      </c>
      <c r="BH850" s="7">
        <f>ROUND(Wapato_Inventory[[#This Row],[detatched_value]]*Lookups!$B$22*Lookups!$H$48,-2)</f>
        <v>1600</v>
      </c>
      <c r="BI850" s="7">
        <f>ROUND(((Wapato_Inventory[[#This Row],[land_extract]]*Lookups!$B$3) +(Lookups!$B$2*0.5))*Lookups!$H$48,-2)</f>
        <v>52800</v>
      </c>
      <c r="BJ850" s="7">
        <f>IF(Wapato_Inventory[[#This Row],[bldg_style]]="",0,Lookups!$B$2*0.5)</f>
        <v>53765.27</v>
      </c>
      <c r="BK850" s="7">
        <f>_xlfn.IFNA(VLOOKUP(Wapato_Inventory[[#This Row],[quality]],Lookups!$H$2:$J$14,3,FALSE),0)</f>
        <v>48043</v>
      </c>
      <c r="BL850" s="7">
        <f>_xlfn.IFNA(VLOOKUP(Wapato_Inventory[[#This Row],[condition]],Lookups!$H$17:$J$24,3,FALSE),0)</f>
        <v>52231</v>
      </c>
      <c r="BM850" s="7">
        <f>Wapato_Inventory[[#This Row],[Age]]*Lookups!$B$16</f>
        <v>-45593.111100000002</v>
      </c>
      <c r="BN850" s="7">
        <f>Wapato_Inventory[[#This Row],[Main Floor]]*Lookups!$B$17</f>
        <v>62032.296675999998</v>
      </c>
      <c r="BO850" s="7">
        <f>Wapato_Inventory[[#This Row],[Upper Floor]]*Lookups!$B$18</f>
        <v>20435.669268000001</v>
      </c>
      <c r="BP850" s="7">
        <f>Wapato_Inventory[[#This Row],[Fin BSMT]]*Lookups!$B$19</f>
        <v>0</v>
      </c>
      <c r="BQ850" s="7">
        <f>(Wapato_Inventory[[#This Row],[att_gar]]+Wapato_Inventory[[#This Row],[blt_gar]])*Lookups!$B$20</f>
        <v>0</v>
      </c>
      <c r="BR850" s="7">
        <f>Wapato_Inventory[[#This Row],[Patio]]*Lookups!$B$21</f>
        <v>10397.75496</v>
      </c>
      <c r="BS850" s="7">
        <f>SUM(Wapato_Inventory[[#This Row],[intercept]:[patio_value]])*Wapato_Inventory[[#This Row],[res_pct]]</f>
        <v>201311.87980399997</v>
      </c>
      <c r="BT850" s="7">
        <f>Wapato_Inventory[[#This Row],[land_value]]</f>
        <v>52800</v>
      </c>
      <c r="BU850" s="2">
        <f>_xlfn.IFNA(VLOOKUP(Wapato_Inventory[[#This Row],[quality]],Lookups!$A$28:$C$37,3,FALSE),1)</f>
        <v>0.98196844879778955</v>
      </c>
      <c r="BV850" s="2">
        <f>_xlfn.IFNA(VLOOKUP(Wapato_Inventory[[#This Row],[condition]],Lookups!$A$41:$C$48,3,FALSE),1)</f>
        <v>0.9832333997567807</v>
      </c>
      <c r="BW850" s="2">
        <f>IF(Wapato_Inventory[[#This Row],[decade]]="",1,_xlfn.IFNA(VLOOKUP(Wapato_Inventory[[#This Row],[decade]],Lookups!$F$28:$H$45,3,FALSE),1))</f>
        <v>0.93664589651353292</v>
      </c>
      <c r="BX850" s="2">
        <f>_xlfn.IFNA(VLOOKUP(Wapato_Inventory[[#This Row],[living_area_range]],Lookups!$K$28:$M$37,3,FALSE),1)</f>
        <v>0.99330894324714125</v>
      </c>
      <c r="BY850" s="2">
        <f>AVERAGE(Wapato_Inventory[[#This Row],[qual_adj]:[range_adj]])</f>
        <v>0.9737891720788111</v>
      </c>
      <c r="BZ850" s="7">
        <f>(Wapato_Inventory[[#This Row],[sum_land]]-IF(Wapato_Inventory[[#This Row],[no_utilities]]=1,12000,0))/IF(Wapato_Inventory[[#This Row],[unbuildable]]=1,2,1)</f>
        <v>52800</v>
      </c>
      <c r="CA850" s="7">
        <f>Wapato_Inventory[[#This Row],[pre_res]]*Wapato_Inventory[[#This Row],[overall_adj]]</f>
        <v>196035.32876396627</v>
      </c>
      <c r="CB850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50" s="3">
        <f>IF(ROUND(Wapato_Inventory[[#This Row],[adj_res]]*Lookups!$H$48,-2)&lt;Wapato_Inventory[[#This Row],[min_res]],Wapato_Inventory[[#This Row],[min_res]],ROUND(Wapato_Inventory[[#This Row],[adj_res]]*Lookups!$H$48,-2))</f>
        <v>186200</v>
      </c>
      <c r="CD850" s="3">
        <f>ROUND(Wapato_Inventory[[#This Row],[det_value]]*Lookups!$H$48,-2)</f>
        <v>1500</v>
      </c>
      <c r="CE850" s="3">
        <f>Wapato_Inventory[[#This Row],[final_res]]+Wapato_Inventory[[#This Row],[final_det]]</f>
        <v>187700</v>
      </c>
      <c r="CF850" s="3">
        <f>Wapato_Inventory[[#This Row],[crop_value]]+Wapato_Inventory[[#This Row],[final_land]]+Wapato_Inventory[[#This Row],[final_imp]]</f>
        <v>237900</v>
      </c>
      <c r="CH850" t="str">
        <f t="shared" si="13"/>
        <v>update valuation set market_land =50200, market_bldg=187700, market_total =237900, market_mdno =405, market_date ='9/10/2023' where link_id = (select link_id from parcel where parcel_year = '2024' and parcel_id = '19111514521');</v>
      </c>
    </row>
    <row r="851" spans="1:86" x14ac:dyDescent="0.25">
      <c r="A851">
        <v>19111514522</v>
      </c>
      <c r="B851">
        <v>0.14000000000000001</v>
      </c>
      <c r="C851">
        <v>6123</v>
      </c>
      <c r="D851" t="s">
        <v>144</v>
      </c>
      <c r="E851" t="s">
        <v>54</v>
      </c>
      <c r="F851" t="s">
        <v>54</v>
      </c>
      <c r="G851">
        <v>3</v>
      </c>
      <c r="H851" t="s">
        <v>55</v>
      </c>
      <c r="I851">
        <v>149100</v>
      </c>
      <c r="J851">
        <v>31900</v>
      </c>
      <c r="K851">
        <v>0.14000000000000001</v>
      </c>
      <c r="L851">
        <f>IF(Wapato_Inventory[[#This Row],[parcel_acres]]-Wapato_Inventory[[#This Row],[non_valued_acres]] =0,0,LN(Wapato_Inventory[[#This Row],[parcel_acres]]-Wapato_Inventory[[#This Row],[non_valued_acres]]))</f>
        <v>-1.9661128563728327</v>
      </c>
      <c r="M851">
        <v>0</v>
      </c>
      <c r="N851">
        <v>0</v>
      </c>
      <c r="O851">
        <v>0</v>
      </c>
      <c r="P851">
        <v>27904.037</v>
      </c>
      <c r="Q851">
        <v>74398</v>
      </c>
      <c r="R851" s="3">
        <f>(Wapato_Inventory[[#This Row],[ln_acres]]*Wapato_Inventory[[#This Row],[coeff]])+Wapato_Inventory[[#This Row],[const]]</f>
        <v>19535.514109596792</v>
      </c>
      <c r="S851" t="s">
        <v>66</v>
      </c>
      <c r="T851">
        <v>1</v>
      </c>
      <c r="U851" t="s">
        <v>75</v>
      </c>
      <c r="V851" t="s">
        <v>68</v>
      </c>
      <c r="W851">
        <v>0</v>
      </c>
      <c r="X851">
        <v>0</v>
      </c>
      <c r="Y851">
        <v>53</v>
      </c>
      <c r="Z851">
        <v>93</v>
      </c>
      <c r="AA851">
        <v>100</v>
      </c>
      <c r="AB851">
        <v>1500</v>
      </c>
      <c r="AC851">
        <v>1248</v>
      </c>
      <c r="AD851">
        <v>960</v>
      </c>
      <c r="AE851">
        <v>0</v>
      </c>
      <c r="AF851">
        <v>0</v>
      </c>
      <c r="AG851">
        <v>288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0</v>
      </c>
      <c r="AN851">
        <v>40</v>
      </c>
      <c r="AO851">
        <v>0</v>
      </c>
      <c r="AP851">
        <v>5</v>
      </c>
      <c r="AQ851">
        <v>0</v>
      </c>
      <c r="AR851">
        <v>1</v>
      </c>
      <c r="AS851" t="s">
        <v>82</v>
      </c>
      <c r="AT851">
        <v>1</v>
      </c>
      <c r="AU851" t="s">
        <v>64</v>
      </c>
      <c r="AV851" t="s">
        <v>65</v>
      </c>
      <c r="AW851">
        <v>0</v>
      </c>
      <c r="AX851">
        <v>2</v>
      </c>
      <c r="AY851">
        <v>0</v>
      </c>
      <c r="AZ851">
        <v>5900</v>
      </c>
      <c r="BA851">
        <v>100</v>
      </c>
      <c r="BB851">
        <v>100</v>
      </c>
      <c r="BC851">
        <v>100</v>
      </c>
      <c r="BD851">
        <v>100</v>
      </c>
      <c r="BE851">
        <v>1</v>
      </c>
      <c r="BF851">
        <v>15000</v>
      </c>
      <c r="BG851">
        <v>1000</v>
      </c>
      <c r="BH851" s="7">
        <f>ROUND(Wapato_Inventory[[#This Row],[detatched_value]]*Lookups!$B$22*Lookups!$H$48,-2)</f>
        <v>5300</v>
      </c>
      <c r="BI851" s="7">
        <f>ROUND(((Wapato_Inventory[[#This Row],[land_extract]]*Lookups!$B$3) +(Lookups!$B$2*0.5))*Lookups!$H$48,-2)</f>
        <v>53000</v>
      </c>
      <c r="BJ851" s="7">
        <f>IF(Wapato_Inventory[[#This Row],[bldg_style]]="",0,Lookups!$B$2*0.5)</f>
        <v>53765.27</v>
      </c>
      <c r="BK851" s="7">
        <f>_xlfn.IFNA(VLOOKUP(Wapato_Inventory[[#This Row],[quality]],Lookups!$H$2:$J$14,3,FALSE),0)</f>
        <v>48043</v>
      </c>
      <c r="BL851" s="7">
        <f>_xlfn.IFNA(VLOOKUP(Wapato_Inventory[[#This Row],[condition]],Lookups!$H$17:$J$24,3,FALSE),0)</f>
        <v>52231</v>
      </c>
      <c r="BM851" s="7">
        <f>Wapato_Inventory[[#This Row],[Age]]*Lookups!$B$16</f>
        <v>-34472.840100000001</v>
      </c>
      <c r="BN851" s="7">
        <f>Wapato_Inventory[[#This Row],[Main Floor]]*Lookups!$B$17</f>
        <v>40128.709439999999</v>
      </c>
      <c r="BO851" s="7">
        <f>Wapato_Inventory[[#This Row],[Upper Floor]]*Lookups!$B$18</f>
        <v>0</v>
      </c>
      <c r="BP851" s="7">
        <f>Wapato_Inventory[[#This Row],[Fin BSMT]]*Lookups!$B$19</f>
        <v>7017.6211199999998</v>
      </c>
      <c r="BQ851" s="7">
        <f>(Wapato_Inventory[[#This Row],[att_gar]]+Wapato_Inventory[[#This Row],[blt_gar]])*Lookups!$B$20</f>
        <v>0</v>
      </c>
      <c r="BR851" s="7">
        <f>Wapato_Inventory[[#This Row],[Patio]]*Lookups!$B$21</f>
        <v>0</v>
      </c>
      <c r="BS851" s="7">
        <f>SUM(Wapato_Inventory[[#This Row],[intercept]:[patio_value]])*Wapato_Inventory[[#This Row],[res_pct]]</f>
        <v>166712.76045999999</v>
      </c>
      <c r="BT851" s="7">
        <f>Wapato_Inventory[[#This Row],[land_value]]</f>
        <v>53000</v>
      </c>
      <c r="BU851" s="2">
        <f>_xlfn.IFNA(VLOOKUP(Wapato_Inventory[[#This Row],[quality]],Lookups!$A$28:$C$37,3,FALSE),1)</f>
        <v>0.98196844879778955</v>
      </c>
      <c r="BV851" s="2">
        <f>_xlfn.IFNA(VLOOKUP(Wapato_Inventory[[#This Row],[condition]],Lookups!$A$41:$C$48,3,FALSE),1)</f>
        <v>0.9832333997567807</v>
      </c>
      <c r="BW851" s="2">
        <f>IF(Wapato_Inventory[[#This Row],[decade]]="",1,_xlfn.IFNA(VLOOKUP(Wapato_Inventory[[#This Row],[decade]],Lookups!$F$28:$H$45,3,FALSE),1))</f>
        <v>1.0114203040664467</v>
      </c>
      <c r="BX851" s="2">
        <f>_xlfn.IFNA(VLOOKUP(Wapato_Inventory[[#This Row],[living_area_range]],Lookups!$K$28:$M$37,3,FALSE),1)</f>
        <v>1.0061411172456287</v>
      </c>
      <c r="BY851" s="2">
        <f>AVERAGE(Wapato_Inventory[[#This Row],[qual_adj]:[range_adj]])</f>
        <v>0.99569081746666144</v>
      </c>
      <c r="BZ851" s="7">
        <f>(Wapato_Inventory[[#This Row],[sum_land]]-IF(Wapato_Inventory[[#This Row],[no_utilities]]=1,12000,0))/IF(Wapato_Inventory[[#This Row],[unbuildable]]=1,2,1)</f>
        <v>53000</v>
      </c>
      <c r="CA851" s="7">
        <f>Wapato_Inventory[[#This Row],[pre_res]]*Wapato_Inventory[[#This Row],[overall_adj]]</f>
        <v>165994.36474454109</v>
      </c>
      <c r="CB85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51" s="3">
        <f>IF(ROUND(Wapato_Inventory[[#This Row],[adj_res]]*Lookups!$H$48,-2)&lt;Wapato_Inventory[[#This Row],[min_res]],Wapato_Inventory[[#This Row],[min_res]],ROUND(Wapato_Inventory[[#This Row],[adj_res]]*Lookups!$H$48,-2))</f>
        <v>157700</v>
      </c>
      <c r="CD851" s="3">
        <f>ROUND(Wapato_Inventory[[#This Row],[det_value]]*Lookups!$H$48,-2)</f>
        <v>5000</v>
      </c>
      <c r="CE851" s="3">
        <f>Wapato_Inventory[[#This Row],[final_res]]+Wapato_Inventory[[#This Row],[final_det]]</f>
        <v>162700</v>
      </c>
      <c r="CF851" s="3">
        <f>Wapato_Inventory[[#This Row],[crop_value]]+Wapato_Inventory[[#This Row],[final_land]]+Wapato_Inventory[[#This Row],[final_imp]]</f>
        <v>213100</v>
      </c>
      <c r="CH851" t="str">
        <f t="shared" si="13"/>
        <v>update valuation set market_land =50400, market_bldg=162700, market_total =213100, market_mdno =405, market_date ='9/10/2023' where link_id = (select link_id from parcel where parcel_year = '2024' and parcel_id = '19111514522');</v>
      </c>
    </row>
    <row r="852" spans="1:86" x14ac:dyDescent="0.25">
      <c r="A852">
        <v>19111514523</v>
      </c>
      <c r="B852">
        <v>0.14000000000000001</v>
      </c>
      <c r="C852">
        <v>6117</v>
      </c>
      <c r="D852" t="s">
        <v>144</v>
      </c>
      <c r="E852" t="s">
        <v>54</v>
      </c>
      <c r="F852" t="s">
        <v>54</v>
      </c>
      <c r="G852">
        <v>3</v>
      </c>
      <c r="H852" t="s">
        <v>55</v>
      </c>
      <c r="I852">
        <v>123500</v>
      </c>
      <c r="J852">
        <v>31900</v>
      </c>
      <c r="K852">
        <v>0.14000000000000001</v>
      </c>
      <c r="L852">
        <f>IF(Wapato_Inventory[[#This Row],[parcel_acres]]-Wapato_Inventory[[#This Row],[non_valued_acres]] =0,0,LN(Wapato_Inventory[[#This Row],[parcel_acres]]-Wapato_Inventory[[#This Row],[non_valued_acres]]))</f>
        <v>-1.9661128563728327</v>
      </c>
      <c r="M852">
        <v>0</v>
      </c>
      <c r="N852">
        <v>0</v>
      </c>
      <c r="O852">
        <v>0</v>
      </c>
      <c r="P852">
        <v>27904.037</v>
      </c>
      <c r="Q852">
        <v>74398</v>
      </c>
      <c r="R852" s="3">
        <f>(Wapato_Inventory[[#This Row],[ln_acres]]*Wapato_Inventory[[#This Row],[coeff]])+Wapato_Inventory[[#This Row],[const]]</f>
        <v>19535.514109596792</v>
      </c>
      <c r="S852" t="s">
        <v>66</v>
      </c>
      <c r="T852">
        <v>1</v>
      </c>
      <c r="U852" t="s">
        <v>71</v>
      </c>
      <c r="V852" t="s">
        <v>68</v>
      </c>
      <c r="W852">
        <v>0</v>
      </c>
      <c r="X852">
        <v>0</v>
      </c>
      <c r="Y852">
        <v>53</v>
      </c>
      <c r="Z852">
        <v>93</v>
      </c>
      <c r="AA852">
        <v>100</v>
      </c>
      <c r="AB852">
        <v>1500</v>
      </c>
      <c r="AC852">
        <v>1008</v>
      </c>
      <c r="AD852">
        <v>1008</v>
      </c>
      <c r="AE852">
        <v>0</v>
      </c>
      <c r="AF852">
        <v>0</v>
      </c>
      <c r="AG852">
        <v>0</v>
      </c>
      <c r="AH852">
        <v>288</v>
      </c>
      <c r="AI852">
        <v>0</v>
      </c>
      <c r="AJ852">
        <v>0</v>
      </c>
      <c r="AK852">
        <v>0</v>
      </c>
      <c r="AL852">
        <v>0</v>
      </c>
      <c r="AM852">
        <v>0</v>
      </c>
      <c r="AN852">
        <v>40</v>
      </c>
      <c r="AO852">
        <v>132</v>
      </c>
      <c r="AP852">
        <v>5</v>
      </c>
      <c r="AQ852">
        <v>0</v>
      </c>
      <c r="AR852">
        <v>1</v>
      </c>
      <c r="AS852" t="s">
        <v>59</v>
      </c>
      <c r="AT852">
        <v>1</v>
      </c>
      <c r="AU852" t="s">
        <v>72</v>
      </c>
      <c r="AV852" t="s">
        <v>61</v>
      </c>
      <c r="AW852">
        <v>0</v>
      </c>
      <c r="AX852">
        <v>2</v>
      </c>
      <c r="AY852">
        <v>0</v>
      </c>
      <c r="AZ852">
        <v>5300</v>
      </c>
      <c r="BA852">
        <v>100</v>
      </c>
      <c r="BB852">
        <v>100</v>
      </c>
      <c r="BC852">
        <v>100</v>
      </c>
      <c r="BD852">
        <v>100</v>
      </c>
      <c r="BE852">
        <v>1</v>
      </c>
      <c r="BF852">
        <v>15000</v>
      </c>
      <c r="BG852">
        <v>1000</v>
      </c>
      <c r="BH852" s="7">
        <f>ROUND(Wapato_Inventory[[#This Row],[detatched_value]]*Lookups!$B$22*Lookups!$H$48,-2)</f>
        <v>4700</v>
      </c>
      <c r="BI852" s="7">
        <f>ROUND(((Wapato_Inventory[[#This Row],[land_extract]]*Lookups!$B$3) +(Lookups!$B$2*0.5))*Lookups!$H$48,-2)</f>
        <v>53000</v>
      </c>
      <c r="BJ852" s="7">
        <f>IF(Wapato_Inventory[[#This Row],[bldg_style]]="",0,Lookups!$B$2*0.5)</f>
        <v>53765.27</v>
      </c>
      <c r="BK852" s="7">
        <f>_xlfn.IFNA(VLOOKUP(Wapato_Inventory[[#This Row],[quality]],Lookups!$H$2:$J$14,3,FALSE),0)</f>
        <v>28034</v>
      </c>
      <c r="BL852" s="7">
        <f>_xlfn.IFNA(VLOOKUP(Wapato_Inventory[[#This Row],[condition]],Lookups!$H$17:$J$24,3,FALSE),0)</f>
        <v>52231</v>
      </c>
      <c r="BM852" s="7">
        <f>Wapato_Inventory[[#This Row],[Age]]*Lookups!$B$16</f>
        <v>-34472.840100000001</v>
      </c>
      <c r="BN852" s="7">
        <f>Wapato_Inventory[[#This Row],[Main Floor]]*Lookups!$B$17</f>
        <v>42135.144912000003</v>
      </c>
      <c r="BO852" s="7">
        <f>Wapato_Inventory[[#This Row],[Upper Floor]]*Lookups!$B$18</f>
        <v>0</v>
      </c>
      <c r="BP852" s="7">
        <f>Wapato_Inventory[[#This Row],[Fin BSMT]]*Lookups!$B$19</f>
        <v>0</v>
      </c>
      <c r="BQ852" s="7">
        <f>(Wapato_Inventory[[#This Row],[att_gar]]+Wapato_Inventory[[#This Row],[blt_gar]])*Lookups!$B$20</f>
        <v>0</v>
      </c>
      <c r="BR852" s="7">
        <f>Wapato_Inventory[[#This Row],[Patio]]*Lookups!$B$21</f>
        <v>0</v>
      </c>
      <c r="BS852" s="7">
        <f>SUM(Wapato_Inventory[[#This Row],[intercept]:[patio_value]])*Wapato_Inventory[[#This Row],[res_pct]]</f>
        <v>141692.57481199998</v>
      </c>
      <c r="BT852" s="7">
        <f>Wapato_Inventory[[#This Row],[land_value]]</f>
        <v>53000</v>
      </c>
      <c r="BU852" s="2">
        <f>_xlfn.IFNA(VLOOKUP(Wapato_Inventory[[#This Row],[quality]],Lookups!$A$28:$C$37,3,FALSE),1)</f>
        <v>0.96265813922927435</v>
      </c>
      <c r="BV852" s="2">
        <f>_xlfn.IFNA(VLOOKUP(Wapato_Inventory[[#This Row],[condition]],Lookups!$A$41:$C$48,3,FALSE),1)</f>
        <v>0.9832333997567807</v>
      </c>
      <c r="BW852" s="2">
        <f>IF(Wapato_Inventory[[#This Row],[decade]]="",1,_xlfn.IFNA(VLOOKUP(Wapato_Inventory[[#This Row],[decade]],Lookups!$F$28:$H$45,3,FALSE),1))</f>
        <v>1.0114203040664467</v>
      </c>
      <c r="BX852" s="2">
        <f>_xlfn.IFNA(VLOOKUP(Wapato_Inventory[[#This Row],[living_area_range]],Lookups!$K$28:$M$37,3,FALSE),1)</f>
        <v>1.0061411172456287</v>
      </c>
      <c r="BY852" s="2">
        <f>AVERAGE(Wapato_Inventory[[#This Row],[qual_adj]:[range_adj]])</f>
        <v>0.99086324007453253</v>
      </c>
      <c r="BZ852" s="7">
        <f>(Wapato_Inventory[[#This Row],[sum_land]]-IF(Wapato_Inventory[[#This Row],[no_utilities]]=1,12000,0))/IF(Wapato_Inventory[[#This Row],[unbuildable]]=1,2,1)</f>
        <v>53000</v>
      </c>
      <c r="CA852" s="7">
        <f>Wapato_Inventory[[#This Row],[pre_res]]*Wapato_Inventory[[#This Row],[overall_adj]]</f>
        <v>140397.96377272138</v>
      </c>
      <c r="CB85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52" s="3">
        <f>IF(ROUND(Wapato_Inventory[[#This Row],[adj_res]]*Lookups!$H$48,-2)&lt;Wapato_Inventory[[#This Row],[min_res]],Wapato_Inventory[[#This Row],[min_res]],ROUND(Wapato_Inventory[[#This Row],[adj_res]]*Lookups!$H$48,-2))</f>
        <v>133400</v>
      </c>
      <c r="CD852" s="3">
        <f>ROUND(Wapato_Inventory[[#This Row],[det_value]]*Lookups!$H$48,-2)</f>
        <v>4500</v>
      </c>
      <c r="CE852" s="3">
        <f>Wapato_Inventory[[#This Row],[final_res]]+Wapato_Inventory[[#This Row],[final_det]]</f>
        <v>137900</v>
      </c>
      <c r="CF852" s="3">
        <f>Wapato_Inventory[[#This Row],[crop_value]]+Wapato_Inventory[[#This Row],[final_land]]+Wapato_Inventory[[#This Row],[final_imp]]</f>
        <v>188300</v>
      </c>
      <c r="CH852" t="str">
        <f t="shared" si="13"/>
        <v>update valuation set market_land =50400, market_bldg=137900, market_total =188300, market_mdno =405, market_date ='9/10/2023' where link_id = (select link_id from parcel where parcel_year = '2024' and parcel_id = '19111514523');</v>
      </c>
    </row>
    <row r="853" spans="1:86" x14ac:dyDescent="0.25">
      <c r="A853">
        <v>19111514524</v>
      </c>
      <c r="B853">
        <v>0.16</v>
      </c>
      <c r="C853">
        <v>6781</v>
      </c>
      <c r="D853" t="s">
        <v>144</v>
      </c>
      <c r="E853" t="s">
        <v>54</v>
      </c>
      <c r="F853" t="s">
        <v>54</v>
      </c>
      <c r="G853">
        <v>3</v>
      </c>
      <c r="H853" t="s">
        <v>55</v>
      </c>
      <c r="I853">
        <v>203100</v>
      </c>
      <c r="J853">
        <v>32800</v>
      </c>
      <c r="K853">
        <v>0.16</v>
      </c>
      <c r="L853">
        <f>IF(Wapato_Inventory[[#This Row],[parcel_acres]]-Wapato_Inventory[[#This Row],[non_valued_acres]] =0,0,LN(Wapato_Inventory[[#This Row],[parcel_acres]]-Wapato_Inventory[[#This Row],[non_valued_acres]]))</f>
        <v>-1.8325814637483102</v>
      </c>
      <c r="M853">
        <v>0</v>
      </c>
      <c r="N853">
        <v>0</v>
      </c>
      <c r="O853">
        <v>0</v>
      </c>
      <c r="P853">
        <v>27904.037</v>
      </c>
      <c r="Q853">
        <v>74398</v>
      </c>
      <c r="R853" s="3">
        <f>(Wapato_Inventory[[#This Row],[ln_acres]]*Wapato_Inventory[[#This Row],[coeff]])+Wapato_Inventory[[#This Row],[const]]</f>
        <v>23261.579030052992</v>
      </c>
      <c r="S853" t="s">
        <v>56</v>
      </c>
      <c r="T853">
        <v>2</v>
      </c>
      <c r="U853" t="s">
        <v>67</v>
      </c>
      <c r="V853" t="s">
        <v>68</v>
      </c>
      <c r="W853">
        <v>0</v>
      </c>
      <c r="X853">
        <v>0</v>
      </c>
      <c r="Y853">
        <v>52</v>
      </c>
      <c r="Z853">
        <v>85</v>
      </c>
      <c r="AA853">
        <v>90</v>
      </c>
      <c r="AB853">
        <v>2500</v>
      </c>
      <c r="AC853">
        <v>2116</v>
      </c>
      <c r="AD853">
        <v>1616</v>
      </c>
      <c r="AE853">
        <v>500</v>
      </c>
      <c r="AF853">
        <v>0</v>
      </c>
      <c r="AG853">
        <v>0</v>
      </c>
      <c r="AH853">
        <v>1400</v>
      </c>
      <c r="AI853">
        <v>0</v>
      </c>
      <c r="AJ853">
        <v>0</v>
      </c>
      <c r="AK853">
        <v>0</v>
      </c>
      <c r="AL853">
        <v>0</v>
      </c>
      <c r="AM853">
        <v>252</v>
      </c>
      <c r="AN853">
        <v>0</v>
      </c>
      <c r="AO853">
        <v>252</v>
      </c>
      <c r="AP853">
        <v>8</v>
      </c>
      <c r="AQ853">
        <v>0</v>
      </c>
      <c r="AR853">
        <v>0</v>
      </c>
      <c r="AS853" t="s">
        <v>59</v>
      </c>
      <c r="AT853">
        <v>1</v>
      </c>
      <c r="AU853" t="s">
        <v>64</v>
      </c>
      <c r="AV853" t="s">
        <v>65</v>
      </c>
      <c r="AW853">
        <v>0</v>
      </c>
      <c r="AX853">
        <v>4</v>
      </c>
      <c r="AY853">
        <v>0</v>
      </c>
      <c r="AZ853">
        <v>10500</v>
      </c>
      <c r="BA853">
        <v>100</v>
      </c>
      <c r="BB853">
        <v>100</v>
      </c>
      <c r="BC853">
        <v>100</v>
      </c>
      <c r="BD853">
        <v>100</v>
      </c>
      <c r="BE853">
        <v>1</v>
      </c>
      <c r="BF853">
        <v>15000</v>
      </c>
      <c r="BG853">
        <v>1000</v>
      </c>
      <c r="BH853" s="7">
        <f>ROUND(Wapato_Inventory[[#This Row],[detatched_value]]*Lookups!$B$22*Lookups!$H$48,-2)</f>
        <v>9400</v>
      </c>
      <c r="BI853" s="7">
        <f>ROUND(((Wapato_Inventory[[#This Row],[land_extract]]*Lookups!$B$3) +(Lookups!$B$2*0.5))*Lookups!$H$48,-2)</f>
        <v>53300</v>
      </c>
      <c r="BJ853" s="7">
        <f>IF(Wapato_Inventory[[#This Row],[bldg_style]]="",0,Lookups!$B$2*0.5)</f>
        <v>53765.27</v>
      </c>
      <c r="BK853" s="7">
        <f>_xlfn.IFNA(VLOOKUP(Wapato_Inventory[[#This Row],[quality]],Lookups!$H$2:$J$14,3,FALSE),0)</f>
        <v>50405</v>
      </c>
      <c r="BL853" s="7">
        <f>_xlfn.IFNA(VLOOKUP(Wapato_Inventory[[#This Row],[condition]],Lookups!$H$17:$J$24,3,FALSE),0)</f>
        <v>52231</v>
      </c>
      <c r="BM853" s="7">
        <f>Wapato_Inventory[[#This Row],[Age]]*Lookups!$B$16</f>
        <v>-31507.434499999999</v>
      </c>
      <c r="BN853" s="7">
        <f>Wapato_Inventory[[#This Row],[Main Floor]]*Lookups!$B$17</f>
        <v>67549.994223999995</v>
      </c>
      <c r="BO853" s="7">
        <f>Wapato_Inventory[[#This Row],[Upper Floor]]*Lookups!$B$18</f>
        <v>24800.569500000001</v>
      </c>
      <c r="BP853" s="7">
        <f>Wapato_Inventory[[#This Row],[Fin BSMT]]*Lookups!$B$19</f>
        <v>0</v>
      </c>
      <c r="BQ853" s="7">
        <f>(Wapato_Inventory[[#This Row],[att_gar]]+Wapato_Inventory[[#This Row],[blt_gar]])*Lookups!$B$20</f>
        <v>0</v>
      </c>
      <c r="BR853" s="7">
        <f>Wapato_Inventory[[#This Row],[Patio]]*Lookups!$B$21</f>
        <v>10917.642708000001</v>
      </c>
      <c r="BS853" s="7">
        <f>SUM(Wapato_Inventory[[#This Row],[intercept]:[patio_value]])*Wapato_Inventory[[#This Row],[res_pct]]</f>
        <v>228162.04193199999</v>
      </c>
      <c r="BT853" s="7">
        <f>Wapato_Inventory[[#This Row],[land_value]]</f>
        <v>53300</v>
      </c>
      <c r="BU853" s="2">
        <f>_xlfn.IFNA(VLOOKUP(Wapato_Inventory[[#This Row],[quality]],Lookups!$A$28:$C$37,3,FALSE),1)</f>
        <v>0.97993206410140754</v>
      </c>
      <c r="BV853" s="2">
        <f>_xlfn.IFNA(VLOOKUP(Wapato_Inventory[[#This Row],[condition]],Lookups!$A$41:$C$48,3,FALSE),1)</f>
        <v>0.9832333997567807</v>
      </c>
      <c r="BW853" s="2">
        <f>IF(Wapato_Inventory[[#This Row],[decade]]="",1,_xlfn.IFNA(VLOOKUP(Wapato_Inventory[[#This Row],[decade]],Lookups!$F$28:$H$45,3,FALSE),1))</f>
        <v>0.94742695999815718</v>
      </c>
      <c r="BX853" s="2">
        <f>_xlfn.IFNA(VLOOKUP(Wapato_Inventory[[#This Row],[living_area_range]],Lookups!$K$28:$M$37,3,FALSE),1)</f>
        <v>0.90813907160181651</v>
      </c>
      <c r="BY853" s="2">
        <f>AVERAGE(Wapato_Inventory[[#This Row],[qual_adj]:[range_adj]])</f>
        <v>0.95468287386454054</v>
      </c>
      <c r="BZ853" s="7">
        <f>(Wapato_Inventory[[#This Row],[sum_land]]-IF(Wapato_Inventory[[#This Row],[no_utilities]]=1,12000,0))/IF(Wapato_Inventory[[#This Row],[unbuildable]]=1,2,1)</f>
        <v>53300</v>
      </c>
      <c r="CA853" s="7">
        <f>Wapato_Inventory[[#This Row],[pre_res]]*Wapato_Inventory[[#This Row],[overall_adj]]</f>
        <v>217822.39389844355</v>
      </c>
      <c r="CB853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853" s="3">
        <f>IF(ROUND(Wapato_Inventory[[#This Row],[adj_res]]*Lookups!$H$48,-2)&lt;Wapato_Inventory[[#This Row],[min_res]],Wapato_Inventory[[#This Row],[min_res]],ROUND(Wapato_Inventory[[#This Row],[adj_res]]*Lookups!$H$48,-2))</f>
        <v>206900</v>
      </c>
      <c r="CD853" s="3">
        <f>ROUND(Wapato_Inventory[[#This Row],[det_value]]*Lookups!$H$48,-2)</f>
        <v>8900</v>
      </c>
      <c r="CE853" s="3">
        <f>Wapato_Inventory[[#This Row],[final_res]]+Wapato_Inventory[[#This Row],[final_det]]</f>
        <v>215800</v>
      </c>
      <c r="CF853" s="3">
        <f>Wapato_Inventory[[#This Row],[crop_value]]+Wapato_Inventory[[#This Row],[final_land]]+Wapato_Inventory[[#This Row],[final_imp]]</f>
        <v>266400</v>
      </c>
      <c r="CH853" t="str">
        <f t="shared" si="13"/>
        <v>update valuation set market_land =50600, market_bldg=215800, market_total =266400, market_mdno =405, market_date ='9/10/2023' where link_id = (select link_id from parcel where parcel_year = '2024' and parcel_id = '19111514524');</v>
      </c>
    </row>
    <row r="854" spans="1:86" x14ac:dyDescent="0.25">
      <c r="A854">
        <v>19111514525</v>
      </c>
      <c r="B854">
        <v>0.15</v>
      </c>
      <c r="C854">
        <v>6673</v>
      </c>
      <c r="D854" t="s">
        <v>144</v>
      </c>
      <c r="E854" t="s">
        <v>54</v>
      </c>
      <c r="F854" t="s">
        <v>54</v>
      </c>
      <c r="G854">
        <v>3</v>
      </c>
      <c r="H854" t="s">
        <v>55</v>
      </c>
      <c r="I854">
        <v>130300</v>
      </c>
      <c r="J854">
        <v>32300</v>
      </c>
      <c r="K854">
        <v>0.15</v>
      </c>
      <c r="L854">
        <f>IF(Wapato_Inventory[[#This Row],[parcel_acres]]-Wapato_Inventory[[#This Row],[non_valued_acres]] =0,0,LN(Wapato_Inventory[[#This Row],[parcel_acres]]-Wapato_Inventory[[#This Row],[non_valued_acres]]))</f>
        <v>-1.8971199848858813</v>
      </c>
      <c r="M854">
        <v>0</v>
      </c>
      <c r="N854">
        <v>0</v>
      </c>
      <c r="O854">
        <v>0</v>
      </c>
      <c r="P854">
        <v>27904.037</v>
      </c>
      <c r="Q854">
        <v>74398</v>
      </c>
      <c r="R854" s="3">
        <f>(Wapato_Inventory[[#This Row],[ln_acres]]*Wapato_Inventory[[#This Row],[coeff]])+Wapato_Inventory[[#This Row],[const]]</f>
        <v>21460.693748304926</v>
      </c>
      <c r="S854" t="s">
        <v>66</v>
      </c>
      <c r="T854">
        <v>1</v>
      </c>
      <c r="U854" t="s">
        <v>71</v>
      </c>
      <c r="V854" t="s">
        <v>69</v>
      </c>
      <c r="W854">
        <v>0</v>
      </c>
      <c r="X854">
        <v>0</v>
      </c>
      <c r="Y854">
        <v>60</v>
      </c>
      <c r="Z854">
        <v>108</v>
      </c>
      <c r="AA854">
        <v>110</v>
      </c>
      <c r="AB854">
        <v>1500</v>
      </c>
      <c r="AC854">
        <v>1056</v>
      </c>
      <c r="AD854">
        <v>1056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5</v>
      </c>
      <c r="AQ854">
        <v>0</v>
      </c>
      <c r="AR854">
        <v>0</v>
      </c>
      <c r="AS854" t="s">
        <v>59</v>
      </c>
      <c r="AT854">
        <v>1</v>
      </c>
      <c r="AU854" t="s">
        <v>72</v>
      </c>
      <c r="AV854" t="s">
        <v>65</v>
      </c>
      <c r="AW854">
        <v>0</v>
      </c>
      <c r="AX854">
        <v>2</v>
      </c>
      <c r="AY854">
        <v>0</v>
      </c>
      <c r="AZ854">
        <v>0</v>
      </c>
      <c r="BA854">
        <v>100</v>
      </c>
      <c r="BB854">
        <v>100</v>
      </c>
      <c r="BC854">
        <v>100</v>
      </c>
      <c r="BD854">
        <v>100</v>
      </c>
      <c r="BE854">
        <v>1</v>
      </c>
      <c r="BF854">
        <v>15000</v>
      </c>
      <c r="BG854">
        <v>1000</v>
      </c>
      <c r="BH854" s="7">
        <f>ROUND(Wapato_Inventory[[#This Row],[detatched_value]]*Lookups!$B$22*Lookups!$H$48,-2)</f>
        <v>0</v>
      </c>
      <c r="BI854" s="7">
        <f>ROUND(((Wapato_Inventory[[#This Row],[land_extract]]*Lookups!$B$3) +(Lookups!$B$2*0.5))*Lookups!$H$48,-2)</f>
        <v>53100</v>
      </c>
      <c r="BJ854" s="7">
        <f>IF(Wapato_Inventory[[#This Row],[bldg_style]]="",0,Lookups!$B$2*0.5)</f>
        <v>53765.27</v>
      </c>
      <c r="BK854" s="7">
        <f>_xlfn.IFNA(VLOOKUP(Wapato_Inventory[[#This Row],[quality]],Lookups!$H$2:$J$14,3,FALSE),0)</f>
        <v>28034</v>
      </c>
      <c r="BL854" s="7">
        <f>_xlfn.IFNA(VLOOKUP(Wapato_Inventory[[#This Row],[condition]],Lookups!$H$17:$J$24,3,FALSE),0)</f>
        <v>74543</v>
      </c>
      <c r="BM854" s="7">
        <f>Wapato_Inventory[[#This Row],[Age]]*Lookups!$B$16</f>
        <v>-40032.975599999998</v>
      </c>
      <c r="BN854" s="7">
        <f>Wapato_Inventory[[#This Row],[Main Floor]]*Lookups!$B$17</f>
        <v>44141.580384000001</v>
      </c>
      <c r="BO854" s="7">
        <f>Wapato_Inventory[[#This Row],[Upper Floor]]*Lookups!$B$18</f>
        <v>0</v>
      </c>
      <c r="BP854" s="7">
        <f>Wapato_Inventory[[#This Row],[Fin BSMT]]*Lookups!$B$19</f>
        <v>0</v>
      </c>
      <c r="BQ854" s="7">
        <f>(Wapato_Inventory[[#This Row],[att_gar]]+Wapato_Inventory[[#This Row],[blt_gar]])*Lookups!$B$20</f>
        <v>0</v>
      </c>
      <c r="BR854" s="7">
        <f>Wapato_Inventory[[#This Row],[Patio]]*Lookups!$B$21</f>
        <v>0</v>
      </c>
      <c r="BS854" s="7">
        <f>SUM(Wapato_Inventory[[#This Row],[intercept]:[patio_value]])*Wapato_Inventory[[#This Row],[res_pct]]</f>
        <v>160450.87478399999</v>
      </c>
      <c r="BT854" s="7">
        <f>Wapato_Inventory[[#This Row],[land_value]]</f>
        <v>53100</v>
      </c>
      <c r="BU854" s="2">
        <f>_xlfn.IFNA(VLOOKUP(Wapato_Inventory[[#This Row],[quality]],Lookups!$A$28:$C$37,3,FALSE),1)</f>
        <v>0.96265813922927435</v>
      </c>
      <c r="BV854" s="2">
        <f>_xlfn.IFNA(VLOOKUP(Wapato_Inventory[[#This Row],[condition]],Lookups!$A$41:$C$48,3,FALSE),1)</f>
        <v>0.98442438223270734</v>
      </c>
      <c r="BW854" s="2">
        <f>IF(Wapato_Inventory[[#This Row],[decade]]="",1,_xlfn.IFNA(VLOOKUP(Wapato_Inventory[[#This Row],[decade]],Lookups!$F$28:$H$45,3,FALSE),1))</f>
        <v>0.93664589651353292</v>
      </c>
      <c r="BX854" s="2">
        <f>_xlfn.IFNA(VLOOKUP(Wapato_Inventory[[#This Row],[living_area_range]],Lookups!$K$28:$M$37,3,FALSE),1)</f>
        <v>1.0061411172456287</v>
      </c>
      <c r="BY854" s="2">
        <f>AVERAGE(Wapato_Inventory[[#This Row],[qual_adj]:[range_adj]])</f>
        <v>0.97246738380528575</v>
      </c>
      <c r="BZ854" s="7">
        <f>(Wapato_Inventory[[#This Row],[sum_land]]-IF(Wapato_Inventory[[#This Row],[no_utilities]]=1,12000,0))/IF(Wapato_Inventory[[#This Row],[unbuildable]]=1,2,1)</f>
        <v>53100</v>
      </c>
      <c r="CA854" s="7">
        <f>Wapato_Inventory[[#This Row],[pre_res]]*Wapato_Inventory[[#This Row],[overall_adj]]</f>
        <v>156033.24243046597</v>
      </c>
      <c r="CB85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54" s="3">
        <f>IF(ROUND(Wapato_Inventory[[#This Row],[adj_res]]*Lookups!$H$48,-2)&lt;Wapato_Inventory[[#This Row],[min_res]],Wapato_Inventory[[#This Row],[min_res]],ROUND(Wapato_Inventory[[#This Row],[adj_res]]*Lookups!$H$48,-2))</f>
        <v>148200</v>
      </c>
      <c r="CD854" s="3">
        <f>ROUND(Wapato_Inventory[[#This Row],[det_value]]*Lookups!$H$48,-2)</f>
        <v>0</v>
      </c>
      <c r="CE854" s="3">
        <f>Wapato_Inventory[[#This Row],[final_res]]+Wapato_Inventory[[#This Row],[final_det]]</f>
        <v>148200</v>
      </c>
      <c r="CF854" s="3">
        <f>Wapato_Inventory[[#This Row],[crop_value]]+Wapato_Inventory[[#This Row],[final_land]]+Wapato_Inventory[[#This Row],[final_imp]]</f>
        <v>198600</v>
      </c>
      <c r="CH854" t="str">
        <f t="shared" si="13"/>
        <v>update valuation set market_land =50400, market_bldg=148200, market_total =198600, market_mdno =405, market_date ='9/10/2023' where link_id = (select link_id from parcel where parcel_year = '2024' and parcel_id = '19111514525');</v>
      </c>
    </row>
    <row r="855" spans="1:86" x14ac:dyDescent="0.25">
      <c r="A855">
        <v>19111514526</v>
      </c>
      <c r="B855">
        <v>0.16</v>
      </c>
      <c r="C855">
        <v>7116</v>
      </c>
      <c r="D855" t="s">
        <v>144</v>
      </c>
      <c r="E855" t="s">
        <v>54</v>
      </c>
      <c r="F855" t="s">
        <v>54</v>
      </c>
      <c r="G855">
        <v>3</v>
      </c>
      <c r="H855" t="s">
        <v>55</v>
      </c>
      <c r="I855">
        <v>113000</v>
      </c>
      <c r="J855">
        <v>32800</v>
      </c>
      <c r="K855">
        <v>0.16</v>
      </c>
      <c r="L855">
        <f>IF(Wapato_Inventory[[#This Row],[parcel_acres]]-Wapato_Inventory[[#This Row],[non_valued_acres]] =0,0,LN(Wapato_Inventory[[#This Row],[parcel_acres]]-Wapato_Inventory[[#This Row],[non_valued_acres]]))</f>
        <v>-1.8325814637483102</v>
      </c>
      <c r="M855">
        <v>0</v>
      </c>
      <c r="N855">
        <v>0</v>
      </c>
      <c r="O855">
        <v>0</v>
      </c>
      <c r="P855">
        <v>27904.037</v>
      </c>
      <c r="Q855">
        <v>74398</v>
      </c>
      <c r="R855" s="3">
        <f>(Wapato_Inventory[[#This Row],[ln_acres]]*Wapato_Inventory[[#This Row],[coeff]])+Wapato_Inventory[[#This Row],[const]]</f>
        <v>23261.579030052992</v>
      </c>
      <c r="S855" t="s">
        <v>66</v>
      </c>
      <c r="T855">
        <v>1</v>
      </c>
      <c r="U855" t="s">
        <v>71</v>
      </c>
      <c r="V855" t="s">
        <v>68</v>
      </c>
      <c r="W855">
        <v>0</v>
      </c>
      <c r="X855">
        <v>0</v>
      </c>
      <c r="Y855">
        <v>57</v>
      </c>
      <c r="Z855">
        <v>103</v>
      </c>
      <c r="AA855">
        <v>110</v>
      </c>
      <c r="AB855">
        <v>1500</v>
      </c>
      <c r="AC855">
        <v>1074</v>
      </c>
      <c r="AD855">
        <v>1074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144</v>
      </c>
      <c r="AO855">
        <v>0</v>
      </c>
      <c r="AP855">
        <v>5</v>
      </c>
      <c r="AQ855">
        <v>1</v>
      </c>
      <c r="AR855">
        <v>0</v>
      </c>
      <c r="AS855" t="s">
        <v>59</v>
      </c>
      <c r="AT855">
        <v>1</v>
      </c>
      <c r="AU855" t="s">
        <v>64</v>
      </c>
      <c r="AV855" t="s">
        <v>65</v>
      </c>
      <c r="AW855">
        <v>0</v>
      </c>
      <c r="AX855">
        <v>3</v>
      </c>
      <c r="AY855">
        <v>0</v>
      </c>
      <c r="AZ855">
        <v>0</v>
      </c>
      <c r="BA855">
        <v>100</v>
      </c>
      <c r="BB855">
        <v>100</v>
      </c>
      <c r="BC855">
        <v>100</v>
      </c>
      <c r="BD855">
        <v>100</v>
      </c>
      <c r="BE855">
        <v>1</v>
      </c>
      <c r="BF855">
        <v>15000</v>
      </c>
      <c r="BG855">
        <v>1000</v>
      </c>
      <c r="BH855" s="7">
        <f>ROUND(Wapato_Inventory[[#This Row],[detatched_value]]*Lookups!$B$22*Lookups!$H$48,-2)</f>
        <v>0</v>
      </c>
      <c r="BI855" s="7">
        <f>ROUND(((Wapato_Inventory[[#This Row],[land_extract]]*Lookups!$B$3) +(Lookups!$B$2*0.5))*Lookups!$H$48,-2)</f>
        <v>53300</v>
      </c>
      <c r="BJ855" s="7">
        <f>IF(Wapato_Inventory[[#This Row],[bldg_style]]="",0,Lookups!$B$2*0.5)</f>
        <v>53765.27</v>
      </c>
      <c r="BK855" s="7">
        <f>_xlfn.IFNA(VLOOKUP(Wapato_Inventory[[#This Row],[quality]],Lookups!$H$2:$J$14,3,FALSE),0)</f>
        <v>28034</v>
      </c>
      <c r="BL855" s="7">
        <f>_xlfn.IFNA(VLOOKUP(Wapato_Inventory[[#This Row],[condition]],Lookups!$H$17:$J$24,3,FALSE),0)</f>
        <v>52231</v>
      </c>
      <c r="BM855" s="7">
        <f>Wapato_Inventory[[#This Row],[Age]]*Lookups!$B$16</f>
        <v>-38179.597099999999</v>
      </c>
      <c r="BN855" s="7">
        <f>Wapato_Inventory[[#This Row],[Main Floor]]*Lookups!$B$17</f>
        <v>44893.993686000002</v>
      </c>
      <c r="BO855" s="7">
        <f>Wapato_Inventory[[#This Row],[Upper Floor]]*Lookups!$B$18</f>
        <v>0</v>
      </c>
      <c r="BP855" s="7">
        <f>Wapato_Inventory[[#This Row],[Fin BSMT]]*Lookups!$B$19</f>
        <v>0</v>
      </c>
      <c r="BQ855" s="7">
        <f>(Wapato_Inventory[[#This Row],[att_gar]]+Wapato_Inventory[[#This Row],[blt_gar]])*Lookups!$B$20</f>
        <v>0</v>
      </c>
      <c r="BR855" s="7">
        <f>Wapato_Inventory[[#This Row],[Patio]]*Lookups!$B$21</f>
        <v>0</v>
      </c>
      <c r="BS855" s="7">
        <f>SUM(Wapato_Inventory[[#This Row],[intercept]:[patio_value]])*Wapato_Inventory[[#This Row],[res_pct]]</f>
        <v>140744.66658600001</v>
      </c>
      <c r="BT855" s="7">
        <f>Wapato_Inventory[[#This Row],[land_value]]</f>
        <v>53300</v>
      </c>
      <c r="BU855" s="2">
        <f>_xlfn.IFNA(VLOOKUP(Wapato_Inventory[[#This Row],[quality]],Lookups!$A$28:$C$37,3,FALSE),1)</f>
        <v>0.96265813922927435</v>
      </c>
      <c r="BV855" s="2">
        <f>_xlfn.IFNA(VLOOKUP(Wapato_Inventory[[#This Row],[condition]],Lookups!$A$41:$C$48,3,FALSE),1)</f>
        <v>0.9832333997567807</v>
      </c>
      <c r="BW855" s="2">
        <f>IF(Wapato_Inventory[[#This Row],[decade]]="",1,_xlfn.IFNA(VLOOKUP(Wapato_Inventory[[#This Row],[decade]],Lookups!$F$28:$H$45,3,FALSE),1))</f>
        <v>0.93664589651353292</v>
      </c>
      <c r="BX855" s="2">
        <f>_xlfn.IFNA(VLOOKUP(Wapato_Inventory[[#This Row],[living_area_range]],Lookups!$K$28:$M$37,3,FALSE),1)</f>
        <v>1.0061411172456287</v>
      </c>
      <c r="BY855" s="2">
        <f>AVERAGE(Wapato_Inventory[[#This Row],[qual_adj]:[range_adj]])</f>
        <v>0.97216963818630409</v>
      </c>
      <c r="BZ855" s="7">
        <f>(Wapato_Inventory[[#This Row],[sum_land]]-IF(Wapato_Inventory[[#This Row],[no_utilities]]=1,12000,0))/IF(Wapato_Inventory[[#This Row],[unbuildable]]=1,2,1)</f>
        <v>53300</v>
      </c>
      <c r="CA855" s="7">
        <f>Wapato_Inventory[[#This Row],[pre_res]]*Wapato_Inventory[[#This Row],[overall_adj]]</f>
        <v>136827.69159156363</v>
      </c>
      <c r="CB855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855" s="3">
        <f>IF(ROUND(Wapato_Inventory[[#This Row],[adj_res]]*Lookups!$H$48,-2)&lt;Wapato_Inventory[[#This Row],[min_res]],Wapato_Inventory[[#This Row],[min_res]],ROUND(Wapato_Inventory[[#This Row],[adj_res]]*Lookups!$H$48,-2))</f>
        <v>130000</v>
      </c>
      <c r="CD855" s="3">
        <f>ROUND(Wapato_Inventory[[#This Row],[det_value]]*Lookups!$H$48,-2)</f>
        <v>0</v>
      </c>
      <c r="CE855" s="3">
        <f>Wapato_Inventory[[#This Row],[final_res]]+Wapato_Inventory[[#This Row],[final_det]]</f>
        <v>130000</v>
      </c>
      <c r="CF855" s="3">
        <f>Wapato_Inventory[[#This Row],[crop_value]]+Wapato_Inventory[[#This Row],[final_land]]+Wapato_Inventory[[#This Row],[final_imp]]</f>
        <v>180600</v>
      </c>
      <c r="CH855" t="str">
        <f t="shared" si="13"/>
        <v>update valuation set market_land =50600, market_bldg=130000, market_total =180600, market_mdno =405, market_date ='9/10/2023' where link_id = (select link_id from parcel where parcel_year = '2024' and parcel_id = '19111514526');</v>
      </c>
    </row>
    <row r="856" spans="1:86" x14ac:dyDescent="0.25">
      <c r="A856">
        <v>19111514527</v>
      </c>
      <c r="B856">
        <v>0.11</v>
      </c>
      <c r="C856">
        <v>4956</v>
      </c>
      <c r="D856" t="s">
        <v>144</v>
      </c>
      <c r="E856" t="s">
        <v>54</v>
      </c>
      <c r="F856" t="s">
        <v>54</v>
      </c>
      <c r="G856">
        <v>3</v>
      </c>
      <c r="H856" t="s">
        <v>55</v>
      </c>
      <c r="I856">
        <v>115100</v>
      </c>
      <c r="J856">
        <v>30200</v>
      </c>
      <c r="K856">
        <v>0.11</v>
      </c>
      <c r="L856">
        <f>IF(Wapato_Inventory[[#This Row],[parcel_acres]]-Wapato_Inventory[[#This Row],[non_valued_acres]] =0,0,LN(Wapato_Inventory[[#This Row],[parcel_acres]]-Wapato_Inventory[[#This Row],[non_valued_acres]]))</f>
        <v>-2.2072749131897207</v>
      </c>
      <c r="M856">
        <v>0</v>
      </c>
      <c r="N856">
        <v>0</v>
      </c>
      <c r="O856">
        <v>0</v>
      </c>
      <c r="P856">
        <v>27904.037</v>
      </c>
      <c r="Q856">
        <v>74398</v>
      </c>
      <c r="R856" s="3">
        <f>(Wapato_Inventory[[#This Row],[ln_acres]]*Wapato_Inventory[[#This Row],[coeff]])+Wapato_Inventory[[#This Row],[const]]</f>
        <v>12806.119153182248</v>
      </c>
      <c r="S856" t="s">
        <v>66</v>
      </c>
      <c r="T856">
        <v>1</v>
      </c>
      <c r="U856" t="s">
        <v>71</v>
      </c>
      <c r="V856" t="s">
        <v>68</v>
      </c>
      <c r="W856">
        <v>0</v>
      </c>
      <c r="X856">
        <v>0</v>
      </c>
      <c r="Y856">
        <v>51</v>
      </c>
      <c r="Z856">
        <v>78</v>
      </c>
      <c r="AA856">
        <v>80</v>
      </c>
      <c r="AB856">
        <v>1000</v>
      </c>
      <c r="AC856">
        <v>720</v>
      </c>
      <c r="AD856">
        <v>720</v>
      </c>
      <c r="AE856">
        <v>0</v>
      </c>
      <c r="AF856">
        <v>0</v>
      </c>
      <c r="AG856">
        <v>0</v>
      </c>
      <c r="AH856">
        <v>480</v>
      </c>
      <c r="AI856">
        <v>240</v>
      </c>
      <c r="AJ856">
        <v>0</v>
      </c>
      <c r="AK856">
        <v>0</v>
      </c>
      <c r="AL856">
        <v>0</v>
      </c>
      <c r="AM856">
        <v>0</v>
      </c>
      <c r="AN856">
        <v>50</v>
      </c>
      <c r="AO856">
        <v>0</v>
      </c>
      <c r="AP856">
        <v>5</v>
      </c>
      <c r="AQ856">
        <v>0</v>
      </c>
      <c r="AR856">
        <v>0</v>
      </c>
      <c r="AS856" t="s">
        <v>82</v>
      </c>
      <c r="AT856">
        <v>1</v>
      </c>
      <c r="AU856" t="s">
        <v>72</v>
      </c>
      <c r="AV856" t="s">
        <v>61</v>
      </c>
      <c r="AW856">
        <v>0</v>
      </c>
      <c r="AX856">
        <v>2</v>
      </c>
      <c r="AY856">
        <v>0</v>
      </c>
      <c r="AZ856">
        <v>0</v>
      </c>
      <c r="BA856">
        <v>100</v>
      </c>
      <c r="BB856">
        <v>100</v>
      </c>
      <c r="BC856">
        <v>100</v>
      </c>
      <c r="BD856">
        <v>100</v>
      </c>
      <c r="BE856">
        <v>1</v>
      </c>
      <c r="BF856">
        <v>15000</v>
      </c>
      <c r="BG856">
        <v>1000</v>
      </c>
      <c r="BH856" s="7">
        <f>ROUND(Wapato_Inventory[[#This Row],[detatched_value]]*Lookups!$B$22*Lookups!$H$48,-2)</f>
        <v>0</v>
      </c>
      <c r="BI856" s="7">
        <f>ROUND(((Wapato_Inventory[[#This Row],[land_extract]]*Lookups!$B$3) +(Lookups!$B$2*0.5))*Lookups!$H$48,-2)</f>
        <v>52300</v>
      </c>
      <c r="BJ856" s="7">
        <f>IF(Wapato_Inventory[[#This Row],[bldg_style]]="",0,Lookups!$B$2*0.5)</f>
        <v>53765.27</v>
      </c>
      <c r="BK856" s="7">
        <f>_xlfn.IFNA(VLOOKUP(Wapato_Inventory[[#This Row],[quality]],Lookups!$H$2:$J$14,3,FALSE),0)</f>
        <v>28034</v>
      </c>
      <c r="BL856" s="7">
        <f>_xlfn.IFNA(VLOOKUP(Wapato_Inventory[[#This Row],[condition]],Lookups!$H$17:$J$24,3,FALSE),0)</f>
        <v>52231</v>
      </c>
      <c r="BM856" s="7">
        <f>Wapato_Inventory[[#This Row],[Age]]*Lookups!$B$16</f>
        <v>-28912.704600000001</v>
      </c>
      <c r="BN856" s="7">
        <f>Wapato_Inventory[[#This Row],[Main Floor]]*Lookups!$B$17</f>
        <v>30096.532080000001</v>
      </c>
      <c r="BO856" s="7">
        <f>Wapato_Inventory[[#This Row],[Upper Floor]]*Lookups!$B$18</f>
        <v>0</v>
      </c>
      <c r="BP856" s="7">
        <f>Wapato_Inventory[[#This Row],[Fin BSMT]]*Lookups!$B$19</f>
        <v>0</v>
      </c>
      <c r="BQ856" s="7">
        <f>(Wapato_Inventory[[#This Row],[att_gar]]+Wapato_Inventory[[#This Row],[blt_gar]])*Lookups!$B$20</f>
        <v>8882.100480000001</v>
      </c>
      <c r="BR856" s="7">
        <f>Wapato_Inventory[[#This Row],[Patio]]*Lookups!$B$21</f>
        <v>0</v>
      </c>
      <c r="BS856" s="7">
        <f>SUM(Wapato_Inventory[[#This Row],[intercept]:[patio_value]])*Wapato_Inventory[[#This Row],[res_pct]]</f>
        <v>144096.19795999999</v>
      </c>
      <c r="BT856" s="7">
        <f>Wapato_Inventory[[#This Row],[land_value]]</f>
        <v>52300</v>
      </c>
      <c r="BU856" s="2">
        <f>_xlfn.IFNA(VLOOKUP(Wapato_Inventory[[#This Row],[quality]],Lookups!$A$28:$C$37,3,FALSE),1)</f>
        <v>0.96265813922927435</v>
      </c>
      <c r="BV856" s="2">
        <f>_xlfn.IFNA(VLOOKUP(Wapato_Inventory[[#This Row],[condition]],Lookups!$A$41:$C$48,3,FALSE),1)</f>
        <v>0.9832333997567807</v>
      </c>
      <c r="BW856" s="2">
        <f>IF(Wapato_Inventory[[#This Row],[decade]]="",1,_xlfn.IFNA(VLOOKUP(Wapato_Inventory[[#This Row],[decade]],Lookups!$F$28:$H$45,3,FALSE),1))</f>
        <v>0.8438929209510081</v>
      </c>
      <c r="BX856" s="2">
        <f>_xlfn.IFNA(VLOOKUP(Wapato_Inventory[[#This Row],[living_area_range]],Lookups!$K$28:$M$37,3,FALSE),1)</f>
        <v>0.99022994770196116</v>
      </c>
      <c r="BY856" s="2">
        <f>AVERAGE(Wapato_Inventory[[#This Row],[qual_adj]:[range_adj]])</f>
        <v>0.94500360190975607</v>
      </c>
      <c r="BZ856" s="7">
        <f>(Wapato_Inventory[[#This Row],[sum_land]]-IF(Wapato_Inventory[[#This Row],[no_utilities]]=1,12000,0))/IF(Wapato_Inventory[[#This Row],[unbuildable]]=1,2,1)</f>
        <v>52300</v>
      </c>
      <c r="CA856" s="7">
        <f>Wapato_Inventory[[#This Row],[pre_res]]*Wapato_Inventory[[#This Row],[overall_adj]]</f>
        <v>136171.42609370124</v>
      </c>
      <c r="CB856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856" s="3">
        <f>IF(ROUND(Wapato_Inventory[[#This Row],[adj_res]]*Lookups!$H$48,-2)&lt;Wapato_Inventory[[#This Row],[min_res]],Wapato_Inventory[[#This Row],[min_res]],ROUND(Wapato_Inventory[[#This Row],[adj_res]]*Lookups!$H$48,-2))</f>
        <v>129400</v>
      </c>
      <c r="CD856" s="3">
        <f>ROUND(Wapato_Inventory[[#This Row],[det_value]]*Lookups!$H$48,-2)</f>
        <v>0</v>
      </c>
      <c r="CE856" s="3">
        <f>Wapato_Inventory[[#This Row],[final_res]]+Wapato_Inventory[[#This Row],[final_det]]</f>
        <v>129400</v>
      </c>
      <c r="CF856" s="3">
        <f>Wapato_Inventory[[#This Row],[crop_value]]+Wapato_Inventory[[#This Row],[final_land]]+Wapato_Inventory[[#This Row],[final_imp]]</f>
        <v>179100</v>
      </c>
      <c r="CH856" t="str">
        <f t="shared" si="13"/>
        <v>update valuation set market_land =49700, market_bldg=129400, market_total =179100, market_mdno =405, market_date ='9/10/2023' where link_id = (select link_id from parcel where parcel_year = '2024' and parcel_id = '19111514527');</v>
      </c>
    </row>
    <row r="857" spans="1:86" x14ac:dyDescent="0.25">
      <c r="A857">
        <v>19111514528</v>
      </c>
      <c r="B857">
        <v>0.13</v>
      </c>
      <c r="C857">
        <v>5626</v>
      </c>
      <c r="D857" t="s">
        <v>144</v>
      </c>
      <c r="E857" t="s">
        <v>54</v>
      </c>
      <c r="F857" t="s">
        <v>54</v>
      </c>
      <c r="G857">
        <v>3</v>
      </c>
      <c r="H857" t="s">
        <v>55</v>
      </c>
      <c r="I857">
        <v>114500</v>
      </c>
      <c r="J857">
        <v>31400</v>
      </c>
      <c r="K857">
        <v>0.13</v>
      </c>
      <c r="L857">
        <f>IF(Wapato_Inventory[[#This Row],[parcel_acres]]-Wapato_Inventory[[#This Row],[non_valued_acres]] =0,0,LN(Wapato_Inventory[[#This Row],[parcel_acres]]-Wapato_Inventory[[#This Row],[non_valued_acres]]))</f>
        <v>-2.0402208285265546</v>
      </c>
      <c r="M857">
        <v>0</v>
      </c>
      <c r="N857">
        <v>0</v>
      </c>
      <c r="O857">
        <v>0</v>
      </c>
      <c r="P857">
        <v>27904.037</v>
      </c>
      <c r="Q857">
        <v>74398</v>
      </c>
      <c r="R857" s="3">
        <f>(Wapato_Inventory[[#This Row],[ln_acres]]*Wapato_Inventory[[#This Row],[coeff]])+Wapato_Inventory[[#This Row],[const]]</f>
        <v>17467.602512624362</v>
      </c>
      <c r="S857" t="s">
        <v>66</v>
      </c>
      <c r="T857">
        <v>1</v>
      </c>
      <c r="U857" t="s">
        <v>71</v>
      </c>
      <c r="V857" t="s">
        <v>68</v>
      </c>
      <c r="W857">
        <v>0</v>
      </c>
      <c r="X857">
        <v>0</v>
      </c>
      <c r="Y857">
        <v>57</v>
      </c>
      <c r="Z857">
        <v>103</v>
      </c>
      <c r="AA857">
        <v>110</v>
      </c>
      <c r="AB857">
        <v>1500</v>
      </c>
      <c r="AC857">
        <v>1035</v>
      </c>
      <c r="AD857">
        <v>1035</v>
      </c>
      <c r="AE857">
        <v>0</v>
      </c>
      <c r="AF857">
        <v>0</v>
      </c>
      <c r="AG857">
        <v>0</v>
      </c>
      <c r="AH857">
        <v>216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144</v>
      </c>
      <c r="AO857">
        <v>0</v>
      </c>
      <c r="AP857">
        <v>5</v>
      </c>
      <c r="AQ857">
        <v>0</v>
      </c>
      <c r="AR857">
        <v>0</v>
      </c>
      <c r="AS857" t="s">
        <v>82</v>
      </c>
      <c r="AT857">
        <v>1</v>
      </c>
      <c r="AU857" t="s">
        <v>72</v>
      </c>
      <c r="AV857" t="s">
        <v>61</v>
      </c>
      <c r="AW857">
        <v>0</v>
      </c>
      <c r="AX857">
        <v>2</v>
      </c>
      <c r="AY857">
        <v>0</v>
      </c>
      <c r="AZ857">
        <v>4000</v>
      </c>
      <c r="BA857">
        <v>100</v>
      </c>
      <c r="BB857">
        <v>100</v>
      </c>
      <c r="BC857">
        <v>100</v>
      </c>
      <c r="BD857">
        <v>100</v>
      </c>
      <c r="BE857">
        <v>1</v>
      </c>
      <c r="BF857">
        <v>15000</v>
      </c>
      <c r="BG857">
        <v>1000</v>
      </c>
      <c r="BH857" s="7">
        <f>ROUND(Wapato_Inventory[[#This Row],[detatched_value]]*Lookups!$B$22*Lookups!$H$48,-2)</f>
        <v>3600</v>
      </c>
      <c r="BI857" s="7">
        <f>ROUND(((Wapato_Inventory[[#This Row],[land_extract]]*Lookups!$B$3) +(Lookups!$B$2*0.5))*Lookups!$H$48,-2)</f>
        <v>52800</v>
      </c>
      <c r="BJ857" s="7">
        <f>IF(Wapato_Inventory[[#This Row],[bldg_style]]="",0,Lookups!$B$2*0.5)</f>
        <v>53765.27</v>
      </c>
      <c r="BK857" s="7">
        <f>_xlfn.IFNA(VLOOKUP(Wapato_Inventory[[#This Row],[quality]],Lookups!$H$2:$J$14,3,FALSE),0)</f>
        <v>28034</v>
      </c>
      <c r="BL857" s="7">
        <f>_xlfn.IFNA(VLOOKUP(Wapato_Inventory[[#This Row],[condition]],Lookups!$H$17:$J$24,3,FALSE),0)</f>
        <v>52231</v>
      </c>
      <c r="BM857" s="7">
        <f>Wapato_Inventory[[#This Row],[Age]]*Lookups!$B$16</f>
        <v>-38179.597099999999</v>
      </c>
      <c r="BN857" s="7">
        <f>Wapato_Inventory[[#This Row],[Main Floor]]*Lookups!$B$17</f>
        <v>43263.764864999997</v>
      </c>
      <c r="BO857" s="7">
        <f>Wapato_Inventory[[#This Row],[Upper Floor]]*Lookups!$B$18</f>
        <v>0</v>
      </c>
      <c r="BP857" s="7">
        <f>Wapato_Inventory[[#This Row],[Fin BSMT]]*Lookups!$B$19</f>
        <v>0</v>
      </c>
      <c r="BQ857" s="7">
        <f>(Wapato_Inventory[[#This Row],[att_gar]]+Wapato_Inventory[[#This Row],[blt_gar]])*Lookups!$B$20</f>
        <v>0</v>
      </c>
      <c r="BR857" s="7">
        <f>Wapato_Inventory[[#This Row],[Patio]]*Lookups!$B$21</f>
        <v>0</v>
      </c>
      <c r="BS857" s="7">
        <f>SUM(Wapato_Inventory[[#This Row],[intercept]:[patio_value]])*Wapato_Inventory[[#This Row],[res_pct]]</f>
        <v>139114.43776499998</v>
      </c>
      <c r="BT857" s="7">
        <f>Wapato_Inventory[[#This Row],[land_value]]</f>
        <v>52800</v>
      </c>
      <c r="BU857" s="2">
        <f>_xlfn.IFNA(VLOOKUP(Wapato_Inventory[[#This Row],[quality]],Lookups!$A$28:$C$37,3,FALSE),1)</f>
        <v>0.96265813922927435</v>
      </c>
      <c r="BV857" s="2">
        <f>_xlfn.IFNA(VLOOKUP(Wapato_Inventory[[#This Row],[condition]],Lookups!$A$41:$C$48,3,FALSE),1)</f>
        <v>0.9832333997567807</v>
      </c>
      <c r="BW857" s="2">
        <f>IF(Wapato_Inventory[[#This Row],[decade]]="",1,_xlfn.IFNA(VLOOKUP(Wapato_Inventory[[#This Row],[decade]],Lookups!$F$28:$H$45,3,FALSE),1))</f>
        <v>0.93664589651353292</v>
      </c>
      <c r="BX857" s="2">
        <f>_xlfn.IFNA(VLOOKUP(Wapato_Inventory[[#This Row],[living_area_range]],Lookups!$K$28:$M$37,3,FALSE),1)</f>
        <v>1.0061411172456287</v>
      </c>
      <c r="BY857" s="2">
        <f>AVERAGE(Wapato_Inventory[[#This Row],[qual_adj]:[range_adj]])</f>
        <v>0.97216963818630409</v>
      </c>
      <c r="BZ857" s="7">
        <f>(Wapato_Inventory[[#This Row],[sum_land]]-IF(Wapato_Inventory[[#This Row],[no_utilities]]=1,12000,0))/IF(Wapato_Inventory[[#This Row],[unbuildable]]=1,2,1)</f>
        <v>52800</v>
      </c>
      <c r="CA857" s="7">
        <f>Wapato_Inventory[[#This Row],[pre_res]]*Wapato_Inventory[[#This Row],[overall_adj]]</f>
        <v>135242.83262849116</v>
      </c>
      <c r="CB85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57" s="3">
        <f>IF(ROUND(Wapato_Inventory[[#This Row],[adj_res]]*Lookups!$H$48,-2)&lt;Wapato_Inventory[[#This Row],[min_res]],Wapato_Inventory[[#This Row],[min_res]],ROUND(Wapato_Inventory[[#This Row],[adj_res]]*Lookups!$H$48,-2))</f>
        <v>128500</v>
      </c>
      <c r="CD857" s="3">
        <f>ROUND(Wapato_Inventory[[#This Row],[det_value]]*Lookups!$H$48,-2)</f>
        <v>3400</v>
      </c>
      <c r="CE857" s="3">
        <f>Wapato_Inventory[[#This Row],[final_res]]+Wapato_Inventory[[#This Row],[final_det]]</f>
        <v>131900</v>
      </c>
      <c r="CF857" s="3">
        <f>Wapato_Inventory[[#This Row],[crop_value]]+Wapato_Inventory[[#This Row],[final_land]]+Wapato_Inventory[[#This Row],[final_imp]]</f>
        <v>182100</v>
      </c>
      <c r="CH857" t="str">
        <f t="shared" si="13"/>
        <v>update valuation set market_land =50200, market_bldg=131900, market_total =182100, market_mdno =405, market_date ='9/10/2023' where link_id = (select link_id from parcel where parcel_year = '2024' and parcel_id = '19111514528');</v>
      </c>
    </row>
    <row r="858" spans="1:86" x14ac:dyDescent="0.25">
      <c r="A858">
        <v>19111514529</v>
      </c>
      <c r="B858">
        <v>0.1</v>
      </c>
      <c r="C858">
        <v>4492</v>
      </c>
      <c r="D858" t="s">
        <v>144</v>
      </c>
      <c r="E858" t="s">
        <v>54</v>
      </c>
      <c r="F858" t="s">
        <v>54</v>
      </c>
      <c r="G858">
        <v>3</v>
      </c>
      <c r="H858" t="s">
        <v>55</v>
      </c>
      <c r="I858">
        <v>101100</v>
      </c>
      <c r="J858">
        <v>29500</v>
      </c>
      <c r="K858">
        <v>0.1</v>
      </c>
      <c r="L858">
        <f>IF(Wapato_Inventory[[#This Row],[parcel_acres]]-Wapato_Inventory[[#This Row],[non_valued_acres]] =0,0,LN(Wapato_Inventory[[#This Row],[parcel_acres]]-Wapato_Inventory[[#This Row],[non_valued_acres]]))</f>
        <v>-2.3025850929940455</v>
      </c>
      <c r="M858">
        <v>0</v>
      </c>
      <c r="N858">
        <v>0</v>
      </c>
      <c r="O858">
        <v>0</v>
      </c>
      <c r="P858">
        <v>27904.037</v>
      </c>
      <c r="Q858">
        <v>74398</v>
      </c>
      <c r="R858" s="3">
        <f>(Wapato_Inventory[[#This Row],[ln_acres]]*Wapato_Inventory[[#This Row],[coeff]])+Wapato_Inventory[[#This Row],[const]]</f>
        <v>10146.580369445714</v>
      </c>
      <c r="S858" t="s">
        <v>66</v>
      </c>
      <c r="T858">
        <v>1</v>
      </c>
      <c r="U858" t="s">
        <v>71</v>
      </c>
      <c r="V858" t="s">
        <v>68</v>
      </c>
      <c r="W858">
        <v>0</v>
      </c>
      <c r="X858">
        <v>0</v>
      </c>
      <c r="Y858">
        <v>57</v>
      </c>
      <c r="Z858">
        <v>103</v>
      </c>
      <c r="AA858">
        <v>110</v>
      </c>
      <c r="AB858">
        <v>1500</v>
      </c>
      <c r="AC858">
        <v>1210</v>
      </c>
      <c r="AD858">
        <v>960</v>
      </c>
      <c r="AE858">
        <v>0</v>
      </c>
      <c r="AF858">
        <v>0</v>
      </c>
      <c r="AG858">
        <v>250</v>
      </c>
      <c r="AH858">
        <v>582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64</v>
      </c>
      <c r="AO858">
        <v>160</v>
      </c>
      <c r="AP858">
        <v>5</v>
      </c>
      <c r="AQ858">
        <v>0</v>
      </c>
      <c r="AR858">
        <v>0</v>
      </c>
      <c r="AS858" t="s">
        <v>59</v>
      </c>
      <c r="AT858">
        <v>1</v>
      </c>
      <c r="AU858" t="s">
        <v>72</v>
      </c>
      <c r="AV858" t="s">
        <v>65</v>
      </c>
      <c r="AW858">
        <v>0</v>
      </c>
      <c r="AX858">
        <v>2</v>
      </c>
      <c r="AY858">
        <v>0</v>
      </c>
      <c r="AZ858">
        <v>5700</v>
      </c>
      <c r="BA858">
        <v>100</v>
      </c>
      <c r="BB858">
        <v>100</v>
      </c>
      <c r="BC858">
        <v>100</v>
      </c>
      <c r="BD858">
        <v>100</v>
      </c>
      <c r="BE858">
        <v>1</v>
      </c>
      <c r="BF858">
        <v>15000</v>
      </c>
      <c r="BG858">
        <v>1000</v>
      </c>
      <c r="BH858" s="7">
        <f>ROUND(Wapato_Inventory[[#This Row],[detatched_value]]*Lookups!$B$22*Lookups!$H$48,-2)</f>
        <v>5100</v>
      </c>
      <c r="BI858" s="7">
        <f>ROUND(((Wapato_Inventory[[#This Row],[land_extract]]*Lookups!$B$3) +(Lookups!$B$2*0.5))*Lookups!$H$48,-2)</f>
        <v>52100</v>
      </c>
      <c r="BJ858" s="7">
        <f>IF(Wapato_Inventory[[#This Row],[bldg_style]]="",0,Lookups!$B$2*0.5)</f>
        <v>53765.27</v>
      </c>
      <c r="BK858" s="7">
        <f>_xlfn.IFNA(VLOOKUP(Wapato_Inventory[[#This Row],[quality]],Lookups!$H$2:$J$14,3,FALSE),0)</f>
        <v>28034</v>
      </c>
      <c r="BL858" s="7">
        <f>_xlfn.IFNA(VLOOKUP(Wapato_Inventory[[#This Row],[condition]],Lookups!$H$17:$J$24,3,FALSE),0)</f>
        <v>52231</v>
      </c>
      <c r="BM858" s="7">
        <f>Wapato_Inventory[[#This Row],[Age]]*Lookups!$B$16</f>
        <v>-38179.597099999999</v>
      </c>
      <c r="BN858" s="7">
        <f>Wapato_Inventory[[#This Row],[Main Floor]]*Lookups!$B$17</f>
        <v>40128.709439999999</v>
      </c>
      <c r="BO858" s="7">
        <f>Wapato_Inventory[[#This Row],[Upper Floor]]*Lookups!$B$18</f>
        <v>0</v>
      </c>
      <c r="BP858" s="7">
        <f>Wapato_Inventory[[#This Row],[Fin BSMT]]*Lookups!$B$19</f>
        <v>6091.6850000000004</v>
      </c>
      <c r="BQ858" s="7">
        <f>(Wapato_Inventory[[#This Row],[att_gar]]+Wapato_Inventory[[#This Row],[blt_gar]])*Lookups!$B$20</f>
        <v>0</v>
      </c>
      <c r="BR858" s="7">
        <f>Wapato_Inventory[[#This Row],[Patio]]*Lookups!$B$21</f>
        <v>0</v>
      </c>
      <c r="BS858" s="7">
        <f>SUM(Wapato_Inventory[[#This Row],[intercept]:[patio_value]])*Wapato_Inventory[[#This Row],[res_pct]]</f>
        <v>142071.06733999998</v>
      </c>
      <c r="BT858" s="7">
        <f>Wapato_Inventory[[#This Row],[land_value]]</f>
        <v>52100</v>
      </c>
      <c r="BU858" s="2">
        <f>_xlfn.IFNA(VLOOKUP(Wapato_Inventory[[#This Row],[quality]],Lookups!$A$28:$C$37,3,FALSE),1)</f>
        <v>0.96265813922927435</v>
      </c>
      <c r="BV858" s="2">
        <f>_xlfn.IFNA(VLOOKUP(Wapato_Inventory[[#This Row],[condition]],Lookups!$A$41:$C$48,3,FALSE),1)</f>
        <v>0.9832333997567807</v>
      </c>
      <c r="BW858" s="2">
        <f>IF(Wapato_Inventory[[#This Row],[decade]]="",1,_xlfn.IFNA(VLOOKUP(Wapato_Inventory[[#This Row],[decade]],Lookups!$F$28:$H$45,3,FALSE),1))</f>
        <v>0.93664589651353292</v>
      </c>
      <c r="BX858" s="2">
        <f>_xlfn.IFNA(VLOOKUP(Wapato_Inventory[[#This Row],[living_area_range]],Lookups!$K$28:$M$37,3,FALSE),1)</f>
        <v>1.0061411172456287</v>
      </c>
      <c r="BY858" s="2">
        <f>AVERAGE(Wapato_Inventory[[#This Row],[qual_adj]:[range_adj]])</f>
        <v>0.97216963818630409</v>
      </c>
      <c r="BZ858" s="7">
        <f>(Wapato_Inventory[[#This Row],[sum_land]]-IF(Wapato_Inventory[[#This Row],[no_utilities]]=1,12000,0))/IF(Wapato_Inventory[[#This Row],[unbuildable]]=1,2,1)</f>
        <v>52100</v>
      </c>
      <c r="CA858" s="7">
        <f>Wapato_Inventory[[#This Row],[pre_res]]*Wapato_Inventory[[#This Row],[overall_adj]]</f>
        <v>138117.17813266983</v>
      </c>
      <c r="CB858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858" s="3">
        <f>IF(ROUND(Wapato_Inventory[[#This Row],[adj_res]]*Lookups!$H$48,-2)&lt;Wapato_Inventory[[#This Row],[min_res]],Wapato_Inventory[[#This Row],[min_res]],ROUND(Wapato_Inventory[[#This Row],[adj_res]]*Lookups!$H$48,-2))</f>
        <v>131200</v>
      </c>
      <c r="CD858" s="3">
        <f>ROUND(Wapato_Inventory[[#This Row],[det_value]]*Lookups!$H$48,-2)</f>
        <v>4800</v>
      </c>
      <c r="CE858" s="3">
        <f>Wapato_Inventory[[#This Row],[final_res]]+Wapato_Inventory[[#This Row],[final_det]]</f>
        <v>136000</v>
      </c>
      <c r="CF858" s="3">
        <f>Wapato_Inventory[[#This Row],[crop_value]]+Wapato_Inventory[[#This Row],[final_land]]+Wapato_Inventory[[#This Row],[final_imp]]</f>
        <v>185500</v>
      </c>
      <c r="CH858" t="str">
        <f t="shared" si="13"/>
        <v>update valuation set market_land =49500, market_bldg=136000, market_total =185500, market_mdno =405, market_date ='9/10/2023' where link_id = (select link_id from parcel where parcel_year = '2024' and parcel_id = '19111514529');</v>
      </c>
    </row>
    <row r="859" spans="1:86" x14ac:dyDescent="0.25">
      <c r="A859">
        <v>19111514530</v>
      </c>
      <c r="B859">
        <v>0.17</v>
      </c>
      <c r="C859">
        <v>7388</v>
      </c>
      <c r="D859" t="s">
        <v>144</v>
      </c>
      <c r="E859" t="s">
        <v>54</v>
      </c>
      <c r="F859" t="s">
        <v>54</v>
      </c>
      <c r="G859">
        <v>3</v>
      </c>
      <c r="H859" t="s">
        <v>55</v>
      </c>
      <c r="I859">
        <v>341800</v>
      </c>
      <c r="J859">
        <v>33200</v>
      </c>
      <c r="K859">
        <v>0.17</v>
      </c>
      <c r="L859">
        <f>IF(Wapato_Inventory[[#This Row],[parcel_acres]]-Wapato_Inventory[[#This Row],[non_valued_acres]] =0,0,LN(Wapato_Inventory[[#This Row],[parcel_acres]]-Wapato_Inventory[[#This Row],[non_valued_acres]]))</f>
        <v>-1.7719568419318752</v>
      </c>
      <c r="M859">
        <v>0</v>
      </c>
      <c r="N859">
        <v>0</v>
      </c>
      <c r="O859">
        <v>0</v>
      </c>
      <c r="P859">
        <v>27904.037</v>
      </c>
      <c r="Q859">
        <v>74398</v>
      </c>
      <c r="R859" s="3">
        <f>(Wapato_Inventory[[#This Row],[ln_acres]]*Wapato_Inventory[[#This Row],[coeff]])+Wapato_Inventory[[#This Row],[const]]</f>
        <v>24953.250720329801</v>
      </c>
      <c r="S859" t="s">
        <v>56</v>
      </c>
      <c r="T859">
        <v>2</v>
      </c>
      <c r="U859" t="s">
        <v>75</v>
      </c>
      <c r="V859" t="s">
        <v>69</v>
      </c>
      <c r="W859">
        <v>0</v>
      </c>
      <c r="X859">
        <v>0</v>
      </c>
      <c r="Y859">
        <v>65</v>
      </c>
      <c r="Z859">
        <v>113</v>
      </c>
      <c r="AA859">
        <v>120</v>
      </c>
      <c r="AB859">
        <v>3500</v>
      </c>
      <c r="AC859">
        <v>3018</v>
      </c>
      <c r="AD859">
        <v>1316</v>
      </c>
      <c r="AE859">
        <v>476</v>
      </c>
      <c r="AF859">
        <v>0</v>
      </c>
      <c r="AG859">
        <v>1226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140</v>
      </c>
      <c r="AO859">
        <v>100</v>
      </c>
      <c r="AP859">
        <v>8</v>
      </c>
      <c r="AQ859">
        <v>0</v>
      </c>
      <c r="AR859">
        <v>0</v>
      </c>
      <c r="AS859" t="s">
        <v>59</v>
      </c>
      <c r="AT859">
        <v>1</v>
      </c>
      <c r="AU859" t="s">
        <v>64</v>
      </c>
      <c r="AV859" t="s">
        <v>65</v>
      </c>
      <c r="AW859">
        <v>0</v>
      </c>
      <c r="AX859">
        <v>3</v>
      </c>
      <c r="AY859">
        <v>0</v>
      </c>
      <c r="AZ859">
        <v>49600</v>
      </c>
      <c r="BA859">
        <v>100</v>
      </c>
      <c r="BB859">
        <v>100</v>
      </c>
      <c r="BC859">
        <v>100</v>
      </c>
      <c r="BD859">
        <v>100</v>
      </c>
      <c r="BE859">
        <v>1</v>
      </c>
      <c r="BF859">
        <v>15000</v>
      </c>
      <c r="BG859">
        <v>1000</v>
      </c>
      <c r="BH859" s="7">
        <f>ROUND(Wapato_Inventory[[#This Row],[detatched_value]]*Lookups!$B$22*Lookups!$H$48,-2)</f>
        <v>44300</v>
      </c>
      <c r="BI859" s="7">
        <f>ROUND(((Wapato_Inventory[[#This Row],[land_extract]]*Lookups!$B$3) +(Lookups!$B$2*0.5))*Lookups!$H$48,-2)</f>
        <v>53500</v>
      </c>
      <c r="BJ859" s="7">
        <f>IF(Wapato_Inventory[[#This Row],[bldg_style]]="",0,Lookups!$B$2*0.5)</f>
        <v>53765.27</v>
      </c>
      <c r="BK859" s="7">
        <f>_xlfn.IFNA(VLOOKUP(Wapato_Inventory[[#This Row],[quality]],Lookups!$H$2:$J$14,3,FALSE),0)</f>
        <v>48043</v>
      </c>
      <c r="BL859" s="7">
        <f>_xlfn.IFNA(VLOOKUP(Wapato_Inventory[[#This Row],[condition]],Lookups!$H$17:$J$24,3,FALSE),0)</f>
        <v>74543</v>
      </c>
      <c r="BM859" s="7">
        <f>Wapato_Inventory[[#This Row],[Age]]*Lookups!$B$16</f>
        <v>-41886.354100000004</v>
      </c>
      <c r="BN859" s="7">
        <f>Wapato_Inventory[[#This Row],[Main Floor]]*Lookups!$B$17</f>
        <v>55009.772524</v>
      </c>
      <c r="BO859" s="7">
        <f>Wapato_Inventory[[#This Row],[Upper Floor]]*Lookups!$B$18</f>
        <v>23610.142164000001</v>
      </c>
      <c r="BP859" s="7">
        <f>Wapato_Inventory[[#This Row],[Fin BSMT]]*Lookups!$B$19</f>
        <v>29873.623240000001</v>
      </c>
      <c r="BQ859" s="7">
        <f>(Wapato_Inventory[[#This Row],[att_gar]]+Wapato_Inventory[[#This Row],[blt_gar]])*Lookups!$B$20</f>
        <v>0</v>
      </c>
      <c r="BR859" s="7">
        <f>Wapato_Inventory[[#This Row],[Patio]]*Lookups!$B$21</f>
        <v>0</v>
      </c>
      <c r="BS859" s="7">
        <f>SUM(Wapato_Inventory[[#This Row],[intercept]:[patio_value]])*Wapato_Inventory[[#This Row],[res_pct]]</f>
        <v>242958.453828</v>
      </c>
      <c r="BT859" s="7">
        <f>Wapato_Inventory[[#This Row],[land_value]]</f>
        <v>53500</v>
      </c>
      <c r="BU859" s="2">
        <f>_xlfn.IFNA(VLOOKUP(Wapato_Inventory[[#This Row],[quality]],Lookups!$A$28:$C$37,3,FALSE),1)</f>
        <v>0.98196844879778955</v>
      </c>
      <c r="BV859" s="2">
        <f>_xlfn.IFNA(VLOOKUP(Wapato_Inventory[[#This Row],[condition]],Lookups!$A$41:$C$48,3,FALSE),1)</f>
        <v>0.98442438223270734</v>
      </c>
      <c r="BW859" s="2">
        <f>IF(Wapato_Inventory[[#This Row],[decade]]="",1,_xlfn.IFNA(VLOOKUP(Wapato_Inventory[[#This Row],[decade]],Lookups!$F$28:$H$45,3,FALSE),1))</f>
        <v>0.93664589651353292</v>
      </c>
      <c r="BX859" s="2">
        <f>_xlfn.IFNA(VLOOKUP(Wapato_Inventory[[#This Row],[living_area_range]],Lookups!$K$28:$M$37,3,FALSE),1)</f>
        <v>1.0155869662067822</v>
      </c>
      <c r="BY859" s="2">
        <f>AVERAGE(Wapato_Inventory[[#This Row],[qual_adj]:[range_adj]])</f>
        <v>0.97965642343770298</v>
      </c>
      <c r="BZ859" s="7">
        <f>(Wapato_Inventory[[#This Row],[sum_land]]-IF(Wapato_Inventory[[#This Row],[no_utilities]]=1,12000,0))/IF(Wapato_Inventory[[#This Row],[unbuildable]]=1,2,1)</f>
        <v>53500</v>
      </c>
      <c r="CA859" s="7">
        <f>Wapato_Inventory[[#This Row],[pre_res]]*Wapato_Inventory[[#This Row],[overall_adj]]</f>
        <v>238015.80992109276</v>
      </c>
      <c r="CB859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859" s="3">
        <f>IF(ROUND(Wapato_Inventory[[#This Row],[adj_res]]*Lookups!$H$48,-2)&lt;Wapato_Inventory[[#This Row],[min_res]],Wapato_Inventory[[#This Row],[min_res]],ROUND(Wapato_Inventory[[#This Row],[adj_res]]*Lookups!$H$48,-2))</f>
        <v>226100</v>
      </c>
      <c r="CD859" s="3">
        <f>ROUND(Wapato_Inventory[[#This Row],[det_value]]*Lookups!$H$48,-2)</f>
        <v>42100</v>
      </c>
      <c r="CE859" s="3">
        <f>Wapato_Inventory[[#This Row],[final_res]]+Wapato_Inventory[[#This Row],[final_det]]</f>
        <v>268200</v>
      </c>
      <c r="CF859" s="3">
        <f>Wapato_Inventory[[#This Row],[crop_value]]+Wapato_Inventory[[#This Row],[final_land]]+Wapato_Inventory[[#This Row],[final_imp]]</f>
        <v>319000</v>
      </c>
      <c r="CH859" t="str">
        <f t="shared" si="13"/>
        <v>update valuation set market_land =50800, market_bldg=268200, market_total =319000, market_mdno =405, market_date ='9/10/2023' where link_id = (select link_id from parcel where parcel_year = '2024' and parcel_id = '19111514530');</v>
      </c>
    </row>
    <row r="860" spans="1:86" x14ac:dyDescent="0.25">
      <c r="A860">
        <v>19111514531</v>
      </c>
      <c r="B860">
        <v>0.12</v>
      </c>
      <c r="C860">
        <v>5041</v>
      </c>
      <c r="D860">
        <v>0.12</v>
      </c>
      <c r="E860" t="s">
        <v>54</v>
      </c>
      <c r="F860" t="s">
        <v>54</v>
      </c>
      <c r="G860">
        <v>3</v>
      </c>
      <c r="H860" t="s">
        <v>55</v>
      </c>
      <c r="I860">
        <v>233500</v>
      </c>
      <c r="J860">
        <v>30800</v>
      </c>
      <c r="K860">
        <v>0.12</v>
      </c>
      <c r="L860">
        <f>IF(Wapato_Inventory[[#This Row],[parcel_acres]]-Wapato_Inventory[[#This Row],[non_valued_acres]] =0,0,LN(Wapato_Inventory[[#This Row],[parcel_acres]]-Wapato_Inventory[[#This Row],[non_valued_acres]]))</f>
        <v>-2.120263536200091</v>
      </c>
      <c r="M860">
        <v>0</v>
      </c>
      <c r="N860">
        <v>0</v>
      </c>
      <c r="O860">
        <v>0</v>
      </c>
      <c r="P860">
        <v>27904.037</v>
      </c>
      <c r="Q860">
        <v>74398</v>
      </c>
      <c r="R860" s="3">
        <f>(Wapato_Inventory[[#This Row],[ln_acres]]*Wapato_Inventory[[#This Row],[coeff]])+Wapato_Inventory[[#This Row],[const]]</f>
        <v>15234.08783612182</v>
      </c>
      <c r="S860" t="s">
        <v>56</v>
      </c>
      <c r="T860">
        <v>2</v>
      </c>
      <c r="U860" t="s">
        <v>67</v>
      </c>
      <c r="V860" t="s">
        <v>68</v>
      </c>
      <c r="W860">
        <v>0</v>
      </c>
      <c r="X860">
        <v>0</v>
      </c>
      <c r="Y860">
        <v>60</v>
      </c>
      <c r="Z860">
        <v>108</v>
      </c>
      <c r="AA860">
        <v>110</v>
      </c>
      <c r="AB860">
        <v>2500</v>
      </c>
      <c r="AC860">
        <v>2302</v>
      </c>
      <c r="AD860">
        <v>1602</v>
      </c>
      <c r="AE860">
        <v>700</v>
      </c>
      <c r="AF860">
        <v>0</v>
      </c>
      <c r="AG860">
        <v>0</v>
      </c>
      <c r="AH860">
        <v>1602</v>
      </c>
      <c r="AI860">
        <v>0</v>
      </c>
      <c r="AJ860">
        <v>0</v>
      </c>
      <c r="AK860">
        <v>0</v>
      </c>
      <c r="AL860">
        <v>0</v>
      </c>
      <c r="AM860">
        <v>0</v>
      </c>
      <c r="AN860">
        <v>280</v>
      </c>
      <c r="AO860">
        <v>0</v>
      </c>
      <c r="AP860">
        <v>8</v>
      </c>
      <c r="AQ860">
        <v>0</v>
      </c>
      <c r="AR860">
        <v>1</v>
      </c>
      <c r="AS860" t="s">
        <v>59</v>
      </c>
      <c r="AT860">
        <v>1</v>
      </c>
      <c r="AU860" t="s">
        <v>60</v>
      </c>
      <c r="AV860" t="s">
        <v>65</v>
      </c>
      <c r="AW860">
        <v>1</v>
      </c>
      <c r="AX860">
        <v>4</v>
      </c>
      <c r="AY860">
        <v>0</v>
      </c>
      <c r="AZ860">
        <v>12900</v>
      </c>
      <c r="BA860">
        <v>100</v>
      </c>
      <c r="BB860">
        <v>100</v>
      </c>
      <c r="BC860">
        <v>100</v>
      </c>
      <c r="BD860">
        <v>100</v>
      </c>
      <c r="BE860">
        <v>1</v>
      </c>
      <c r="BF860">
        <v>15000</v>
      </c>
      <c r="BG860">
        <v>1000</v>
      </c>
      <c r="BH860" s="7">
        <f>ROUND(Wapato_Inventory[[#This Row],[detatched_value]]*Lookups!$B$22*Lookups!$H$48,-2)</f>
        <v>11500</v>
      </c>
      <c r="BI860" s="7">
        <f>ROUND(((Wapato_Inventory[[#This Row],[land_extract]]*Lookups!$B$3) +(Lookups!$B$2*0.5))*Lookups!$H$48,-2)</f>
        <v>52500</v>
      </c>
      <c r="BJ860" s="7">
        <f>IF(Wapato_Inventory[[#This Row],[bldg_style]]="",0,Lookups!$B$2*0.5)</f>
        <v>53765.27</v>
      </c>
      <c r="BK860" s="7">
        <f>_xlfn.IFNA(VLOOKUP(Wapato_Inventory[[#This Row],[quality]],Lookups!$H$2:$J$14,3,FALSE),0)</f>
        <v>50405</v>
      </c>
      <c r="BL860" s="7">
        <f>_xlfn.IFNA(VLOOKUP(Wapato_Inventory[[#This Row],[condition]],Lookups!$H$17:$J$24,3,FALSE),0)</f>
        <v>52231</v>
      </c>
      <c r="BM860" s="7">
        <f>Wapato_Inventory[[#This Row],[Age]]*Lookups!$B$16</f>
        <v>-40032.975599999998</v>
      </c>
      <c r="BN860" s="7">
        <f>Wapato_Inventory[[#This Row],[Main Floor]]*Lookups!$B$17</f>
        <v>66964.783878000002</v>
      </c>
      <c r="BO860" s="7">
        <f>Wapato_Inventory[[#This Row],[Upper Floor]]*Lookups!$B$18</f>
        <v>34720.797300000006</v>
      </c>
      <c r="BP860" s="7">
        <f>Wapato_Inventory[[#This Row],[Fin BSMT]]*Lookups!$B$19</f>
        <v>0</v>
      </c>
      <c r="BQ860" s="7">
        <f>(Wapato_Inventory[[#This Row],[att_gar]]+Wapato_Inventory[[#This Row],[blt_gar]])*Lookups!$B$20</f>
        <v>0</v>
      </c>
      <c r="BR860" s="7">
        <f>Wapato_Inventory[[#This Row],[Patio]]*Lookups!$B$21</f>
        <v>0</v>
      </c>
      <c r="BS860" s="7">
        <f>SUM(Wapato_Inventory[[#This Row],[intercept]:[patio_value]])*Wapato_Inventory[[#This Row],[res_pct]]</f>
        <v>218053.87557800001</v>
      </c>
      <c r="BT860" s="7">
        <f>Wapato_Inventory[[#This Row],[land_value]]</f>
        <v>52500</v>
      </c>
      <c r="BU860" s="2">
        <f>_xlfn.IFNA(VLOOKUP(Wapato_Inventory[[#This Row],[quality]],Lookups!$A$28:$C$37,3,FALSE),1)</f>
        <v>0.97993206410140754</v>
      </c>
      <c r="BV860" s="2">
        <f>_xlfn.IFNA(VLOOKUP(Wapato_Inventory[[#This Row],[condition]],Lookups!$A$41:$C$48,3,FALSE),1)</f>
        <v>0.9832333997567807</v>
      </c>
      <c r="BW860" s="2">
        <f>IF(Wapato_Inventory[[#This Row],[decade]]="",1,_xlfn.IFNA(VLOOKUP(Wapato_Inventory[[#This Row],[decade]],Lookups!$F$28:$H$45,3,FALSE),1))</f>
        <v>0.93664589651353292</v>
      </c>
      <c r="BX860" s="2">
        <f>_xlfn.IFNA(VLOOKUP(Wapato_Inventory[[#This Row],[living_area_range]],Lookups!$K$28:$M$37,3,FALSE),1)</f>
        <v>0.90813907160181651</v>
      </c>
      <c r="BY860" s="2">
        <f>AVERAGE(Wapato_Inventory[[#This Row],[qual_adj]:[range_adj]])</f>
        <v>0.95198760799338444</v>
      </c>
      <c r="BZ860" s="7">
        <f>(Wapato_Inventory[[#This Row],[sum_land]]-IF(Wapato_Inventory[[#This Row],[no_utilities]]=1,12000,0))/IF(Wapato_Inventory[[#This Row],[unbuildable]]=1,2,1)</f>
        <v>52500</v>
      </c>
      <c r="CA860" s="7">
        <f>Wapato_Inventory[[#This Row],[pre_res]]*Wapato_Inventory[[#This Row],[overall_adj]]</f>
        <v>207584.58742518729</v>
      </c>
      <c r="CB860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860" s="3">
        <f>IF(ROUND(Wapato_Inventory[[#This Row],[adj_res]]*Lookups!$H$48,-2)&lt;Wapato_Inventory[[#This Row],[min_res]],Wapato_Inventory[[#This Row],[min_res]],ROUND(Wapato_Inventory[[#This Row],[adj_res]]*Lookups!$H$48,-2))</f>
        <v>197200</v>
      </c>
      <c r="CD860" s="3">
        <f>ROUND(Wapato_Inventory[[#This Row],[det_value]]*Lookups!$H$48,-2)</f>
        <v>10900</v>
      </c>
      <c r="CE860" s="3">
        <f>Wapato_Inventory[[#This Row],[final_res]]+Wapato_Inventory[[#This Row],[final_det]]</f>
        <v>208100</v>
      </c>
      <c r="CF860" s="3">
        <f>Wapato_Inventory[[#This Row],[crop_value]]+Wapato_Inventory[[#This Row],[final_land]]+Wapato_Inventory[[#This Row],[final_imp]]</f>
        <v>258000</v>
      </c>
      <c r="CH860" t="str">
        <f t="shared" si="13"/>
        <v>update valuation set market_land =49900, market_bldg=208100, market_total =258000, market_mdno =405, market_date ='9/10/2023' where link_id = (select link_id from parcel where parcel_year = '2024' and parcel_id = '19111514531');</v>
      </c>
    </row>
    <row r="861" spans="1:86" x14ac:dyDescent="0.25">
      <c r="A861">
        <v>19111514533</v>
      </c>
      <c r="B861">
        <v>0.14000000000000001</v>
      </c>
      <c r="C861">
        <v>6159</v>
      </c>
      <c r="D861" t="s">
        <v>144</v>
      </c>
      <c r="E861" t="s">
        <v>54</v>
      </c>
      <c r="F861" t="s">
        <v>54</v>
      </c>
      <c r="G861">
        <v>3</v>
      </c>
      <c r="H861" t="s">
        <v>55</v>
      </c>
      <c r="I861">
        <v>143100</v>
      </c>
      <c r="J861">
        <v>31900</v>
      </c>
      <c r="K861">
        <v>0.14000000000000001</v>
      </c>
      <c r="L861">
        <f>IF(Wapato_Inventory[[#This Row],[parcel_acres]]-Wapato_Inventory[[#This Row],[non_valued_acres]] =0,0,LN(Wapato_Inventory[[#This Row],[parcel_acres]]-Wapato_Inventory[[#This Row],[non_valued_acres]]))</f>
        <v>-1.9661128563728327</v>
      </c>
      <c r="M861">
        <v>0</v>
      </c>
      <c r="N861">
        <v>0</v>
      </c>
      <c r="O861">
        <v>0</v>
      </c>
      <c r="P861">
        <v>27904.037</v>
      </c>
      <c r="Q861">
        <v>74398</v>
      </c>
      <c r="R861" s="3">
        <f>(Wapato_Inventory[[#This Row],[ln_acres]]*Wapato_Inventory[[#This Row],[coeff]])+Wapato_Inventory[[#This Row],[const]]</f>
        <v>19535.514109596792</v>
      </c>
      <c r="S861" t="s">
        <v>66</v>
      </c>
      <c r="T861">
        <v>1</v>
      </c>
      <c r="U861" t="s">
        <v>71</v>
      </c>
      <c r="V861" t="s">
        <v>68</v>
      </c>
      <c r="W861">
        <v>0</v>
      </c>
      <c r="X861">
        <v>0</v>
      </c>
      <c r="Y861">
        <v>57</v>
      </c>
      <c r="Z861">
        <v>103</v>
      </c>
      <c r="AA861">
        <v>110</v>
      </c>
      <c r="AB861">
        <v>1000</v>
      </c>
      <c r="AC861">
        <v>1000</v>
      </c>
      <c r="AD861">
        <v>1000</v>
      </c>
      <c r="AE861">
        <v>0</v>
      </c>
      <c r="AF861">
        <v>0</v>
      </c>
      <c r="AG861">
        <v>0</v>
      </c>
      <c r="AH861">
        <v>0</v>
      </c>
      <c r="AI861">
        <v>794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5</v>
      </c>
      <c r="AQ861">
        <v>0</v>
      </c>
      <c r="AR861">
        <v>0</v>
      </c>
      <c r="AS861" t="s">
        <v>59</v>
      </c>
      <c r="AT861">
        <v>1</v>
      </c>
      <c r="AU861" t="s">
        <v>72</v>
      </c>
      <c r="AV861" t="s">
        <v>61</v>
      </c>
      <c r="AW861">
        <v>0</v>
      </c>
      <c r="AX861">
        <v>2</v>
      </c>
      <c r="AY861">
        <v>0</v>
      </c>
      <c r="AZ861">
        <v>0</v>
      </c>
      <c r="BA861">
        <v>100</v>
      </c>
      <c r="BB861">
        <v>100</v>
      </c>
      <c r="BC861">
        <v>100</v>
      </c>
      <c r="BD861">
        <v>100</v>
      </c>
      <c r="BE861">
        <v>1</v>
      </c>
      <c r="BF861">
        <v>15000</v>
      </c>
      <c r="BG861">
        <v>1000</v>
      </c>
      <c r="BH861" s="7">
        <f>ROUND(Wapato_Inventory[[#This Row],[detatched_value]]*Lookups!$B$22*Lookups!$H$48,-2)</f>
        <v>0</v>
      </c>
      <c r="BI861" s="7">
        <f>ROUND(((Wapato_Inventory[[#This Row],[land_extract]]*Lookups!$B$3) +(Lookups!$B$2*0.5))*Lookups!$H$48,-2)</f>
        <v>53000</v>
      </c>
      <c r="BJ861" s="7">
        <f>IF(Wapato_Inventory[[#This Row],[bldg_style]]="",0,Lookups!$B$2*0.5)</f>
        <v>53765.27</v>
      </c>
      <c r="BK861" s="7">
        <f>_xlfn.IFNA(VLOOKUP(Wapato_Inventory[[#This Row],[quality]],Lookups!$H$2:$J$14,3,FALSE),0)</f>
        <v>28034</v>
      </c>
      <c r="BL861" s="7">
        <f>_xlfn.IFNA(VLOOKUP(Wapato_Inventory[[#This Row],[condition]],Lookups!$H$17:$J$24,3,FALSE),0)</f>
        <v>52231</v>
      </c>
      <c r="BM861" s="7">
        <f>Wapato_Inventory[[#This Row],[Age]]*Lookups!$B$16</f>
        <v>-38179.597099999999</v>
      </c>
      <c r="BN861" s="7">
        <f>Wapato_Inventory[[#This Row],[Main Floor]]*Lookups!$B$17</f>
        <v>41800.739000000001</v>
      </c>
      <c r="BO861" s="7">
        <f>Wapato_Inventory[[#This Row],[Upper Floor]]*Lookups!$B$18</f>
        <v>0</v>
      </c>
      <c r="BP861" s="7">
        <f>Wapato_Inventory[[#This Row],[Fin BSMT]]*Lookups!$B$19</f>
        <v>0</v>
      </c>
      <c r="BQ861" s="7">
        <f>(Wapato_Inventory[[#This Row],[att_gar]]+Wapato_Inventory[[#This Row],[blt_gar]])*Lookups!$B$20</f>
        <v>29384.949088000001</v>
      </c>
      <c r="BR861" s="7">
        <f>Wapato_Inventory[[#This Row],[Patio]]*Lookups!$B$21</f>
        <v>0</v>
      </c>
      <c r="BS861" s="7">
        <f>SUM(Wapato_Inventory[[#This Row],[intercept]:[patio_value]])*Wapato_Inventory[[#This Row],[res_pct]]</f>
        <v>167036.360988</v>
      </c>
      <c r="BT861" s="7">
        <f>Wapato_Inventory[[#This Row],[land_value]]</f>
        <v>53000</v>
      </c>
      <c r="BU861" s="2">
        <f>_xlfn.IFNA(VLOOKUP(Wapato_Inventory[[#This Row],[quality]],Lookups!$A$28:$C$37,3,FALSE),1)</f>
        <v>0.96265813922927435</v>
      </c>
      <c r="BV861" s="2">
        <f>_xlfn.IFNA(VLOOKUP(Wapato_Inventory[[#This Row],[condition]],Lookups!$A$41:$C$48,3,FALSE),1)</f>
        <v>0.9832333997567807</v>
      </c>
      <c r="BW861" s="2">
        <f>IF(Wapato_Inventory[[#This Row],[decade]]="",1,_xlfn.IFNA(VLOOKUP(Wapato_Inventory[[#This Row],[decade]],Lookups!$F$28:$H$45,3,FALSE),1))</f>
        <v>0.93664589651353292</v>
      </c>
      <c r="BX861" s="2">
        <f>_xlfn.IFNA(VLOOKUP(Wapato_Inventory[[#This Row],[living_area_range]],Lookups!$K$28:$M$37,3,FALSE),1)</f>
        <v>0.99022994770196116</v>
      </c>
      <c r="BY861" s="2">
        <f>AVERAGE(Wapato_Inventory[[#This Row],[qual_adj]:[range_adj]])</f>
        <v>0.9681918458003872</v>
      </c>
      <c r="BZ861" s="7">
        <f>(Wapato_Inventory[[#This Row],[sum_land]]-IF(Wapato_Inventory[[#This Row],[no_utilities]]=1,12000,0))/IF(Wapato_Inventory[[#This Row],[unbuildable]]=1,2,1)</f>
        <v>53000</v>
      </c>
      <c r="CA861" s="7">
        <f>Wapato_Inventory[[#This Row],[pre_res]]*Wapato_Inventory[[#This Row],[overall_adj]]</f>
        <v>161723.24266075151</v>
      </c>
      <c r="CB86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61" s="3">
        <f>IF(ROUND(Wapato_Inventory[[#This Row],[adj_res]]*Lookups!$H$48,-2)&lt;Wapato_Inventory[[#This Row],[min_res]],Wapato_Inventory[[#This Row],[min_res]],ROUND(Wapato_Inventory[[#This Row],[adj_res]]*Lookups!$H$48,-2))</f>
        <v>153600</v>
      </c>
      <c r="CD861" s="3">
        <f>ROUND(Wapato_Inventory[[#This Row],[det_value]]*Lookups!$H$48,-2)</f>
        <v>0</v>
      </c>
      <c r="CE861" s="3">
        <f>Wapato_Inventory[[#This Row],[final_res]]+Wapato_Inventory[[#This Row],[final_det]]</f>
        <v>153600</v>
      </c>
      <c r="CF861" s="3">
        <f>Wapato_Inventory[[#This Row],[crop_value]]+Wapato_Inventory[[#This Row],[final_land]]+Wapato_Inventory[[#This Row],[final_imp]]</f>
        <v>204000</v>
      </c>
      <c r="CH861" t="str">
        <f t="shared" si="13"/>
        <v>update valuation set market_land =50400, market_bldg=153600, market_total =204000, market_mdno =405, market_date ='9/10/2023' where link_id = (select link_id from parcel where parcel_year = '2024' and parcel_id = '19111514533');</v>
      </c>
    </row>
    <row r="862" spans="1:86" x14ac:dyDescent="0.25">
      <c r="A862">
        <v>19111514534</v>
      </c>
      <c r="B862">
        <v>0.14000000000000001</v>
      </c>
      <c r="C862">
        <v>5953</v>
      </c>
      <c r="D862" t="s">
        <v>144</v>
      </c>
      <c r="E862" t="s">
        <v>54</v>
      </c>
      <c r="F862" t="s">
        <v>54</v>
      </c>
      <c r="G862">
        <v>3</v>
      </c>
      <c r="H862" t="s">
        <v>55</v>
      </c>
      <c r="I862">
        <v>69300</v>
      </c>
      <c r="J862">
        <v>31900</v>
      </c>
      <c r="K862">
        <v>0.14000000000000001</v>
      </c>
      <c r="L862">
        <f>IF(Wapato_Inventory[[#This Row],[parcel_acres]]-Wapato_Inventory[[#This Row],[non_valued_acres]] =0,0,LN(Wapato_Inventory[[#This Row],[parcel_acres]]-Wapato_Inventory[[#This Row],[non_valued_acres]]))</f>
        <v>-1.9661128563728327</v>
      </c>
      <c r="M862">
        <v>0</v>
      </c>
      <c r="N862">
        <v>0</v>
      </c>
      <c r="O862">
        <v>0</v>
      </c>
      <c r="P862">
        <v>27904.037</v>
      </c>
      <c r="Q862">
        <v>74398</v>
      </c>
      <c r="R862" s="3">
        <f>(Wapato_Inventory[[#This Row],[ln_acres]]*Wapato_Inventory[[#This Row],[coeff]])+Wapato_Inventory[[#This Row],[const]]</f>
        <v>19535.514109596792</v>
      </c>
      <c r="S862" t="s">
        <v>66</v>
      </c>
      <c r="T862">
        <v>2</v>
      </c>
      <c r="U862" t="s">
        <v>67</v>
      </c>
      <c r="V862" t="s">
        <v>84</v>
      </c>
      <c r="W862">
        <v>0</v>
      </c>
      <c r="X862">
        <v>0</v>
      </c>
      <c r="Y862">
        <v>55</v>
      </c>
      <c r="Z862">
        <v>98</v>
      </c>
      <c r="AA862">
        <v>100</v>
      </c>
      <c r="AB862">
        <v>1500</v>
      </c>
      <c r="AC862">
        <v>1044</v>
      </c>
      <c r="AD862">
        <v>844</v>
      </c>
      <c r="AE862">
        <v>200</v>
      </c>
      <c r="AF862">
        <v>0</v>
      </c>
      <c r="AG862">
        <v>0</v>
      </c>
      <c r="AH862">
        <v>150</v>
      </c>
      <c r="AI86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5</v>
      </c>
      <c r="AQ862">
        <v>0</v>
      </c>
      <c r="AR862">
        <v>0</v>
      </c>
      <c r="AS862" t="s">
        <v>85</v>
      </c>
      <c r="AT862">
        <v>0</v>
      </c>
      <c r="AU862" t="s">
        <v>80</v>
      </c>
      <c r="AV862" t="s">
        <v>77</v>
      </c>
      <c r="AW862">
        <v>0</v>
      </c>
      <c r="AX862">
        <v>3</v>
      </c>
      <c r="AY862">
        <v>0</v>
      </c>
      <c r="AZ862">
        <v>0</v>
      </c>
      <c r="BA862">
        <v>100</v>
      </c>
      <c r="BB862">
        <v>100</v>
      </c>
      <c r="BC862">
        <v>100</v>
      </c>
      <c r="BD862">
        <v>100</v>
      </c>
      <c r="BE862">
        <v>1</v>
      </c>
      <c r="BF862">
        <v>15000</v>
      </c>
      <c r="BG862">
        <v>1000</v>
      </c>
      <c r="BH862" s="7">
        <f>ROUND(Wapato_Inventory[[#This Row],[detatched_value]]*Lookups!$B$22*Lookups!$H$48,-2)</f>
        <v>0</v>
      </c>
      <c r="BI862" s="7">
        <f>ROUND(((Wapato_Inventory[[#This Row],[land_extract]]*Lookups!$B$3) +(Lookups!$B$2*0.5))*Lookups!$H$48,-2)</f>
        <v>53000</v>
      </c>
      <c r="BJ862" s="7">
        <f>IF(Wapato_Inventory[[#This Row],[bldg_style]]="",0,Lookups!$B$2*0.5)</f>
        <v>53765.27</v>
      </c>
      <c r="BK862" s="7">
        <f>_xlfn.IFNA(VLOOKUP(Wapato_Inventory[[#This Row],[quality]],Lookups!$H$2:$J$14,3,FALSE),0)</f>
        <v>50405</v>
      </c>
      <c r="BL862" s="7">
        <f>_xlfn.IFNA(VLOOKUP(Wapato_Inventory[[#This Row],[condition]],Lookups!$H$17:$J$24,3,FALSE),0)</f>
        <v>0</v>
      </c>
      <c r="BM862" s="7">
        <f>Wapato_Inventory[[#This Row],[Age]]*Lookups!$B$16</f>
        <v>-36326.2186</v>
      </c>
      <c r="BN862" s="7">
        <f>Wapato_Inventory[[#This Row],[Main Floor]]*Lookups!$B$17</f>
        <v>35279.823715999999</v>
      </c>
      <c r="BO862" s="7">
        <f>Wapato_Inventory[[#This Row],[Upper Floor]]*Lookups!$B$18</f>
        <v>9920.2278000000006</v>
      </c>
      <c r="BP862" s="7">
        <f>Wapato_Inventory[[#This Row],[Fin BSMT]]*Lookups!$B$19</f>
        <v>0</v>
      </c>
      <c r="BQ862" s="7">
        <f>(Wapato_Inventory[[#This Row],[att_gar]]+Wapato_Inventory[[#This Row],[blt_gar]])*Lookups!$B$20</f>
        <v>0</v>
      </c>
      <c r="BR862" s="7">
        <f>Wapato_Inventory[[#This Row],[Patio]]*Lookups!$B$21</f>
        <v>0</v>
      </c>
      <c r="BS862" s="7">
        <f>SUM(Wapato_Inventory[[#This Row],[intercept]:[patio_value]])*Wapato_Inventory[[#This Row],[res_pct]]</f>
        <v>113044.102916</v>
      </c>
      <c r="BT862" s="7">
        <f>Wapato_Inventory[[#This Row],[land_value]]</f>
        <v>53000</v>
      </c>
      <c r="BU862" s="2">
        <f>_xlfn.IFNA(VLOOKUP(Wapato_Inventory[[#This Row],[quality]],Lookups!$A$28:$C$37,3,FALSE),1)</f>
        <v>0.97993206410140754</v>
      </c>
      <c r="BV862" s="2">
        <f>_xlfn.IFNA(VLOOKUP(Wapato_Inventory[[#This Row],[condition]],Lookups!$A$41:$C$48,3,FALSE),1)</f>
        <v>1.0000035546274355</v>
      </c>
      <c r="BW862" s="2">
        <f>IF(Wapato_Inventory[[#This Row],[decade]]="",1,_xlfn.IFNA(VLOOKUP(Wapato_Inventory[[#This Row],[decade]],Lookups!$F$28:$H$45,3,FALSE),1))</f>
        <v>1.0114203040664467</v>
      </c>
      <c r="BX862" s="2">
        <f>_xlfn.IFNA(VLOOKUP(Wapato_Inventory[[#This Row],[living_area_range]],Lookups!$K$28:$M$37,3,FALSE),1)</f>
        <v>1.0061411172456287</v>
      </c>
      <c r="BY862" s="2">
        <f>AVERAGE(Wapato_Inventory[[#This Row],[qual_adj]:[range_adj]])</f>
        <v>0.99937426001022955</v>
      </c>
      <c r="BZ862" s="7">
        <f>(Wapato_Inventory[[#This Row],[sum_land]]-IF(Wapato_Inventory[[#This Row],[no_utilities]]=1,12000,0))/IF(Wapato_Inventory[[#This Row],[unbuildable]]=1,2,1)</f>
        <v>53000</v>
      </c>
      <c r="CA862" s="7">
        <f>Wapato_Inventory[[#This Row],[pre_res]]*Wapato_Inventory[[#This Row],[overall_adj]]</f>
        <v>112973.36670019773</v>
      </c>
      <c r="CB86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62" s="3">
        <f>IF(ROUND(Wapato_Inventory[[#This Row],[adj_res]]*Lookups!$H$48,-2)&lt;Wapato_Inventory[[#This Row],[min_res]],Wapato_Inventory[[#This Row],[min_res]],ROUND(Wapato_Inventory[[#This Row],[adj_res]]*Lookups!$H$48,-2))</f>
        <v>107300</v>
      </c>
      <c r="CD862" s="3">
        <f>ROUND(Wapato_Inventory[[#This Row],[det_value]]*Lookups!$H$48,-2)</f>
        <v>0</v>
      </c>
      <c r="CE862" s="3">
        <f>Wapato_Inventory[[#This Row],[final_res]]+Wapato_Inventory[[#This Row],[final_det]]</f>
        <v>107300</v>
      </c>
      <c r="CF862" s="3">
        <f>Wapato_Inventory[[#This Row],[crop_value]]+Wapato_Inventory[[#This Row],[final_land]]+Wapato_Inventory[[#This Row],[final_imp]]</f>
        <v>157700</v>
      </c>
      <c r="CH862" t="str">
        <f t="shared" si="13"/>
        <v>update valuation set market_land =50400, market_bldg=107300, market_total =157700, market_mdno =405, market_date ='9/10/2023' where link_id = (select link_id from parcel where parcel_year = '2024' and parcel_id = '19111514534');</v>
      </c>
    </row>
    <row r="863" spans="1:86" x14ac:dyDescent="0.25">
      <c r="A863">
        <v>19111514535</v>
      </c>
      <c r="B863">
        <v>0.15</v>
      </c>
      <c r="C863">
        <v>6748</v>
      </c>
      <c r="D863" t="s">
        <v>144</v>
      </c>
      <c r="E863" t="s">
        <v>54</v>
      </c>
      <c r="F863" t="s">
        <v>54</v>
      </c>
      <c r="G863">
        <v>3</v>
      </c>
      <c r="H863" t="s">
        <v>55</v>
      </c>
      <c r="I863">
        <v>96100</v>
      </c>
      <c r="J863">
        <v>32300</v>
      </c>
      <c r="K863">
        <v>0.15</v>
      </c>
      <c r="L863">
        <f>IF(Wapato_Inventory[[#This Row],[parcel_acres]]-Wapato_Inventory[[#This Row],[non_valued_acres]] =0,0,LN(Wapato_Inventory[[#This Row],[parcel_acres]]-Wapato_Inventory[[#This Row],[non_valued_acres]]))</f>
        <v>-1.8971199848858813</v>
      </c>
      <c r="M863">
        <v>0</v>
      </c>
      <c r="N863">
        <v>0</v>
      </c>
      <c r="O863">
        <v>0</v>
      </c>
      <c r="P863">
        <v>27904.037</v>
      </c>
      <c r="Q863">
        <v>74398</v>
      </c>
      <c r="R863" s="3">
        <f>(Wapato_Inventory[[#This Row],[ln_acres]]*Wapato_Inventory[[#This Row],[coeff]])+Wapato_Inventory[[#This Row],[const]]</f>
        <v>21460.693748304926</v>
      </c>
      <c r="S863" t="s">
        <v>66</v>
      </c>
      <c r="T863">
        <v>1</v>
      </c>
      <c r="U863" t="s">
        <v>71</v>
      </c>
      <c r="V863" t="s">
        <v>68</v>
      </c>
      <c r="W863">
        <v>0</v>
      </c>
      <c r="X863">
        <v>0</v>
      </c>
      <c r="Y863">
        <v>65</v>
      </c>
      <c r="Z863">
        <v>113</v>
      </c>
      <c r="AA863">
        <v>120</v>
      </c>
      <c r="AB863">
        <v>1000</v>
      </c>
      <c r="AC863">
        <v>764</v>
      </c>
      <c r="AD863">
        <v>764</v>
      </c>
      <c r="AE863">
        <v>0</v>
      </c>
      <c r="AF863">
        <v>0</v>
      </c>
      <c r="AG863">
        <v>0</v>
      </c>
      <c r="AH863">
        <v>160</v>
      </c>
      <c r="AI863">
        <v>0</v>
      </c>
      <c r="AJ863">
        <v>0</v>
      </c>
      <c r="AK863">
        <v>0</v>
      </c>
      <c r="AL863">
        <v>0</v>
      </c>
      <c r="AM863">
        <v>336</v>
      </c>
      <c r="AN863">
        <v>0</v>
      </c>
      <c r="AO863">
        <v>336</v>
      </c>
      <c r="AP863">
        <v>5</v>
      </c>
      <c r="AQ863">
        <v>1</v>
      </c>
      <c r="AR863">
        <v>0</v>
      </c>
      <c r="AS863" t="s">
        <v>59</v>
      </c>
      <c r="AT863">
        <v>0</v>
      </c>
      <c r="AU863" t="s">
        <v>80</v>
      </c>
      <c r="AV863" t="s">
        <v>65</v>
      </c>
      <c r="AW863">
        <v>0</v>
      </c>
      <c r="AX863">
        <v>2</v>
      </c>
      <c r="AY863">
        <v>0</v>
      </c>
      <c r="AZ863">
        <v>5000</v>
      </c>
      <c r="BA863">
        <v>100</v>
      </c>
      <c r="BB863">
        <v>100</v>
      </c>
      <c r="BC863">
        <v>100</v>
      </c>
      <c r="BD863">
        <v>100</v>
      </c>
      <c r="BE863">
        <v>1</v>
      </c>
      <c r="BF863">
        <v>15000</v>
      </c>
      <c r="BG863">
        <v>1000</v>
      </c>
      <c r="BH863" s="7">
        <f>ROUND(Wapato_Inventory[[#This Row],[detatched_value]]*Lookups!$B$22*Lookups!$H$48,-2)</f>
        <v>4500</v>
      </c>
      <c r="BI863" s="7">
        <f>ROUND(((Wapato_Inventory[[#This Row],[land_extract]]*Lookups!$B$3) +(Lookups!$B$2*0.5))*Lookups!$H$48,-2)</f>
        <v>53100</v>
      </c>
      <c r="BJ863" s="7">
        <f>IF(Wapato_Inventory[[#This Row],[bldg_style]]="",0,Lookups!$B$2*0.5)</f>
        <v>53765.27</v>
      </c>
      <c r="BK863" s="7">
        <f>_xlfn.IFNA(VLOOKUP(Wapato_Inventory[[#This Row],[quality]],Lookups!$H$2:$J$14,3,FALSE),0)</f>
        <v>28034</v>
      </c>
      <c r="BL863" s="7">
        <f>_xlfn.IFNA(VLOOKUP(Wapato_Inventory[[#This Row],[condition]],Lookups!$H$17:$J$24,3,FALSE),0)</f>
        <v>52231</v>
      </c>
      <c r="BM863" s="7">
        <f>Wapato_Inventory[[#This Row],[Age]]*Lookups!$B$16</f>
        <v>-41886.354100000004</v>
      </c>
      <c r="BN863" s="7">
        <f>Wapato_Inventory[[#This Row],[Main Floor]]*Lookups!$B$17</f>
        <v>31935.764596000001</v>
      </c>
      <c r="BO863" s="7">
        <f>Wapato_Inventory[[#This Row],[Upper Floor]]*Lookups!$B$18</f>
        <v>0</v>
      </c>
      <c r="BP863" s="7">
        <f>Wapato_Inventory[[#This Row],[Fin BSMT]]*Lookups!$B$19</f>
        <v>0</v>
      </c>
      <c r="BQ863" s="7">
        <f>(Wapato_Inventory[[#This Row],[att_gar]]+Wapato_Inventory[[#This Row],[blt_gar]])*Lookups!$B$20</f>
        <v>0</v>
      </c>
      <c r="BR863" s="7">
        <f>Wapato_Inventory[[#This Row],[Patio]]*Lookups!$B$21</f>
        <v>14556.856944000001</v>
      </c>
      <c r="BS863" s="7">
        <f>SUM(Wapato_Inventory[[#This Row],[intercept]:[patio_value]])*Wapato_Inventory[[#This Row],[res_pct]]</f>
        <v>138636.53743999999</v>
      </c>
      <c r="BT863" s="7">
        <f>Wapato_Inventory[[#This Row],[land_value]]</f>
        <v>53100</v>
      </c>
      <c r="BU863" s="2">
        <f>_xlfn.IFNA(VLOOKUP(Wapato_Inventory[[#This Row],[quality]],Lookups!$A$28:$C$37,3,FALSE),1)</f>
        <v>0.96265813922927435</v>
      </c>
      <c r="BV863" s="2">
        <f>_xlfn.IFNA(VLOOKUP(Wapato_Inventory[[#This Row],[condition]],Lookups!$A$41:$C$48,3,FALSE),1)</f>
        <v>0.9832333997567807</v>
      </c>
      <c r="BW863" s="2">
        <f>IF(Wapato_Inventory[[#This Row],[decade]]="",1,_xlfn.IFNA(VLOOKUP(Wapato_Inventory[[#This Row],[decade]],Lookups!$F$28:$H$45,3,FALSE),1))</f>
        <v>0.93664589651353292</v>
      </c>
      <c r="BX863" s="2">
        <f>_xlfn.IFNA(VLOOKUP(Wapato_Inventory[[#This Row],[living_area_range]],Lookups!$K$28:$M$37,3,FALSE),1)</f>
        <v>0.99022994770196116</v>
      </c>
      <c r="BY863" s="2">
        <f>AVERAGE(Wapato_Inventory[[#This Row],[qual_adj]:[range_adj]])</f>
        <v>0.9681918458003872</v>
      </c>
      <c r="BZ863" s="7">
        <f>(Wapato_Inventory[[#This Row],[sum_land]]-IF(Wapato_Inventory[[#This Row],[no_utilities]]=1,12000,0))/IF(Wapato_Inventory[[#This Row],[unbuildable]]=1,2,1)</f>
        <v>53100</v>
      </c>
      <c r="CA863" s="7">
        <f>Wapato_Inventory[[#This Row],[pre_res]]*Wapato_Inventory[[#This Row],[overall_adj]]</f>
        <v>134226.76507940807</v>
      </c>
      <c r="CB86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63" s="3">
        <f>IF(ROUND(Wapato_Inventory[[#This Row],[adj_res]]*Lookups!$H$48,-2)&lt;Wapato_Inventory[[#This Row],[min_res]],Wapato_Inventory[[#This Row],[min_res]],ROUND(Wapato_Inventory[[#This Row],[adj_res]]*Lookups!$H$48,-2))</f>
        <v>127500</v>
      </c>
      <c r="CD863" s="3">
        <f>ROUND(Wapato_Inventory[[#This Row],[det_value]]*Lookups!$H$48,-2)</f>
        <v>4300</v>
      </c>
      <c r="CE863" s="3">
        <f>Wapato_Inventory[[#This Row],[final_res]]+Wapato_Inventory[[#This Row],[final_det]]</f>
        <v>131800</v>
      </c>
      <c r="CF863" s="3">
        <f>Wapato_Inventory[[#This Row],[crop_value]]+Wapato_Inventory[[#This Row],[final_land]]+Wapato_Inventory[[#This Row],[final_imp]]</f>
        <v>182200</v>
      </c>
      <c r="CH863" t="str">
        <f t="shared" si="13"/>
        <v>update valuation set market_land =50400, market_bldg=131800, market_total =182200, market_mdno =405, market_date ='9/10/2023' where link_id = (select link_id from parcel where parcel_year = '2024' and parcel_id = '19111514535');</v>
      </c>
    </row>
    <row r="864" spans="1:86" x14ac:dyDescent="0.25">
      <c r="A864">
        <v>19111514536</v>
      </c>
      <c r="B864">
        <v>0.16</v>
      </c>
      <c r="C864">
        <v>6935</v>
      </c>
      <c r="D864" t="s">
        <v>144</v>
      </c>
      <c r="E864" t="s">
        <v>54</v>
      </c>
      <c r="F864" t="s">
        <v>54</v>
      </c>
      <c r="G864">
        <v>3</v>
      </c>
      <c r="H864" t="s">
        <v>55</v>
      </c>
      <c r="I864">
        <v>194300</v>
      </c>
      <c r="J864">
        <v>32800</v>
      </c>
      <c r="K864">
        <v>0.16</v>
      </c>
      <c r="L864">
        <f>IF(Wapato_Inventory[[#This Row],[parcel_acres]]-Wapato_Inventory[[#This Row],[non_valued_acres]] =0,0,LN(Wapato_Inventory[[#This Row],[parcel_acres]]-Wapato_Inventory[[#This Row],[non_valued_acres]]))</f>
        <v>-1.8325814637483102</v>
      </c>
      <c r="M864">
        <v>0</v>
      </c>
      <c r="N864">
        <v>0</v>
      </c>
      <c r="O864">
        <v>0</v>
      </c>
      <c r="P864">
        <v>27904.037</v>
      </c>
      <c r="Q864">
        <v>74398</v>
      </c>
      <c r="R864" s="3">
        <f>(Wapato_Inventory[[#This Row],[ln_acres]]*Wapato_Inventory[[#This Row],[coeff]])+Wapato_Inventory[[#This Row],[const]]</f>
        <v>23261.579030052992</v>
      </c>
      <c r="S864" t="s">
        <v>56</v>
      </c>
      <c r="T864">
        <v>2</v>
      </c>
      <c r="U864" t="s">
        <v>75</v>
      </c>
      <c r="V864" t="s">
        <v>69</v>
      </c>
      <c r="W864">
        <v>0</v>
      </c>
      <c r="X864">
        <v>0</v>
      </c>
      <c r="Y864">
        <v>65</v>
      </c>
      <c r="Z864">
        <v>113</v>
      </c>
      <c r="AA864">
        <v>120</v>
      </c>
      <c r="AB864">
        <v>2000</v>
      </c>
      <c r="AC864">
        <v>1659</v>
      </c>
      <c r="AD864">
        <v>891</v>
      </c>
      <c r="AE864">
        <v>768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88</v>
      </c>
      <c r="AN864">
        <v>110</v>
      </c>
      <c r="AO864">
        <v>0</v>
      </c>
      <c r="AP864">
        <v>8</v>
      </c>
      <c r="AQ864">
        <v>0</v>
      </c>
      <c r="AR864">
        <v>0</v>
      </c>
      <c r="AS864" t="s">
        <v>82</v>
      </c>
      <c r="AT864">
        <v>0</v>
      </c>
      <c r="AU864" t="s">
        <v>80</v>
      </c>
      <c r="AV864" t="s">
        <v>65</v>
      </c>
      <c r="AW864">
        <v>0</v>
      </c>
      <c r="AX864">
        <v>4</v>
      </c>
      <c r="AY864">
        <v>0</v>
      </c>
      <c r="AZ864">
        <v>0</v>
      </c>
      <c r="BA864">
        <v>100</v>
      </c>
      <c r="BB864">
        <v>100</v>
      </c>
      <c r="BC864">
        <v>100</v>
      </c>
      <c r="BD864">
        <v>100</v>
      </c>
      <c r="BE864">
        <v>1</v>
      </c>
      <c r="BF864">
        <v>15000</v>
      </c>
      <c r="BG864">
        <v>1000</v>
      </c>
      <c r="BH864" s="7">
        <f>ROUND(Wapato_Inventory[[#This Row],[detatched_value]]*Lookups!$B$22*Lookups!$H$48,-2)</f>
        <v>0</v>
      </c>
      <c r="BI864" s="7">
        <f>ROUND(((Wapato_Inventory[[#This Row],[land_extract]]*Lookups!$B$3) +(Lookups!$B$2*0.5))*Lookups!$H$48,-2)</f>
        <v>53300</v>
      </c>
      <c r="BJ864" s="7">
        <f>IF(Wapato_Inventory[[#This Row],[bldg_style]]="",0,Lookups!$B$2*0.5)</f>
        <v>53765.27</v>
      </c>
      <c r="BK864" s="7">
        <f>_xlfn.IFNA(VLOOKUP(Wapato_Inventory[[#This Row],[quality]],Lookups!$H$2:$J$14,3,FALSE),0)</f>
        <v>48043</v>
      </c>
      <c r="BL864" s="7">
        <f>_xlfn.IFNA(VLOOKUP(Wapato_Inventory[[#This Row],[condition]],Lookups!$H$17:$J$24,3,FALSE),0)</f>
        <v>74543</v>
      </c>
      <c r="BM864" s="7">
        <f>Wapato_Inventory[[#This Row],[Age]]*Lookups!$B$16</f>
        <v>-41886.354100000004</v>
      </c>
      <c r="BN864" s="7">
        <f>Wapato_Inventory[[#This Row],[Main Floor]]*Lookups!$B$17</f>
        <v>37244.458448999998</v>
      </c>
      <c r="BO864" s="7">
        <f>Wapato_Inventory[[#This Row],[Upper Floor]]*Lookups!$B$18</f>
        <v>38093.674752000006</v>
      </c>
      <c r="BP864" s="7">
        <f>Wapato_Inventory[[#This Row],[Fin BSMT]]*Lookups!$B$19</f>
        <v>0</v>
      </c>
      <c r="BQ864" s="7">
        <f>(Wapato_Inventory[[#This Row],[att_gar]]+Wapato_Inventory[[#This Row],[blt_gar]])*Lookups!$B$20</f>
        <v>0</v>
      </c>
      <c r="BR864" s="7">
        <f>Wapato_Inventory[[#This Row],[Patio]]*Lookups!$B$21</f>
        <v>3812.5101520000003</v>
      </c>
      <c r="BS864" s="7">
        <f>SUM(Wapato_Inventory[[#This Row],[intercept]:[patio_value]])*Wapato_Inventory[[#This Row],[res_pct]]</f>
        <v>213615.55925300001</v>
      </c>
      <c r="BT864" s="7">
        <f>Wapato_Inventory[[#This Row],[land_value]]</f>
        <v>53300</v>
      </c>
      <c r="BU864" s="2">
        <f>_xlfn.IFNA(VLOOKUP(Wapato_Inventory[[#This Row],[quality]],Lookups!$A$28:$C$37,3,FALSE),1)</f>
        <v>0.98196844879778955</v>
      </c>
      <c r="BV864" s="2">
        <f>_xlfn.IFNA(VLOOKUP(Wapato_Inventory[[#This Row],[condition]],Lookups!$A$41:$C$48,3,FALSE),1)</f>
        <v>0.98442438223270734</v>
      </c>
      <c r="BW864" s="2">
        <f>IF(Wapato_Inventory[[#This Row],[decade]]="",1,_xlfn.IFNA(VLOOKUP(Wapato_Inventory[[#This Row],[decade]],Lookups!$F$28:$H$45,3,FALSE),1))</f>
        <v>0.93664589651353292</v>
      </c>
      <c r="BX864" s="2">
        <f>_xlfn.IFNA(VLOOKUP(Wapato_Inventory[[#This Row],[living_area_range]],Lookups!$K$28:$M$37,3,FALSE),1)</f>
        <v>0.99330894324714125</v>
      </c>
      <c r="BY864" s="2">
        <f>AVERAGE(Wapato_Inventory[[#This Row],[qual_adj]:[range_adj]])</f>
        <v>0.97408691769779276</v>
      </c>
      <c r="BZ864" s="7">
        <f>(Wapato_Inventory[[#This Row],[sum_land]]-IF(Wapato_Inventory[[#This Row],[no_utilities]]=1,12000,0))/IF(Wapato_Inventory[[#This Row],[unbuildable]]=1,2,1)</f>
        <v>53300</v>
      </c>
      <c r="CA864" s="7">
        <f>Wapato_Inventory[[#This Row],[pre_res]]*Wapato_Inventory[[#This Row],[overall_adj]]</f>
        <v>208080.12168504499</v>
      </c>
      <c r="CB864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864" s="3">
        <f>IF(ROUND(Wapato_Inventory[[#This Row],[adj_res]]*Lookups!$H$48,-2)&lt;Wapato_Inventory[[#This Row],[min_res]],Wapato_Inventory[[#This Row],[min_res]],ROUND(Wapato_Inventory[[#This Row],[adj_res]]*Lookups!$H$48,-2))</f>
        <v>197700</v>
      </c>
      <c r="CD864" s="3">
        <f>ROUND(Wapato_Inventory[[#This Row],[det_value]]*Lookups!$H$48,-2)</f>
        <v>0</v>
      </c>
      <c r="CE864" s="3">
        <f>Wapato_Inventory[[#This Row],[final_res]]+Wapato_Inventory[[#This Row],[final_det]]</f>
        <v>197700</v>
      </c>
      <c r="CF864" s="3">
        <f>Wapato_Inventory[[#This Row],[crop_value]]+Wapato_Inventory[[#This Row],[final_land]]+Wapato_Inventory[[#This Row],[final_imp]]</f>
        <v>248300</v>
      </c>
      <c r="CH864" t="str">
        <f t="shared" si="13"/>
        <v>update valuation set market_land =50600, market_bldg=197700, market_total =248300, market_mdno =405, market_date ='9/10/2023' where link_id = (select link_id from parcel where parcel_year = '2024' and parcel_id = '19111514536');</v>
      </c>
    </row>
    <row r="865" spans="1:86" x14ac:dyDescent="0.25">
      <c r="A865">
        <v>19111514537</v>
      </c>
      <c r="B865">
        <v>0.14000000000000001</v>
      </c>
      <c r="C865">
        <v>6063</v>
      </c>
      <c r="D865" t="s">
        <v>144</v>
      </c>
      <c r="E865" t="s">
        <v>54</v>
      </c>
      <c r="F865" t="s">
        <v>54</v>
      </c>
      <c r="G865">
        <v>3</v>
      </c>
      <c r="H865" t="s">
        <v>55</v>
      </c>
      <c r="I865">
        <v>104700</v>
      </c>
      <c r="J865">
        <v>31900</v>
      </c>
      <c r="K865">
        <v>0.14000000000000001</v>
      </c>
      <c r="L865">
        <f>IF(Wapato_Inventory[[#This Row],[parcel_acres]]-Wapato_Inventory[[#This Row],[non_valued_acres]] =0,0,LN(Wapato_Inventory[[#This Row],[parcel_acres]]-Wapato_Inventory[[#This Row],[non_valued_acres]]))</f>
        <v>-1.9661128563728327</v>
      </c>
      <c r="M865">
        <v>0</v>
      </c>
      <c r="N865">
        <v>0</v>
      </c>
      <c r="O865">
        <v>0</v>
      </c>
      <c r="P865">
        <v>27904.037</v>
      </c>
      <c r="Q865">
        <v>74398</v>
      </c>
      <c r="R865" s="3">
        <f>(Wapato_Inventory[[#This Row],[ln_acres]]*Wapato_Inventory[[#This Row],[coeff]])+Wapato_Inventory[[#This Row],[const]]</f>
        <v>19535.514109596792</v>
      </c>
      <c r="S865" t="s">
        <v>66</v>
      </c>
      <c r="T865">
        <v>1</v>
      </c>
      <c r="U865" t="s">
        <v>71</v>
      </c>
      <c r="V865" t="s">
        <v>68</v>
      </c>
      <c r="W865">
        <v>0</v>
      </c>
      <c r="X865">
        <v>0</v>
      </c>
      <c r="Y865">
        <v>57</v>
      </c>
      <c r="Z865">
        <v>103</v>
      </c>
      <c r="AA865">
        <v>110</v>
      </c>
      <c r="AB865">
        <v>1000</v>
      </c>
      <c r="AC865">
        <v>946</v>
      </c>
      <c r="AD865">
        <v>946</v>
      </c>
      <c r="AE865">
        <v>0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5</v>
      </c>
      <c r="AQ865">
        <v>0</v>
      </c>
      <c r="AR865">
        <v>0</v>
      </c>
      <c r="AS865" t="s">
        <v>59</v>
      </c>
      <c r="AT865">
        <v>0</v>
      </c>
      <c r="AU865" t="s">
        <v>80</v>
      </c>
      <c r="AV865" t="s">
        <v>65</v>
      </c>
      <c r="AW865">
        <v>0</v>
      </c>
      <c r="AX865">
        <v>3</v>
      </c>
      <c r="AY865">
        <v>0</v>
      </c>
      <c r="AZ865">
        <v>4700</v>
      </c>
      <c r="BA865">
        <v>100</v>
      </c>
      <c r="BB865">
        <v>100</v>
      </c>
      <c r="BC865">
        <v>100</v>
      </c>
      <c r="BD865">
        <v>100</v>
      </c>
      <c r="BE865">
        <v>1</v>
      </c>
      <c r="BF865">
        <v>15000</v>
      </c>
      <c r="BG865">
        <v>1000</v>
      </c>
      <c r="BH865" s="7">
        <f>ROUND(Wapato_Inventory[[#This Row],[detatched_value]]*Lookups!$B$22*Lookups!$H$48,-2)</f>
        <v>4200</v>
      </c>
      <c r="BI865" s="7">
        <f>ROUND(((Wapato_Inventory[[#This Row],[land_extract]]*Lookups!$B$3) +(Lookups!$B$2*0.5))*Lookups!$H$48,-2)</f>
        <v>53000</v>
      </c>
      <c r="BJ865" s="7">
        <f>IF(Wapato_Inventory[[#This Row],[bldg_style]]="",0,Lookups!$B$2*0.5)</f>
        <v>53765.27</v>
      </c>
      <c r="BK865" s="7">
        <f>_xlfn.IFNA(VLOOKUP(Wapato_Inventory[[#This Row],[quality]],Lookups!$H$2:$J$14,3,FALSE),0)</f>
        <v>28034</v>
      </c>
      <c r="BL865" s="7">
        <f>_xlfn.IFNA(VLOOKUP(Wapato_Inventory[[#This Row],[condition]],Lookups!$H$17:$J$24,3,FALSE),0)</f>
        <v>52231</v>
      </c>
      <c r="BM865" s="7">
        <f>Wapato_Inventory[[#This Row],[Age]]*Lookups!$B$16</f>
        <v>-38179.597099999999</v>
      </c>
      <c r="BN865" s="7">
        <f>Wapato_Inventory[[#This Row],[Main Floor]]*Lookups!$B$17</f>
        <v>39543.499093999999</v>
      </c>
      <c r="BO865" s="7">
        <f>Wapato_Inventory[[#This Row],[Upper Floor]]*Lookups!$B$18</f>
        <v>0</v>
      </c>
      <c r="BP865" s="7">
        <f>Wapato_Inventory[[#This Row],[Fin BSMT]]*Lookups!$B$19</f>
        <v>0</v>
      </c>
      <c r="BQ865" s="7">
        <f>(Wapato_Inventory[[#This Row],[att_gar]]+Wapato_Inventory[[#This Row],[blt_gar]])*Lookups!$B$20</f>
        <v>0</v>
      </c>
      <c r="BR865" s="7">
        <f>Wapato_Inventory[[#This Row],[Patio]]*Lookups!$B$21</f>
        <v>0</v>
      </c>
      <c r="BS865" s="7">
        <f>SUM(Wapato_Inventory[[#This Row],[intercept]:[patio_value]])*Wapato_Inventory[[#This Row],[res_pct]]</f>
        <v>135394.17199399997</v>
      </c>
      <c r="BT865" s="7">
        <f>Wapato_Inventory[[#This Row],[land_value]]</f>
        <v>53000</v>
      </c>
      <c r="BU865" s="2">
        <f>_xlfn.IFNA(VLOOKUP(Wapato_Inventory[[#This Row],[quality]],Lookups!$A$28:$C$37,3,FALSE),1)</f>
        <v>0.96265813922927435</v>
      </c>
      <c r="BV865" s="2">
        <f>_xlfn.IFNA(VLOOKUP(Wapato_Inventory[[#This Row],[condition]],Lookups!$A$41:$C$48,3,FALSE),1)</f>
        <v>0.9832333997567807</v>
      </c>
      <c r="BW865" s="2">
        <f>IF(Wapato_Inventory[[#This Row],[decade]]="",1,_xlfn.IFNA(VLOOKUP(Wapato_Inventory[[#This Row],[decade]],Lookups!$F$28:$H$45,3,FALSE),1))</f>
        <v>0.93664589651353292</v>
      </c>
      <c r="BX865" s="2">
        <f>_xlfn.IFNA(VLOOKUP(Wapato_Inventory[[#This Row],[living_area_range]],Lookups!$K$28:$M$37,3,FALSE),1)</f>
        <v>0.99022994770196116</v>
      </c>
      <c r="BY865" s="2">
        <f>AVERAGE(Wapato_Inventory[[#This Row],[qual_adj]:[range_adj]])</f>
        <v>0.9681918458003872</v>
      </c>
      <c r="BZ865" s="7">
        <f>(Wapato_Inventory[[#This Row],[sum_land]]-IF(Wapato_Inventory[[#This Row],[no_utilities]]=1,12000,0))/IF(Wapato_Inventory[[#This Row],[unbuildable]]=1,2,1)</f>
        <v>53000</v>
      </c>
      <c r="CA865" s="7">
        <f>Wapato_Inventory[[#This Row],[pre_res]]*Wapato_Inventory[[#This Row],[overall_adj]]</f>
        <v>131087.53329348593</v>
      </c>
      <c r="CB86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65" s="3">
        <f>IF(ROUND(Wapato_Inventory[[#This Row],[adj_res]]*Lookups!$H$48,-2)&lt;Wapato_Inventory[[#This Row],[min_res]],Wapato_Inventory[[#This Row],[min_res]],ROUND(Wapato_Inventory[[#This Row],[adj_res]]*Lookups!$H$48,-2))</f>
        <v>124500</v>
      </c>
      <c r="CD865" s="3">
        <f>ROUND(Wapato_Inventory[[#This Row],[det_value]]*Lookups!$H$48,-2)</f>
        <v>4000</v>
      </c>
      <c r="CE865" s="3">
        <f>Wapato_Inventory[[#This Row],[final_res]]+Wapato_Inventory[[#This Row],[final_det]]</f>
        <v>128500</v>
      </c>
      <c r="CF865" s="3">
        <f>Wapato_Inventory[[#This Row],[crop_value]]+Wapato_Inventory[[#This Row],[final_land]]+Wapato_Inventory[[#This Row],[final_imp]]</f>
        <v>178900</v>
      </c>
      <c r="CH865" t="str">
        <f t="shared" si="13"/>
        <v>update valuation set market_land =50400, market_bldg=128500, market_total =178900, market_mdno =405, market_date ='9/10/2023' where link_id = (select link_id from parcel where parcel_year = '2024' and parcel_id = '19111514537');</v>
      </c>
    </row>
    <row r="866" spans="1:86" x14ac:dyDescent="0.25">
      <c r="A866">
        <v>19111514538</v>
      </c>
      <c r="B866">
        <v>0.14000000000000001</v>
      </c>
      <c r="C866">
        <v>6269</v>
      </c>
      <c r="D866" t="s">
        <v>144</v>
      </c>
      <c r="E866" t="s">
        <v>54</v>
      </c>
      <c r="F866" t="s">
        <v>54</v>
      </c>
      <c r="G866">
        <v>3</v>
      </c>
      <c r="H866" t="s">
        <v>55</v>
      </c>
      <c r="I866">
        <v>203100</v>
      </c>
      <c r="J866">
        <v>31900</v>
      </c>
      <c r="K866">
        <v>0.14000000000000001</v>
      </c>
      <c r="L866">
        <f>IF(Wapato_Inventory[[#This Row],[parcel_acres]]-Wapato_Inventory[[#This Row],[non_valued_acres]] =0,0,LN(Wapato_Inventory[[#This Row],[parcel_acres]]-Wapato_Inventory[[#This Row],[non_valued_acres]]))</f>
        <v>-1.9661128563728327</v>
      </c>
      <c r="M866">
        <v>0</v>
      </c>
      <c r="N866">
        <v>0</v>
      </c>
      <c r="O866">
        <v>0</v>
      </c>
      <c r="P866">
        <v>27904.037</v>
      </c>
      <c r="Q866">
        <v>74398</v>
      </c>
      <c r="R866" s="3">
        <f>(Wapato_Inventory[[#This Row],[ln_acres]]*Wapato_Inventory[[#This Row],[coeff]])+Wapato_Inventory[[#This Row],[const]]</f>
        <v>19535.514109596792</v>
      </c>
      <c r="S866" t="s">
        <v>62</v>
      </c>
      <c r="T866">
        <v>1</v>
      </c>
      <c r="U866" t="s">
        <v>75</v>
      </c>
      <c r="V866" t="s">
        <v>69</v>
      </c>
      <c r="W866">
        <v>0</v>
      </c>
      <c r="X866">
        <v>0</v>
      </c>
      <c r="Y866">
        <v>47</v>
      </c>
      <c r="Z866">
        <v>56</v>
      </c>
      <c r="AA866">
        <v>60</v>
      </c>
      <c r="AB866">
        <v>1500</v>
      </c>
      <c r="AC866">
        <v>1308</v>
      </c>
      <c r="AD866">
        <v>1308</v>
      </c>
      <c r="AE866">
        <v>0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240</v>
      </c>
      <c r="AL866">
        <v>0</v>
      </c>
      <c r="AM866">
        <v>0</v>
      </c>
      <c r="AN866">
        <v>336</v>
      </c>
      <c r="AO866">
        <v>0</v>
      </c>
      <c r="AP866">
        <v>8</v>
      </c>
      <c r="AQ866">
        <v>0</v>
      </c>
      <c r="AR866">
        <v>0</v>
      </c>
      <c r="AS866" t="s">
        <v>59</v>
      </c>
      <c r="AT866">
        <v>1</v>
      </c>
      <c r="AU866" t="s">
        <v>76</v>
      </c>
      <c r="AV866" t="s">
        <v>61</v>
      </c>
      <c r="AW866">
        <v>0</v>
      </c>
      <c r="AX866">
        <v>2</v>
      </c>
      <c r="AY866">
        <v>0</v>
      </c>
      <c r="AZ866">
        <v>0</v>
      </c>
      <c r="BA866">
        <v>100</v>
      </c>
      <c r="BB866">
        <v>100</v>
      </c>
      <c r="BC866">
        <v>100</v>
      </c>
      <c r="BD866">
        <v>100</v>
      </c>
      <c r="BE866">
        <v>1</v>
      </c>
      <c r="BF866">
        <v>15000</v>
      </c>
      <c r="BG866">
        <v>1000</v>
      </c>
      <c r="BH866" s="7">
        <f>ROUND(Wapato_Inventory[[#This Row],[detatched_value]]*Lookups!$B$22*Lookups!$H$48,-2)</f>
        <v>0</v>
      </c>
      <c r="BI866" s="7">
        <f>ROUND(((Wapato_Inventory[[#This Row],[land_extract]]*Lookups!$B$3) +(Lookups!$B$2*0.5))*Lookups!$H$48,-2)</f>
        <v>53000</v>
      </c>
      <c r="BJ866" s="7">
        <f>IF(Wapato_Inventory[[#This Row],[bldg_style]]="",0,Lookups!$B$2*0.5)</f>
        <v>53765.27</v>
      </c>
      <c r="BK866" s="7">
        <f>_xlfn.IFNA(VLOOKUP(Wapato_Inventory[[#This Row],[quality]],Lookups!$H$2:$J$14,3,FALSE),0)</f>
        <v>48043</v>
      </c>
      <c r="BL866" s="7">
        <f>_xlfn.IFNA(VLOOKUP(Wapato_Inventory[[#This Row],[condition]],Lookups!$H$17:$J$24,3,FALSE),0)</f>
        <v>74543</v>
      </c>
      <c r="BM866" s="7">
        <f>Wapato_Inventory[[#This Row],[Age]]*Lookups!$B$16</f>
        <v>-20757.839200000002</v>
      </c>
      <c r="BN866" s="7">
        <f>Wapato_Inventory[[#This Row],[Main Floor]]*Lookups!$B$17</f>
        <v>54675.366611999998</v>
      </c>
      <c r="BO866" s="7">
        <f>Wapato_Inventory[[#This Row],[Upper Floor]]*Lookups!$B$18</f>
        <v>0</v>
      </c>
      <c r="BP866" s="7">
        <f>Wapato_Inventory[[#This Row],[Fin BSMT]]*Lookups!$B$19</f>
        <v>0</v>
      </c>
      <c r="BQ866" s="7">
        <f>(Wapato_Inventory[[#This Row],[att_gar]]+Wapato_Inventory[[#This Row],[blt_gar]])*Lookups!$B$20</f>
        <v>0</v>
      </c>
      <c r="BR866" s="7">
        <f>Wapato_Inventory[[#This Row],[Patio]]*Lookups!$B$21</f>
        <v>0</v>
      </c>
      <c r="BS866" s="7">
        <f>SUM(Wapato_Inventory[[#This Row],[intercept]:[patio_value]])*Wapato_Inventory[[#This Row],[res_pct]]</f>
        <v>210268.79741199996</v>
      </c>
      <c r="BT866" s="7">
        <f>Wapato_Inventory[[#This Row],[land_value]]</f>
        <v>53000</v>
      </c>
      <c r="BU866" s="2">
        <f>_xlfn.IFNA(VLOOKUP(Wapato_Inventory[[#This Row],[quality]],Lookups!$A$28:$C$37,3,FALSE),1)</f>
        <v>0.98196844879778955</v>
      </c>
      <c r="BV866" s="2">
        <f>_xlfn.IFNA(VLOOKUP(Wapato_Inventory[[#This Row],[condition]],Lookups!$A$41:$C$48,3,FALSE),1)</f>
        <v>0.98442438223270734</v>
      </c>
      <c r="BW866" s="2">
        <f>IF(Wapato_Inventory[[#This Row],[decade]]="",1,_xlfn.IFNA(VLOOKUP(Wapato_Inventory[[#This Row],[decade]],Lookups!$F$28:$H$45,3,FALSE),1))</f>
        <v>1.035341704162583</v>
      </c>
      <c r="BX866" s="2">
        <f>_xlfn.IFNA(VLOOKUP(Wapato_Inventory[[#This Row],[living_area_range]],Lookups!$K$28:$M$37,3,FALSE),1)</f>
        <v>1.0061411172456287</v>
      </c>
      <c r="BY866" s="2">
        <f>AVERAGE(Wapato_Inventory[[#This Row],[qual_adj]:[range_adj]])</f>
        <v>1.0019689131096772</v>
      </c>
      <c r="BZ866" s="7">
        <f>(Wapato_Inventory[[#This Row],[sum_land]]-IF(Wapato_Inventory[[#This Row],[no_utilities]]=1,12000,0))/IF(Wapato_Inventory[[#This Row],[unbuildable]]=1,2,1)</f>
        <v>53000</v>
      </c>
      <c r="CA866" s="7">
        <f>Wapato_Inventory[[#This Row],[pre_res]]*Wapato_Inventory[[#This Row],[overall_adj]]</f>
        <v>210682.7984037805</v>
      </c>
      <c r="CB86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66" s="3">
        <f>IF(ROUND(Wapato_Inventory[[#This Row],[adj_res]]*Lookups!$H$48,-2)&lt;Wapato_Inventory[[#This Row],[min_res]],Wapato_Inventory[[#This Row],[min_res]],ROUND(Wapato_Inventory[[#This Row],[adj_res]]*Lookups!$H$48,-2))</f>
        <v>200100</v>
      </c>
      <c r="CD866" s="3">
        <f>ROUND(Wapato_Inventory[[#This Row],[det_value]]*Lookups!$H$48,-2)</f>
        <v>0</v>
      </c>
      <c r="CE866" s="3">
        <f>Wapato_Inventory[[#This Row],[final_res]]+Wapato_Inventory[[#This Row],[final_det]]</f>
        <v>200100</v>
      </c>
      <c r="CF866" s="3">
        <f>Wapato_Inventory[[#This Row],[crop_value]]+Wapato_Inventory[[#This Row],[final_land]]+Wapato_Inventory[[#This Row],[final_imp]]</f>
        <v>250500</v>
      </c>
      <c r="CH866" t="str">
        <f t="shared" si="13"/>
        <v>update valuation set market_land =50400, market_bldg=200100, market_total =250500, market_mdno =405, market_date ='9/10/2023' where link_id = (select link_id from parcel where parcel_year = '2024' and parcel_id = '19111514538');</v>
      </c>
    </row>
    <row r="867" spans="1:86" x14ac:dyDescent="0.25">
      <c r="A867">
        <v>19111514539</v>
      </c>
      <c r="B867">
        <v>0.13</v>
      </c>
      <c r="C867">
        <v>5682</v>
      </c>
      <c r="D867" t="s">
        <v>144</v>
      </c>
      <c r="E867" t="s">
        <v>54</v>
      </c>
      <c r="F867" t="s">
        <v>54</v>
      </c>
      <c r="G867">
        <v>3</v>
      </c>
      <c r="H867" t="s">
        <v>55</v>
      </c>
      <c r="I867">
        <v>146900</v>
      </c>
      <c r="J867">
        <v>31400</v>
      </c>
      <c r="K867">
        <v>0.13</v>
      </c>
      <c r="L867">
        <f>IF(Wapato_Inventory[[#This Row],[parcel_acres]]-Wapato_Inventory[[#This Row],[non_valued_acres]] =0,0,LN(Wapato_Inventory[[#This Row],[parcel_acres]]-Wapato_Inventory[[#This Row],[non_valued_acres]]))</f>
        <v>-2.0402208285265546</v>
      </c>
      <c r="M867">
        <v>0</v>
      </c>
      <c r="N867">
        <v>0</v>
      </c>
      <c r="O867">
        <v>0</v>
      </c>
      <c r="P867">
        <v>27904.037</v>
      </c>
      <c r="Q867">
        <v>74398</v>
      </c>
      <c r="R867" s="3">
        <f>(Wapato_Inventory[[#This Row],[ln_acres]]*Wapato_Inventory[[#This Row],[coeff]])+Wapato_Inventory[[#This Row],[const]]</f>
        <v>17467.602512624362</v>
      </c>
      <c r="S867" t="s">
        <v>66</v>
      </c>
      <c r="T867">
        <v>1</v>
      </c>
      <c r="U867" t="s">
        <v>75</v>
      </c>
      <c r="V867" t="s">
        <v>68</v>
      </c>
      <c r="W867">
        <v>0</v>
      </c>
      <c r="X867">
        <v>0</v>
      </c>
      <c r="Y867">
        <v>57</v>
      </c>
      <c r="Z867">
        <v>103</v>
      </c>
      <c r="AA867">
        <v>110</v>
      </c>
      <c r="AB867">
        <v>1500</v>
      </c>
      <c r="AC867">
        <v>1220</v>
      </c>
      <c r="AD867">
        <v>1100</v>
      </c>
      <c r="AE867">
        <v>0</v>
      </c>
      <c r="AF867">
        <v>0</v>
      </c>
      <c r="AG867">
        <v>120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170</v>
      </c>
      <c r="AN867">
        <v>0</v>
      </c>
      <c r="AO867">
        <v>0</v>
      </c>
      <c r="AP867">
        <v>5</v>
      </c>
      <c r="AQ867">
        <v>1</v>
      </c>
      <c r="AR867">
        <v>0</v>
      </c>
      <c r="AS867" t="s">
        <v>59</v>
      </c>
      <c r="AT867">
        <v>1</v>
      </c>
      <c r="AU867" t="s">
        <v>64</v>
      </c>
      <c r="AV867" t="s">
        <v>65</v>
      </c>
      <c r="AW867">
        <v>0</v>
      </c>
      <c r="AX867">
        <v>3</v>
      </c>
      <c r="AY867">
        <v>0</v>
      </c>
      <c r="AZ867">
        <v>6500</v>
      </c>
      <c r="BA867">
        <v>100</v>
      </c>
      <c r="BB867">
        <v>100</v>
      </c>
      <c r="BC867">
        <v>100</v>
      </c>
      <c r="BD867">
        <v>100</v>
      </c>
      <c r="BE867">
        <v>1</v>
      </c>
      <c r="BF867">
        <v>15000</v>
      </c>
      <c r="BG867">
        <v>1000</v>
      </c>
      <c r="BH867" s="7">
        <f>ROUND(Wapato_Inventory[[#This Row],[detatched_value]]*Lookups!$B$22*Lookups!$H$48,-2)</f>
        <v>5800</v>
      </c>
      <c r="BI867" s="7">
        <f>ROUND(((Wapato_Inventory[[#This Row],[land_extract]]*Lookups!$B$3) +(Lookups!$B$2*0.5))*Lookups!$H$48,-2)</f>
        <v>52800</v>
      </c>
      <c r="BJ867" s="7">
        <f>IF(Wapato_Inventory[[#This Row],[bldg_style]]="",0,Lookups!$B$2*0.5)</f>
        <v>53765.27</v>
      </c>
      <c r="BK867" s="7">
        <f>_xlfn.IFNA(VLOOKUP(Wapato_Inventory[[#This Row],[quality]],Lookups!$H$2:$J$14,3,FALSE),0)</f>
        <v>48043</v>
      </c>
      <c r="BL867" s="7">
        <f>_xlfn.IFNA(VLOOKUP(Wapato_Inventory[[#This Row],[condition]],Lookups!$H$17:$J$24,3,FALSE),0)</f>
        <v>52231</v>
      </c>
      <c r="BM867" s="7">
        <f>Wapato_Inventory[[#This Row],[Age]]*Lookups!$B$16</f>
        <v>-38179.597099999999</v>
      </c>
      <c r="BN867" s="7">
        <f>Wapato_Inventory[[#This Row],[Main Floor]]*Lookups!$B$17</f>
        <v>45980.812899999997</v>
      </c>
      <c r="BO867" s="7">
        <f>Wapato_Inventory[[#This Row],[Upper Floor]]*Lookups!$B$18</f>
        <v>0</v>
      </c>
      <c r="BP867" s="7">
        <f>Wapato_Inventory[[#This Row],[Fin BSMT]]*Lookups!$B$19</f>
        <v>2924.0088000000001</v>
      </c>
      <c r="BQ867" s="7">
        <f>(Wapato_Inventory[[#This Row],[att_gar]]+Wapato_Inventory[[#This Row],[blt_gar]])*Lookups!$B$20</f>
        <v>0</v>
      </c>
      <c r="BR867" s="7">
        <f>Wapato_Inventory[[#This Row],[Patio]]*Lookups!$B$21</f>
        <v>7365.0764300000001</v>
      </c>
      <c r="BS867" s="7">
        <f>SUM(Wapato_Inventory[[#This Row],[intercept]:[patio_value]])*Wapato_Inventory[[#This Row],[res_pct]]</f>
        <v>172129.57102999999</v>
      </c>
      <c r="BT867" s="7">
        <f>Wapato_Inventory[[#This Row],[land_value]]</f>
        <v>52800</v>
      </c>
      <c r="BU867" s="2">
        <f>_xlfn.IFNA(VLOOKUP(Wapato_Inventory[[#This Row],[quality]],Lookups!$A$28:$C$37,3,FALSE),1)</f>
        <v>0.98196844879778955</v>
      </c>
      <c r="BV867" s="2">
        <f>_xlfn.IFNA(VLOOKUP(Wapato_Inventory[[#This Row],[condition]],Lookups!$A$41:$C$48,3,FALSE),1)</f>
        <v>0.9832333997567807</v>
      </c>
      <c r="BW867" s="2">
        <f>IF(Wapato_Inventory[[#This Row],[decade]]="",1,_xlfn.IFNA(VLOOKUP(Wapato_Inventory[[#This Row],[decade]],Lookups!$F$28:$H$45,3,FALSE),1))</f>
        <v>0.93664589651353292</v>
      </c>
      <c r="BX867" s="2">
        <f>_xlfn.IFNA(VLOOKUP(Wapato_Inventory[[#This Row],[living_area_range]],Lookups!$K$28:$M$37,3,FALSE),1)</f>
        <v>1.0061411172456287</v>
      </c>
      <c r="BY867" s="2">
        <f>AVERAGE(Wapato_Inventory[[#This Row],[qual_adj]:[range_adj]])</f>
        <v>0.976997215578433</v>
      </c>
      <c r="BZ867" s="7">
        <f>(Wapato_Inventory[[#This Row],[sum_land]]-IF(Wapato_Inventory[[#This Row],[no_utilities]]=1,12000,0))/IF(Wapato_Inventory[[#This Row],[unbuildable]]=1,2,1)</f>
        <v>52800</v>
      </c>
      <c r="CA867" s="7">
        <f>Wapato_Inventory[[#This Row],[pre_res]]*Wapato_Inventory[[#This Row],[overall_adj]]</f>
        <v>168170.11161502008</v>
      </c>
      <c r="CB867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67" s="3">
        <f>IF(ROUND(Wapato_Inventory[[#This Row],[adj_res]]*Lookups!$H$48,-2)&lt;Wapato_Inventory[[#This Row],[min_res]],Wapato_Inventory[[#This Row],[min_res]],ROUND(Wapato_Inventory[[#This Row],[adj_res]]*Lookups!$H$48,-2))</f>
        <v>159800</v>
      </c>
      <c r="CD867" s="3">
        <f>ROUND(Wapato_Inventory[[#This Row],[det_value]]*Lookups!$H$48,-2)</f>
        <v>5500</v>
      </c>
      <c r="CE867" s="3">
        <f>Wapato_Inventory[[#This Row],[final_res]]+Wapato_Inventory[[#This Row],[final_det]]</f>
        <v>165300</v>
      </c>
      <c r="CF867" s="3">
        <f>Wapato_Inventory[[#This Row],[crop_value]]+Wapato_Inventory[[#This Row],[final_land]]+Wapato_Inventory[[#This Row],[final_imp]]</f>
        <v>215500</v>
      </c>
      <c r="CH867" t="str">
        <f t="shared" si="13"/>
        <v>update valuation set market_land =50200, market_bldg=165300, market_total =215500, market_mdno =405, market_date ='9/10/2023' where link_id = (select link_id from parcel where parcel_year = '2024' and parcel_id = '19111514539');</v>
      </c>
    </row>
    <row r="868" spans="1:86" x14ac:dyDescent="0.25">
      <c r="A868">
        <v>19111514540</v>
      </c>
      <c r="B868">
        <v>0.12</v>
      </c>
      <c r="C868">
        <v>5369</v>
      </c>
      <c r="D868" t="s">
        <v>144</v>
      </c>
      <c r="E868" t="s">
        <v>54</v>
      </c>
      <c r="F868" t="s">
        <v>54</v>
      </c>
      <c r="G868">
        <v>3</v>
      </c>
      <c r="H868" t="s">
        <v>55</v>
      </c>
      <c r="I868">
        <v>159400</v>
      </c>
      <c r="J868">
        <v>30800</v>
      </c>
      <c r="K868">
        <v>0.12</v>
      </c>
      <c r="L868">
        <f>IF(Wapato_Inventory[[#This Row],[parcel_acres]]-Wapato_Inventory[[#This Row],[non_valued_acres]] =0,0,LN(Wapato_Inventory[[#This Row],[parcel_acres]]-Wapato_Inventory[[#This Row],[non_valued_acres]]))</f>
        <v>-2.120263536200091</v>
      </c>
      <c r="M868">
        <v>0</v>
      </c>
      <c r="N868">
        <v>0</v>
      </c>
      <c r="O868">
        <v>0</v>
      </c>
      <c r="P868">
        <v>27904.037</v>
      </c>
      <c r="Q868">
        <v>74398</v>
      </c>
      <c r="R868" s="3">
        <f>(Wapato_Inventory[[#This Row],[ln_acres]]*Wapato_Inventory[[#This Row],[coeff]])+Wapato_Inventory[[#This Row],[const]]</f>
        <v>15234.08783612182</v>
      </c>
      <c r="S868" t="s">
        <v>66</v>
      </c>
      <c r="T868">
        <v>1</v>
      </c>
      <c r="U868" t="s">
        <v>71</v>
      </c>
      <c r="V868" t="s">
        <v>69</v>
      </c>
      <c r="W868">
        <v>0</v>
      </c>
      <c r="X868">
        <v>0</v>
      </c>
      <c r="Y868">
        <v>57</v>
      </c>
      <c r="Z868">
        <v>103</v>
      </c>
      <c r="AA868">
        <v>110</v>
      </c>
      <c r="AB868">
        <v>1500</v>
      </c>
      <c r="AC868">
        <v>1080</v>
      </c>
      <c r="AD868">
        <v>1080</v>
      </c>
      <c r="AE868">
        <v>0</v>
      </c>
      <c r="AF868">
        <v>0</v>
      </c>
      <c r="AG868">
        <v>0</v>
      </c>
      <c r="AH868">
        <v>0</v>
      </c>
      <c r="AI868">
        <v>0</v>
      </c>
      <c r="AJ868">
        <v>0</v>
      </c>
      <c r="AK868">
        <v>0</v>
      </c>
      <c r="AL868">
        <v>0</v>
      </c>
      <c r="AM868">
        <v>0</v>
      </c>
      <c r="AN868">
        <v>0</v>
      </c>
      <c r="AO868">
        <v>0</v>
      </c>
      <c r="AP868">
        <v>7</v>
      </c>
      <c r="AQ868">
        <v>0</v>
      </c>
      <c r="AR868">
        <v>0</v>
      </c>
      <c r="AS868" t="s">
        <v>59</v>
      </c>
      <c r="AT868">
        <v>1</v>
      </c>
      <c r="AU868" t="s">
        <v>64</v>
      </c>
      <c r="AV868" t="s">
        <v>61</v>
      </c>
      <c r="AW868">
        <v>1</v>
      </c>
      <c r="AX868">
        <v>3</v>
      </c>
      <c r="AY868">
        <v>0</v>
      </c>
      <c r="AZ868">
        <v>4400</v>
      </c>
      <c r="BA868">
        <v>100</v>
      </c>
      <c r="BB868">
        <v>100</v>
      </c>
      <c r="BC868">
        <v>100</v>
      </c>
      <c r="BD868">
        <v>100</v>
      </c>
      <c r="BE868">
        <v>1</v>
      </c>
      <c r="BF868">
        <v>15000</v>
      </c>
      <c r="BG868">
        <v>1000</v>
      </c>
      <c r="BH868" s="7">
        <f>ROUND(Wapato_Inventory[[#This Row],[detatched_value]]*Lookups!$B$22*Lookups!$H$48,-2)</f>
        <v>3900</v>
      </c>
      <c r="BI868" s="7">
        <f>ROUND(((Wapato_Inventory[[#This Row],[land_extract]]*Lookups!$B$3) +(Lookups!$B$2*0.5))*Lookups!$H$48,-2)</f>
        <v>52500</v>
      </c>
      <c r="BJ868" s="7">
        <f>IF(Wapato_Inventory[[#This Row],[bldg_style]]="",0,Lookups!$B$2*0.5)</f>
        <v>53765.27</v>
      </c>
      <c r="BK868" s="7">
        <f>_xlfn.IFNA(VLOOKUP(Wapato_Inventory[[#This Row],[quality]],Lookups!$H$2:$J$14,3,FALSE),0)</f>
        <v>28034</v>
      </c>
      <c r="BL868" s="7">
        <f>_xlfn.IFNA(VLOOKUP(Wapato_Inventory[[#This Row],[condition]],Lookups!$H$17:$J$24,3,FALSE),0)</f>
        <v>74543</v>
      </c>
      <c r="BM868" s="7">
        <f>Wapato_Inventory[[#This Row],[Age]]*Lookups!$B$16</f>
        <v>-38179.597099999999</v>
      </c>
      <c r="BN868" s="7">
        <f>Wapato_Inventory[[#This Row],[Main Floor]]*Lookups!$B$17</f>
        <v>45144.798119999999</v>
      </c>
      <c r="BO868" s="7">
        <f>Wapato_Inventory[[#This Row],[Upper Floor]]*Lookups!$B$18</f>
        <v>0</v>
      </c>
      <c r="BP868" s="7">
        <f>Wapato_Inventory[[#This Row],[Fin BSMT]]*Lookups!$B$19</f>
        <v>0</v>
      </c>
      <c r="BQ868" s="7">
        <f>(Wapato_Inventory[[#This Row],[att_gar]]+Wapato_Inventory[[#This Row],[blt_gar]])*Lookups!$B$20</f>
        <v>0</v>
      </c>
      <c r="BR868" s="7">
        <f>Wapato_Inventory[[#This Row],[Patio]]*Lookups!$B$21</f>
        <v>0</v>
      </c>
      <c r="BS868" s="7">
        <f>SUM(Wapato_Inventory[[#This Row],[intercept]:[patio_value]])*Wapato_Inventory[[#This Row],[res_pct]]</f>
        <v>163307.47102</v>
      </c>
      <c r="BT868" s="7">
        <f>Wapato_Inventory[[#This Row],[land_value]]</f>
        <v>52500</v>
      </c>
      <c r="BU868" s="2">
        <f>_xlfn.IFNA(VLOOKUP(Wapato_Inventory[[#This Row],[quality]],Lookups!$A$28:$C$37,3,FALSE),1)</f>
        <v>0.96265813922927435</v>
      </c>
      <c r="BV868" s="2">
        <f>_xlfn.IFNA(VLOOKUP(Wapato_Inventory[[#This Row],[condition]],Lookups!$A$41:$C$48,3,FALSE),1)</f>
        <v>0.98442438223270734</v>
      </c>
      <c r="BW868" s="2">
        <f>IF(Wapato_Inventory[[#This Row],[decade]]="",1,_xlfn.IFNA(VLOOKUP(Wapato_Inventory[[#This Row],[decade]],Lookups!$F$28:$H$45,3,FALSE),1))</f>
        <v>0.93664589651353292</v>
      </c>
      <c r="BX868" s="2">
        <f>_xlfn.IFNA(VLOOKUP(Wapato_Inventory[[#This Row],[living_area_range]],Lookups!$K$28:$M$37,3,FALSE),1)</f>
        <v>1.0061411172456287</v>
      </c>
      <c r="BY868" s="2">
        <f>AVERAGE(Wapato_Inventory[[#This Row],[qual_adj]:[range_adj]])</f>
        <v>0.97246738380528575</v>
      </c>
      <c r="BZ868" s="7">
        <f>(Wapato_Inventory[[#This Row],[sum_land]]-IF(Wapato_Inventory[[#This Row],[no_utilities]]=1,12000,0))/IF(Wapato_Inventory[[#This Row],[unbuildable]]=1,2,1)</f>
        <v>52500</v>
      </c>
      <c r="CA868" s="7">
        <f>Wapato_Inventory[[#This Row],[pre_res]]*Wapato_Inventory[[#This Row],[overall_adj]]</f>
        <v>158811.18909867693</v>
      </c>
      <c r="CB868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868" s="3">
        <f>IF(ROUND(Wapato_Inventory[[#This Row],[adj_res]]*Lookups!$H$48,-2)&lt;Wapato_Inventory[[#This Row],[min_res]],Wapato_Inventory[[#This Row],[min_res]],ROUND(Wapato_Inventory[[#This Row],[adj_res]]*Lookups!$H$48,-2))</f>
        <v>150900</v>
      </c>
      <c r="CD868" s="3">
        <f>ROUND(Wapato_Inventory[[#This Row],[det_value]]*Lookups!$H$48,-2)</f>
        <v>3700</v>
      </c>
      <c r="CE868" s="3">
        <f>Wapato_Inventory[[#This Row],[final_res]]+Wapato_Inventory[[#This Row],[final_det]]</f>
        <v>154600</v>
      </c>
      <c r="CF868" s="3">
        <f>Wapato_Inventory[[#This Row],[crop_value]]+Wapato_Inventory[[#This Row],[final_land]]+Wapato_Inventory[[#This Row],[final_imp]]</f>
        <v>204500</v>
      </c>
      <c r="CH868" t="str">
        <f t="shared" si="13"/>
        <v>update valuation set market_land =49900, market_bldg=154600, market_total =204500, market_mdno =405, market_date ='9/10/2023' where link_id = (select link_id from parcel where parcel_year = '2024' and parcel_id = '19111514540');</v>
      </c>
    </row>
    <row r="869" spans="1:86" x14ac:dyDescent="0.25">
      <c r="A869">
        <v>19111514541</v>
      </c>
      <c r="B869">
        <v>0.1</v>
      </c>
      <c r="C869">
        <v>4364</v>
      </c>
      <c r="D869" t="s">
        <v>144</v>
      </c>
      <c r="E869" t="s">
        <v>54</v>
      </c>
      <c r="F869" t="s">
        <v>54</v>
      </c>
      <c r="G869">
        <v>3</v>
      </c>
      <c r="H869" t="s">
        <v>55</v>
      </c>
      <c r="I869">
        <v>174800</v>
      </c>
      <c r="J869">
        <v>29500</v>
      </c>
      <c r="K869">
        <v>0.1</v>
      </c>
      <c r="L869">
        <f>IF(Wapato_Inventory[[#This Row],[parcel_acres]]-Wapato_Inventory[[#This Row],[non_valued_acres]] =0,0,LN(Wapato_Inventory[[#This Row],[parcel_acres]]-Wapato_Inventory[[#This Row],[non_valued_acres]]))</f>
        <v>-2.3025850929940455</v>
      </c>
      <c r="M869">
        <v>0</v>
      </c>
      <c r="N869">
        <v>0</v>
      </c>
      <c r="O869">
        <v>0</v>
      </c>
      <c r="P869">
        <v>27904.037</v>
      </c>
      <c r="Q869">
        <v>74398</v>
      </c>
      <c r="R869" s="3">
        <f>(Wapato_Inventory[[#This Row],[ln_acres]]*Wapato_Inventory[[#This Row],[coeff]])+Wapato_Inventory[[#This Row],[const]]</f>
        <v>10146.580369445714</v>
      </c>
      <c r="S869" t="s">
        <v>66</v>
      </c>
      <c r="T869">
        <v>1</v>
      </c>
      <c r="U869" t="s">
        <v>75</v>
      </c>
      <c r="V869" t="s">
        <v>68</v>
      </c>
      <c r="W869">
        <v>0</v>
      </c>
      <c r="X869">
        <v>0</v>
      </c>
      <c r="Y869">
        <v>57</v>
      </c>
      <c r="Z869">
        <v>103</v>
      </c>
      <c r="AA869">
        <v>110</v>
      </c>
      <c r="AB869">
        <v>1500</v>
      </c>
      <c r="AC869">
        <v>1396</v>
      </c>
      <c r="AD869">
        <v>1396</v>
      </c>
      <c r="AE869">
        <v>0</v>
      </c>
      <c r="AF869">
        <v>0</v>
      </c>
      <c r="AG869">
        <v>0</v>
      </c>
      <c r="AH869">
        <v>0</v>
      </c>
      <c r="AI869">
        <v>338</v>
      </c>
      <c r="AJ869">
        <v>0</v>
      </c>
      <c r="AK869">
        <v>399</v>
      </c>
      <c r="AL869">
        <v>0</v>
      </c>
      <c r="AM869">
        <v>0</v>
      </c>
      <c r="AN869">
        <v>0</v>
      </c>
      <c r="AO869">
        <v>0</v>
      </c>
      <c r="AP869">
        <v>5</v>
      </c>
      <c r="AQ869">
        <v>1</v>
      </c>
      <c r="AR869">
        <v>0</v>
      </c>
      <c r="AS869" t="s">
        <v>59</v>
      </c>
      <c r="AT869">
        <v>1</v>
      </c>
      <c r="AU869" t="s">
        <v>148</v>
      </c>
      <c r="AV869" t="s">
        <v>65</v>
      </c>
      <c r="AW869">
        <v>1</v>
      </c>
      <c r="AX869">
        <v>3</v>
      </c>
      <c r="AY869">
        <v>0</v>
      </c>
      <c r="AZ869">
        <v>0</v>
      </c>
      <c r="BA869">
        <v>100</v>
      </c>
      <c r="BB869">
        <v>100</v>
      </c>
      <c r="BC869">
        <v>100</v>
      </c>
      <c r="BD869">
        <v>100</v>
      </c>
      <c r="BE869">
        <v>1</v>
      </c>
      <c r="BF869">
        <v>15000</v>
      </c>
      <c r="BG869">
        <v>1000</v>
      </c>
      <c r="BH869" s="7">
        <f>ROUND(Wapato_Inventory[[#This Row],[detatched_value]]*Lookups!$B$22*Lookups!$H$48,-2)</f>
        <v>0</v>
      </c>
      <c r="BI869" s="7">
        <f>ROUND(((Wapato_Inventory[[#This Row],[land_extract]]*Lookups!$B$3) +(Lookups!$B$2*0.5))*Lookups!$H$48,-2)</f>
        <v>52100</v>
      </c>
      <c r="BJ869" s="7">
        <f>IF(Wapato_Inventory[[#This Row],[bldg_style]]="",0,Lookups!$B$2*0.5)</f>
        <v>53765.27</v>
      </c>
      <c r="BK869" s="7">
        <f>_xlfn.IFNA(VLOOKUP(Wapato_Inventory[[#This Row],[quality]],Lookups!$H$2:$J$14,3,FALSE),0)</f>
        <v>48043</v>
      </c>
      <c r="BL869" s="7">
        <f>_xlfn.IFNA(VLOOKUP(Wapato_Inventory[[#This Row],[condition]],Lookups!$H$17:$J$24,3,FALSE),0)</f>
        <v>52231</v>
      </c>
      <c r="BM869" s="7">
        <f>Wapato_Inventory[[#This Row],[Age]]*Lookups!$B$16</f>
        <v>-38179.597099999999</v>
      </c>
      <c r="BN869" s="7">
        <f>Wapato_Inventory[[#This Row],[Main Floor]]*Lookups!$B$17</f>
        <v>58353.831643999998</v>
      </c>
      <c r="BO869" s="7">
        <f>Wapato_Inventory[[#This Row],[Upper Floor]]*Lookups!$B$18</f>
        <v>0</v>
      </c>
      <c r="BP869" s="7">
        <f>Wapato_Inventory[[#This Row],[Fin BSMT]]*Lookups!$B$19</f>
        <v>0</v>
      </c>
      <c r="BQ869" s="7">
        <f>(Wapato_Inventory[[#This Row],[att_gar]]+Wapato_Inventory[[#This Row],[blt_gar]])*Lookups!$B$20</f>
        <v>12508.958176</v>
      </c>
      <c r="BR869" s="7">
        <f>Wapato_Inventory[[#This Row],[Patio]]*Lookups!$B$21</f>
        <v>0</v>
      </c>
      <c r="BS869" s="7">
        <f>SUM(Wapato_Inventory[[#This Row],[intercept]:[patio_value]])*Wapato_Inventory[[#This Row],[res_pct]]</f>
        <v>186722.46272000001</v>
      </c>
      <c r="BT869" s="7">
        <f>Wapato_Inventory[[#This Row],[land_value]]</f>
        <v>52100</v>
      </c>
      <c r="BU869" s="2">
        <f>_xlfn.IFNA(VLOOKUP(Wapato_Inventory[[#This Row],[quality]],Lookups!$A$28:$C$37,3,FALSE),1)</f>
        <v>0.98196844879778955</v>
      </c>
      <c r="BV869" s="2">
        <f>_xlfn.IFNA(VLOOKUP(Wapato_Inventory[[#This Row],[condition]],Lookups!$A$41:$C$48,3,FALSE),1)</f>
        <v>0.9832333997567807</v>
      </c>
      <c r="BW869" s="2">
        <f>IF(Wapato_Inventory[[#This Row],[decade]]="",1,_xlfn.IFNA(VLOOKUP(Wapato_Inventory[[#This Row],[decade]],Lookups!$F$28:$H$45,3,FALSE),1))</f>
        <v>0.93664589651353292</v>
      </c>
      <c r="BX869" s="2">
        <f>_xlfn.IFNA(VLOOKUP(Wapato_Inventory[[#This Row],[living_area_range]],Lookups!$K$28:$M$37,3,FALSE),1)</f>
        <v>1.0061411172456287</v>
      </c>
      <c r="BY869" s="2">
        <f>AVERAGE(Wapato_Inventory[[#This Row],[qual_adj]:[range_adj]])</f>
        <v>0.976997215578433</v>
      </c>
      <c r="BZ869" s="7">
        <f>(Wapato_Inventory[[#This Row],[sum_land]]-IF(Wapato_Inventory[[#This Row],[no_utilities]]=1,12000,0))/IF(Wapato_Inventory[[#This Row],[unbuildable]]=1,2,1)</f>
        <v>52100</v>
      </c>
      <c r="CA869" s="7">
        <f>Wapato_Inventory[[#This Row],[pre_res]]*Wapato_Inventory[[#This Row],[overall_adj]]</f>
        <v>182427.32616338777</v>
      </c>
      <c r="CB869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869" s="3">
        <f>IF(ROUND(Wapato_Inventory[[#This Row],[adj_res]]*Lookups!$H$48,-2)&lt;Wapato_Inventory[[#This Row],[min_res]],Wapato_Inventory[[#This Row],[min_res]],ROUND(Wapato_Inventory[[#This Row],[adj_res]]*Lookups!$H$48,-2))</f>
        <v>173300</v>
      </c>
      <c r="CD869" s="3">
        <f>ROUND(Wapato_Inventory[[#This Row],[det_value]]*Lookups!$H$48,-2)</f>
        <v>0</v>
      </c>
      <c r="CE869" s="3">
        <f>Wapato_Inventory[[#This Row],[final_res]]+Wapato_Inventory[[#This Row],[final_det]]</f>
        <v>173300</v>
      </c>
      <c r="CF869" s="3">
        <f>Wapato_Inventory[[#This Row],[crop_value]]+Wapato_Inventory[[#This Row],[final_land]]+Wapato_Inventory[[#This Row],[final_imp]]</f>
        <v>222800</v>
      </c>
      <c r="CH869" t="str">
        <f t="shared" si="13"/>
        <v>update valuation set market_land =49500, market_bldg=173300, market_total =222800, market_mdno =405, market_date ='9/10/2023' where link_id = (select link_id from parcel where parcel_year = '2024' and parcel_id = '19111514541');</v>
      </c>
    </row>
    <row r="870" spans="1:86" x14ac:dyDescent="0.25">
      <c r="A870">
        <v>19111514542</v>
      </c>
      <c r="B870">
        <v>0.14000000000000001</v>
      </c>
      <c r="C870">
        <v>6157</v>
      </c>
      <c r="D870" t="s">
        <v>144</v>
      </c>
      <c r="E870" t="s">
        <v>54</v>
      </c>
      <c r="F870" t="s">
        <v>54</v>
      </c>
      <c r="G870">
        <v>3</v>
      </c>
      <c r="H870" t="s">
        <v>55</v>
      </c>
      <c r="I870">
        <v>184200</v>
      </c>
      <c r="J870">
        <v>31900</v>
      </c>
      <c r="K870">
        <v>0.14000000000000001</v>
      </c>
      <c r="L870">
        <f>IF(Wapato_Inventory[[#This Row],[parcel_acres]]-Wapato_Inventory[[#This Row],[non_valued_acres]] =0,0,LN(Wapato_Inventory[[#This Row],[parcel_acres]]-Wapato_Inventory[[#This Row],[non_valued_acres]]))</f>
        <v>-1.9661128563728327</v>
      </c>
      <c r="M870">
        <v>0</v>
      </c>
      <c r="N870">
        <v>0</v>
      </c>
      <c r="O870">
        <v>0</v>
      </c>
      <c r="P870">
        <v>27904.037</v>
      </c>
      <c r="Q870">
        <v>74398</v>
      </c>
      <c r="R870" s="3">
        <f>(Wapato_Inventory[[#This Row],[ln_acres]]*Wapato_Inventory[[#This Row],[coeff]])+Wapato_Inventory[[#This Row],[const]]</f>
        <v>19535.514109596792</v>
      </c>
      <c r="S870" t="s">
        <v>66</v>
      </c>
      <c r="T870">
        <v>1</v>
      </c>
      <c r="U870" t="s">
        <v>71</v>
      </c>
      <c r="V870" t="s">
        <v>69</v>
      </c>
      <c r="W870">
        <v>0</v>
      </c>
      <c r="X870">
        <v>0</v>
      </c>
      <c r="Y870">
        <v>57</v>
      </c>
      <c r="Z870">
        <v>103</v>
      </c>
      <c r="AA870">
        <v>110</v>
      </c>
      <c r="AB870">
        <v>1500</v>
      </c>
      <c r="AC870">
        <v>1440</v>
      </c>
      <c r="AD870">
        <v>1440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0</v>
      </c>
      <c r="AN870">
        <v>0</v>
      </c>
      <c r="AO870">
        <v>0</v>
      </c>
      <c r="AP870">
        <v>5</v>
      </c>
      <c r="AQ870">
        <v>1</v>
      </c>
      <c r="AR870">
        <v>0</v>
      </c>
      <c r="AS870" t="s">
        <v>59</v>
      </c>
      <c r="AT870">
        <v>1</v>
      </c>
      <c r="AU870" t="s">
        <v>72</v>
      </c>
      <c r="AV870" t="s">
        <v>61</v>
      </c>
      <c r="AW870">
        <v>0</v>
      </c>
      <c r="AX870">
        <v>2</v>
      </c>
      <c r="AY870">
        <v>0</v>
      </c>
      <c r="AZ870">
        <v>13000</v>
      </c>
      <c r="BA870">
        <v>100</v>
      </c>
      <c r="BB870">
        <v>100</v>
      </c>
      <c r="BC870">
        <v>100</v>
      </c>
      <c r="BD870">
        <v>100</v>
      </c>
      <c r="BE870">
        <v>1</v>
      </c>
      <c r="BF870">
        <v>15000</v>
      </c>
      <c r="BG870">
        <v>1000</v>
      </c>
      <c r="BH870" s="7">
        <f>ROUND(Wapato_Inventory[[#This Row],[detatched_value]]*Lookups!$B$22*Lookups!$H$48,-2)</f>
        <v>11600</v>
      </c>
      <c r="BI870" s="7">
        <f>ROUND(((Wapato_Inventory[[#This Row],[land_extract]]*Lookups!$B$3) +(Lookups!$B$2*0.5))*Lookups!$H$48,-2)</f>
        <v>53000</v>
      </c>
      <c r="BJ870" s="7">
        <f>IF(Wapato_Inventory[[#This Row],[bldg_style]]="",0,Lookups!$B$2*0.5)</f>
        <v>53765.27</v>
      </c>
      <c r="BK870" s="7">
        <f>_xlfn.IFNA(VLOOKUP(Wapato_Inventory[[#This Row],[quality]],Lookups!$H$2:$J$14,3,FALSE),0)</f>
        <v>28034</v>
      </c>
      <c r="BL870" s="7">
        <f>_xlfn.IFNA(VLOOKUP(Wapato_Inventory[[#This Row],[condition]],Lookups!$H$17:$J$24,3,FALSE),0)</f>
        <v>74543</v>
      </c>
      <c r="BM870" s="7">
        <f>Wapato_Inventory[[#This Row],[Age]]*Lookups!$B$16</f>
        <v>-38179.597099999999</v>
      </c>
      <c r="BN870" s="7">
        <f>Wapato_Inventory[[#This Row],[Main Floor]]*Lookups!$B$17</f>
        <v>60193.064160000002</v>
      </c>
      <c r="BO870" s="7">
        <f>Wapato_Inventory[[#This Row],[Upper Floor]]*Lookups!$B$18</f>
        <v>0</v>
      </c>
      <c r="BP870" s="7">
        <f>Wapato_Inventory[[#This Row],[Fin BSMT]]*Lookups!$B$19</f>
        <v>0</v>
      </c>
      <c r="BQ870" s="7">
        <f>(Wapato_Inventory[[#This Row],[att_gar]]+Wapato_Inventory[[#This Row],[blt_gar]])*Lookups!$B$20</f>
        <v>0</v>
      </c>
      <c r="BR870" s="7">
        <f>Wapato_Inventory[[#This Row],[Patio]]*Lookups!$B$21</f>
        <v>0</v>
      </c>
      <c r="BS870" s="7">
        <f>SUM(Wapato_Inventory[[#This Row],[intercept]:[patio_value]])*Wapato_Inventory[[#This Row],[res_pct]]</f>
        <v>178355.73705999998</v>
      </c>
      <c r="BT870" s="7">
        <f>Wapato_Inventory[[#This Row],[land_value]]</f>
        <v>53000</v>
      </c>
      <c r="BU870" s="2">
        <f>_xlfn.IFNA(VLOOKUP(Wapato_Inventory[[#This Row],[quality]],Lookups!$A$28:$C$37,3,FALSE),1)</f>
        <v>0.96265813922927435</v>
      </c>
      <c r="BV870" s="2">
        <f>_xlfn.IFNA(VLOOKUP(Wapato_Inventory[[#This Row],[condition]],Lookups!$A$41:$C$48,3,FALSE),1)</f>
        <v>0.98442438223270734</v>
      </c>
      <c r="BW870" s="2">
        <f>IF(Wapato_Inventory[[#This Row],[decade]]="",1,_xlfn.IFNA(VLOOKUP(Wapato_Inventory[[#This Row],[decade]],Lookups!$F$28:$H$45,3,FALSE),1))</f>
        <v>0.93664589651353292</v>
      </c>
      <c r="BX870" s="2">
        <f>_xlfn.IFNA(VLOOKUP(Wapato_Inventory[[#This Row],[living_area_range]],Lookups!$K$28:$M$37,3,FALSE),1)</f>
        <v>1.0061411172456287</v>
      </c>
      <c r="BY870" s="2">
        <f>AVERAGE(Wapato_Inventory[[#This Row],[qual_adj]:[range_adj]])</f>
        <v>0.97246738380528575</v>
      </c>
      <c r="BZ870" s="7">
        <f>(Wapato_Inventory[[#This Row],[sum_land]]-IF(Wapato_Inventory[[#This Row],[no_utilities]]=1,12000,0))/IF(Wapato_Inventory[[#This Row],[unbuildable]]=1,2,1)</f>
        <v>53000</v>
      </c>
      <c r="CA870" s="7">
        <f>Wapato_Inventory[[#This Row],[pre_res]]*Wapato_Inventory[[#This Row],[overall_adj]]</f>
        <v>173445.13700540163</v>
      </c>
      <c r="CB87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70" s="3">
        <f>IF(ROUND(Wapato_Inventory[[#This Row],[adj_res]]*Lookups!$H$48,-2)&lt;Wapato_Inventory[[#This Row],[min_res]],Wapato_Inventory[[#This Row],[min_res]],ROUND(Wapato_Inventory[[#This Row],[adj_res]]*Lookups!$H$48,-2))</f>
        <v>164800</v>
      </c>
      <c r="CD870" s="3">
        <f>ROUND(Wapato_Inventory[[#This Row],[det_value]]*Lookups!$H$48,-2)</f>
        <v>11000</v>
      </c>
      <c r="CE870" s="3">
        <f>Wapato_Inventory[[#This Row],[final_res]]+Wapato_Inventory[[#This Row],[final_det]]</f>
        <v>175800</v>
      </c>
      <c r="CF870" s="3">
        <f>Wapato_Inventory[[#This Row],[crop_value]]+Wapato_Inventory[[#This Row],[final_land]]+Wapato_Inventory[[#This Row],[final_imp]]</f>
        <v>226200</v>
      </c>
      <c r="CH870" t="str">
        <f t="shared" si="13"/>
        <v>update valuation set market_land =50400, market_bldg=175800, market_total =226200, market_mdno =405, market_date ='9/10/2023' where link_id = (select link_id from parcel where parcel_year = '2024' and parcel_id = '19111514542');</v>
      </c>
    </row>
    <row r="871" spans="1:86" x14ac:dyDescent="0.25">
      <c r="A871">
        <v>19111514545</v>
      </c>
      <c r="B871">
        <v>0.15</v>
      </c>
      <c r="C871">
        <v>6420</v>
      </c>
      <c r="D871" t="s">
        <v>144</v>
      </c>
      <c r="E871" t="s">
        <v>54</v>
      </c>
      <c r="F871" t="s">
        <v>54</v>
      </c>
      <c r="G871">
        <v>3</v>
      </c>
      <c r="H871" t="s">
        <v>55</v>
      </c>
      <c r="I871">
        <v>105400</v>
      </c>
      <c r="J871">
        <v>32300</v>
      </c>
      <c r="K871">
        <v>0.15</v>
      </c>
      <c r="L871">
        <f>IF(Wapato_Inventory[[#This Row],[parcel_acres]]-Wapato_Inventory[[#This Row],[non_valued_acres]] =0,0,LN(Wapato_Inventory[[#This Row],[parcel_acres]]-Wapato_Inventory[[#This Row],[non_valued_acres]]))</f>
        <v>-1.8971199848858813</v>
      </c>
      <c r="M871">
        <v>0</v>
      </c>
      <c r="N871">
        <v>0</v>
      </c>
      <c r="O871">
        <v>0</v>
      </c>
      <c r="P871">
        <v>27904.037</v>
      </c>
      <c r="Q871">
        <v>74398</v>
      </c>
      <c r="R871" s="3">
        <f>(Wapato_Inventory[[#This Row],[ln_acres]]*Wapato_Inventory[[#This Row],[coeff]])+Wapato_Inventory[[#This Row],[const]]</f>
        <v>21460.693748304926</v>
      </c>
      <c r="S871" t="s">
        <v>56</v>
      </c>
      <c r="T871">
        <v>2</v>
      </c>
      <c r="U871" t="s">
        <v>71</v>
      </c>
      <c r="V871" t="s">
        <v>68</v>
      </c>
      <c r="W871">
        <v>0</v>
      </c>
      <c r="X871">
        <v>0</v>
      </c>
      <c r="Y871">
        <v>65</v>
      </c>
      <c r="Z871">
        <v>113</v>
      </c>
      <c r="AA871">
        <v>120</v>
      </c>
      <c r="AB871">
        <v>1500</v>
      </c>
      <c r="AC871">
        <v>1182</v>
      </c>
      <c r="AD871">
        <v>702</v>
      </c>
      <c r="AE871">
        <v>480</v>
      </c>
      <c r="AF871">
        <v>0</v>
      </c>
      <c r="AG871">
        <v>0</v>
      </c>
      <c r="AH871">
        <v>0</v>
      </c>
      <c r="AI871">
        <v>0</v>
      </c>
      <c r="AJ871">
        <v>0</v>
      </c>
      <c r="AK871">
        <v>0</v>
      </c>
      <c r="AL871">
        <v>0</v>
      </c>
      <c r="AM871">
        <v>0</v>
      </c>
      <c r="AN871">
        <v>258</v>
      </c>
      <c r="AO871">
        <v>0</v>
      </c>
      <c r="AP871">
        <v>5</v>
      </c>
      <c r="AQ871">
        <v>0</v>
      </c>
      <c r="AR871">
        <v>0</v>
      </c>
      <c r="AS871" t="s">
        <v>59</v>
      </c>
      <c r="AT871">
        <v>1</v>
      </c>
      <c r="AU871" t="s">
        <v>72</v>
      </c>
      <c r="AV871" t="s">
        <v>61</v>
      </c>
      <c r="AW871">
        <v>0</v>
      </c>
      <c r="AX871">
        <v>4</v>
      </c>
      <c r="AY871">
        <v>0</v>
      </c>
      <c r="AZ871">
        <v>0</v>
      </c>
      <c r="BA871">
        <v>100</v>
      </c>
      <c r="BB871">
        <v>100</v>
      </c>
      <c r="BC871">
        <v>100</v>
      </c>
      <c r="BD871">
        <v>100</v>
      </c>
      <c r="BE871">
        <v>1</v>
      </c>
      <c r="BF871">
        <v>15000</v>
      </c>
      <c r="BG871">
        <v>1000</v>
      </c>
      <c r="BH871" s="7">
        <f>ROUND(Wapato_Inventory[[#This Row],[detatched_value]]*Lookups!$B$22*Lookups!$H$48,-2)</f>
        <v>0</v>
      </c>
      <c r="BI871" s="7">
        <f>ROUND(((Wapato_Inventory[[#This Row],[land_extract]]*Lookups!$B$3) +(Lookups!$B$2*0.5))*Lookups!$H$48,-2)</f>
        <v>53100</v>
      </c>
      <c r="BJ871" s="7">
        <f>IF(Wapato_Inventory[[#This Row],[bldg_style]]="",0,Lookups!$B$2*0.5)</f>
        <v>53765.27</v>
      </c>
      <c r="BK871" s="7">
        <f>_xlfn.IFNA(VLOOKUP(Wapato_Inventory[[#This Row],[quality]],Lookups!$H$2:$J$14,3,FALSE),0)</f>
        <v>28034</v>
      </c>
      <c r="BL871" s="7">
        <f>_xlfn.IFNA(VLOOKUP(Wapato_Inventory[[#This Row],[condition]],Lookups!$H$17:$J$24,3,FALSE),0)</f>
        <v>52231</v>
      </c>
      <c r="BM871" s="7">
        <f>Wapato_Inventory[[#This Row],[Age]]*Lookups!$B$16</f>
        <v>-41886.354100000004</v>
      </c>
      <c r="BN871" s="7">
        <f>Wapato_Inventory[[#This Row],[Main Floor]]*Lookups!$B$17</f>
        <v>29344.118778</v>
      </c>
      <c r="BO871" s="7">
        <f>Wapato_Inventory[[#This Row],[Upper Floor]]*Lookups!$B$18</f>
        <v>23808.546720000002</v>
      </c>
      <c r="BP871" s="7">
        <f>Wapato_Inventory[[#This Row],[Fin BSMT]]*Lookups!$B$19</f>
        <v>0</v>
      </c>
      <c r="BQ871" s="7">
        <f>(Wapato_Inventory[[#This Row],[att_gar]]+Wapato_Inventory[[#This Row],[blt_gar]])*Lookups!$B$20</f>
        <v>0</v>
      </c>
      <c r="BR871" s="7">
        <f>Wapato_Inventory[[#This Row],[Patio]]*Lookups!$B$21</f>
        <v>0</v>
      </c>
      <c r="BS871" s="7">
        <f>SUM(Wapato_Inventory[[#This Row],[intercept]:[patio_value]])*Wapato_Inventory[[#This Row],[res_pct]]</f>
        <v>145296.58139800001</v>
      </c>
      <c r="BT871" s="7">
        <f>Wapato_Inventory[[#This Row],[land_value]]</f>
        <v>53100</v>
      </c>
      <c r="BU871" s="2">
        <f>_xlfn.IFNA(VLOOKUP(Wapato_Inventory[[#This Row],[quality]],Lookups!$A$28:$C$37,3,FALSE),1)</f>
        <v>0.96265813922927435</v>
      </c>
      <c r="BV871" s="2">
        <f>_xlfn.IFNA(VLOOKUP(Wapato_Inventory[[#This Row],[condition]],Lookups!$A$41:$C$48,3,FALSE),1)</f>
        <v>0.9832333997567807</v>
      </c>
      <c r="BW871" s="2">
        <f>IF(Wapato_Inventory[[#This Row],[decade]]="",1,_xlfn.IFNA(VLOOKUP(Wapato_Inventory[[#This Row],[decade]],Lookups!$F$28:$H$45,3,FALSE),1))</f>
        <v>0.93664589651353292</v>
      </c>
      <c r="BX871" s="2">
        <f>_xlfn.IFNA(VLOOKUP(Wapato_Inventory[[#This Row],[living_area_range]],Lookups!$K$28:$M$37,3,FALSE),1)</f>
        <v>1.0061411172456287</v>
      </c>
      <c r="BY871" s="2">
        <f>AVERAGE(Wapato_Inventory[[#This Row],[qual_adj]:[range_adj]])</f>
        <v>0.97216963818630409</v>
      </c>
      <c r="BZ871" s="7">
        <f>(Wapato_Inventory[[#This Row],[sum_land]]-IF(Wapato_Inventory[[#This Row],[no_utilities]]=1,12000,0))/IF(Wapato_Inventory[[#This Row],[unbuildable]]=1,2,1)</f>
        <v>53100</v>
      </c>
      <c r="CA871" s="7">
        <f>Wapato_Inventory[[#This Row],[pre_res]]*Wapato_Inventory[[#This Row],[overall_adj]]</f>
        <v>141252.92496740056</v>
      </c>
      <c r="CB87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71" s="3">
        <f>IF(ROUND(Wapato_Inventory[[#This Row],[adj_res]]*Lookups!$H$48,-2)&lt;Wapato_Inventory[[#This Row],[min_res]],Wapato_Inventory[[#This Row],[min_res]],ROUND(Wapato_Inventory[[#This Row],[adj_res]]*Lookups!$H$48,-2))</f>
        <v>134200</v>
      </c>
      <c r="CD871" s="3">
        <f>ROUND(Wapato_Inventory[[#This Row],[det_value]]*Lookups!$H$48,-2)</f>
        <v>0</v>
      </c>
      <c r="CE871" s="3">
        <f>Wapato_Inventory[[#This Row],[final_res]]+Wapato_Inventory[[#This Row],[final_det]]</f>
        <v>134200</v>
      </c>
      <c r="CF871" s="3">
        <f>Wapato_Inventory[[#This Row],[crop_value]]+Wapato_Inventory[[#This Row],[final_land]]+Wapato_Inventory[[#This Row],[final_imp]]</f>
        <v>184600</v>
      </c>
      <c r="CH871" t="str">
        <f t="shared" si="13"/>
        <v>update valuation set market_land =50400, market_bldg=134200, market_total =184600, market_mdno =405, market_date ='9/10/2023' where link_id = (select link_id from parcel where parcel_year = '2024' and parcel_id = '19111514545');</v>
      </c>
    </row>
    <row r="872" spans="1:86" x14ac:dyDescent="0.25">
      <c r="A872">
        <v>19111514546</v>
      </c>
      <c r="B872">
        <v>0.15</v>
      </c>
      <c r="C872">
        <v>6644</v>
      </c>
      <c r="D872" t="s">
        <v>144</v>
      </c>
      <c r="E872" t="s">
        <v>54</v>
      </c>
      <c r="F872" t="s">
        <v>54</v>
      </c>
      <c r="G872">
        <v>3</v>
      </c>
      <c r="H872" t="s">
        <v>55</v>
      </c>
      <c r="I872">
        <v>169100</v>
      </c>
      <c r="J872">
        <v>32300</v>
      </c>
      <c r="K872">
        <v>0.15</v>
      </c>
      <c r="L872">
        <f>IF(Wapato_Inventory[[#This Row],[parcel_acres]]-Wapato_Inventory[[#This Row],[non_valued_acres]] =0,0,LN(Wapato_Inventory[[#This Row],[parcel_acres]]-Wapato_Inventory[[#This Row],[non_valued_acres]]))</f>
        <v>-1.8971199848858813</v>
      </c>
      <c r="M872">
        <v>0</v>
      </c>
      <c r="N872">
        <v>0</v>
      </c>
      <c r="O872">
        <v>0</v>
      </c>
      <c r="P872">
        <v>27904.037</v>
      </c>
      <c r="Q872">
        <v>74398</v>
      </c>
      <c r="R872" s="3">
        <f>(Wapato_Inventory[[#This Row],[ln_acres]]*Wapato_Inventory[[#This Row],[coeff]])+Wapato_Inventory[[#This Row],[const]]</f>
        <v>21460.693748304926</v>
      </c>
      <c r="S872" t="s">
        <v>66</v>
      </c>
      <c r="T872">
        <v>1</v>
      </c>
      <c r="U872" t="s">
        <v>71</v>
      </c>
      <c r="V872" t="s">
        <v>68</v>
      </c>
      <c r="W872">
        <v>0</v>
      </c>
      <c r="X872">
        <v>0</v>
      </c>
      <c r="Y872">
        <v>50</v>
      </c>
      <c r="Z872">
        <v>73</v>
      </c>
      <c r="AA872">
        <v>80</v>
      </c>
      <c r="AB872">
        <v>2000</v>
      </c>
      <c r="AC872">
        <v>1749</v>
      </c>
      <c r="AD872">
        <v>1749</v>
      </c>
      <c r="AE872">
        <v>0</v>
      </c>
      <c r="AF872">
        <v>0</v>
      </c>
      <c r="AG872">
        <v>0</v>
      </c>
      <c r="AH872">
        <v>0</v>
      </c>
      <c r="AI872">
        <v>0</v>
      </c>
      <c r="AJ872">
        <v>0</v>
      </c>
      <c r="AK872">
        <v>0</v>
      </c>
      <c r="AL872">
        <v>0</v>
      </c>
      <c r="AM872">
        <v>0</v>
      </c>
      <c r="AN872">
        <v>268</v>
      </c>
      <c r="AO872">
        <v>0</v>
      </c>
      <c r="AP872">
        <v>8</v>
      </c>
      <c r="AQ872">
        <v>0</v>
      </c>
      <c r="AR872">
        <v>0</v>
      </c>
      <c r="AS872" t="s">
        <v>59</v>
      </c>
      <c r="AT872">
        <v>1</v>
      </c>
      <c r="AU872" t="s">
        <v>72</v>
      </c>
      <c r="AV872" t="s">
        <v>61</v>
      </c>
      <c r="AW872">
        <v>0</v>
      </c>
      <c r="AX872">
        <v>4</v>
      </c>
      <c r="AY872">
        <v>0</v>
      </c>
      <c r="AZ872">
        <v>9200</v>
      </c>
      <c r="BA872">
        <v>100</v>
      </c>
      <c r="BB872">
        <v>100</v>
      </c>
      <c r="BC872">
        <v>100</v>
      </c>
      <c r="BD872">
        <v>100</v>
      </c>
      <c r="BE872">
        <v>1</v>
      </c>
      <c r="BF872">
        <v>15000</v>
      </c>
      <c r="BG872">
        <v>1000</v>
      </c>
      <c r="BH872" s="7">
        <f>ROUND(Wapato_Inventory[[#This Row],[detatched_value]]*Lookups!$B$22*Lookups!$H$48,-2)</f>
        <v>8200</v>
      </c>
      <c r="BI872" s="7">
        <f>ROUND(((Wapato_Inventory[[#This Row],[land_extract]]*Lookups!$B$3) +(Lookups!$B$2*0.5))*Lookups!$H$48,-2)</f>
        <v>53100</v>
      </c>
      <c r="BJ872" s="7">
        <f>IF(Wapato_Inventory[[#This Row],[bldg_style]]="",0,Lookups!$B$2*0.5)</f>
        <v>53765.27</v>
      </c>
      <c r="BK872" s="7">
        <f>_xlfn.IFNA(VLOOKUP(Wapato_Inventory[[#This Row],[quality]],Lookups!$H$2:$J$14,3,FALSE),0)</f>
        <v>28034</v>
      </c>
      <c r="BL872" s="7">
        <f>_xlfn.IFNA(VLOOKUP(Wapato_Inventory[[#This Row],[condition]],Lookups!$H$17:$J$24,3,FALSE),0)</f>
        <v>52231</v>
      </c>
      <c r="BM872" s="7">
        <f>Wapato_Inventory[[#This Row],[Age]]*Lookups!$B$16</f>
        <v>-27059.326100000002</v>
      </c>
      <c r="BN872" s="7">
        <f>Wapato_Inventory[[#This Row],[Main Floor]]*Lookups!$B$17</f>
        <v>73109.492511000004</v>
      </c>
      <c r="BO872" s="7">
        <f>Wapato_Inventory[[#This Row],[Upper Floor]]*Lookups!$B$18</f>
        <v>0</v>
      </c>
      <c r="BP872" s="7">
        <f>Wapato_Inventory[[#This Row],[Fin BSMT]]*Lookups!$B$19</f>
        <v>0</v>
      </c>
      <c r="BQ872" s="7">
        <f>(Wapato_Inventory[[#This Row],[att_gar]]+Wapato_Inventory[[#This Row],[blt_gar]])*Lookups!$B$20</f>
        <v>0</v>
      </c>
      <c r="BR872" s="7">
        <f>Wapato_Inventory[[#This Row],[Patio]]*Lookups!$B$21</f>
        <v>0</v>
      </c>
      <c r="BS872" s="7">
        <f>SUM(Wapato_Inventory[[#This Row],[intercept]:[patio_value]])*Wapato_Inventory[[#This Row],[res_pct]]</f>
        <v>180080.43641099997</v>
      </c>
      <c r="BT872" s="7">
        <f>Wapato_Inventory[[#This Row],[land_value]]</f>
        <v>53100</v>
      </c>
      <c r="BU872" s="2">
        <f>_xlfn.IFNA(VLOOKUP(Wapato_Inventory[[#This Row],[quality]],Lookups!$A$28:$C$37,3,FALSE),1)</f>
        <v>0.96265813922927435</v>
      </c>
      <c r="BV872" s="2">
        <f>_xlfn.IFNA(VLOOKUP(Wapato_Inventory[[#This Row],[condition]],Lookups!$A$41:$C$48,3,FALSE),1)</f>
        <v>0.9832333997567807</v>
      </c>
      <c r="BW872" s="2">
        <f>IF(Wapato_Inventory[[#This Row],[decade]]="",1,_xlfn.IFNA(VLOOKUP(Wapato_Inventory[[#This Row],[decade]],Lookups!$F$28:$H$45,3,FALSE),1))</f>
        <v>0.8438929209510081</v>
      </c>
      <c r="BX872" s="2">
        <f>_xlfn.IFNA(VLOOKUP(Wapato_Inventory[[#This Row],[living_area_range]],Lookups!$K$28:$M$37,3,FALSE),1)</f>
        <v>0.99330894324714125</v>
      </c>
      <c r="BY872" s="2">
        <f>AVERAGE(Wapato_Inventory[[#This Row],[qual_adj]:[range_adj]])</f>
        <v>0.94577335079605107</v>
      </c>
      <c r="BZ872" s="7">
        <f>(Wapato_Inventory[[#This Row],[sum_land]]-IF(Wapato_Inventory[[#This Row],[no_utilities]]=1,12000,0))/IF(Wapato_Inventory[[#This Row],[unbuildable]]=1,2,1)</f>
        <v>53100</v>
      </c>
      <c r="CA872" s="7">
        <f>Wapato_Inventory[[#This Row],[pre_res]]*Wapato_Inventory[[#This Row],[overall_adj]]</f>
        <v>170315.27775724666</v>
      </c>
      <c r="CB87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72" s="3">
        <f>IF(ROUND(Wapato_Inventory[[#This Row],[adj_res]]*Lookups!$H$48,-2)&lt;Wapato_Inventory[[#This Row],[min_res]],Wapato_Inventory[[#This Row],[min_res]],ROUND(Wapato_Inventory[[#This Row],[adj_res]]*Lookups!$H$48,-2))</f>
        <v>161800</v>
      </c>
      <c r="CD872" s="3">
        <f>ROUND(Wapato_Inventory[[#This Row],[det_value]]*Lookups!$H$48,-2)</f>
        <v>7800</v>
      </c>
      <c r="CE872" s="3">
        <f>Wapato_Inventory[[#This Row],[final_res]]+Wapato_Inventory[[#This Row],[final_det]]</f>
        <v>169600</v>
      </c>
      <c r="CF872" s="3">
        <f>Wapato_Inventory[[#This Row],[crop_value]]+Wapato_Inventory[[#This Row],[final_land]]+Wapato_Inventory[[#This Row],[final_imp]]</f>
        <v>220000</v>
      </c>
      <c r="CH872" t="str">
        <f t="shared" si="13"/>
        <v>update valuation set market_land =50400, market_bldg=169600, market_total =220000, market_mdno =405, market_date ='9/10/2023' where link_id = (select link_id from parcel where parcel_year = '2024' and parcel_id = '19111514546');</v>
      </c>
    </row>
    <row r="873" spans="1:86" x14ac:dyDescent="0.25">
      <c r="A873">
        <v>19111514547</v>
      </c>
      <c r="B873">
        <v>0.14000000000000001</v>
      </c>
      <c r="C873">
        <v>6224</v>
      </c>
      <c r="D873" t="s">
        <v>144</v>
      </c>
      <c r="E873" t="s">
        <v>54</v>
      </c>
      <c r="F873" t="s">
        <v>54</v>
      </c>
      <c r="G873">
        <v>3</v>
      </c>
      <c r="H873" t="s">
        <v>55</v>
      </c>
      <c r="I873">
        <v>136300</v>
      </c>
      <c r="J873">
        <v>31900</v>
      </c>
      <c r="K873">
        <v>0.14000000000000001</v>
      </c>
      <c r="L873">
        <f>IF(Wapato_Inventory[[#This Row],[parcel_acres]]-Wapato_Inventory[[#This Row],[non_valued_acres]] =0,0,LN(Wapato_Inventory[[#This Row],[parcel_acres]]-Wapato_Inventory[[#This Row],[non_valued_acres]]))</f>
        <v>-1.9661128563728327</v>
      </c>
      <c r="M873">
        <v>0</v>
      </c>
      <c r="N873">
        <v>0</v>
      </c>
      <c r="O873">
        <v>0</v>
      </c>
      <c r="P873">
        <v>27904.037</v>
      </c>
      <c r="Q873">
        <v>74398</v>
      </c>
      <c r="R873" s="3">
        <f>(Wapato_Inventory[[#This Row],[ln_acres]]*Wapato_Inventory[[#This Row],[coeff]])+Wapato_Inventory[[#This Row],[const]]</f>
        <v>19535.514109596792</v>
      </c>
      <c r="S873" t="s">
        <v>66</v>
      </c>
      <c r="T873">
        <v>1</v>
      </c>
      <c r="U873" t="s">
        <v>71</v>
      </c>
      <c r="V873" t="s">
        <v>68</v>
      </c>
      <c r="W873">
        <v>0</v>
      </c>
      <c r="X873">
        <v>0</v>
      </c>
      <c r="Y873">
        <v>65</v>
      </c>
      <c r="Z873">
        <v>113</v>
      </c>
      <c r="AA873">
        <v>120</v>
      </c>
      <c r="AB873">
        <v>2500</v>
      </c>
      <c r="AC873">
        <v>2131</v>
      </c>
      <c r="AD873">
        <v>1632</v>
      </c>
      <c r="AE873">
        <v>0</v>
      </c>
      <c r="AF873">
        <v>0</v>
      </c>
      <c r="AG873">
        <v>499</v>
      </c>
      <c r="AH873">
        <v>125</v>
      </c>
      <c r="AI873">
        <v>0</v>
      </c>
      <c r="AJ873">
        <v>0</v>
      </c>
      <c r="AK873">
        <v>320</v>
      </c>
      <c r="AL873">
        <v>48</v>
      </c>
      <c r="AM873">
        <v>0</v>
      </c>
      <c r="AN873">
        <v>48</v>
      </c>
      <c r="AO873">
        <v>48</v>
      </c>
      <c r="AP873">
        <v>5</v>
      </c>
      <c r="AQ873">
        <v>0</v>
      </c>
      <c r="AR873">
        <v>1</v>
      </c>
      <c r="AS873" t="s">
        <v>59</v>
      </c>
      <c r="AT873">
        <v>1</v>
      </c>
      <c r="AU873" t="s">
        <v>76</v>
      </c>
      <c r="AV873" t="s">
        <v>65</v>
      </c>
      <c r="AW873">
        <v>0</v>
      </c>
      <c r="AX873">
        <v>4</v>
      </c>
      <c r="AY873">
        <v>0</v>
      </c>
      <c r="AZ873">
        <v>0</v>
      </c>
      <c r="BA873">
        <v>100</v>
      </c>
      <c r="BB873">
        <v>100</v>
      </c>
      <c r="BC873">
        <v>100</v>
      </c>
      <c r="BD873">
        <v>100</v>
      </c>
      <c r="BE873">
        <v>1</v>
      </c>
      <c r="BF873">
        <v>15000</v>
      </c>
      <c r="BG873">
        <v>1000</v>
      </c>
      <c r="BH873" s="7">
        <f>ROUND(Wapato_Inventory[[#This Row],[detatched_value]]*Lookups!$B$22*Lookups!$H$48,-2)</f>
        <v>0</v>
      </c>
      <c r="BI873" s="7">
        <f>ROUND(((Wapato_Inventory[[#This Row],[land_extract]]*Lookups!$B$3) +(Lookups!$B$2*0.5))*Lookups!$H$48,-2)</f>
        <v>53000</v>
      </c>
      <c r="BJ873" s="7">
        <f>IF(Wapato_Inventory[[#This Row],[bldg_style]]="",0,Lookups!$B$2*0.5)</f>
        <v>53765.27</v>
      </c>
      <c r="BK873" s="7">
        <f>_xlfn.IFNA(VLOOKUP(Wapato_Inventory[[#This Row],[quality]],Lookups!$H$2:$J$14,3,FALSE),0)</f>
        <v>28034</v>
      </c>
      <c r="BL873" s="7">
        <f>_xlfn.IFNA(VLOOKUP(Wapato_Inventory[[#This Row],[condition]],Lookups!$H$17:$J$24,3,FALSE),0)</f>
        <v>52231</v>
      </c>
      <c r="BM873" s="7">
        <f>Wapato_Inventory[[#This Row],[Age]]*Lookups!$B$16</f>
        <v>-41886.354100000004</v>
      </c>
      <c r="BN873" s="7">
        <f>Wapato_Inventory[[#This Row],[Main Floor]]*Lookups!$B$17</f>
        <v>68218.806047999999</v>
      </c>
      <c r="BO873" s="7">
        <f>Wapato_Inventory[[#This Row],[Upper Floor]]*Lookups!$B$18</f>
        <v>0</v>
      </c>
      <c r="BP873" s="7">
        <f>Wapato_Inventory[[#This Row],[Fin BSMT]]*Lookups!$B$19</f>
        <v>12159.003259999999</v>
      </c>
      <c r="BQ873" s="7">
        <f>(Wapato_Inventory[[#This Row],[att_gar]]+Wapato_Inventory[[#This Row],[blt_gar]])*Lookups!$B$20</f>
        <v>0</v>
      </c>
      <c r="BR873" s="7">
        <f>Wapato_Inventory[[#This Row],[Patio]]*Lookups!$B$21</f>
        <v>0</v>
      </c>
      <c r="BS873" s="7">
        <f>SUM(Wapato_Inventory[[#This Row],[intercept]:[patio_value]])*Wapato_Inventory[[#This Row],[res_pct]]</f>
        <v>172521.72520799999</v>
      </c>
      <c r="BT873" s="7">
        <f>Wapato_Inventory[[#This Row],[land_value]]</f>
        <v>53000</v>
      </c>
      <c r="BU873" s="2">
        <f>_xlfn.IFNA(VLOOKUP(Wapato_Inventory[[#This Row],[quality]],Lookups!$A$28:$C$37,3,FALSE),1)</f>
        <v>0.96265813922927435</v>
      </c>
      <c r="BV873" s="2">
        <f>_xlfn.IFNA(VLOOKUP(Wapato_Inventory[[#This Row],[condition]],Lookups!$A$41:$C$48,3,FALSE),1)</f>
        <v>0.9832333997567807</v>
      </c>
      <c r="BW873" s="2">
        <f>IF(Wapato_Inventory[[#This Row],[decade]]="",1,_xlfn.IFNA(VLOOKUP(Wapato_Inventory[[#This Row],[decade]],Lookups!$F$28:$H$45,3,FALSE),1))</f>
        <v>0.93664589651353292</v>
      </c>
      <c r="BX873" s="2">
        <f>_xlfn.IFNA(VLOOKUP(Wapato_Inventory[[#This Row],[living_area_range]],Lookups!$K$28:$M$37,3,FALSE),1)</f>
        <v>0.90813907160181651</v>
      </c>
      <c r="BY873" s="2">
        <f>AVERAGE(Wapato_Inventory[[#This Row],[qual_adj]:[range_adj]])</f>
        <v>0.94766912677535098</v>
      </c>
      <c r="BZ873" s="7">
        <f>(Wapato_Inventory[[#This Row],[sum_land]]-IF(Wapato_Inventory[[#This Row],[no_utilities]]=1,12000,0))/IF(Wapato_Inventory[[#This Row],[unbuildable]]=1,2,1)</f>
        <v>53000</v>
      </c>
      <c r="CA873" s="7">
        <f>Wapato_Inventory[[#This Row],[pre_res]]*Wapato_Inventory[[#This Row],[overall_adj]]</f>
        <v>163493.5126776424</v>
      </c>
      <c r="CB87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73" s="3">
        <f>IF(ROUND(Wapato_Inventory[[#This Row],[adj_res]]*Lookups!$H$48,-2)&lt;Wapato_Inventory[[#This Row],[min_res]],Wapato_Inventory[[#This Row],[min_res]],ROUND(Wapato_Inventory[[#This Row],[adj_res]]*Lookups!$H$48,-2))</f>
        <v>155300</v>
      </c>
      <c r="CD873" s="3">
        <f>ROUND(Wapato_Inventory[[#This Row],[det_value]]*Lookups!$H$48,-2)</f>
        <v>0</v>
      </c>
      <c r="CE873" s="3">
        <f>Wapato_Inventory[[#This Row],[final_res]]+Wapato_Inventory[[#This Row],[final_det]]</f>
        <v>155300</v>
      </c>
      <c r="CF873" s="3">
        <f>Wapato_Inventory[[#This Row],[crop_value]]+Wapato_Inventory[[#This Row],[final_land]]+Wapato_Inventory[[#This Row],[final_imp]]</f>
        <v>205700</v>
      </c>
      <c r="CH873" t="str">
        <f t="shared" si="13"/>
        <v>update valuation set market_land =50400, market_bldg=155300, market_total =205700, market_mdno =405, market_date ='9/10/2023' where link_id = (select link_id from parcel where parcel_year = '2024' and parcel_id = '19111514547');</v>
      </c>
    </row>
    <row r="874" spans="1:86" x14ac:dyDescent="0.25">
      <c r="A874">
        <v>19111514548</v>
      </c>
      <c r="B874">
        <v>0.13</v>
      </c>
      <c r="C874">
        <v>5720</v>
      </c>
      <c r="D874" t="s">
        <v>144</v>
      </c>
      <c r="E874" t="s">
        <v>54</v>
      </c>
      <c r="F874" t="s">
        <v>54</v>
      </c>
      <c r="G874">
        <v>3</v>
      </c>
      <c r="H874" t="s">
        <v>55</v>
      </c>
      <c r="I874">
        <v>94300</v>
      </c>
      <c r="J874">
        <v>31400</v>
      </c>
      <c r="K874">
        <v>0.13</v>
      </c>
      <c r="L874">
        <f>IF(Wapato_Inventory[[#This Row],[parcel_acres]]-Wapato_Inventory[[#This Row],[non_valued_acres]] =0,0,LN(Wapato_Inventory[[#This Row],[parcel_acres]]-Wapato_Inventory[[#This Row],[non_valued_acres]]))</f>
        <v>-2.0402208285265546</v>
      </c>
      <c r="M874">
        <v>0</v>
      </c>
      <c r="N874">
        <v>0</v>
      </c>
      <c r="O874">
        <v>0</v>
      </c>
      <c r="P874">
        <v>27904.037</v>
      </c>
      <c r="Q874">
        <v>74398</v>
      </c>
      <c r="R874" s="3">
        <f>(Wapato_Inventory[[#This Row],[ln_acres]]*Wapato_Inventory[[#This Row],[coeff]])+Wapato_Inventory[[#This Row],[const]]</f>
        <v>17467.602512624362</v>
      </c>
      <c r="S874" t="s">
        <v>66</v>
      </c>
      <c r="T874">
        <v>1</v>
      </c>
      <c r="U874" t="s">
        <v>78</v>
      </c>
      <c r="V874" t="s">
        <v>68</v>
      </c>
      <c r="W874">
        <v>0</v>
      </c>
      <c r="X874">
        <v>0</v>
      </c>
      <c r="Y874">
        <v>57</v>
      </c>
      <c r="Z874">
        <v>103</v>
      </c>
      <c r="AA874">
        <v>110</v>
      </c>
      <c r="AB874">
        <v>1000</v>
      </c>
      <c r="AC874">
        <v>704</v>
      </c>
      <c r="AD874">
        <v>704</v>
      </c>
      <c r="AE874">
        <v>0</v>
      </c>
      <c r="AF874">
        <v>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5</v>
      </c>
      <c r="AQ874">
        <v>0</v>
      </c>
      <c r="AR874">
        <v>0</v>
      </c>
      <c r="AS874" t="s">
        <v>59</v>
      </c>
      <c r="AT874">
        <v>0</v>
      </c>
      <c r="AU874" t="s">
        <v>80</v>
      </c>
      <c r="AV874" t="s">
        <v>77</v>
      </c>
      <c r="AW874">
        <v>0</v>
      </c>
      <c r="AX874">
        <v>2</v>
      </c>
      <c r="AY874">
        <v>0</v>
      </c>
      <c r="AZ874">
        <v>0</v>
      </c>
      <c r="BA874">
        <v>100</v>
      </c>
      <c r="BB874">
        <v>100</v>
      </c>
      <c r="BC874">
        <v>100</v>
      </c>
      <c r="BD874">
        <v>100</v>
      </c>
      <c r="BE874">
        <v>1</v>
      </c>
      <c r="BF874">
        <v>15000</v>
      </c>
      <c r="BG874">
        <v>1000</v>
      </c>
      <c r="BH874" s="7">
        <f>ROUND(Wapato_Inventory[[#This Row],[detatched_value]]*Lookups!$B$22*Lookups!$H$48,-2)</f>
        <v>0</v>
      </c>
      <c r="BI874" s="7">
        <f>ROUND(((Wapato_Inventory[[#This Row],[land_extract]]*Lookups!$B$3) +(Lookups!$B$2*0.5))*Lookups!$H$48,-2)</f>
        <v>52800</v>
      </c>
      <c r="BJ874" s="7">
        <f>IF(Wapato_Inventory[[#This Row],[bldg_style]]="",0,Lookups!$B$2*0.5)</f>
        <v>53765.27</v>
      </c>
      <c r="BK874" s="7">
        <f>_xlfn.IFNA(VLOOKUP(Wapato_Inventory[[#This Row],[quality]],Lookups!$H$2:$J$14,3,FALSE),0)</f>
        <v>23424</v>
      </c>
      <c r="BL874" s="7">
        <f>_xlfn.IFNA(VLOOKUP(Wapato_Inventory[[#This Row],[condition]],Lookups!$H$17:$J$24,3,FALSE),0)</f>
        <v>52231</v>
      </c>
      <c r="BM874" s="7">
        <f>Wapato_Inventory[[#This Row],[Age]]*Lookups!$B$16</f>
        <v>-38179.597099999999</v>
      </c>
      <c r="BN874" s="7">
        <f>Wapato_Inventory[[#This Row],[Main Floor]]*Lookups!$B$17</f>
        <v>29427.720256000001</v>
      </c>
      <c r="BO874" s="7">
        <f>Wapato_Inventory[[#This Row],[Upper Floor]]*Lookups!$B$18</f>
        <v>0</v>
      </c>
      <c r="BP874" s="7">
        <f>Wapato_Inventory[[#This Row],[Fin BSMT]]*Lookups!$B$19</f>
        <v>0</v>
      </c>
      <c r="BQ874" s="7">
        <f>(Wapato_Inventory[[#This Row],[att_gar]]+Wapato_Inventory[[#This Row],[blt_gar]])*Lookups!$B$20</f>
        <v>0</v>
      </c>
      <c r="BR874" s="7">
        <f>Wapato_Inventory[[#This Row],[Patio]]*Lookups!$B$21</f>
        <v>0</v>
      </c>
      <c r="BS874" s="7">
        <f>SUM(Wapato_Inventory[[#This Row],[intercept]:[patio_value]])*Wapato_Inventory[[#This Row],[res_pct]]</f>
        <v>120668.39315599999</v>
      </c>
      <c r="BT874" s="7">
        <f>Wapato_Inventory[[#This Row],[land_value]]</f>
        <v>52800</v>
      </c>
      <c r="BU874" s="2">
        <f>_xlfn.IFNA(VLOOKUP(Wapato_Inventory[[#This Row],[quality]],Lookups!$A$28:$C$37,3,FALSE),1)</f>
        <v>1.0091195562373767</v>
      </c>
      <c r="BV874" s="2">
        <f>_xlfn.IFNA(VLOOKUP(Wapato_Inventory[[#This Row],[condition]],Lookups!$A$41:$C$48,3,FALSE),1)</f>
        <v>0.9832333997567807</v>
      </c>
      <c r="BW874" s="2">
        <f>IF(Wapato_Inventory[[#This Row],[decade]]="",1,_xlfn.IFNA(VLOOKUP(Wapato_Inventory[[#This Row],[decade]],Lookups!$F$28:$H$45,3,FALSE),1))</f>
        <v>0.93664589651353292</v>
      </c>
      <c r="BX874" s="2">
        <f>_xlfn.IFNA(VLOOKUP(Wapato_Inventory[[#This Row],[living_area_range]],Lookups!$K$28:$M$37,3,FALSE),1)</f>
        <v>0.99022994770196116</v>
      </c>
      <c r="BY874" s="2">
        <f>AVERAGE(Wapato_Inventory[[#This Row],[qual_adj]:[range_adj]])</f>
        <v>0.97980720005241284</v>
      </c>
      <c r="BZ874" s="7">
        <f>(Wapato_Inventory[[#This Row],[sum_land]]-IF(Wapato_Inventory[[#This Row],[no_utilities]]=1,12000,0))/IF(Wapato_Inventory[[#This Row],[unbuildable]]=1,2,1)</f>
        <v>52800</v>
      </c>
      <c r="CA874" s="7">
        <f>Wapato_Inventory[[#This Row],[pre_res]]*Wapato_Inventory[[#This Row],[overall_adj]]</f>
        <v>118231.76043300409</v>
      </c>
      <c r="CB874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74" s="3">
        <f>IF(ROUND(Wapato_Inventory[[#This Row],[adj_res]]*Lookups!$H$48,-2)&lt;Wapato_Inventory[[#This Row],[min_res]],Wapato_Inventory[[#This Row],[min_res]],ROUND(Wapato_Inventory[[#This Row],[adj_res]]*Lookups!$H$48,-2))</f>
        <v>112300</v>
      </c>
      <c r="CD874" s="3">
        <f>ROUND(Wapato_Inventory[[#This Row],[det_value]]*Lookups!$H$48,-2)</f>
        <v>0</v>
      </c>
      <c r="CE874" s="3">
        <f>Wapato_Inventory[[#This Row],[final_res]]+Wapato_Inventory[[#This Row],[final_det]]</f>
        <v>112300</v>
      </c>
      <c r="CF874" s="3">
        <f>Wapato_Inventory[[#This Row],[crop_value]]+Wapato_Inventory[[#This Row],[final_land]]+Wapato_Inventory[[#This Row],[final_imp]]</f>
        <v>162500</v>
      </c>
      <c r="CH874" t="str">
        <f t="shared" si="13"/>
        <v>update valuation set market_land =50200, market_bldg=112300, market_total =162500, market_mdno =405, market_date ='9/10/2023' where link_id = (select link_id from parcel where parcel_year = '2024' and parcel_id = '19111514548');</v>
      </c>
    </row>
    <row r="875" spans="1:86" x14ac:dyDescent="0.25">
      <c r="A875">
        <v>19111514549</v>
      </c>
      <c r="B875">
        <v>0.12</v>
      </c>
      <c r="C875">
        <v>5348</v>
      </c>
      <c r="D875" t="s">
        <v>144</v>
      </c>
      <c r="E875" t="s">
        <v>54</v>
      </c>
      <c r="F875" t="s">
        <v>54</v>
      </c>
      <c r="G875">
        <v>3</v>
      </c>
      <c r="H875" t="s">
        <v>55</v>
      </c>
      <c r="I875">
        <v>103600</v>
      </c>
      <c r="J875">
        <v>30800</v>
      </c>
      <c r="K875">
        <v>0.12</v>
      </c>
      <c r="L875">
        <f>IF(Wapato_Inventory[[#This Row],[parcel_acres]]-Wapato_Inventory[[#This Row],[non_valued_acres]] =0,0,LN(Wapato_Inventory[[#This Row],[parcel_acres]]-Wapato_Inventory[[#This Row],[non_valued_acres]]))</f>
        <v>-2.120263536200091</v>
      </c>
      <c r="M875">
        <v>0</v>
      </c>
      <c r="N875">
        <v>0</v>
      </c>
      <c r="O875">
        <v>0</v>
      </c>
      <c r="P875">
        <v>27904.037</v>
      </c>
      <c r="Q875">
        <v>74398</v>
      </c>
      <c r="R875" s="3">
        <f>(Wapato_Inventory[[#This Row],[ln_acres]]*Wapato_Inventory[[#This Row],[coeff]])+Wapato_Inventory[[#This Row],[const]]</f>
        <v>15234.08783612182</v>
      </c>
      <c r="S875" t="s">
        <v>66</v>
      </c>
      <c r="T875">
        <v>1</v>
      </c>
      <c r="U875" t="s">
        <v>78</v>
      </c>
      <c r="V875" t="s">
        <v>68</v>
      </c>
      <c r="W875">
        <v>0</v>
      </c>
      <c r="X875">
        <v>0</v>
      </c>
      <c r="Y875">
        <v>57</v>
      </c>
      <c r="Z875">
        <v>103</v>
      </c>
      <c r="AA875">
        <v>110</v>
      </c>
      <c r="AB875">
        <v>1000</v>
      </c>
      <c r="AC875">
        <v>816</v>
      </c>
      <c r="AD875">
        <v>816</v>
      </c>
      <c r="AE875">
        <v>0</v>
      </c>
      <c r="AF875">
        <v>0</v>
      </c>
      <c r="AG875">
        <v>0</v>
      </c>
      <c r="AH875">
        <v>0</v>
      </c>
      <c r="AI875">
        <v>0</v>
      </c>
      <c r="AJ875">
        <v>0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5</v>
      </c>
      <c r="AQ875">
        <v>0</v>
      </c>
      <c r="AR875">
        <v>0</v>
      </c>
      <c r="AS875" t="s">
        <v>59</v>
      </c>
      <c r="AT875">
        <v>1</v>
      </c>
      <c r="AU875" t="s">
        <v>72</v>
      </c>
      <c r="AV875" t="s">
        <v>61</v>
      </c>
      <c r="AW875">
        <v>0</v>
      </c>
      <c r="AX875">
        <v>2</v>
      </c>
      <c r="AY875">
        <v>0</v>
      </c>
      <c r="AZ875">
        <v>0</v>
      </c>
      <c r="BA875">
        <v>100</v>
      </c>
      <c r="BB875">
        <v>100</v>
      </c>
      <c r="BC875">
        <v>100</v>
      </c>
      <c r="BD875">
        <v>100</v>
      </c>
      <c r="BE875">
        <v>1</v>
      </c>
      <c r="BF875">
        <v>15000</v>
      </c>
      <c r="BG875">
        <v>1000</v>
      </c>
      <c r="BH875" s="7">
        <f>ROUND(Wapato_Inventory[[#This Row],[detatched_value]]*Lookups!$B$22*Lookups!$H$48,-2)</f>
        <v>0</v>
      </c>
      <c r="BI875" s="7">
        <f>ROUND(((Wapato_Inventory[[#This Row],[land_extract]]*Lookups!$B$3) +(Lookups!$B$2*0.5))*Lookups!$H$48,-2)</f>
        <v>52500</v>
      </c>
      <c r="BJ875" s="7">
        <f>IF(Wapato_Inventory[[#This Row],[bldg_style]]="",0,Lookups!$B$2*0.5)</f>
        <v>53765.27</v>
      </c>
      <c r="BK875" s="7">
        <f>_xlfn.IFNA(VLOOKUP(Wapato_Inventory[[#This Row],[quality]],Lookups!$H$2:$J$14,3,FALSE),0)</f>
        <v>23424</v>
      </c>
      <c r="BL875" s="7">
        <f>_xlfn.IFNA(VLOOKUP(Wapato_Inventory[[#This Row],[condition]],Lookups!$H$17:$J$24,3,FALSE),0)</f>
        <v>52231</v>
      </c>
      <c r="BM875" s="7">
        <f>Wapato_Inventory[[#This Row],[Age]]*Lookups!$B$16</f>
        <v>-38179.597099999999</v>
      </c>
      <c r="BN875" s="7">
        <f>Wapato_Inventory[[#This Row],[Main Floor]]*Lookups!$B$17</f>
        <v>34109.403023999999</v>
      </c>
      <c r="BO875" s="7">
        <f>Wapato_Inventory[[#This Row],[Upper Floor]]*Lookups!$B$18</f>
        <v>0</v>
      </c>
      <c r="BP875" s="7">
        <f>Wapato_Inventory[[#This Row],[Fin BSMT]]*Lookups!$B$19</f>
        <v>0</v>
      </c>
      <c r="BQ875" s="7">
        <f>(Wapato_Inventory[[#This Row],[att_gar]]+Wapato_Inventory[[#This Row],[blt_gar]])*Lookups!$B$20</f>
        <v>0</v>
      </c>
      <c r="BR875" s="7">
        <f>Wapato_Inventory[[#This Row],[Patio]]*Lookups!$B$21</f>
        <v>0</v>
      </c>
      <c r="BS875" s="7">
        <f>SUM(Wapato_Inventory[[#This Row],[intercept]:[patio_value]])*Wapato_Inventory[[#This Row],[res_pct]]</f>
        <v>125350.07592399999</v>
      </c>
      <c r="BT875" s="7">
        <f>Wapato_Inventory[[#This Row],[land_value]]</f>
        <v>52500</v>
      </c>
      <c r="BU875" s="2">
        <f>_xlfn.IFNA(VLOOKUP(Wapato_Inventory[[#This Row],[quality]],Lookups!$A$28:$C$37,3,FALSE),1)</f>
        <v>1.0091195562373767</v>
      </c>
      <c r="BV875" s="2">
        <f>_xlfn.IFNA(VLOOKUP(Wapato_Inventory[[#This Row],[condition]],Lookups!$A$41:$C$48,3,FALSE),1)</f>
        <v>0.9832333997567807</v>
      </c>
      <c r="BW875" s="2">
        <f>IF(Wapato_Inventory[[#This Row],[decade]]="",1,_xlfn.IFNA(VLOOKUP(Wapato_Inventory[[#This Row],[decade]],Lookups!$F$28:$H$45,3,FALSE),1))</f>
        <v>0.93664589651353292</v>
      </c>
      <c r="BX875" s="2">
        <f>_xlfn.IFNA(VLOOKUP(Wapato_Inventory[[#This Row],[living_area_range]],Lookups!$K$28:$M$37,3,FALSE),1)</f>
        <v>0.99022994770196116</v>
      </c>
      <c r="BY875" s="2">
        <f>AVERAGE(Wapato_Inventory[[#This Row],[qual_adj]:[range_adj]])</f>
        <v>0.97980720005241284</v>
      </c>
      <c r="BZ875" s="7">
        <f>(Wapato_Inventory[[#This Row],[sum_land]]-IF(Wapato_Inventory[[#This Row],[no_utilities]]=1,12000,0))/IF(Wapato_Inventory[[#This Row],[unbuildable]]=1,2,1)</f>
        <v>52500</v>
      </c>
      <c r="CA875" s="7">
        <f>Wapato_Inventory[[#This Row],[pre_res]]*Wapato_Inventory[[#This Row],[overall_adj]]</f>
        <v>122818.90691745179</v>
      </c>
      <c r="CB875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875" s="3">
        <f>IF(ROUND(Wapato_Inventory[[#This Row],[adj_res]]*Lookups!$H$48,-2)&lt;Wapato_Inventory[[#This Row],[min_res]],Wapato_Inventory[[#This Row],[min_res]],ROUND(Wapato_Inventory[[#This Row],[adj_res]]*Lookups!$H$48,-2))</f>
        <v>116700</v>
      </c>
      <c r="CD875" s="3">
        <f>ROUND(Wapato_Inventory[[#This Row],[det_value]]*Lookups!$H$48,-2)</f>
        <v>0</v>
      </c>
      <c r="CE875" s="3">
        <f>Wapato_Inventory[[#This Row],[final_res]]+Wapato_Inventory[[#This Row],[final_det]]</f>
        <v>116700</v>
      </c>
      <c r="CF875" s="3">
        <f>Wapato_Inventory[[#This Row],[crop_value]]+Wapato_Inventory[[#This Row],[final_land]]+Wapato_Inventory[[#This Row],[final_imp]]</f>
        <v>166600</v>
      </c>
      <c r="CH875" t="str">
        <f t="shared" si="13"/>
        <v>update valuation set market_land =49900, market_bldg=116700, market_total =166600, market_mdno =405, market_date ='9/10/2023' where link_id = (select link_id from parcel where parcel_year = '2024' and parcel_id = '19111514549');</v>
      </c>
    </row>
    <row r="876" spans="1:86" x14ac:dyDescent="0.25">
      <c r="A876">
        <v>19111514550</v>
      </c>
      <c r="B876">
        <v>0.15</v>
      </c>
      <c r="C876">
        <v>6484</v>
      </c>
      <c r="D876" t="s">
        <v>144</v>
      </c>
      <c r="E876" t="s">
        <v>54</v>
      </c>
      <c r="F876" t="s">
        <v>54</v>
      </c>
      <c r="G876">
        <v>3</v>
      </c>
      <c r="H876" t="s">
        <v>55</v>
      </c>
      <c r="I876">
        <v>115500</v>
      </c>
      <c r="J876">
        <v>32300</v>
      </c>
      <c r="K876">
        <v>0.15</v>
      </c>
      <c r="L876">
        <f>IF(Wapato_Inventory[[#This Row],[parcel_acres]]-Wapato_Inventory[[#This Row],[non_valued_acres]] =0,0,LN(Wapato_Inventory[[#This Row],[parcel_acres]]-Wapato_Inventory[[#This Row],[non_valued_acres]]))</f>
        <v>-1.8971199848858813</v>
      </c>
      <c r="M876">
        <v>0</v>
      </c>
      <c r="N876">
        <v>0</v>
      </c>
      <c r="O876">
        <v>0</v>
      </c>
      <c r="P876">
        <v>27904.037</v>
      </c>
      <c r="Q876">
        <v>74398</v>
      </c>
      <c r="R876" s="3">
        <f>(Wapato_Inventory[[#This Row],[ln_acres]]*Wapato_Inventory[[#This Row],[coeff]])+Wapato_Inventory[[#This Row],[const]]</f>
        <v>21460.693748304926</v>
      </c>
      <c r="S876" t="s">
        <v>66</v>
      </c>
      <c r="T876">
        <v>1</v>
      </c>
      <c r="U876" t="s">
        <v>78</v>
      </c>
      <c r="V876" t="s">
        <v>69</v>
      </c>
      <c r="W876">
        <v>0</v>
      </c>
      <c r="X876">
        <v>0</v>
      </c>
      <c r="Y876">
        <v>55</v>
      </c>
      <c r="Z876">
        <v>98</v>
      </c>
      <c r="AA876">
        <v>100</v>
      </c>
      <c r="AB876">
        <v>500</v>
      </c>
      <c r="AC876">
        <v>464</v>
      </c>
      <c r="AD876">
        <v>464</v>
      </c>
      <c r="AE876">
        <v>0</v>
      </c>
      <c r="AF876">
        <v>0</v>
      </c>
      <c r="AG876">
        <v>0</v>
      </c>
      <c r="AH876">
        <v>0</v>
      </c>
      <c r="AI876">
        <v>0</v>
      </c>
      <c r="AJ876">
        <v>0</v>
      </c>
      <c r="AK876">
        <v>0</v>
      </c>
      <c r="AL876">
        <v>0</v>
      </c>
      <c r="AM876">
        <v>0</v>
      </c>
      <c r="AN876">
        <v>0</v>
      </c>
      <c r="AO876">
        <v>0</v>
      </c>
      <c r="AP876">
        <v>5</v>
      </c>
      <c r="AQ876">
        <v>0</v>
      </c>
      <c r="AR876">
        <v>0</v>
      </c>
      <c r="AS876" t="s">
        <v>59</v>
      </c>
      <c r="AT876">
        <v>1</v>
      </c>
      <c r="AU876" t="s">
        <v>76</v>
      </c>
      <c r="AV876" t="s">
        <v>61</v>
      </c>
      <c r="AW876">
        <v>0</v>
      </c>
      <c r="AX876">
        <v>1</v>
      </c>
      <c r="AY876">
        <v>0</v>
      </c>
      <c r="AZ876">
        <v>0</v>
      </c>
      <c r="BA876">
        <v>100</v>
      </c>
      <c r="BB876">
        <v>100</v>
      </c>
      <c r="BC876">
        <v>100</v>
      </c>
      <c r="BD876">
        <v>100</v>
      </c>
      <c r="BE876">
        <v>1</v>
      </c>
      <c r="BF876">
        <v>15000</v>
      </c>
      <c r="BG876">
        <v>1000</v>
      </c>
      <c r="BH876" s="7">
        <f>ROUND(Wapato_Inventory[[#This Row],[detatched_value]]*Lookups!$B$22*Lookups!$H$48,-2)</f>
        <v>0</v>
      </c>
      <c r="BI876" s="7">
        <f>ROUND(((Wapato_Inventory[[#This Row],[land_extract]]*Lookups!$B$3) +(Lookups!$B$2*0.5))*Lookups!$H$48,-2)</f>
        <v>53100</v>
      </c>
      <c r="BJ876" s="7">
        <f>IF(Wapato_Inventory[[#This Row],[bldg_style]]="",0,Lookups!$B$2*0.5)</f>
        <v>53765.27</v>
      </c>
      <c r="BK876" s="7">
        <f>_xlfn.IFNA(VLOOKUP(Wapato_Inventory[[#This Row],[quality]],Lookups!$H$2:$J$14,3,FALSE),0)</f>
        <v>23424</v>
      </c>
      <c r="BL876" s="7">
        <f>_xlfn.IFNA(VLOOKUP(Wapato_Inventory[[#This Row],[condition]],Lookups!$H$17:$J$24,3,FALSE),0)</f>
        <v>74543</v>
      </c>
      <c r="BM876" s="7">
        <f>Wapato_Inventory[[#This Row],[Age]]*Lookups!$B$16</f>
        <v>-36326.2186</v>
      </c>
      <c r="BN876" s="7">
        <f>Wapato_Inventory[[#This Row],[Main Floor]]*Lookups!$B$17</f>
        <v>19395.542895999999</v>
      </c>
      <c r="BO876" s="7">
        <f>Wapato_Inventory[[#This Row],[Upper Floor]]*Lookups!$B$18</f>
        <v>0</v>
      </c>
      <c r="BP876" s="7">
        <f>Wapato_Inventory[[#This Row],[Fin BSMT]]*Lookups!$B$19</f>
        <v>0</v>
      </c>
      <c r="BQ876" s="7">
        <f>(Wapato_Inventory[[#This Row],[att_gar]]+Wapato_Inventory[[#This Row],[blt_gar]])*Lookups!$B$20</f>
        <v>0</v>
      </c>
      <c r="BR876" s="7">
        <f>Wapato_Inventory[[#This Row],[Patio]]*Lookups!$B$21</f>
        <v>0</v>
      </c>
      <c r="BS876" s="7">
        <f>SUM(Wapato_Inventory[[#This Row],[intercept]:[patio_value]])*Wapato_Inventory[[#This Row],[res_pct]]</f>
        <v>134801.594296</v>
      </c>
      <c r="BT876" s="7">
        <f>Wapato_Inventory[[#This Row],[land_value]]</f>
        <v>53100</v>
      </c>
      <c r="BU876" s="2">
        <f>_xlfn.IFNA(VLOOKUP(Wapato_Inventory[[#This Row],[quality]],Lookups!$A$28:$C$37,3,FALSE),1)</f>
        <v>1.0091195562373767</v>
      </c>
      <c r="BV876" s="2">
        <f>_xlfn.IFNA(VLOOKUP(Wapato_Inventory[[#This Row],[condition]],Lookups!$A$41:$C$48,3,FALSE),1)</f>
        <v>0.98442438223270734</v>
      </c>
      <c r="BW876" s="2">
        <f>IF(Wapato_Inventory[[#This Row],[decade]]="",1,_xlfn.IFNA(VLOOKUP(Wapato_Inventory[[#This Row],[decade]],Lookups!$F$28:$H$45,3,FALSE),1))</f>
        <v>1.0114203040664467</v>
      </c>
      <c r="BX876" s="2">
        <f>_xlfn.IFNA(VLOOKUP(Wapato_Inventory[[#This Row],[living_area_range]],Lookups!$K$28:$M$37,3,FALSE),1)</f>
        <v>0.62984720518148585</v>
      </c>
      <c r="BY876" s="2">
        <f>AVERAGE(Wapato_Inventory[[#This Row],[qual_adj]:[range_adj]])</f>
        <v>0.90870286192950411</v>
      </c>
      <c r="BZ876" s="7">
        <f>(Wapato_Inventory[[#This Row],[sum_land]]-IF(Wapato_Inventory[[#This Row],[no_utilities]]=1,12000,0))/IF(Wapato_Inventory[[#This Row],[unbuildable]]=1,2,1)</f>
        <v>53100</v>
      </c>
      <c r="CA876" s="7">
        <f>Wapato_Inventory[[#This Row],[pre_res]]*Wapato_Inventory[[#This Row],[overall_adj]]</f>
        <v>122494.59452943511</v>
      </c>
      <c r="CB87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76" s="3">
        <f>IF(ROUND(Wapato_Inventory[[#This Row],[adj_res]]*Lookups!$H$48,-2)&lt;Wapato_Inventory[[#This Row],[min_res]],Wapato_Inventory[[#This Row],[min_res]],ROUND(Wapato_Inventory[[#This Row],[adj_res]]*Lookups!$H$48,-2))</f>
        <v>116400</v>
      </c>
      <c r="CD876" s="3">
        <f>ROUND(Wapato_Inventory[[#This Row],[det_value]]*Lookups!$H$48,-2)</f>
        <v>0</v>
      </c>
      <c r="CE876" s="3">
        <f>Wapato_Inventory[[#This Row],[final_res]]+Wapato_Inventory[[#This Row],[final_det]]</f>
        <v>116400</v>
      </c>
      <c r="CF876" s="3">
        <f>Wapato_Inventory[[#This Row],[crop_value]]+Wapato_Inventory[[#This Row],[final_land]]+Wapato_Inventory[[#This Row],[final_imp]]</f>
        <v>166800</v>
      </c>
      <c r="CH876" t="str">
        <f t="shared" si="13"/>
        <v>update valuation set market_land =50400, market_bldg=116400, market_total =166800, market_mdno =405, market_date ='9/10/2023' where link_id = (select link_id from parcel where parcel_year = '2024' and parcel_id = '19111514550');</v>
      </c>
    </row>
    <row r="877" spans="1:86" x14ac:dyDescent="0.25">
      <c r="A877">
        <v>19111514551</v>
      </c>
      <c r="B877">
        <v>0.16</v>
      </c>
      <c r="C877">
        <v>6778</v>
      </c>
      <c r="D877" t="s">
        <v>144</v>
      </c>
      <c r="E877" t="s">
        <v>54</v>
      </c>
      <c r="F877" t="s">
        <v>54</v>
      </c>
      <c r="G877">
        <v>3</v>
      </c>
      <c r="H877" t="s">
        <v>55</v>
      </c>
      <c r="I877">
        <v>192800</v>
      </c>
      <c r="J877">
        <v>32800</v>
      </c>
      <c r="K877">
        <v>0.16</v>
      </c>
      <c r="L877">
        <f>IF(Wapato_Inventory[[#This Row],[parcel_acres]]-Wapato_Inventory[[#This Row],[non_valued_acres]] =0,0,LN(Wapato_Inventory[[#This Row],[parcel_acres]]-Wapato_Inventory[[#This Row],[non_valued_acres]]))</f>
        <v>-1.8325814637483102</v>
      </c>
      <c r="M877">
        <v>0</v>
      </c>
      <c r="N877">
        <v>0</v>
      </c>
      <c r="O877">
        <v>0</v>
      </c>
      <c r="P877">
        <v>27904.037</v>
      </c>
      <c r="Q877">
        <v>74398</v>
      </c>
      <c r="R877" s="3">
        <f>(Wapato_Inventory[[#This Row],[ln_acres]]*Wapato_Inventory[[#This Row],[coeff]])+Wapato_Inventory[[#This Row],[const]]</f>
        <v>23261.579030052992</v>
      </c>
      <c r="S877" t="s">
        <v>62</v>
      </c>
      <c r="T877">
        <v>1</v>
      </c>
      <c r="U877" t="s">
        <v>71</v>
      </c>
      <c r="V877" t="s">
        <v>68</v>
      </c>
      <c r="W877">
        <v>0</v>
      </c>
      <c r="X877">
        <v>0</v>
      </c>
      <c r="Y877">
        <v>43</v>
      </c>
      <c r="Z877">
        <v>45</v>
      </c>
      <c r="AA877">
        <v>50</v>
      </c>
      <c r="AB877">
        <v>1500</v>
      </c>
      <c r="AC877">
        <v>1360</v>
      </c>
      <c r="AD877">
        <v>1360</v>
      </c>
      <c r="AE877">
        <v>0</v>
      </c>
      <c r="AF877">
        <v>0</v>
      </c>
      <c r="AG877">
        <v>0</v>
      </c>
      <c r="AH877">
        <v>0</v>
      </c>
      <c r="AI877">
        <v>600</v>
      </c>
      <c r="AJ877">
        <v>0</v>
      </c>
      <c r="AK877">
        <v>0</v>
      </c>
      <c r="AL877">
        <v>0</v>
      </c>
      <c r="AM877">
        <v>196</v>
      </c>
      <c r="AN877">
        <v>32</v>
      </c>
      <c r="AO877">
        <v>0</v>
      </c>
      <c r="AP877">
        <v>8</v>
      </c>
      <c r="AQ877">
        <v>1</v>
      </c>
      <c r="AR877">
        <v>0</v>
      </c>
      <c r="AS877" t="s">
        <v>59</v>
      </c>
      <c r="AT877">
        <v>1</v>
      </c>
      <c r="AU877" t="s">
        <v>64</v>
      </c>
      <c r="AV877" t="s">
        <v>61</v>
      </c>
      <c r="AW877">
        <v>0</v>
      </c>
      <c r="AX877">
        <v>3</v>
      </c>
      <c r="AY877">
        <v>0</v>
      </c>
      <c r="AZ877">
        <v>0</v>
      </c>
      <c r="BA877">
        <v>100</v>
      </c>
      <c r="BB877">
        <v>100</v>
      </c>
      <c r="BC877">
        <v>100</v>
      </c>
      <c r="BD877">
        <v>100</v>
      </c>
      <c r="BE877">
        <v>1</v>
      </c>
      <c r="BF877">
        <v>15000</v>
      </c>
      <c r="BG877">
        <v>1000</v>
      </c>
      <c r="BH877" s="7">
        <f>ROUND(Wapato_Inventory[[#This Row],[detatched_value]]*Lookups!$B$22*Lookups!$H$48,-2)</f>
        <v>0</v>
      </c>
      <c r="BI877" s="7">
        <f>ROUND(((Wapato_Inventory[[#This Row],[land_extract]]*Lookups!$B$3) +(Lookups!$B$2*0.5))*Lookups!$H$48,-2)</f>
        <v>53300</v>
      </c>
      <c r="BJ877" s="7">
        <f>IF(Wapato_Inventory[[#This Row],[bldg_style]]="",0,Lookups!$B$2*0.5)</f>
        <v>53765.27</v>
      </c>
      <c r="BK877" s="7">
        <f>_xlfn.IFNA(VLOOKUP(Wapato_Inventory[[#This Row],[quality]],Lookups!$H$2:$J$14,3,FALSE),0)</f>
        <v>28034</v>
      </c>
      <c r="BL877" s="7">
        <f>_xlfn.IFNA(VLOOKUP(Wapato_Inventory[[#This Row],[condition]],Lookups!$H$17:$J$24,3,FALSE),0)</f>
        <v>52231</v>
      </c>
      <c r="BM877" s="7">
        <f>Wapato_Inventory[[#This Row],[Age]]*Lookups!$B$16</f>
        <v>-16680.406500000001</v>
      </c>
      <c r="BN877" s="7">
        <f>Wapato_Inventory[[#This Row],[Main Floor]]*Lookups!$B$17</f>
        <v>56849.005040000004</v>
      </c>
      <c r="BO877" s="7">
        <f>Wapato_Inventory[[#This Row],[Upper Floor]]*Lookups!$B$18</f>
        <v>0</v>
      </c>
      <c r="BP877" s="7">
        <f>Wapato_Inventory[[#This Row],[Fin BSMT]]*Lookups!$B$19</f>
        <v>0</v>
      </c>
      <c r="BQ877" s="7">
        <f>(Wapato_Inventory[[#This Row],[att_gar]]+Wapato_Inventory[[#This Row],[blt_gar]])*Lookups!$B$20</f>
        <v>22205.251200000002</v>
      </c>
      <c r="BR877" s="7">
        <f>Wapato_Inventory[[#This Row],[Patio]]*Lookups!$B$21</f>
        <v>8491.4998840000007</v>
      </c>
      <c r="BS877" s="7">
        <f>SUM(Wapato_Inventory[[#This Row],[intercept]:[patio_value]])*Wapato_Inventory[[#This Row],[res_pct]]</f>
        <v>204895.61962399998</v>
      </c>
      <c r="BT877" s="7">
        <f>Wapato_Inventory[[#This Row],[land_value]]</f>
        <v>53300</v>
      </c>
      <c r="BU877" s="2">
        <f>_xlfn.IFNA(VLOOKUP(Wapato_Inventory[[#This Row],[quality]],Lookups!$A$28:$C$37,3,FALSE),1)</f>
        <v>0.96265813922927435</v>
      </c>
      <c r="BV877" s="2">
        <f>_xlfn.IFNA(VLOOKUP(Wapato_Inventory[[#This Row],[condition]],Lookups!$A$41:$C$48,3,FALSE),1)</f>
        <v>0.9832333997567807</v>
      </c>
      <c r="BW877" s="2">
        <f>IF(Wapato_Inventory[[#This Row],[decade]]="",1,_xlfn.IFNA(VLOOKUP(Wapato_Inventory[[#This Row],[decade]],Lookups!$F$28:$H$45,3,FALSE),1))</f>
        <v>0.96240333884358298</v>
      </c>
      <c r="BX877" s="2">
        <f>_xlfn.IFNA(VLOOKUP(Wapato_Inventory[[#This Row],[living_area_range]],Lookups!$K$28:$M$37,3,FALSE),1)</f>
        <v>1.0061411172456287</v>
      </c>
      <c r="BY877" s="2">
        <f>AVERAGE(Wapato_Inventory[[#This Row],[qual_adj]:[range_adj]])</f>
        <v>0.97860899876881668</v>
      </c>
      <c r="BZ877" s="7">
        <f>(Wapato_Inventory[[#This Row],[sum_land]]-IF(Wapato_Inventory[[#This Row],[no_utilities]]=1,12000,0))/IF(Wapato_Inventory[[#This Row],[unbuildable]]=1,2,1)</f>
        <v>53300</v>
      </c>
      <c r="CA877" s="7">
        <f>Wapato_Inventory[[#This Row],[pre_res]]*Wapato_Inventory[[#This Row],[overall_adj]]</f>
        <v>200512.69717235892</v>
      </c>
      <c r="CB877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877" s="3">
        <f>IF(ROUND(Wapato_Inventory[[#This Row],[adj_res]]*Lookups!$H$48,-2)&lt;Wapato_Inventory[[#This Row],[min_res]],Wapato_Inventory[[#This Row],[min_res]],ROUND(Wapato_Inventory[[#This Row],[adj_res]]*Lookups!$H$48,-2))</f>
        <v>190500</v>
      </c>
      <c r="CD877" s="3">
        <f>ROUND(Wapato_Inventory[[#This Row],[det_value]]*Lookups!$H$48,-2)</f>
        <v>0</v>
      </c>
      <c r="CE877" s="3">
        <f>Wapato_Inventory[[#This Row],[final_res]]+Wapato_Inventory[[#This Row],[final_det]]</f>
        <v>190500</v>
      </c>
      <c r="CF877" s="3">
        <f>Wapato_Inventory[[#This Row],[crop_value]]+Wapato_Inventory[[#This Row],[final_land]]+Wapato_Inventory[[#This Row],[final_imp]]</f>
        <v>241100</v>
      </c>
      <c r="CH877" t="str">
        <f t="shared" si="13"/>
        <v>update valuation set market_land =50600, market_bldg=190500, market_total =241100, market_mdno =405, market_date ='9/10/2023' where link_id = (select link_id from parcel where parcel_year = '2024' and parcel_id = '19111514551');</v>
      </c>
    </row>
    <row r="878" spans="1:86" x14ac:dyDescent="0.25">
      <c r="A878">
        <v>19111514552</v>
      </c>
      <c r="B878">
        <v>0.15</v>
      </c>
      <c r="C878">
        <v>6338</v>
      </c>
      <c r="D878" t="s">
        <v>144</v>
      </c>
      <c r="E878" t="s">
        <v>54</v>
      </c>
      <c r="F878" t="s">
        <v>54</v>
      </c>
      <c r="G878">
        <v>3</v>
      </c>
      <c r="H878" t="s">
        <v>55</v>
      </c>
      <c r="I878">
        <v>218900</v>
      </c>
      <c r="J878">
        <v>32300</v>
      </c>
      <c r="K878">
        <v>0.15</v>
      </c>
      <c r="L878">
        <f>IF(Wapato_Inventory[[#This Row],[parcel_acres]]-Wapato_Inventory[[#This Row],[non_valued_acres]] =0,0,LN(Wapato_Inventory[[#This Row],[parcel_acres]]-Wapato_Inventory[[#This Row],[non_valued_acres]]))</f>
        <v>-1.8971199848858813</v>
      </c>
      <c r="M878">
        <v>0</v>
      </c>
      <c r="N878">
        <v>0</v>
      </c>
      <c r="O878">
        <v>0</v>
      </c>
      <c r="P878">
        <v>27904.037</v>
      </c>
      <c r="Q878">
        <v>74398</v>
      </c>
      <c r="R878" s="3">
        <f>(Wapato_Inventory[[#This Row],[ln_acres]]*Wapato_Inventory[[#This Row],[coeff]])+Wapato_Inventory[[#This Row],[const]]</f>
        <v>21460.693748304926</v>
      </c>
      <c r="S878" t="s">
        <v>66</v>
      </c>
      <c r="T878">
        <v>1</v>
      </c>
      <c r="U878" t="s">
        <v>67</v>
      </c>
      <c r="V878" t="s">
        <v>70</v>
      </c>
      <c r="W878">
        <v>0</v>
      </c>
      <c r="X878">
        <v>0</v>
      </c>
      <c r="Y878">
        <v>29</v>
      </c>
      <c r="Z878">
        <v>103</v>
      </c>
      <c r="AA878">
        <v>110</v>
      </c>
      <c r="AB878">
        <v>1500</v>
      </c>
      <c r="AC878">
        <v>1188</v>
      </c>
      <c r="AD878">
        <v>1188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0</v>
      </c>
      <c r="AN878">
        <v>84</v>
      </c>
      <c r="AO878">
        <v>0</v>
      </c>
      <c r="AP878">
        <v>8</v>
      </c>
      <c r="AQ878">
        <v>0</v>
      </c>
      <c r="AR878">
        <v>0</v>
      </c>
      <c r="AS878" t="s">
        <v>59</v>
      </c>
      <c r="AT878">
        <v>1</v>
      </c>
      <c r="AU878" t="s">
        <v>60</v>
      </c>
      <c r="AV878" t="s">
        <v>65</v>
      </c>
      <c r="AW878">
        <v>1</v>
      </c>
      <c r="AX878">
        <v>3</v>
      </c>
      <c r="AY878">
        <v>0</v>
      </c>
      <c r="AZ878">
        <v>0</v>
      </c>
      <c r="BA878">
        <v>100</v>
      </c>
      <c r="BB878">
        <v>100</v>
      </c>
      <c r="BC878">
        <v>100</v>
      </c>
      <c r="BD878">
        <v>100</v>
      </c>
      <c r="BE878">
        <v>1</v>
      </c>
      <c r="BF878">
        <v>15000</v>
      </c>
      <c r="BG878">
        <v>1000</v>
      </c>
      <c r="BH878" s="7">
        <f>ROUND(Wapato_Inventory[[#This Row],[detatched_value]]*Lookups!$B$22*Lookups!$H$48,-2)</f>
        <v>0</v>
      </c>
      <c r="BI878" s="7">
        <f>ROUND(((Wapato_Inventory[[#This Row],[land_extract]]*Lookups!$B$3) +(Lookups!$B$2*0.5))*Lookups!$H$48,-2)</f>
        <v>53100</v>
      </c>
      <c r="BJ878" s="7">
        <f>IF(Wapato_Inventory[[#This Row],[bldg_style]]="",0,Lookups!$B$2*0.5)</f>
        <v>53765.27</v>
      </c>
      <c r="BK878" s="7">
        <f>_xlfn.IFNA(VLOOKUP(Wapato_Inventory[[#This Row],[quality]],Lookups!$H$2:$J$14,3,FALSE),0)</f>
        <v>50405</v>
      </c>
      <c r="BL878" s="7">
        <f>_xlfn.IFNA(VLOOKUP(Wapato_Inventory[[#This Row],[condition]],Lookups!$H$17:$J$24,3,FALSE),0)</f>
        <v>84338</v>
      </c>
      <c r="BM878" s="7">
        <f>Wapato_Inventory[[#This Row],[Age]]*Lookups!$B$16</f>
        <v>-38179.597099999999</v>
      </c>
      <c r="BN878" s="7">
        <f>Wapato_Inventory[[#This Row],[Main Floor]]*Lookups!$B$17</f>
        <v>49659.277931999997</v>
      </c>
      <c r="BO878" s="7">
        <f>Wapato_Inventory[[#This Row],[Upper Floor]]*Lookups!$B$18</f>
        <v>0</v>
      </c>
      <c r="BP878" s="7">
        <f>Wapato_Inventory[[#This Row],[Fin BSMT]]*Lookups!$B$19</f>
        <v>0</v>
      </c>
      <c r="BQ878" s="7">
        <f>(Wapato_Inventory[[#This Row],[att_gar]]+Wapato_Inventory[[#This Row],[blt_gar]])*Lookups!$B$20</f>
        <v>0</v>
      </c>
      <c r="BR878" s="7">
        <f>Wapato_Inventory[[#This Row],[Patio]]*Lookups!$B$21</f>
        <v>0</v>
      </c>
      <c r="BS878" s="7">
        <f>SUM(Wapato_Inventory[[#This Row],[intercept]:[patio_value]])*Wapato_Inventory[[#This Row],[res_pct]]</f>
        <v>199987.950832</v>
      </c>
      <c r="BT878" s="7">
        <f>Wapato_Inventory[[#This Row],[land_value]]</f>
        <v>53100</v>
      </c>
      <c r="BU878" s="2">
        <f>_xlfn.IFNA(VLOOKUP(Wapato_Inventory[[#This Row],[quality]],Lookups!$A$28:$C$37,3,FALSE),1)</f>
        <v>0.97993206410140754</v>
      </c>
      <c r="BV878" s="2">
        <f>_xlfn.IFNA(VLOOKUP(Wapato_Inventory[[#This Row],[condition]],Lookups!$A$41:$C$48,3,FALSE),1)</f>
        <v>0.99478075210508476</v>
      </c>
      <c r="BW878" s="2">
        <f>IF(Wapato_Inventory[[#This Row],[decade]]="",1,_xlfn.IFNA(VLOOKUP(Wapato_Inventory[[#This Row],[decade]],Lookups!$F$28:$H$45,3,FALSE),1))</f>
        <v>0.93664589651353292</v>
      </c>
      <c r="BX878" s="2">
        <f>_xlfn.IFNA(VLOOKUP(Wapato_Inventory[[#This Row],[living_area_range]],Lookups!$K$28:$M$37,3,FALSE),1)</f>
        <v>1.0061411172456287</v>
      </c>
      <c r="BY878" s="2">
        <f>AVERAGE(Wapato_Inventory[[#This Row],[qual_adj]:[range_adj]])</f>
        <v>0.97937495749141346</v>
      </c>
      <c r="BZ878" s="7">
        <f>(Wapato_Inventory[[#This Row],[sum_land]]-IF(Wapato_Inventory[[#This Row],[no_utilities]]=1,12000,0))/IF(Wapato_Inventory[[#This Row],[unbuildable]]=1,2,1)</f>
        <v>53100</v>
      </c>
      <c r="CA878" s="7">
        <f>Wapato_Inventory[[#This Row],[pre_res]]*Wapato_Inventory[[#This Row],[overall_adj]]</f>
        <v>195863.1908448849</v>
      </c>
      <c r="CB87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78" s="3">
        <f>IF(ROUND(Wapato_Inventory[[#This Row],[adj_res]]*Lookups!$H$48,-2)&lt;Wapato_Inventory[[#This Row],[min_res]],Wapato_Inventory[[#This Row],[min_res]],ROUND(Wapato_Inventory[[#This Row],[adj_res]]*Lookups!$H$48,-2))</f>
        <v>186100</v>
      </c>
      <c r="CD878" s="3">
        <f>ROUND(Wapato_Inventory[[#This Row],[det_value]]*Lookups!$H$48,-2)</f>
        <v>0</v>
      </c>
      <c r="CE878" s="3">
        <f>Wapato_Inventory[[#This Row],[final_res]]+Wapato_Inventory[[#This Row],[final_det]]</f>
        <v>186100</v>
      </c>
      <c r="CF878" s="3">
        <f>Wapato_Inventory[[#This Row],[crop_value]]+Wapato_Inventory[[#This Row],[final_land]]+Wapato_Inventory[[#This Row],[final_imp]]</f>
        <v>236500</v>
      </c>
      <c r="CH878" t="str">
        <f t="shared" si="13"/>
        <v>update valuation set market_land =50400, market_bldg=186100, market_total =236500, market_mdno =405, market_date ='9/10/2023' where link_id = (select link_id from parcel where parcel_year = '2024' and parcel_id = '19111514552');</v>
      </c>
    </row>
    <row r="879" spans="1:86" x14ac:dyDescent="0.25">
      <c r="A879">
        <v>19111514553</v>
      </c>
      <c r="B879">
        <v>0.17</v>
      </c>
      <c r="C879">
        <v>7451</v>
      </c>
      <c r="D879" t="s">
        <v>144</v>
      </c>
      <c r="E879" t="s">
        <v>54</v>
      </c>
      <c r="F879" t="s">
        <v>54</v>
      </c>
      <c r="G879">
        <v>3</v>
      </c>
      <c r="H879" t="s">
        <v>55</v>
      </c>
      <c r="I879">
        <v>152000</v>
      </c>
      <c r="J879">
        <v>33200</v>
      </c>
      <c r="K879">
        <v>0.17</v>
      </c>
      <c r="L879">
        <f>IF(Wapato_Inventory[[#This Row],[parcel_acres]]-Wapato_Inventory[[#This Row],[non_valued_acres]] =0,0,LN(Wapato_Inventory[[#This Row],[parcel_acres]]-Wapato_Inventory[[#This Row],[non_valued_acres]]))</f>
        <v>-1.7719568419318752</v>
      </c>
      <c r="M879">
        <v>0</v>
      </c>
      <c r="N879">
        <v>0</v>
      </c>
      <c r="O879">
        <v>0</v>
      </c>
      <c r="P879">
        <v>27904.037</v>
      </c>
      <c r="Q879">
        <v>74398</v>
      </c>
      <c r="R879" s="3">
        <f>(Wapato_Inventory[[#This Row],[ln_acres]]*Wapato_Inventory[[#This Row],[coeff]])+Wapato_Inventory[[#This Row],[const]]</f>
        <v>24953.250720329801</v>
      </c>
      <c r="S879" t="s">
        <v>56</v>
      </c>
      <c r="T879">
        <v>2</v>
      </c>
      <c r="U879" t="s">
        <v>71</v>
      </c>
      <c r="V879" t="s">
        <v>68</v>
      </c>
      <c r="W879">
        <v>0</v>
      </c>
      <c r="X879">
        <v>0</v>
      </c>
      <c r="Y879">
        <v>57</v>
      </c>
      <c r="Z879">
        <v>103</v>
      </c>
      <c r="AA879">
        <v>110</v>
      </c>
      <c r="AB879">
        <v>1500</v>
      </c>
      <c r="AC879">
        <v>1159</v>
      </c>
      <c r="AD879">
        <v>739</v>
      </c>
      <c r="AE879">
        <v>420</v>
      </c>
      <c r="AF879">
        <v>0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0</v>
      </c>
      <c r="AN879">
        <v>56</v>
      </c>
      <c r="AO879">
        <v>0</v>
      </c>
      <c r="AP879">
        <v>5</v>
      </c>
      <c r="AQ879">
        <v>0</v>
      </c>
      <c r="AR879">
        <v>0</v>
      </c>
      <c r="AS879" t="s">
        <v>59</v>
      </c>
      <c r="AT879">
        <v>0</v>
      </c>
      <c r="AU879" t="s">
        <v>80</v>
      </c>
      <c r="AV879" t="s">
        <v>65</v>
      </c>
      <c r="AW879">
        <v>0</v>
      </c>
      <c r="AX879">
        <v>4</v>
      </c>
      <c r="AY879">
        <v>0</v>
      </c>
      <c r="AZ879">
        <v>26000</v>
      </c>
      <c r="BA879">
        <v>100</v>
      </c>
      <c r="BB879">
        <v>100</v>
      </c>
      <c r="BC879">
        <v>100</v>
      </c>
      <c r="BD879">
        <v>100</v>
      </c>
      <c r="BE879">
        <v>1</v>
      </c>
      <c r="BF879">
        <v>15000</v>
      </c>
      <c r="BG879">
        <v>1000</v>
      </c>
      <c r="BH879" s="7">
        <f>ROUND(Wapato_Inventory[[#This Row],[detatched_value]]*Lookups!$B$22*Lookups!$H$48,-2)</f>
        <v>23200</v>
      </c>
      <c r="BI879" s="7">
        <f>ROUND(((Wapato_Inventory[[#This Row],[land_extract]]*Lookups!$B$3) +(Lookups!$B$2*0.5))*Lookups!$H$48,-2)</f>
        <v>53500</v>
      </c>
      <c r="BJ879" s="7">
        <f>IF(Wapato_Inventory[[#This Row],[bldg_style]]="",0,Lookups!$B$2*0.5)</f>
        <v>53765.27</v>
      </c>
      <c r="BK879" s="7">
        <f>_xlfn.IFNA(VLOOKUP(Wapato_Inventory[[#This Row],[quality]],Lookups!$H$2:$J$14,3,FALSE),0)</f>
        <v>28034</v>
      </c>
      <c r="BL879" s="7">
        <f>_xlfn.IFNA(VLOOKUP(Wapato_Inventory[[#This Row],[condition]],Lookups!$H$17:$J$24,3,FALSE),0)</f>
        <v>52231</v>
      </c>
      <c r="BM879" s="7">
        <f>Wapato_Inventory[[#This Row],[Age]]*Lookups!$B$16</f>
        <v>-38179.597099999999</v>
      </c>
      <c r="BN879" s="7">
        <f>Wapato_Inventory[[#This Row],[Main Floor]]*Lookups!$B$17</f>
        <v>30890.746121</v>
      </c>
      <c r="BO879" s="7">
        <f>Wapato_Inventory[[#This Row],[Upper Floor]]*Lookups!$B$18</f>
        <v>20832.47838</v>
      </c>
      <c r="BP879" s="7">
        <f>Wapato_Inventory[[#This Row],[Fin BSMT]]*Lookups!$B$19</f>
        <v>0</v>
      </c>
      <c r="BQ879" s="7">
        <f>(Wapato_Inventory[[#This Row],[att_gar]]+Wapato_Inventory[[#This Row],[blt_gar]])*Lookups!$B$20</f>
        <v>0</v>
      </c>
      <c r="BR879" s="7">
        <f>Wapato_Inventory[[#This Row],[Patio]]*Lookups!$B$21</f>
        <v>0</v>
      </c>
      <c r="BS879" s="7">
        <f>SUM(Wapato_Inventory[[#This Row],[intercept]:[patio_value]])*Wapato_Inventory[[#This Row],[res_pct]]</f>
        <v>147573.89740099999</v>
      </c>
      <c r="BT879" s="7">
        <f>Wapato_Inventory[[#This Row],[land_value]]</f>
        <v>53500</v>
      </c>
      <c r="BU879" s="2">
        <f>_xlfn.IFNA(VLOOKUP(Wapato_Inventory[[#This Row],[quality]],Lookups!$A$28:$C$37,3,FALSE),1)</f>
        <v>0.96265813922927435</v>
      </c>
      <c r="BV879" s="2">
        <f>_xlfn.IFNA(VLOOKUP(Wapato_Inventory[[#This Row],[condition]],Lookups!$A$41:$C$48,3,FALSE),1)</f>
        <v>0.9832333997567807</v>
      </c>
      <c r="BW879" s="2">
        <f>IF(Wapato_Inventory[[#This Row],[decade]]="",1,_xlfn.IFNA(VLOOKUP(Wapato_Inventory[[#This Row],[decade]],Lookups!$F$28:$H$45,3,FALSE),1))</f>
        <v>0.93664589651353292</v>
      </c>
      <c r="BX879" s="2">
        <f>_xlfn.IFNA(VLOOKUP(Wapato_Inventory[[#This Row],[living_area_range]],Lookups!$K$28:$M$37,3,FALSE),1)</f>
        <v>1.0061411172456287</v>
      </c>
      <c r="BY879" s="2">
        <f>AVERAGE(Wapato_Inventory[[#This Row],[qual_adj]:[range_adj]])</f>
        <v>0.97216963818630409</v>
      </c>
      <c r="BZ879" s="7">
        <f>(Wapato_Inventory[[#This Row],[sum_land]]-IF(Wapato_Inventory[[#This Row],[no_utilities]]=1,12000,0))/IF(Wapato_Inventory[[#This Row],[unbuildable]]=1,2,1)</f>
        <v>53500</v>
      </c>
      <c r="CA879" s="7">
        <f>Wapato_Inventory[[#This Row],[pre_res]]*Wapato_Inventory[[#This Row],[overall_adj]]</f>
        <v>143466.86244207292</v>
      </c>
      <c r="CB879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879" s="3">
        <f>IF(ROUND(Wapato_Inventory[[#This Row],[adj_res]]*Lookups!$H$48,-2)&lt;Wapato_Inventory[[#This Row],[min_res]],Wapato_Inventory[[#This Row],[min_res]],ROUND(Wapato_Inventory[[#This Row],[adj_res]]*Lookups!$H$48,-2))</f>
        <v>136300</v>
      </c>
      <c r="CD879" s="3">
        <f>ROUND(Wapato_Inventory[[#This Row],[det_value]]*Lookups!$H$48,-2)</f>
        <v>22000</v>
      </c>
      <c r="CE879" s="3">
        <f>Wapato_Inventory[[#This Row],[final_res]]+Wapato_Inventory[[#This Row],[final_det]]</f>
        <v>158300</v>
      </c>
      <c r="CF879" s="3">
        <f>Wapato_Inventory[[#This Row],[crop_value]]+Wapato_Inventory[[#This Row],[final_land]]+Wapato_Inventory[[#This Row],[final_imp]]</f>
        <v>209100</v>
      </c>
      <c r="CH879" t="str">
        <f t="shared" si="13"/>
        <v>update valuation set market_land =50800, market_bldg=158300, market_total =209100, market_mdno =405, market_date ='9/10/2023' where link_id = (select link_id from parcel where parcel_year = '2024' and parcel_id = '19111514553');</v>
      </c>
    </row>
    <row r="880" spans="1:86" x14ac:dyDescent="0.25">
      <c r="A880">
        <v>19111514554</v>
      </c>
      <c r="B880">
        <v>0.08</v>
      </c>
      <c r="C880">
        <v>3581</v>
      </c>
      <c r="D880" t="s">
        <v>144</v>
      </c>
      <c r="E880" t="s">
        <v>54</v>
      </c>
      <c r="F880" t="s">
        <v>54</v>
      </c>
      <c r="G880">
        <v>3</v>
      </c>
      <c r="H880" t="s">
        <v>55</v>
      </c>
      <c r="I880">
        <v>138200</v>
      </c>
      <c r="J880">
        <v>27900</v>
      </c>
      <c r="K880">
        <v>0.08</v>
      </c>
      <c r="L880">
        <f>IF(Wapato_Inventory[[#This Row],[parcel_acres]]-Wapato_Inventory[[#This Row],[non_valued_acres]] =0,0,LN(Wapato_Inventory[[#This Row],[parcel_acres]]-Wapato_Inventory[[#This Row],[non_valued_acres]]))</f>
        <v>-2.5257286443082556</v>
      </c>
      <c r="M880">
        <v>0</v>
      </c>
      <c r="N880">
        <v>0</v>
      </c>
      <c r="O880">
        <v>0</v>
      </c>
      <c r="P880">
        <v>27904.037</v>
      </c>
      <c r="Q880">
        <v>74398</v>
      </c>
      <c r="R880" s="3">
        <f>(Wapato_Inventory[[#This Row],[ln_acres]]*Wapato_Inventory[[#This Row],[coeff]])+Wapato_Inventory[[#This Row],[const]]</f>
        <v>3919.9744572625932</v>
      </c>
      <c r="S880" t="s">
        <v>62</v>
      </c>
      <c r="T880">
        <v>1</v>
      </c>
      <c r="U880" t="s">
        <v>71</v>
      </c>
      <c r="V880" t="s">
        <v>68</v>
      </c>
      <c r="W880">
        <v>0</v>
      </c>
      <c r="X880">
        <v>0</v>
      </c>
      <c r="Y880">
        <v>34</v>
      </c>
      <c r="Z880">
        <v>34</v>
      </c>
      <c r="AA880">
        <v>40</v>
      </c>
      <c r="AB880">
        <v>1500</v>
      </c>
      <c r="AC880">
        <v>1080</v>
      </c>
      <c r="AD880">
        <v>1080</v>
      </c>
      <c r="AE880">
        <v>0</v>
      </c>
      <c r="AF880">
        <v>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5</v>
      </c>
      <c r="AQ880">
        <v>0</v>
      </c>
      <c r="AR880">
        <v>0</v>
      </c>
      <c r="AS880" t="s">
        <v>59</v>
      </c>
      <c r="AT880">
        <v>1</v>
      </c>
      <c r="AU880" t="s">
        <v>72</v>
      </c>
      <c r="AV880" t="s">
        <v>61</v>
      </c>
      <c r="AW880">
        <v>0</v>
      </c>
      <c r="AX880">
        <v>3</v>
      </c>
      <c r="AY880">
        <v>0</v>
      </c>
      <c r="AZ880">
        <v>0</v>
      </c>
      <c r="BA880">
        <v>100</v>
      </c>
      <c r="BB880">
        <v>100</v>
      </c>
      <c r="BC880">
        <v>100</v>
      </c>
      <c r="BD880">
        <v>100</v>
      </c>
      <c r="BE880">
        <v>1</v>
      </c>
      <c r="BF880">
        <v>15000</v>
      </c>
      <c r="BG880">
        <v>1000</v>
      </c>
      <c r="BH880" s="7">
        <f>ROUND(Wapato_Inventory[[#This Row],[detatched_value]]*Lookups!$B$22*Lookups!$H$48,-2)</f>
        <v>0</v>
      </c>
      <c r="BI880" s="7">
        <f>ROUND(((Wapato_Inventory[[#This Row],[land_extract]]*Lookups!$B$3) +(Lookups!$B$2*0.5))*Lookups!$H$48,-2)</f>
        <v>51500</v>
      </c>
      <c r="BJ880" s="7">
        <f>IF(Wapato_Inventory[[#This Row],[bldg_style]]="",0,Lookups!$B$2*0.5)</f>
        <v>53765.27</v>
      </c>
      <c r="BK880" s="7">
        <f>_xlfn.IFNA(VLOOKUP(Wapato_Inventory[[#This Row],[quality]],Lookups!$H$2:$J$14,3,FALSE),0)</f>
        <v>28034</v>
      </c>
      <c r="BL880" s="7">
        <f>_xlfn.IFNA(VLOOKUP(Wapato_Inventory[[#This Row],[condition]],Lookups!$H$17:$J$24,3,FALSE),0)</f>
        <v>52231</v>
      </c>
      <c r="BM880" s="7">
        <f>Wapato_Inventory[[#This Row],[Age]]*Lookups!$B$16</f>
        <v>-12602.9738</v>
      </c>
      <c r="BN880" s="7">
        <f>Wapato_Inventory[[#This Row],[Main Floor]]*Lookups!$B$17</f>
        <v>45144.798119999999</v>
      </c>
      <c r="BO880" s="7">
        <f>Wapato_Inventory[[#This Row],[Upper Floor]]*Lookups!$B$18</f>
        <v>0</v>
      </c>
      <c r="BP880" s="7">
        <f>Wapato_Inventory[[#This Row],[Fin BSMT]]*Lookups!$B$19</f>
        <v>0</v>
      </c>
      <c r="BQ880" s="7">
        <f>(Wapato_Inventory[[#This Row],[att_gar]]+Wapato_Inventory[[#This Row],[blt_gar]])*Lookups!$B$20</f>
        <v>0</v>
      </c>
      <c r="BR880" s="7">
        <f>Wapato_Inventory[[#This Row],[Patio]]*Lookups!$B$21</f>
        <v>0</v>
      </c>
      <c r="BS880" s="7">
        <f>SUM(Wapato_Inventory[[#This Row],[intercept]:[patio_value]])*Wapato_Inventory[[#This Row],[res_pct]]</f>
        <v>166572.09431999997</v>
      </c>
      <c r="BT880" s="7">
        <f>Wapato_Inventory[[#This Row],[land_value]]</f>
        <v>51500</v>
      </c>
      <c r="BU880" s="2">
        <f>_xlfn.IFNA(VLOOKUP(Wapato_Inventory[[#This Row],[quality]],Lookups!$A$28:$C$37,3,FALSE),1)</f>
        <v>0.96265813922927435</v>
      </c>
      <c r="BV880" s="2">
        <f>_xlfn.IFNA(VLOOKUP(Wapato_Inventory[[#This Row],[condition]],Lookups!$A$41:$C$48,3,FALSE),1)</f>
        <v>0.9832333997567807</v>
      </c>
      <c r="BW880" s="2">
        <f>IF(Wapato_Inventory[[#This Row],[decade]]="",1,_xlfn.IFNA(VLOOKUP(Wapato_Inventory[[#This Row],[decade]],Lookups!$F$28:$H$45,3,FALSE),1))</f>
        <v>1.0327621624630683</v>
      </c>
      <c r="BX880" s="2">
        <f>_xlfn.IFNA(VLOOKUP(Wapato_Inventory[[#This Row],[living_area_range]],Lookups!$K$28:$M$37,3,FALSE),1)</f>
        <v>1.0061411172456287</v>
      </c>
      <c r="BY880" s="2">
        <f>AVERAGE(Wapato_Inventory[[#This Row],[qual_adj]:[range_adj]])</f>
        <v>0.99619870467368798</v>
      </c>
      <c r="BZ880" s="7">
        <f>(Wapato_Inventory[[#This Row],[sum_land]]-IF(Wapato_Inventory[[#This Row],[no_utilities]]=1,12000,0))/IF(Wapato_Inventory[[#This Row],[unbuildable]]=1,2,1)</f>
        <v>51500</v>
      </c>
      <c r="CA880" s="7">
        <f>Wapato_Inventory[[#This Row],[pre_res]]*Wapato_Inventory[[#This Row],[overall_adj]]</f>
        <v>165938.90459636736</v>
      </c>
      <c r="CB880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880" s="3">
        <f>IF(ROUND(Wapato_Inventory[[#This Row],[adj_res]]*Lookups!$H$48,-2)&lt;Wapato_Inventory[[#This Row],[min_res]],Wapato_Inventory[[#This Row],[min_res]],ROUND(Wapato_Inventory[[#This Row],[adj_res]]*Lookups!$H$48,-2))</f>
        <v>157600</v>
      </c>
      <c r="CD880" s="3">
        <f>ROUND(Wapato_Inventory[[#This Row],[det_value]]*Lookups!$H$48,-2)</f>
        <v>0</v>
      </c>
      <c r="CE880" s="3">
        <f>Wapato_Inventory[[#This Row],[final_res]]+Wapato_Inventory[[#This Row],[final_det]]</f>
        <v>157600</v>
      </c>
      <c r="CF880" s="3">
        <f>Wapato_Inventory[[#This Row],[crop_value]]+Wapato_Inventory[[#This Row],[final_land]]+Wapato_Inventory[[#This Row],[final_imp]]</f>
        <v>206500</v>
      </c>
      <c r="CH880" t="str">
        <f t="shared" si="13"/>
        <v>update valuation set market_land =48900, market_bldg=157600, market_total =206500, market_mdno =405, market_date ='9/10/2023' where link_id = (select link_id from parcel where parcel_year = '2024' and parcel_id = '19111514554');</v>
      </c>
    </row>
    <row r="881" spans="1:86" x14ac:dyDescent="0.25">
      <c r="A881">
        <v>19111514555</v>
      </c>
      <c r="B881">
        <v>0.1</v>
      </c>
      <c r="C881">
        <v>4200</v>
      </c>
      <c r="D881" t="s">
        <v>144</v>
      </c>
      <c r="E881" t="s">
        <v>54</v>
      </c>
      <c r="F881" t="s">
        <v>54</v>
      </c>
      <c r="G881">
        <v>3</v>
      </c>
      <c r="H881" t="s">
        <v>55</v>
      </c>
      <c r="I881">
        <v>142300</v>
      </c>
      <c r="J881">
        <v>29500</v>
      </c>
      <c r="K881">
        <v>0.1</v>
      </c>
      <c r="L881">
        <f>IF(Wapato_Inventory[[#This Row],[parcel_acres]]-Wapato_Inventory[[#This Row],[non_valued_acres]] =0,0,LN(Wapato_Inventory[[#This Row],[parcel_acres]]-Wapato_Inventory[[#This Row],[non_valued_acres]]))</f>
        <v>-2.3025850929940455</v>
      </c>
      <c r="M881">
        <v>0</v>
      </c>
      <c r="N881">
        <v>0</v>
      </c>
      <c r="O881">
        <v>0</v>
      </c>
      <c r="P881">
        <v>27904.037</v>
      </c>
      <c r="Q881">
        <v>74398</v>
      </c>
      <c r="R881" s="3">
        <f>(Wapato_Inventory[[#This Row],[ln_acres]]*Wapato_Inventory[[#This Row],[coeff]])+Wapato_Inventory[[#This Row],[const]]</f>
        <v>10146.580369445714</v>
      </c>
      <c r="S881" t="s">
        <v>62</v>
      </c>
      <c r="T881">
        <v>1</v>
      </c>
      <c r="U881" t="s">
        <v>75</v>
      </c>
      <c r="V881" t="s">
        <v>68</v>
      </c>
      <c r="W881">
        <v>0</v>
      </c>
      <c r="X881">
        <v>0</v>
      </c>
      <c r="Y881">
        <v>55</v>
      </c>
      <c r="Z881">
        <v>98</v>
      </c>
      <c r="AA881">
        <v>100</v>
      </c>
      <c r="AB881">
        <v>1500</v>
      </c>
      <c r="AC881">
        <v>1200</v>
      </c>
      <c r="AD881">
        <v>1200</v>
      </c>
      <c r="AE881">
        <v>0</v>
      </c>
      <c r="AF881">
        <v>0</v>
      </c>
      <c r="AG881">
        <v>0</v>
      </c>
      <c r="AH881">
        <v>0</v>
      </c>
      <c r="AI881">
        <v>0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0</v>
      </c>
      <c r="AP881">
        <v>5</v>
      </c>
      <c r="AQ881">
        <v>0</v>
      </c>
      <c r="AR881">
        <v>0</v>
      </c>
      <c r="AS881" t="s">
        <v>59</v>
      </c>
      <c r="AT881">
        <v>1</v>
      </c>
      <c r="AU881" t="s">
        <v>64</v>
      </c>
      <c r="AV881" t="s">
        <v>77</v>
      </c>
      <c r="AW881">
        <v>1</v>
      </c>
      <c r="AX881">
        <v>2</v>
      </c>
      <c r="AY881">
        <v>0</v>
      </c>
      <c r="AZ881">
        <v>0</v>
      </c>
      <c r="BA881">
        <v>100</v>
      </c>
      <c r="BB881">
        <v>100</v>
      </c>
      <c r="BC881">
        <v>100</v>
      </c>
      <c r="BD881">
        <v>100</v>
      </c>
      <c r="BE881">
        <v>1</v>
      </c>
      <c r="BF881">
        <v>15000</v>
      </c>
      <c r="BG881">
        <v>1000</v>
      </c>
      <c r="BH881" s="7">
        <f>ROUND(Wapato_Inventory[[#This Row],[detatched_value]]*Lookups!$B$22*Lookups!$H$48,-2)</f>
        <v>0</v>
      </c>
      <c r="BI881" s="7">
        <f>ROUND(((Wapato_Inventory[[#This Row],[land_extract]]*Lookups!$B$3) +(Lookups!$B$2*0.5))*Lookups!$H$48,-2)</f>
        <v>52100</v>
      </c>
      <c r="BJ881" s="7">
        <f>IF(Wapato_Inventory[[#This Row],[bldg_style]]="",0,Lookups!$B$2*0.5)</f>
        <v>53765.27</v>
      </c>
      <c r="BK881" s="7">
        <f>_xlfn.IFNA(VLOOKUP(Wapato_Inventory[[#This Row],[quality]],Lookups!$H$2:$J$14,3,FALSE),0)</f>
        <v>48043</v>
      </c>
      <c r="BL881" s="7">
        <f>_xlfn.IFNA(VLOOKUP(Wapato_Inventory[[#This Row],[condition]],Lookups!$H$17:$J$24,3,FALSE),0)</f>
        <v>52231</v>
      </c>
      <c r="BM881" s="7">
        <f>Wapato_Inventory[[#This Row],[Age]]*Lookups!$B$16</f>
        <v>-36326.2186</v>
      </c>
      <c r="BN881" s="7">
        <f>Wapato_Inventory[[#This Row],[Main Floor]]*Lookups!$B$17</f>
        <v>50160.8868</v>
      </c>
      <c r="BO881" s="7">
        <f>Wapato_Inventory[[#This Row],[Upper Floor]]*Lookups!$B$18</f>
        <v>0</v>
      </c>
      <c r="BP881" s="7">
        <f>Wapato_Inventory[[#This Row],[Fin BSMT]]*Lookups!$B$19</f>
        <v>0</v>
      </c>
      <c r="BQ881" s="7">
        <f>(Wapato_Inventory[[#This Row],[att_gar]]+Wapato_Inventory[[#This Row],[blt_gar]])*Lookups!$B$20</f>
        <v>0</v>
      </c>
      <c r="BR881" s="7">
        <f>Wapato_Inventory[[#This Row],[Patio]]*Lookups!$B$21</f>
        <v>0</v>
      </c>
      <c r="BS881" s="7">
        <f>SUM(Wapato_Inventory[[#This Row],[intercept]:[patio_value]])*Wapato_Inventory[[#This Row],[res_pct]]</f>
        <v>167873.9382</v>
      </c>
      <c r="BT881" s="7">
        <f>Wapato_Inventory[[#This Row],[land_value]]</f>
        <v>52100</v>
      </c>
      <c r="BU881" s="2">
        <f>_xlfn.IFNA(VLOOKUP(Wapato_Inventory[[#This Row],[quality]],Lookups!$A$28:$C$37,3,FALSE),1)</f>
        <v>0.98196844879778955</v>
      </c>
      <c r="BV881" s="2">
        <f>_xlfn.IFNA(VLOOKUP(Wapato_Inventory[[#This Row],[condition]],Lookups!$A$41:$C$48,3,FALSE),1)</f>
        <v>0.9832333997567807</v>
      </c>
      <c r="BW881" s="2">
        <f>IF(Wapato_Inventory[[#This Row],[decade]]="",1,_xlfn.IFNA(VLOOKUP(Wapato_Inventory[[#This Row],[decade]],Lookups!$F$28:$H$45,3,FALSE),1))</f>
        <v>1.0114203040664467</v>
      </c>
      <c r="BX881" s="2">
        <f>_xlfn.IFNA(VLOOKUP(Wapato_Inventory[[#This Row],[living_area_range]],Lookups!$K$28:$M$37,3,FALSE),1)</f>
        <v>1.0061411172456287</v>
      </c>
      <c r="BY881" s="2">
        <f>AVERAGE(Wapato_Inventory[[#This Row],[qual_adj]:[range_adj]])</f>
        <v>0.99569081746666144</v>
      </c>
      <c r="BZ881" s="7">
        <f>(Wapato_Inventory[[#This Row],[sum_land]]-IF(Wapato_Inventory[[#This Row],[no_utilities]]=1,12000,0))/IF(Wapato_Inventory[[#This Row],[unbuildable]]=1,2,1)</f>
        <v>52100</v>
      </c>
      <c r="CA881" s="7">
        <f>Wapato_Inventory[[#This Row],[pre_res]]*Wapato_Inventory[[#This Row],[overall_adj]]</f>
        <v>167150.5387577058</v>
      </c>
      <c r="CB881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881" s="3">
        <f>IF(ROUND(Wapato_Inventory[[#This Row],[adj_res]]*Lookups!$H$48,-2)&lt;Wapato_Inventory[[#This Row],[min_res]],Wapato_Inventory[[#This Row],[min_res]],ROUND(Wapato_Inventory[[#This Row],[adj_res]]*Lookups!$H$48,-2))</f>
        <v>158800</v>
      </c>
      <c r="CD881" s="3">
        <f>ROUND(Wapato_Inventory[[#This Row],[det_value]]*Lookups!$H$48,-2)</f>
        <v>0</v>
      </c>
      <c r="CE881" s="3">
        <f>Wapato_Inventory[[#This Row],[final_res]]+Wapato_Inventory[[#This Row],[final_det]]</f>
        <v>158800</v>
      </c>
      <c r="CF881" s="3">
        <f>Wapato_Inventory[[#This Row],[crop_value]]+Wapato_Inventory[[#This Row],[final_land]]+Wapato_Inventory[[#This Row],[final_imp]]</f>
        <v>208300</v>
      </c>
      <c r="CH881" t="str">
        <f t="shared" si="13"/>
        <v>update valuation set market_land =49500, market_bldg=158800, market_total =208300, market_mdno =405, market_date ='9/10/2023' where link_id = (select link_id from parcel where parcel_year = '2024' and parcel_id = '19111514555');</v>
      </c>
    </row>
    <row r="882" spans="1:86" x14ac:dyDescent="0.25">
      <c r="A882">
        <v>19111514556</v>
      </c>
      <c r="B882">
        <v>0.14000000000000001</v>
      </c>
      <c r="C882">
        <v>6032</v>
      </c>
      <c r="D882" t="s">
        <v>144</v>
      </c>
      <c r="E882" t="s">
        <v>54</v>
      </c>
      <c r="F882" t="s">
        <v>54</v>
      </c>
      <c r="G882">
        <v>3</v>
      </c>
      <c r="H882" t="s">
        <v>55</v>
      </c>
      <c r="I882">
        <v>55200</v>
      </c>
      <c r="J882">
        <v>31900</v>
      </c>
      <c r="K882">
        <v>0.14000000000000001</v>
      </c>
      <c r="L882">
        <f>IF(Wapato_Inventory[[#This Row],[parcel_acres]]-Wapato_Inventory[[#This Row],[non_valued_acres]] =0,0,LN(Wapato_Inventory[[#This Row],[parcel_acres]]-Wapato_Inventory[[#This Row],[non_valued_acres]]))</f>
        <v>-1.9661128563728327</v>
      </c>
      <c r="M882">
        <v>0</v>
      </c>
      <c r="N882">
        <v>0</v>
      </c>
      <c r="O882">
        <v>0</v>
      </c>
      <c r="P882">
        <v>27904.037</v>
      </c>
      <c r="Q882">
        <v>74398</v>
      </c>
      <c r="R882" s="3">
        <f>(Wapato_Inventory[[#This Row],[ln_acres]]*Wapato_Inventory[[#This Row],[coeff]])+Wapato_Inventory[[#This Row],[const]]</f>
        <v>19535.514109596792</v>
      </c>
      <c r="S882" t="s">
        <v>83</v>
      </c>
      <c r="T882">
        <v>1</v>
      </c>
      <c r="U882" t="s">
        <v>78</v>
      </c>
      <c r="V882" t="s">
        <v>73</v>
      </c>
      <c r="W882">
        <v>0</v>
      </c>
      <c r="X882">
        <v>0</v>
      </c>
      <c r="Y882">
        <v>93</v>
      </c>
      <c r="Z882">
        <v>113</v>
      </c>
      <c r="AA882">
        <v>120</v>
      </c>
      <c r="AB882">
        <v>500</v>
      </c>
      <c r="AC882">
        <v>438</v>
      </c>
      <c r="AD882">
        <v>438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5</v>
      </c>
      <c r="AQ882">
        <v>0</v>
      </c>
      <c r="AR882">
        <v>0</v>
      </c>
      <c r="AS882" t="s">
        <v>59</v>
      </c>
      <c r="AT882">
        <v>1</v>
      </c>
      <c r="AU882" t="s">
        <v>72</v>
      </c>
      <c r="AV882" t="s">
        <v>61</v>
      </c>
      <c r="AW882">
        <v>0</v>
      </c>
      <c r="AX882">
        <v>1</v>
      </c>
      <c r="AY882">
        <v>0</v>
      </c>
      <c r="AZ882">
        <v>15600</v>
      </c>
      <c r="BA882">
        <v>100</v>
      </c>
      <c r="BB882">
        <v>100</v>
      </c>
      <c r="BC882">
        <v>100</v>
      </c>
      <c r="BD882">
        <v>100</v>
      </c>
      <c r="BE882">
        <v>1</v>
      </c>
      <c r="BF882">
        <v>15000</v>
      </c>
      <c r="BG882">
        <v>1000</v>
      </c>
      <c r="BH882" s="7">
        <f>ROUND(Wapato_Inventory[[#This Row],[detatched_value]]*Lookups!$B$22*Lookups!$H$48,-2)</f>
        <v>13900</v>
      </c>
      <c r="BI882" s="7">
        <f>ROUND(((Wapato_Inventory[[#This Row],[land_extract]]*Lookups!$B$3) +(Lookups!$B$2*0.5))*Lookups!$H$48,-2)</f>
        <v>53000</v>
      </c>
      <c r="BJ882" s="7">
        <f>IF(Wapato_Inventory[[#This Row],[bldg_style]]="",0,Lookups!$B$2*0.5)</f>
        <v>53765.27</v>
      </c>
      <c r="BK882" s="7">
        <f>_xlfn.IFNA(VLOOKUP(Wapato_Inventory[[#This Row],[quality]],Lookups!$H$2:$J$14,3,FALSE),0)</f>
        <v>23424</v>
      </c>
      <c r="BL882" s="7">
        <f>_xlfn.IFNA(VLOOKUP(Wapato_Inventory[[#This Row],[condition]],Lookups!$H$17:$J$24,3,FALSE),0)</f>
        <v>16276</v>
      </c>
      <c r="BM882" s="7">
        <f>Wapato_Inventory[[#This Row],[Age]]*Lookups!$B$16</f>
        <v>-41886.354100000004</v>
      </c>
      <c r="BN882" s="7">
        <f>Wapato_Inventory[[#This Row],[Main Floor]]*Lookups!$B$17</f>
        <v>18308.723682</v>
      </c>
      <c r="BO882" s="7">
        <f>Wapato_Inventory[[#This Row],[Upper Floor]]*Lookups!$B$18</f>
        <v>0</v>
      </c>
      <c r="BP882" s="7">
        <f>Wapato_Inventory[[#This Row],[Fin BSMT]]*Lookups!$B$19</f>
        <v>0</v>
      </c>
      <c r="BQ882" s="7">
        <f>(Wapato_Inventory[[#This Row],[att_gar]]+Wapato_Inventory[[#This Row],[blt_gar]])*Lookups!$B$20</f>
        <v>0</v>
      </c>
      <c r="BR882" s="7">
        <f>Wapato_Inventory[[#This Row],[Patio]]*Lookups!$B$21</f>
        <v>0</v>
      </c>
      <c r="BS882" s="7">
        <f>SUM(Wapato_Inventory[[#This Row],[intercept]:[patio_value]])*Wapato_Inventory[[#This Row],[res_pct]]</f>
        <v>69887.639581999989</v>
      </c>
      <c r="BT882" s="7">
        <f>Wapato_Inventory[[#This Row],[land_value]]</f>
        <v>53000</v>
      </c>
      <c r="BU882" s="2">
        <f>_xlfn.IFNA(VLOOKUP(Wapato_Inventory[[#This Row],[quality]],Lookups!$A$28:$C$37,3,FALSE),1)</f>
        <v>1.0091195562373767</v>
      </c>
      <c r="BV882" s="2">
        <f>_xlfn.IFNA(VLOOKUP(Wapato_Inventory[[#This Row],[condition]],Lookups!$A$41:$C$48,3,FALSE),1)</f>
        <v>0.93399385491337139</v>
      </c>
      <c r="BW882" s="2">
        <f>IF(Wapato_Inventory[[#This Row],[decade]]="",1,_xlfn.IFNA(VLOOKUP(Wapato_Inventory[[#This Row],[decade]],Lookups!$F$28:$H$45,3,FALSE),1))</f>
        <v>0.93664589651353292</v>
      </c>
      <c r="BX882" s="2">
        <f>_xlfn.IFNA(VLOOKUP(Wapato_Inventory[[#This Row],[living_area_range]],Lookups!$K$28:$M$37,3,FALSE),1)</f>
        <v>0.62984720518148585</v>
      </c>
      <c r="BY882" s="2">
        <f>AVERAGE(Wapato_Inventory[[#This Row],[qual_adj]:[range_adj]])</f>
        <v>0.87740162821144163</v>
      </c>
      <c r="BZ882" s="7">
        <f>(Wapato_Inventory[[#This Row],[sum_land]]-IF(Wapato_Inventory[[#This Row],[no_utilities]]=1,12000,0))/IF(Wapato_Inventory[[#This Row],[unbuildable]]=1,2,1)</f>
        <v>53000</v>
      </c>
      <c r="CA882" s="7">
        <f>Wapato_Inventory[[#This Row],[pre_res]]*Wapato_Inventory[[#This Row],[overall_adj]]</f>
        <v>61319.528761101188</v>
      </c>
      <c r="CB88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82" s="3">
        <f>IF(ROUND(Wapato_Inventory[[#This Row],[adj_res]]*Lookups!$H$48,-2)&lt;Wapato_Inventory[[#This Row],[min_res]],Wapato_Inventory[[#This Row],[min_res]],ROUND(Wapato_Inventory[[#This Row],[adj_res]]*Lookups!$H$48,-2))</f>
        <v>58300</v>
      </c>
      <c r="CD882" s="3">
        <f>ROUND(Wapato_Inventory[[#This Row],[det_value]]*Lookups!$H$48,-2)</f>
        <v>13200</v>
      </c>
      <c r="CE882" s="3">
        <f>Wapato_Inventory[[#This Row],[final_res]]+Wapato_Inventory[[#This Row],[final_det]]</f>
        <v>71500</v>
      </c>
      <c r="CF882" s="3">
        <f>Wapato_Inventory[[#This Row],[crop_value]]+Wapato_Inventory[[#This Row],[final_land]]+Wapato_Inventory[[#This Row],[final_imp]]</f>
        <v>121900</v>
      </c>
      <c r="CH882" t="str">
        <f t="shared" si="13"/>
        <v>update valuation set market_land =50400, market_bldg=71500, market_total =121900, market_mdno =405, market_date ='9/10/2023' where link_id = (select link_id from parcel where parcel_year = '2024' and parcel_id = '19111514556');</v>
      </c>
    </row>
    <row r="883" spans="1:86" x14ac:dyDescent="0.25">
      <c r="A883">
        <v>19111514557</v>
      </c>
      <c r="B883">
        <v>0.15</v>
      </c>
      <c r="C883">
        <v>6604</v>
      </c>
      <c r="D883" t="s">
        <v>144</v>
      </c>
      <c r="E883" t="s">
        <v>54</v>
      </c>
      <c r="F883" t="s">
        <v>54</v>
      </c>
      <c r="G883">
        <v>3</v>
      </c>
      <c r="H883" t="s">
        <v>55</v>
      </c>
      <c r="I883">
        <v>183400</v>
      </c>
      <c r="J883">
        <v>32300</v>
      </c>
      <c r="K883">
        <v>0.15</v>
      </c>
      <c r="L883">
        <f>IF(Wapato_Inventory[[#This Row],[parcel_acres]]-Wapato_Inventory[[#This Row],[non_valued_acres]] =0,0,LN(Wapato_Inventory[[#This Row],[parcel_acres]]-Wapato_Inventory[[#This Row],[non_valued_acres]]))</f>
        <v>-1.8971199848858813</v>
      </c>
      <c r="M883">
        <v>0</v>
      </c>
      <c r="N883">
        <v>0</v>
      </c>
      <c r="O883">
        <v>0</v>
      </c>
      <c r="P883">
        <v>27904.037</v>
      </c>
      <c r="Q883">
        <v>74398</v>
      </c>
      <c r="R883" s="3">
        <f>(Wapato_Inventory[[#This Row],[ln_acres]]*Wapato_Inventory[[#This Row],[coeff]])+Wapato_Inventory[[#This Row],[const]]</f>
        <v>21460.693748304926</v>
      </c>
      <c r="S883" t="s">
        <v>154</v>
      </c>
      <c r="T883">
        <v>2</v>
      </c>
      <c r="U883" t="s">
        <v>75</v>
      </c>
      <c r="V883" t="s">
        <v>69</v>
      </c>
      <c r="W883">
        <v>0</v>
      </c>
      <c r="X883">
        <v>0</v>
      </c>
      <c r="Y883">
        <v>65</v>
      </c>
      <c r="Z883">
        <v>113</v>
      </c>
      <c r="AA883">
        <v>120</v>
      </c>
      <c r="AB883">
        <v>2000</v>
      </c>
      <c r="AC883">
        <v>1930</v>
      </c>
      <c r="AD883">
        <v>720</v>
      </c>
      <c r="AE883">
        <v>720</v>
      </c>
      <c r="AF883">
        <v>0</v>
      </c>
      <c r="AG883">
        <v>490</v>
      </c>
      <c r="AH883">
        <v>38</v>
      </c>
      <c r="AI883">
        <v>0</v>
      </c>
      <c r="AJ883">
        <v>0</v>
      </c>
      <c r="AK883">
        <v>0</v>
      </c>
      <c r="AL883">
        <v>0</v>
      </c>
      <c r="AM883">
        <v>0</v>
      </c>
      <c r="AN883">
        <v>154</v>
      </c>
      <c r="AO883">
        <v>0</v>
      </c>
      <c r="AP883">
        <v>8</v>
      </c>
      <c r="AQ883">
        <v>0</v>
      </c>
      <c r="AR883">
        <v>0</v>
      </c>
      <c r="AS883" t="s">
        <v>59</v>
      </c>
      <c r="AT883">
        <v>1</v>
      </c>
      <c r="AU883" t="s">
        <v>64</v>
      </c>
      <c r="AV883" t="s">
        <v>65</v>
      </c>
      <c r="AW883">
        <v>0</v>
      </c>
      <c r="AX883">
        <v>4</v>
      </c>
      <c r="AY883">
        <v>0</v>
      </c>
      <c r="AZ883">
        <v>0</v>
      </c>
      <c r="BA883">
        <v>100</v>
      </c>
      <c r="BB883">
        <v>100</v>
      </c>
      <c r="BC883">
        <v>100</v>
      </c>
      <c r="BD883">
        <v>100</v>
      </c>
      <c r="BE883">
        <v>1</v>
      </c>
      <c r="BF883">
        <v>15000</v>
      </c>
      <c r="BG883">
        <v>1000</v>
      </c>
      <c r="BH883" s="7">
        <f>ROUND(Wapato_Inventory[[#This Row],[detatched_value]]*Lookups!$B$22*Lookups!$H$48,-2)</f>
        <v>0</v>
      </c>
      <c r="BI883" s="7">
        <f>ROUND(((Wapato_Inventory[[#This Row],[land_extract]]*Lookups!$B$3) +(Lookups!$B$2*0.5))*Lookups!$H$48,-2)</f>
        <v>53100</v>
      </c>
      <c r="BJ883" s="7">
        <f>IF(Wapato_Inventory[[#This Row],[bldg_style]]="",0,Lookups!$B$2*0.5)</f>
        <v>53765.27</v>
      </c>
      <c r="BK883" s="7">
        <f>_xlfn.IFNA(VLOOKUP(Wapato_Inventory[[#This Row],[quality]],Lookups!$H$2:$J$14,3,FALSE),0)</f>
        <v>48043</v>
      </c>
      <c r="BL883" s="7">
        <f>_xlfn.IFNA(VLOOKUP(Wapato_Inventory[[#This Row],[condition]],Lookups!$H$17:$J$24,3,FALSE),0)</f>
        <v>74543</v>
      </c>
      <c r="BM883" s="7">
        <f>Wapato_Inventory[[#This Row],[Age]]*Lookups!$B$16</f>
        <v>-41886.354100000004</v>
      </c>
      <c r="BN883" s="7">
        <f>Wapato_Inventory[[#This Row],[Main Floor]]*Lookups!$B$17</f>
        <v>30096.532080000001</v>
      </c>
      <c r="BO883" s="7">
        <f>Wapato_Inventory[[#This Row],[Upper Floor]]*Lookups!$B$18</f>
        <v>35712.820080000005</v>
      </c>
      <c r="BP883" s="7">
        <f>Wapato_Inventory[[#This Row],[Fin BSMT]]*Lookups!$B$19</f>
        <v>11939.702600000001</v>
      </c>
      <c r="BQ883" s="7">
        <f>(Wapato_Inventory[[#This Row],[att_gar]]+Wapato_Inventory[[#This Row],[blt_gar]])*Lookups!$B$20</f>
        <v>0</v>
      </c>
      <c r="BR883" s="7">
        <f>Wapato_Inventory[[#This Row],[Patio]]*Lookups!$B$21</f>
        <v>0</v>
      </c>
      <c r="BS883" s="7">
        <f>SUM(Wapato_Inventory[[#This Row],[intercept]:[patio_value]])*Wapato_Inventory[[#This Row],[res_pct]]</f>
        <v>212213.97065999999</v>
      </c>
      <c r="BT883" s="7">
        <f>Wapato_Inventory[[#This Row],[land_value]]</f>
        <v>53100</v>
      </c>
      <c r="BU883" s="2">
        <f>_xlfn.IFNA(VLOOKUP(Wapato_Inventory[[#This Row],[quality]],Lookups!$A$28:$C$37,3,FALSE),1)</f>
        <v>0.98196844879778955</v>
      </c>
      <c r="BV883" s="2">
        <f>_xlfn.IFNA(VLOOKUP(Wapato_Inventory[[#This Row],[condition]],Lookups!$A$41:$C$48,3,FALSE),1)</f>
        <v>0.98442438223270734</v>
      </c>
      <c r="BW883" s="2">
        <f>IF(Wapato_Inventory[[#This Row],[decade]]="",1,_xlfn.IFNA(VLOOKUP(Wapato_Inventory[[#This Row],[decade]],Lookups!$F$28:$H$45,3,FALSE),1))</f>
        <v>0.93664589651353292</v>
      </c>
      <c r="BX883" s="2">
        <f>_xlfn.IFNA(VLOOKUP(Wapato_Inventory[[#This Row],[living_area_range]],Lookups!$K$28:$M$37,3,FALSE),1)</f>
        <v>0.99330894324714125</v>
      </c>
      <c r="BY883" s="2">
        <f>AVERAGE(Wapato_Inventory[[#This Row],[qual_adj]:[range_adj]])</f>
        <v>0.97408691769779276</v>
      </c>
      <c r="BZ883" s="7">
        <f>(Wapato_Inventory[[#This Row],[sum_land]]-IF(Wapato_Inventory[[#This Row],[no_utilities]]=1,12000,0))/IF(Wapato_Inventory[[#This Row],[unbuildable]]=1,2,1)</f>
        <v>53100</v>
      </c>
      <c r="CA883" s="7">
        <f>Wapato_Inventory[[#This Row],[pre_res]]*Wapato_Inventory[[#This Row],[overall_adj]]</f>
        <v>206714.85257260923</v>
      </c>
      <c r="CB88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83" s="3">
        <f>IF(ROUND(Wapato_Inventory[[#This Row],[adj_res]]*Lookups!$H$48,-2)&lt;Wapato_Inventory[[#This Row],[min_res]],Wapato_Inventory[[#This Row],[min_res]],ROUND(Wapato_Inventory[[#This Row],[adj_res]]*Lookups!$H$48,-2))</f>
        <v>196400</v>
      </c>
      <c r="CD883" s="3">
        <f>ROUND(Wapato_Inventory[[#This Row],[det_value]]*Lookups!$H$48,-2)</f>
        <v>0</v>
      </c>
      <c r="CE883" s="3">
        <f>Wapato_Inventory[[#This Row],[final_res]]+Wapato_Inventory[[#This Row],[final_det]]</f>
        <v>196400</v>
      </c>
      <c r="CF883" s="3">
        <f>Wapato_Inventory[[#This Row],[crop_value]]+Wapato_Inventory[[#This Row],[final_land]]+Wapato_Inventory[[#This Row],[final_imp]]</f>
        <v>246800</v>
      </c>
      <c r="CH883" t="str">
        <f t="shared" si="13"/>
        <v>update valuation set market_land =50400, market_bldg=196400, market_total =246800, market_mdno =405, market_date ='9/10/2023' where link_id = (select link_id from parcel where parcel_year = '2024' and parcel_id = '19111514557');</v>
      </c>
    </row>
    <row r="884" spans="1:86" x14ac:dyDescent="0.25">
      <c r="A884">
        <v>19111514558</v>
      </c>
      <c r="B884">
        <v>0.15</v>
      </c>
      <c r="C884">
        <v>6393</v>
      </c>
      <c r="D884" t="s">
        <v>144</v>
      </c>
      <c r="E884" t="s">
        <v>54</v>
      </c>
      <c r="F884" t="s">
        <v>54</v>
      </c>
      <c r="G884">
        <v>3</v>
      </c>
      <c r="H884" t="s">
        <v>55</v>
      </c>
      <c r="I884">
        <v>138700</v>
      </c>
      <c r="J884">
        <v>32300</v>
      </c>
      <c r="K884">
        <v>0.15</v>
      </c>
      <c r="L884">
        <f>IF(Wapato_Inventory[[#This Row],[parcel_acres]]-Wapato_Inventory[[#This Row],[non_valued_acres]] =0,0,LN(Wapato_Inventory[[#This Row],[parcel_acres]]-Wapato_Inventory[[#This Row],[non_valued_acres]]))</f>
        <v>-1.8971199848858813</v>
      </c>
      <c r="M884">
        <v>0</v>
      </c>
      <c r="N884">
        <v>0</v>
      </c>
      <c r="O884">
        <v>0</v>
      </c>
      <c r="P884">
        <v>27904.037</v>
      </c>
      <c r="Q884">
        <v>74398</v>
      </c>
      <c r="R884" s="3">
        <f>(Wapato_Inventory[[#This Row],[ln_acres]]*Wapato_Inventory[[#This Row],[coeff]])+Wapato_Inventory[[#This Row],[const]]</f>
        <v>21460.693748304926</v>
      </c>
      <c r="S884" t="s">
        <v>66</v>
      </c>
      <c r="T884">
        <v>1</v>
      </c>
      <c r="U884" t="s">
        <v>75</v>
      </c>
      <c r="V884" t="s">
        <v>68</v>
      </c>
      <c r="W884">
        <v>0</v>
      </c>
      <c r="X884">
        <v>0</v>
      </c>
      <c r="Y884">
        <v>52</v>
      </c>
      <c r="Z884">
        <v>88</v>
      </c>
      <c r="AA884">
        <v>90</v>
      </c>
      <c r="AB884">
        <v>1500</v>
      </c>
      <c r="AC884">
        <v>1350</v>
      </c>
      <c r="AD884">
        <v>855</v>
      </c>
      <c r="AE884">
        <v>0</v>
      </c>
      <c r="AF884">
        <v>0</v>
      </c>
      <c r="AG884">
        <v>495</v>
      </c>
      <c r="AH884">
        <v>0</v>
      </c>
      <c r="AI884">
        <v>0</v>
      </c>
      <c r="AJ884">
        <v>0</v>
      </c>
      <c r="AK884">
        <v>0</v>
      </c>
      <c r="AL884">
        <v>0</v>
      </c>
      <c r="AM884">
        <v>0</v>
      </c>
      <c r="AN884">
        <v>0</v>
      </c>
      <c r="AO884">
        <v>0</v>
      </c>
      <c r="AP884">
        <v>7</v>
      </c>
      <c r="AQ884">
        <v>0</v>
      </c>
      <c r="AR884">
        <v>0</v>
      </c>
      <c r="AS884" t="s">
        <v>59</v>
      </c>
      <c r="AT884">
        <v>1</v>
      </c>
      <c r="AU884" t="s">
        <v>64</v>
      </c>
      <c r="AV884" t="s">
        <v>77</v>
      </c>
      <c r="AW884">
        <v>0</v>
      </c>
      <c r="AX884">
        <v>2</v>
      </c>
      <c r="AY884">
        <v>0</v>
      </c>
      <c r="AZ884">
        <v>9500</v>
      </c>
      <c r="BA884">
        <v>100</v>
      </c>
      <c r="BB884">
        <v>100</v>
      </c>
      <c r="BC884">
        <v>100</v>
      </c>
      <c r="BD884">
        <v>100</v>
      </c>
      <c r="BE884">
        <v>1</v>
      </c>
      <c r="BF884">
        <v>15000</v>
      </c>
      <c r="BG884">
        <v>1000</v>
      </c>
      <c r="BH884" s="7">
        <f>ROUND(Wapato_Inventory[[#This Row],[detatched_value]]*Lookups!$B$22*Lookups!$H$48,-2)</f>
        <v>8500</v>
      </c>
      <c r="BI884" s="7">
        <f>ROUND(((Wapato_Inventory[[#This Row],[land_extract]]*Lookups!$B$3) +(Lookups!$B$2*0.5))*Lookups!$H$48,-2)</f>
        <v>53100</v>
      </c>
      <c r="BJ884" s="7">
        <f>IF(Wapato_Inventory[[#This Row],[bldg_style]]="",0,Lookups!$B$2*0.5)</f>
        <v>53765.27</v>
      </c>
      <c r="BK884" s="7">
        <f>_xlfn.IFNA(VLOOKUP(Wapato_Inventory[[#This Row],[quality]],Lookups!$H$2:$J$14,3,FALSE),0)</f>
        <v>48043</v>
      </c>
      <c r="BL884" s="7">
        <f>_xlfn.IFNA(VLOOKUP(Wapato_Inventory[[#This Row],[condition]],Lookups!$H$17:$J$24,3,FALSE),0)</f>
        <v>52231</v>
      </c>
      <c r="BM884" s="7">
        <f>Wapato_Inventory[[#This Row],[Age]]*Lookups!$B$16</f>
        <v>-32619.461600000002</v>
      </c>
      <c r="BN884" s="7">
        <f>Wapato_Inventory[[#This Row],[Main Floor]]*Lookups!$B$17</f>
        <v>35739.631845000004</v>
      </c>
      <c r="BO884" s="7">
        <f>Wapato_Inventory[[#This Row],[Upper Floor]]*Lookups!$B$18</f>
        <v>0</v>
      </c>
      <c r="BP884" s="7">
        <f>Wapato_Inventory[[#This Row],[Fin BSMT]]*Lookups!$B$19</f>
        <v>12061.5363</v>
      </c>
      <c r="BQ884" s="7">
        <f>(Wapato_Inventory[[#This Row],[att_gar]]+Wapato_Inventory[[#This Row],[blt_gar]])*Lookups!$B$20</f>
        <v>0</v>
      </c>
      <c r="BR884" s="7">
        <f>Wapato_Inventory[[#This Row],[Patio]]*Lookups!$B$21</f>
        <v>0</v>
      </c>
      <c r="BS884" s="7">
        <f>SUM(Wapato_Inventory[[#This Row],[intercept]:[patio_value]])*Wapato_Inventory[[#This Row],[res_pct]]</f>
        <v>169220.97654499998</v>
      </c>
      <c r="BT884" s="7">
        <f>Wapato_Inventory[[#This Row],[land_value]]</f>
        <v>53100</v>
      </c>
      <c r="BU884" s="2">
        <f>_xlfn.IFNA(VLOOKUP(Wapato_Inventory[[#This Row],[quality]],Lookups!$A$28:$C$37,3,FALSE),1)</f>
        <v>0.98196844879778955</v>
      </c>
      <c r="BV884" s="2">
        <f>_xlfn.IFNA(VLOOKUP(Wapato_Inventory[[#This Row],[condition]],Lookups!$A$41:$C$48,3,FALSE),1)</f>
        <v>0.9832333997567807</v>
      </c>
      <c r="BW884" s="2">
        <f>IF(Wapato_Inventory[[#This Row],[decade]]="",1,_xlfn.IFNA(VLOOKUP(Wapato_Inventory[[#This Row],[decade]],Lookups!$F$28:$H$45,3,FALSE),1))</f>
        <v>0.94742695999815718</v>
      </c>
      <c r="BX884" s="2">
        <f>_xlfn.IFNA(VLOOKUP(Wapato_Inventory[[#This Row],[living_area_range]],Lookups!$K$28:$M$37,3,FALSE),1)</f>
        <v>1.0061411172456287</v>
      </c>
      <c r="BY884" s="2">
        <f>AVERAGE(Wapato_Inventory[[#This Row],[qual_adj]:[range_adj]])</f>
        <v>0.97969248144958898</v>
      </c>
      <c r="BZ884" s="7">
        <f>(Wapato_Inventory[[#This Row],[sum_land]]-IF(Wapato_Inventory[[#This Row],[no_utilities]]=1,12000,0))/IF(Wapato_Inventory[[#This Row],[unbuildable]]=1,2,1)</f>
        <v>53100</v>
      </c>
      <c r="CA884" s="7">
        <f>Wapato_Inventory[[#This Row],[pre_res]]*Wapato_Inventory[[#This Row],[overall_adj]]</f>
        <v>165784.51842469373</v>
      </c>
      <c r="CB88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84" s="3">
        <f>IF(ROUND(Wapato_Inventory[[#This Row],[adj_res]]*Lookups!$H$48,-2)&lt;Wapato_Inventory[[#This Row],[min_res]],Wapato_Inventory[[#This Row],[min_res]],ROUND(Wapato_Inventory[[#This Row],[adj_res]]*Lookups!$H$48,-2))</f>
        <v>157500</v>
      </c>
      <c r="CD884" s="3">
        <f>ROUND(Wapato_Inventory[[#This Row],[det_value]]*Lookups!$H$48,-2)</f>
        <v>8100</v>
      </c>
      <c r="CE884" s="3">
        <f>Wapato_Inventory[[#This Row],[final_res]]+Wapato_Inventory[[#This Row],[final_det]]</f>
        <v>165600</v>
      </c>
      <c r="CF884" s="3">
        <f>Wapato_Inventory[[#This Row],[crop_value]]+Wapato_Inventory[[#This Row],[final_land]]+Wapato_Inventory[[#This Row],[final_imp]]</f>
        <v>216000</v>
      </c>
      <c r="CH884" t="str">
        <f t="shared" si="13"/>
        <v>update valuation set market_land =50400, market_bldg=165600, market_total =216000, market_mdno =405, market_date ='9/10/2023' where link_id = (select link_id from parcel where parcel_year = '2024' and parcel_id = '19111514558');</v>
      </c>
    </row>
    <row r="885" spans="1:86" x14ac:dyDescent="0.25">
      <c r="A885">
        <v>19111514559</v>
      </c>
      <c r="B885">
        <v>0.11</v>
      </c>
      <c r="C885">
        <v>4775</v>
      </c>
      <c r="D885" t="s">
        <v>144</v>
      </c>
      <c r="E885" t="s">
        <v>54</v>
      </c>
      <c r="F885" t="s">
        <v>54</v>
      </c>
      <c r="G885">
        <v>3</v>
      </c>
      <c r="H885" t="s">
        <v>55</v>
      </c>
      <c r="I885">
        <v>50300</v>
      </c>
      <c r="J885">
        <v>30200</v>
      </c>
      <c r="K885">
        <v>0.11</v>
      </c>
      <c r="L885">
        <f>IF(Wapato_Inventory[[#This Row],[parcel_acres]]-Wapato_Inventory[[#This Row],[non_valued_acres]] =0,0,LN(Wapato_Inventory[[#This Row],[parcel_acres]]-Wapato_Inventory[[#This Row],[non_valued_acres]]))</f>
        <v>-2.2072749131897207</v>
      </c>
      <c r="M885">
        <v>0</v>
      </c>
      <c r="N885">
        <v>0</v>
      </c>
      <c r="O885">
        <v>0</v>
      </c>
      <c r="P885">
        <v>27904.037</v>
      </c>
      <c r="Q885">
        <v>74398</v>
      </c>
      <c r="R885" s="3">
        <f>(Wapato_Inventory[[#This Row],[ln_acres]]*Wapato_Inventory[[#This Row],[coeff]])+Wapato_Inventory[[#This Row],[const]]</f>
        <v>12806.119153182248</v>
      </c>
      <c r="S885" t="s">
        <v>66</v>
      </c>
      <c r="T885">
        <v>1</v>
      </c>
      <c r="U885" t="s">
        <v>71</v>
      </c>
      <c r="V885" t="s">
        <v>73</v>
      </c>
      <c r="W885">
        <v>0</v>
      </c>
      <c r="X885">
        <v>0</v>
      </c>
      <c r="Y885">
        <v>52</v>
      </c>
      <c r="Z885">
        <v>88</v>
      </c>
      <c r="AA885">
        <v>90</v>
      </c>
      <c r="AB885">
        <v>1500</v>
      </c>
      <c r="AC885">
        <v>1143</v>
      </c>
      <c r="AD885">
        <v>1143</v>
      </c>
      <c r="AE885">
        <v>0</v>
      </c>
      <c r="AF885">
        <v>0</v>
      </c>
      <c r="AG885">
        <v>0</v>
      </c>
      <c r="AH885">
        <v>0</v>
      </c>
      <c r="AI885">
        <v>0</v>
      </c>
      <c r="AJ885">
        <v>0</v>
      </c>
      <c r="AK885">
        <v>328</v>
      </c>
      <c r="AL885">
        <v>0</v>
      </c>
      <c r="AM885">
        <v>0</v>
      </c>
      <c r="AN885">
        <v>67</v>
      </c>
      <c r="AO885">
        <v>0</v>
      </c>
      <c r="AP885">
        <v>5</v>
      </c>
      <c r="AQ885">
        <v>0</v>
      </c>
      <c r="AR885">
        <v>0</v>
      </c>
      <c r="AS885" t="s">
        <v>59</v>
      </c>
      <c r="AT885">
        <v>1</v>
      </c>
      <c r="AU885" t="s">
        <v>76</v>
      </c>
      <c r="AV885" t="s">
        <v>77</v>
      </c>
      <c r="AW885">
        <v>0</v>
      </c>
      <c r="AX885">
        <v>2</v>
      </c>
      <c r="AY885">
        <v>0</v>
      </c>
      <c r="AZ885">
        <v>0</v>
      </c>
      <c r="BA885">
        <v>100</v>
      </c>
      <c r="BB885">
        <v>100</v>
      </c>
      <c r="BC885">
        <v>100</v>
      </c>
      <c r="BD885">
        <v>71</v>
      </c>
      <c r="BE885">
        <v>0.71</v>
      </c>
      <c r="BF885">
        <v>15000</v>
      </c>
      <c r="BG885">
        <v>1000</v>
      </c>
      <c r="BH885" s="7">
        <f>ROUND(Wapato_Inventory[[#This Row],[detatched_value]]*Lookups!$B$22*Lookups!$H$48,-2)</f>
        <v>0</v>
      </c>
      <c r="BI885" s="7">
        <f>ROUND(((Wapato_Inventory[[#This Row],[land_extract]]*Lookups!$B$3) +(Lookups!$B$2*0.5))*Lookups!$H$48,-2)</f>
        <v>52300</v>
      </c>
      <c r="BJ885" s="7">
        <f>IF(Wapato_Inventory[[#This Row],[bldg_style]]="",0,Lookups!$B$2*0.5)</f>
        <v>53765.27</v>
      </c>
      <c r="BK885" s="7">
        <f>_xlfn.IFNA(VLOOKUP(Wapato_Inventory[[#This Row],[quality]],Lookups!$H$2:$J$14,3,FALSE),0)</f>
        <v>28034</v>
      </c>
      <c r="BL885" s="7">
        <f>_xlfn.IFNA(VLOOKUP(Wapato_Inventory[[#This Row],[condition]],Lookups!$H$17:$J$24,3,FALSE),0)</f>
        <v>16276</v>
      </c>
      <c r="BM885" s="7">
        <f>Wapato_Inventory[[#This Row],[Age]]*Lookups!$B$16</f>
        <v>-32619.461600000002</v>
      </c>
      <c r="BN885" s="7">
        <f>Wapato_Inventory[[#This Row],[Main Floor]]*Lookups!$B$17</f>
        <v>47778.244677000002</v>
      </c>
      <c r="BO885" s="7">
        <f>Wapato_Inventory[[#This Row],[Upper Floor]]*Lookups!$B$18</f>
        <v>0</v>
      </c>
      <c r="BP885" s="7">
        <f>Wapato_Inventory[[#This Row],[Fin BSMT]]*Lookups!$B$19</f>
        <v>0</v>
      </c>
      <c r="BQ885" s="7">
        <f>(Wapato_Inventory[[#This Row],[att_gar]]+Wapato_Inventory[[#This Row],[blt_gar]])*Lookups!$B$20</f>
        <v>0</v>
      </c>
      <c r="BR885" s="7">
        <f>Wapato_Inventory[[#This Row],[Patio]]*Lookups!$B$21</f>
        <v>0</v>
      </c>
      <c r="BS885" s="7">
        <f>SUM(Wapato_Inventory[[#This Row],[intercept]:[patio_value]])*Wapato_Inventory[[#This Row],[res_pct]]</f>
        <v>80396.177684669994</v>
      </c>
      <c r="BT885" s="7">
        <f>Wapato_Inventory[[#This Row],[land_value]]</f>
        <v>52300</v>
      </c>
      <c r="BU885" s="2">
        <f>_xlfn.IFNA(VLOOKUP(Wapato_Inventory[[#This Row],[quality]],Lookups!$A$28:$C$37,3,FALSE),1)</f>
        <v>0.96265813922927435</v>
      </c>
      <c r="BV885" s="2">
        <f>_xlfn.IFNA(VLOOKUP(Wapato_Inventory[[#This Row],[condition]],Lookups!$A$41:$C$48,3,FALSE),1)</f>
        <v>0.93399385491337139</v>
      </c>
      <c r="BW885" s="2">
        <f>IF(Wapato_Inventory[[#This Row],[decade]]="",1,_xlfn.IFNA(VLOOKUP(Wapato_Inventory[[#This Row],[decade]],Lookups!$F$28:$H$45,3,FALSE),1))</f>
        <v>0.94742695999815718</v>
      </c>
      <c r="BX885" s="2">
        <f>_xlfn.IFNA(VLOOKUP(Wapato_Inventory[[#This Row],[living_area_range]],Lookups!$K$28:$M$37,3,FALSE),1)</f>
        <v>1.0061411172456287</v>
      </c>
      <c r="BY885" s="2">
        <f>AVERAGE(Wapato_Inventory[[#This Row],[qual_adj]:[range_adj]])</f>
        <v>0.96255501784660791</v>
      </c>
      <c r="BZ885" s="7">
        <f>(Wapato_Inventory[[#This Row],[sum_land]]-IF(Wapato_Inventory[[#This Row],[no_utilities]]=1,12000,0))/IF(Wapato_Inventory[[#This Row],[unbuildable]]=1,2,1)</f>
        <v>52300</v>
      </c>
      <c r="CA885" s="7">
        <f>Wapato_Inventory[[#This Row],[pre_res]]*Wapato_Inventory[[#This Row],[overall_adj]]</f>
        <v>77385.744246066592</v>
      </c>
      <c r="CB885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885" s="3">
        <f>IF(ROUND(Wapato_Inventory[[#This Row],[adj_res]]*Lookups!$H$48,-2)&lt;Wapato_Inventory[[#This Row],[min_res]],Wapato_Inventory[[#This Row],[min_res]],ROUND(Wapato_Inventory[[#This Row],[adj_res]]*Lookups!$H$48,-2))</f>
        <v>73500</v>
      </c>
      <c r="CD885" s="3">
        <f>ROUND(Wapato_Inventory[[#This Row],[det_value]]*Lookups!$H$48,-2)</f>
        <v>0</v>
      </c>
      <c r="CE885" s="3">
        <f>Wapato_Inventory[[#This Row],[final_res]]+Wapato_Inventory[[#This Row],[final_det]]</f>
        <v>73500</v>
      </c>
      <c r="CF885" s="3">
        <f>Wapato_Inventory[[#This Row],[crop_value]]+Wapato_Inventory[[#This Row],[final_land]]+Wapato_Inventory[[#This Row],[final_imp]]</f>
        <v>123200</v>
      </c>
      <c r="CH885" t="str">
        <f t="shared" si="13"/>
        <v>update valuation set market_land =49700, market_bldg=73500, market_total =123200, market_mdno =405, market_date ='9/10/2023' where link_id = (select link_id from parcel where parcel_year = '2024' and parcel_id = '19111514559');</v>
      </c>
    </row>
    <row r="886" spans="1:86" x14ac:dyDescent="0.25">
      <c r="A886">
        <v>19111514561</v>
      </c>
      <c r="B886">
        <v>0.14000000000000001</v>
      </c>
      <c r="C886">
        <v>6238</v>
      </c>
      <c r="D886" t="s">
        <v>144</v>
      </c>
      <c r="E886" t="s">
        <v>54</v>
      </c>
      <c r="F886" t="s">
        <v>54</v>
      </c>
      <c r="G886">
        <v>3</v>
      </c>
      <c r="H886" t="s">
        <v>55</v>
      </c>
      <c r="I886">
        <v>174000</v>
      </c>
      <c r="J886">
        <v>31900</v>
      </c>
      <c r="K886">
        <v>0.14000000000000001</v>
      </c>
      <c r="L886">
        <f>IF(Wapato_Inventory[[#This Row],[parcel_acres]]-Wapato_Inventory[[#This Row],[non_valued_acres]] =0,0,LN(Wapato_Inventory[[#This Row],[parcel_acres]]-Wapato_Inventory[[#This Row],[non_valued_acres]]))</f>
        <v>-1.9661128563728327</v>
      </c>
      <c r="M886">
        <v>0</v>
      </c>
      <c r="N886">
        <v>0</v>
      </c>
      <c r="O886">
        <v>0</v>
      </c>
      <c r="P886">
        <v>27904.037</v>
      </c>
      <c r="Q886">
        <v>74398</v>
      </c>
      <c r="R886" s="3">
        <f>(Wapato_Inventory[[#This Row],[ln_acres]]*Wapato_Inventory[[#This Row],[coeff]])+Wapato_Inventory[[#This Row],[const]]</f>
        <v>19535.514109596792</v>
      </c>
      <c r="S886" t="s">
        <v>66</v>
      </c>
      <c r="T886">
        <v>1</v>
      </c>
      <c r="U886" t="s">
        <v>71</v>
      </c>
      <c r="V886" t="s">
        <v>69</v>
      </c>
      <c r="W886">
        <v>0</v>
      </c>
      <c r="X886">
        <v>0</v>
      </c>
      <c r="Y886">
        <v>55</v>
      </c>
      <c r="Z886">
        <v>98</v>
      </c>
      <c r="AA886">
        <v>100</v>
      </c>
      <c r="AB886">
        <v>1500</v>
      </c>
      <c r="AC886">
        <v>1448</v>
      </c>
      <c r="AD886">
        <v>1448</v>
      </c>
      <c r="AE886">
        <v>0</v>
      </c>
      <c r="AF886">
        <v>0</v>
      </c>
      <c r="AG886">
        <v>0</v>
      </c>
      <c r="AH886">
        <v>0</v>
      </c>
      <c r="AI886">
        <v>0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5</v>
      </c>
      <c r="AQ886">
        <v>0</v>
      </c>
      <c r="AR886">
        <v>0</v>
      </c>
      <c r="AS886" t="s">
        <v>59</v>
      </c>
      <c r="AT886">
        <v>1</v>
      </c>
      <c r="AU886" t="s">
        <v>76</v>
      </c>
      <c r="AV886" t="s">
        <v>61</v>
      </c>
      <c r="AW886">
        <v>0</v>
      </c>
      <c r="AX886">
        <v>4</v>
      </c>
      <c r="AY886">
        <v>0</v>
      </c>
      <c r="AZ886">
        <v>10300</v>
      </c>
      <c r="BA886">
        <v>100</v>
      </c>
      <c r="BB886">
        <v>100</v>
      </c>
      <c r="BC886">
        <v>100</v>
      </c>
      <c r="BD886">
        <v>100</v>
      </c>
      <c r="BE886">
        <v>1</v>
      </c>
      <c r="BF886">
        <v>15000</v>
      </c>
      <c r="BG886">
        <v>1000</v>
      </c>
      <c r="BH886" s="7">
        <f>ROUND(Wapato_Inventory[[#This Row],[detatched_value]]*Lookups!$B$22*Lookups!$H$48,-2)</f>
        <v>9200</v>
      </c>
      <c r="BI886" s="7">
        <f>ROUND(((Wapato_Inventory[[#This Row],[land_extract]]*Lookups!$B$3) +(Lookups!$B$2*0.5))*Lookups!$H$48,-2)</f>
        <v>53000</v>
      </c>
      <c r="BJ886" s="7">
        <f>IF(Wapato_Inventory[[#This Row],[bldg_style]]="",0,Lookups!$B$2*0.5)</f>
        <v>53765.27</v>
      </c>
      <c r="BK886" s="7">
        <f>_xlfn.IFNA(VLOOKUP(Wapato_Inventory[[#This Row],[quality]],Lookups!$H$2:$J$14,3,FALSE),0)</f>
        <v>28034</v>
      </c>
      <c r="BL886" s="7">
        <f>_xlfn.IFNA(VLOOKUP(Wapato_Inventory[[#This Row],[condition]],Lookups!$H$17:$J$24,3,FALSE),0)</f>
        <v>74543</v>
      </c>
      <c r="BM886" s="7">
        <f>Wapato_Inventory[[#This Row],[Age]]*Lookups!$B$16</f>
        <v>-36326.2186</v>
      </c>
      <c r="BN886" s="7">
        <f>Wapato_Inventory[[#This Row],[Main Floor]]*Lookups!$B$17</f>
        <v>60527.470072000004</v>
      </c>
      <c r="BO886" s="7">
        <f>Wapato_Inventory[[#This Row],[Upper Floor]]*Lookups!$B$18</f>
        <v>0</v>
      </c>
      <c r="BP886" s="7">
        <f>Wapato_Inventory[[#This Row],[Fin BSMT]]*Lookups!$B$19</f>
        <v>0</v>
      </c>
      <c r="BQ886" s="7">
        <f>(Wapato_Inventory[[#This Row],[att_gar]]+Wapato_Inventory[[#This Row],[blt_gar]])*Lookups!$B$20</f>
        <v>0</v>
      </c>
      <c r="BR886" s="7">
        <f>Wapato_Inventory[[#This Row],[Patio]]*Lookups!$B$21</f>
        <v>0</v>
      </c>
      <c r="BS886" s="7">
        <f>SUM(Wapato_Inventory[[#This Row],[intercept]:[patio_value]])*Wapato_Inventory[[#This Row],[res_pct]]</f>
        <v>180543.52147199999</v>
      </c>
      <c r="BT886" s="7">
        <f>Wapato_Inventory[[#This Row],[land_value]]</f>
        <v>53000</v>
      </c>
      <c r="BU886" s="2">
        <f>_xlfn.IFNA(VLOOKUP(Wapato_Inventory[[#This Row],[quality]],Lookups!$A$28:$C$37,3,FALSE),1)</f>
        <v>0.96265813922927435</v>
      </c>
      <c r="BV886" s="2">
        <f>_xlfn.IFNA(VLOOKUP(Wapato_Inventory[[#This Row],[condition]],Lookups!$A$41:$C$48,3,FALSE),1)</f>
        <v>0.98442438223270734</v>
      </c>
      <c r="BW886" s="2">
        <f>IF(Wapato_Inventory[[#This Row],[decade]]="",1,_xlfn.IFNA(VLOOKUP(Wapato_Inventory[[#This Row],[decade]],Lookups!$F$28:$H$45,3,FALSE),1))</f>
        <v>1.0114203040664467</v>
      </c>
      <c r="BX886" s="2">
        <f>_xlfn.IFNA(VLOOKUP(Wapato_Inventory[[#This Row],[living_area_range]],Lookups!$K$28:$M$37,3,FALSE),1)</f>
        <v>1.0061411172456287</v>
      </c>
      <c r="BY886" s="2">
        <f>AVERAGE(Wapato_Inventory[[#This Row],[qual_adj]:[range_adj]])</f>
        <v>0.99116098569351418</v>
      </c>
      <c r="BZ886" s="7">
        <f>(Wapato_Inventory[[#This Row],[sum_land]]-IF(Wapato_Inventory[[#This Row],[no_utilities]]=1,12000,0))/IF(Wapato_Inventory[[#This Row],[unbuildable]]=1,2,1)</f>
        <v>53000</v>
      </c>
      <c r="CA886" s="7">
        <f>Wapato_Inventory[[#This Row],[pre_res]]*Wapato_Inventory[[#This Row],[overall_adj]]</f>
        <v>178947.69470276564</v>
      </c>
      <c r="CB88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86" s="3">
        <f>IF(ROUND(Wapato_Inventory[[#This Row],[adj_res]]*Lookups!$H$48,-2)&lt;Wapato_Inventory[[#This Row],[min_res]],Wapato_Inventory[[#This Row],[min_res]],ROUND(Wapato_Inventory[[#This Row],[adj_res]]*Lookups!$H$48,-2))</f>
        <v>170000</v>
      </c>
      <c r="CD886" s="3">
        <f>ROUND(Wapato_Inventory[[#This Row],[det_value]]*Lookups!$H$48,-2)</f>
        <v>8700</v>
      </c>
      <c r="CE886" s="3">
        <f>Wapato_Inventory[[#This Row],[final_res]]+Wapato_Inventory[[#This Row],[final_det]]</f>
        <v>178700</v>
      </c>
      <c r="CF886" s="3">
        <f>Wapato_Inventory[[#This Row],[crop_value]]+Wapato_Inventory[[#This Row],[final_land]]+Wapato_Inventory[[#This Row],[final_imp]]</f>
        <v>229100</v>
      </c>
      <c r="CH886" t="str">
        <f t="shared" si="13"/>
        <v>update valuation set market_land =50400, market_bldg=178700, market_total =229100, market_mdno =405, market_date ='9/10/2023' where link_id = (select link_id from parcel where parcel_year = '2024' and parcel_id = '19111514561');</v>
      </c>
    </row>
    <row r="887" spans="1:86" x14ac:dyDescent="0.25">
      <c r="A887">
        <v>19111514562</v>
      </c>
      <c r="B887">
        <v>0.15</v>
      </c>
      <c r="C887">
        <v>6340</v>
      </c>
      <c r="D887" t="s">
        <v>144</v>
      </c>
      <c r="E887" t="s">
        <v>54</v>
      </c>
      <c r="F887" t="s">
        <v>54</v>
      </c>
      <c r="G887">
        <v>3</v>
      </c>
      <c r="H887" t="s">
        <v>55</v>
      </c>
      <c r="I887">
        <v>111200</v>
      </c>
      <c r="J887">
        <v>32300</v>
      </c>
      <c r="K887">
        <v>0.15</v>
      </c>
      <c r="L887">
        <f>IF(Wapato_Inventory[[#This Row],[parcel_acres]]-Wapato_Inventory[[#This Row],[non_valued_acres]] =0,0,LN(Wapato_Inventory[[#This Row],[parcel_acres]]-Wapato_Inventory[[#This Row],[non_valued_acres]]))</f>
        <v>-1.8971199848858813</v>
      </c>
      <c r="M887">
        <v>0</v>
      </c>
      <c r="N887">
        <v>0</v>
      </c>
      <c r="O887">
        <v>0</v>
      </c>
      <c r="P887">
        <v>27904.037</v>
      </c>
      <c r="Q887">
        <v>74398</v>
      </c>
      <c r="R887" s="3">
        <f>(Wapato_Inventory[[#This Row],[ln_acres]]*Wapato_Inventory[[#This Row],[coeff]])+Wapato_Inventory[[#This Row],[const]]</f>
        <v>21460.693748304926</v>
      </c>
      <c r="S887" t="s">
        <v>66</v>
      </c>
      <c r="T887">
        <v>1</v>
      </c>
      <c r="U887" t="s">
        <v>78</v>
      </c>
      <c r="V887" t="s">
        <v>68</v>
      </c>
      <c r="W887">
        <v>0</v>
      </c>
      <c r="X887">
        <v>0</v>
      </c>
      <c r="Y887">
        <v>53</v>
      </c>
      <c r="Z887">
        <v>93</v>
      </c>
      <c r="AA887">
        <v>100</v>
      </c>
      <c r="AB887">
        <v>1500</v>
      </c>
      <c r="AC887">
        <v>1071</v>
      </c>
      <c r="AD887">
        <v>1071</v>
      </c>
      <c r="AE887">
        <v>0</v>
      </c>
      <c r="AF887">
        <v>0</v>
      </c>
      <c r="AG887">
        <v>0</v>
      </c>
      <c r="AH887">
        <v>0</v>
      </c>
      <c r="AI887">
        <v>0</v>
      </c>
      <c r="AJ887">
        <v>0</v>
      </c>
      <c r="AK887">
        <v>0</v>
      </c>
      <c r="AL887">
        <v>0</v>
      </c>
      <c r="AM887">
        <v>49</v>
      </c>
      <c r="AN887">
        <v>48</v>
      </c>
      <c r="AO887">
        <v>49</v>
      </c>
      <c r="AP887">
        <v>5</v>
      </c>
      <c r="AQ887">
        <v>0</v>
      </c>
      <c r="AR887">
        <v>0</v>
      </c>
      <c r="AS887" t="s">
        <v>59</v>
      </c>
      <c r="AT887">
        <v>1</v>
      </c>
      <c r="AU887" t="s">
        <v>72</v>
      </c>
      <c r="AV887" t="s">
        <v>65</v>
      </c>
      <c r="AW887">
        <v>0</v>
      </c>
      <c r="AX887">
        <v>2</v>
      </c>
      <c r="AY887">
        <v>0</v>
      </c>
      <c r="AZ887">
        <v>0</v>
      </c>
      <c r="BA887">
        <v>100</v>
      </c>
      <c r="BB887">
        <v>100</v>
      </c>
      <c r="BC887">
        <v>100</v>
      </c>
      <c r="BD887">
        <v>100</v>
      </c>
      <c r="BE887">
        <v>1</v>
      </c>
      <c r="BF887">
        <v>15000</v>
      </c>
      <c r="BG887">
        <v>1000</v>
      </c>
      <c r="BH887" s="7">
        <f>ROUND(Wapato_Inventory[[#This Row],[detatched_value]]*Lookups!$B$22*Lookups!$H$48,-2)</f>
        <v>0</v>
      </c>
      <c r="BI887" s="7">
        <f>ROUND(((Wapato_Inventory[[#This Row],[land_extract]]*Lookups!$B$3) +(Lookups!$B$2*0.5))*Lookups!$H$48,-2)</f>
        <v>53100</v>
      </c>
      <c r="BJ887" s="7">
        <f>IF(Wapato_Inventory[[#This Row],[bldg_style]]="",0,Lookups!$B$2*0.5)</f>
        <v>53765.27</v>
      </c>
      <c r="BK887" s="7">
        <f>_xlfn.IFNA(VLOOKUP(Wapato_Inventory[[#This Row],[quality]],Lookups!$H$2:$J$14,3,FALSE),0)</f>
        <v>23424</v>
      </c>
      <c r="BL887" s="7">
        <f>_xlfn.IFNA(VLOOKUP(Wapato_Inventory[[#This Row],[condition]],Lookups!$H$17:$J$24,3,FALSE),0)</f>
        <v>52231</v>
      </c>
      <c r="BM887" s="7">
        <f>Wapato_Inventory[[#This Row],[Age]]*Lookups!$B$16</f>
        <v>-34472.840100000001</v>
      </c>
      <c r="BN887" s="7">
        <f>Wapato_Inventory[[#This Row],[Main Floor]]*Lookups!$B$17</f>
        <v>44768.591468999999</v>
      </c>
      <c r="BO887" s="7">
        <f>Wapato_Inventory[[#This Row],[Upper Floor]]*Lookups!$B$18</f>
        <v>0</v>
      </c>
      <c r="BP887" s="7">
        <f>Wapato_Inventory[[#This Row],[Fin BSMT]]*Lookups!$B$19</f>
        <v>0</v>
      </c>
      <c r="BQ887" s="7">
        <f>(Wapato_Inventory[[#This Row],[att_gar]]+Wapato_Inventory[[#This Row],[blt_gar]])*Lookups!$B$20</f>
        <v>0</v>
      </c>
      <c r="BR887" s="7">
        <f>Wapato_Inventory[[#This Row],[Patio]]*Lookups!$B$21</f>
        <v>2122.8749710000002</v>
      </c>
      <c r="BS887" s="7">
        <f>SUM(Wapato_Inventory[[#This Row],[intercept]:[patio_value]])*Wapato_Inventory[[#This Row],[res_pct]]</f>
        <v>141838.89634000001</v>
      </c>
      <c r="BT887" s="7">
        <f>Wapato_Inventory[[#This Row],[land_value]]</f>
        <v>53100</v>
      </c>
      <c r="BU887" s="2">
        <f>_xlfn.IFNA(VLOOKUP(Wapato_Inventory[[#This Row],[quality]],Lookups!$A$28:$C$37,3,FALSE),1)</f>
        <v>1.0091195562373767</v>
      </c>
      <c r="BV887" s="2">
        <f>_xlfn.IFNA(VLOOKUP(Wapato_Inventory[[#This Row],[condition]],Lookups!$A$41:$C$48,3,FALSE),1)</f>
        <v>0.9832333997567807</v>
      </c>
      <c r="BW887" s="2">
        <f>IF(Wapato_Inventory[[#This Row],[decade]]="",1,_xlfn.IFNA(VLOOKUP(Wapato_Inventory[[#This Row],[decade]],Lookups!$F$28:$H$45,3,FALSE),1))</f>
        <v>1.0114203040664467</v>
      </c>
      <c r="BX887" s="2">
        <f>_xlfn.IFNA(VLOOKUP(Wapato_Inventory[[#This Row],[living_area_range]],Lookups!$K$28:$M$37,3,FALSE),1)</f>
        <v>1.0061411172456287</v>
      </c>
      <c r="BY887" s="2">
        <f>AVERAGE(Wapato_Inventory[[#This Row],[qual_adj]:[range_adj]])</f>
        <v>1.0024785943265582</v>
      </c>
      <c r="BZ887" s="7">
        <f>(Wapato_Inventory[[#This Row],[sum_land]]-IF(Wapato_Inventory[[#This Row],[no_utilities]]=1,12000,0))/IF(Wapato_Inventory[[#This Row],[unbuildable]]=1,2,1)</f>
        <v>53100</v>
      </c>
      <c r="CA887" s="7">
        <f>Wapato_Inventory[[#This Row],[pre_res]]*Wapato_Inventory[[#This Row],[overall_adj]]</f>
        <v>142190.4574237536</v>
      </c>
      <c r="CB88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87" s="3">
        <f>IF(ROUND(Wapato_Inventory[[#This Row],[adj_res]]*Lookups!$H$48,-2)&lt;Wapato_Inventory[[#This Row],[min_res]],Wapato_Inventory[[#This Row],[min_res]],ROUND(Wapato_Inventory[[#This Row],[adj_res]]*Lookups!$H$48,-2))</f>
        <v>135100</v>
      </c>
      <c r="CD887" s="3">
        <f>ROUND(Wapato_Inventory[[#This Row],[det_value]]*Lookups!$H$48,-2)</f>
        <v>0</v>
      </c>
      <c r="CE887" s="3">
        <f>Wapato_Inventory[[#This Row],[final_res]]+Wapato_Inventory[[#This Row],[final_det]]</f>
        <v>135100</v>
      </c>
      <c r="CF887" s="3">
        <f>Wapato_Inventory[[#This Row],[crop_value]]+Wapato_Inventory[[#This Row],[final_land]]+Wapato_Inventory[[#This Row],[final_imp]]</f>
        <v>185500</v>
      </c>
      <c r="CH887" t="str">
        <f t="shared" si="13"/>
        <v>update valuation set market_land =50400, market_bldg=135100, market_total =185500, market_mdno =405, market_date ='9/10/2023' where link_id = (select link_id from parcel where parcel_year = '2024' and parcel_id = '19111514562');</v>
      </c>
    </row>
    <row r="888" spans="1:86" x14ac:dyDescent="0.25">
      <c r="A888">
        <v>19111514564</v>
      </c>
      <c r="B888">
        <v>0.16</v>
      </c>
      <c r="C888">
        <v>7124</v>
      </c>
      <c r="D888" t="s">
        <v>144</v>
      </c>
      <c r="E888" t="s">
        <v>54</v>
      </c>
      <c r="F888" t="s">
        <v>54</v>
      </c>
      <c r="G888">
        <v>3</v>
      </c>
      <c r="H888" t="s">
        <v>55</v>
      </c>
      <c r="I888">
        <v>211700</v>
      </c>
      <c r="J888">
        <v>32800</v>
      </c>
      <c r="K888">
        <v>0.16</v>
      </c>
      <c r="L888">
        <f>IF(Wapato_Inventory[[#This Row],[parcel_acres]]-Wapato_Inventory[[#This Row],[non_valued_acres]] =0,0,LN(Wapato_Inventory[[#This Row],[parcel_acres]]-Wapato_Inventory[[#This Row],[non_valued_acres]]))</f>
        <v>-1.8325814637483102</v>
      </c>
      <c r="M888">
        <v>0</v>
      </c>
      <c r="N888">
        <v>0</v>
      </c>
      <c r="O888">
        <v>0</v>
      </c>
      <c r="P888">
        <v>27904.037</v>
      </c>
      <c r="Q888">
        <v>74398</v>
      </c>
      <c r="R888" s="3">
        <f>(Wapato_Inventory[[#This Row],[ln_acres]]*Wapato_Inventory[[#This Row],[coeff]])+Wapato_Inventory[[#This Row],[const]]</f>
        <v>23261.579030052992</v>
      </c>
      <c r="S888" t="s">
        <v>66</v>
      </c>
      <c r="T888">
        <v>1</v>
      </c>
      <c r="U888" t="s">
        <v>71</v>
      </c>
      <c r="V888" t="s">
        <v>68</v>
      </c>
      <c r="W888">
        <v>0</v>
      </c>
      <c r="X888">
        <v>0</v>
      </c>
      <c r="Y888">
        <v>51</v>
      </c>
      <c r="Z888">
        <v>83</v>
      </c>
      <c r="AA888">
        <v>90</v>
      </c>
      <c r="AB888">
        <v>1000</v>
      </c>
      <c r="AC888">
        <v>912</v>
      </c>
      <c r="AD888">
        <v>912</v>
      </c>
      <c r="AE888">
        <v>0</v>
      </c>
      <c r="AF888">
        <v>0</v>
      </c>
      <c r="AG888">
        <v>0</v>
      </c>
      <c r="AH888">
        <v>0</v>
      </c>
      <c r="AI888">
        <v>0</v>
      </c>
      <c r="AJ888">
        <v>0</v>
      </c>
      <c r="AK888">
        <v>384</v>
      </c>
      <c r="AL888">
        <v>0</v>
      </c>
      <c r="AM888">
        <v>0</v>
      </c>
      <c r="AN888">
        <v>70</v>
      </c>
      <c r="AO888">
        <v>0</v>
      </c>
      <c r="AP888">
        <v>5</v>
      </c>
      <c r="AQ888">
        <v>1</v>
      </c>
      <c r="AR888">
        <v>0</v>
      </c>
      <c r="AS888" t="s">
        <v>59</v>
      </c>
      <c r="AT888">
        <v>1</v>
      </c>
      <c r="AU888" t="s">
        <v>64</v>
      </c>
      <c r="AV888" t="s">
        <v>65</v>
      </c>
      <c r="AW888">
        <v>0</v>
      </c>
      <c r="AX888">
        <v>2</v>
      </c>
      <c r="AY888">
        <v>0</v>
      </c>
      <c r="AZ888">
        <v>62200</v>
      </c>
      <c r="BA888">
        <v>100</v>
      </c>
      <c r="BB888">
        <v>100</v>
      </c>
      <c r="BC888">
        <v>100</v>
      </c>
      <c r="BD888">
        <v>100</v>
      </c>
      <c r="BE888">
        <v>1</v>
      </c>
      <c r="BF888">
        <v>15000</v>
      </c>
      <c r="BG888">
        <v>1000</v>
      </c>
      <c r="BH888" s="7">
        <f>ROUND(Wapato_Inventory[[#This Row],[detatched_value]]*Lookups!$B$22*Lookups!$H$48,-2)</f>
        <v>55600</v>
      </c>
      <c r="BI888" s="7">
        <f>ROUND(((Wapato_Inventory[[#This Row],[land_extract]]*Lookups!$B$3) +(Lookups!$B$2*0.5))*Lookups!$H$48,-2)</f>
        <v>53300</v>
      </c>
      <c r="BJ888" s="7">
        <f>IF(Wapato_Inventory[[#This Row],[bldg_style]]="",0,Lookups!$B$2*0.5)</f>
        <v>53765.27</v>
      </c>
      <c r="BK888" s="7">
        <f>_xlfn.IFNA(VLOOKUP(Wapato_Inventory[[#This Row],[quality]],Lookups!$H$2:$J$14,3,FALSE),0)</f>
        <v>28034</v>
      </c>
      <c r="BL888" s="7">
        <f>_xlfn.IFNA(VLOOKUP(Wapato_Inventory[[#This Row],[condition]],Lookups!$H$17:$J$24,3,FALSE),0)</f>
        <v>52231</v>
      </c>
      <c r="BM888" s="7">
        <f>Wapato_Inventory[[#This Row],[Age]]*Lookups!$B$16</f>
        <v>-30766.0831</v>
      </c>
      <c r="BN888" s="7">
        <f>Wapato_Inventory[[#This Row],[Main Floor]]*Lookups!$B$17</f>
        <v>38122.273968000001</v>
      </c>
      <c r="BO888" s="7">
        <f>Wapato_Inventory[[#This Row],[Upper Floor]]*Lookups!$B$18</f>
        <v>0</v>
      </c>
      <c r="BP888" s="7">
        <f>Wapato_Inventory[[#This Row],[Fin BSMT]]*Lookups!$B$19</f>
        <v>0</v>
      </c>
      <c r="BQ888" s="7">
        <f>(Wapato_Inventory[[#This Row],[att_gar]]+Wapato_Inventory[[#This Row],[blt_gar]])*Lookups!$B$20</f>
        <v>0</v>
      </c>
      <c r="BR888" s="7">
        <f>Wapato_Inventory[[#This Row],[Patio]]*Lookups!$B$21</f>
        <v>0</v>
      </c>
      <c r="BS888" s="7">
        <f>SUM(Wapato_Inventory[[#This Row],[intercept]:[patio_value]])*Wapato_Inventory[[#This Row],[res_pct]]</f>
        <v>141386.46086799999</v>
      </c>
      <c r="BT888" s="7">
        <f>Wapato_Inventory[[#This Row],[land_value]]</f>
        <v>53300</v>
      </c>
      <c r="BU888" s="2">
        <f>_xlfn.IFNA(VLOOKUP(Wapato_Inventory[[#This Row],[quality]],Lookups!$A$28:$C$37,3,FALSE),1)</f>
        <v>0.96265813922927435</v>
      </c>
      <c r="BV888" s="2">
        <f>_xlfn.IFNA(VLOOKUP(Wapato_Inventory[[#This Row],[condition]],Lookups!$A$41:$C$48,3,FALSE),1)</f>
        <v>0.9832333997567807</v>
      </c>
      <c r="BW888" s="2">
        <f>IF(Wapato_Inventory[[#This Row],[decade]]="",1,_xlfn.IFNA(VLOOKUP(Wapato_Inventory[[#This Row],[decade]],Lookups!$F$28:$H$45,3,FALSE),1))</f>
        <v>0.94742695999815718</v>
      </c>
      <c r="BX888" s="2">
        <f>_xlfn.IFNA(VLOOKUP(Wapato_Inventory[[#This Row],[living_area_range]],Lookups!$K$28:$M$37,3,FALSE),1)</f>
        <v>0.99022994770196116</v>
      </c>
      <c r="BY888" s="2">
        <f>AVERAGE(Wapato_Inventory[[#This Row],[qual_adj]:[range_adj]])</f>
        <v>0.97088711167154329</v>
      </c>
      <c r="BZ888" s="7">
        <f>(Wapato_Inventory[[#This Row],[sum_land]]-IF(Wapato_Inventory[[#This Row],[no_utilities]]=1,12000,0))/IF(Wapato_Inventory[[#This Row],[unbuildable]]=1,2,1)</f>
        <v>53300</v>
      </c>
      <c r="CA888" s="7">
        <f>Wapato_Inventory[[#This Row],[pre_res]]*Wapato_Inventory[[#This Row],[overall_adj]]</f>
        <v>137270.29262159418</v>
      </c>
      <c r="CB888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888" s="3">
        <f>IF(ROUND(Wapato_Inventory[[#This Row],[adj_res]]*Lookups!$H$48,-2)&lt;Wapato_Inventory[[#This Row],[min_res]],Wapato_Inventory[[#This Row],[min_res]],ROUND(Wapato_Inventory[[#This Row],[adj_res]]*Lookups!$H$48,-2))</f>
        <v>130400</v>
      </c>
      <c r="CD888" s="3">
        <f>ROUND(Wapato_Inventory[[#This Row],[det_value]]*Lookups!$H$48,-2)</f>
        <v>52800</v>
      </c>
      <c r="CE888" s="3">
        <f>Wapato_Inventory[[#This Row],[final_res]]+Wapato_Inventory[[#This Row],[final_det]]</f>
        <v>183200</v>
      </c>
      <c r="CF888" s="3">
        <f>Wapato_Inventory[[#This Row],[crop_value]]+Wapato_Inventory[[#This Row],[final_land]]+Wapato_Inventory[[#This Row],[final_imp]]</f>
        <v>233800</v>
      </c>
      <c r="CH888" t="str">
        <f t="shared" si="13"/>
        <v>update valuation set market_land =50600, market_bldg=183200, market_total =233800, market_mdno =405, market_date ='9/10/2023' where link_id = (select link_id from parcel where parcel_year = '2024' and parcel_id = '19111514564');</v>
      </c>
    </row>
    <row r="889" spans="1:86" x14ac:dyDescent="0.25">
      <c r="A889">
        <v>19111514567</v>
      </c>
      <c r="B889">
        <v>0.14000000000000001</v>
      </c>
      <c r="C889">
        <v>6236</v>
      </c>
      <c r="D889" t="s">
        <v>144</v>
      </c>
      <c r="E889" t="s">
        <v>54</v>
      </c>
      <c r="F889" t="s">
        <v>54</v>
      </c>
      <c r="G889">
        <v>3</v>
      </c>
      <c r="H889" t="s">
        <v>55</v>
      </c>
      <c r="I889">
        <v>143400</v>
      </c>
      <c r="J889">
        <v>31900</v>
      </c>
      <c r="K889">
        <v>0.14000000000000001</v>
      </c>
      <c r="L889">
        <f>IF(Wapato_Inventory[[#This Row],[parcel_acres]]-Wapato_Inventory[[#This Row],[non_valued_acres]] =0,0,LN(Wapato_Inventory[[#This Row],[parcel_acres]]-Wapato_Inventory[[#This Row],[non_valued_acres]]))</f>
        <v>-1.9661128563728327</v>
      </c>
      <c r="M889">
        <v>0</v>
      </c>
      <c r="N889">
        <v>0</v>
      </c>
      <c r="O889">
        <v>0</v>
      </c>
      <c r="P889">
        <v>27904.037</v>
      </c>
      <c r="Q889">
        <v>74398</v>
      </c>
      <c r="R889" s="3">
        <f>(Wapato_Inventory[[#This Row],[ln_acres]]*Wapato_Inventory[[#This Row],[coeff]])+Wapato_Inventory[[#This Row],[const]]</f>
        <v>19535.514109596792</v>
      </c>
      <c r="S889" t="s">
        <v>66</v>
      </c>
      <c r="T889">
        <v>1</v>
      </c>
      <c r="U889" t="s">
        <v>71</v>
      </c>
      <c r="V889" t="s">
        <v>68</v>
      </c>
      <c r="W889">
        <v>0</v>
      </c>
      <c r="X889">
        <v>0</v>
      </c>
      <c r="Y889">
        <v>51</v>
      </c>
      <c r="Z889">
        <v>83</v>
      </c>
      <c r="AA889">
        <v>90</v>
      </c>
      <c r="AB889">
        <v>2000</v>
      </c>
      <c r="AC889">
        <v>1521</v>
      </c>
      <c r="AD889">
        <v>1521</v>
      </c>
      <c r="AE889">
        <v>0</v>
      </c>
      <c r="AF889">
        <v>0</v>
      </c>
      <c r="AG889">
        <v>0</v>
      </c>
      <c r="AH889">
        <v>0</v>
      </c>
      <c r="AI889">
        <v>0</v>
      </c>
      <c r="AJ889">
        <v>0</v>
      </c>
      <c r="AK889">
        <v>708</v>
      </c>
      <c r="AL889">
        <v>0</v>
      </c>
      <c r="AM889">
        <v>0</v>
      </c>
      <c r="AN889">
        <v>234</v>
      </c>
      <c r="AO889">
        <v>0</v>
      </c>
      <c r="AP889">
        <v>8</v>
      </c>
      <c r="AQ889">
        <v>0</v>
      </c>
      <c r="AR889">
        <v>0</v>
      </c>
      <c r="AS889" t="s">
        <v>59</v>
      </c>
      <c r="AT889">
        <v>0</v>
      </c>
      <c r="AU889" t="s">
        <v>80</v>
      </c>
      <c r="AV889" t="s">
        <v>65</v>
      </c>
      <c r="AW889">
        <v>0</v>
      </c>
      <c r="AX889">
        <v>3</v>
      </c>
      <c r="AY889">
        <v>0</v>
      </c>
      <c r="AZ889">
        <v>1600</v>
      </c>
      <c r="BA889">
        <v>100</v>
      </c>
      <c r="BB889">
        <v>100</v>
      </c>
      <c r="BC889">
        <v>100</v>
      </c>
      <c r="BD889">
        <v>100</v>
      </c>
      <c r="BE889">
        <v>1</v>
      </c>
      <c r="BF889">
        <v>15000</v>
      </c>
      <c r="BG889">
        <v>1000</v>
      </c>
      <c r="BH889" s="7">
        <f>ROUND(Wapato_Inventory[[#This Row],[detatched_value]]*Lookups!$B$22*Lookups!$H$48,-2)</f>
        <v>1400</v>
      </c>
      <c r="BI889" s="7">
        <f>ROUND(((Wapato_Inventory[[#This Row],[land_extract]]*Lookups!$B$3) +(Lookups!$B$2*0.5))*Lookups!$H$48,-2)</f>
        <v>53000</v>
      </c>
      <c r="BJ889" s="7">
        <f>IF(Wapato_Inventory[[#This Row],[bldg_style]]="",0,Lookups!$B$2*0.5)</f>
        <v>53765.27</v>
      </c>
      <c r="BK889" s="7">
        <f>_xlfn.IFNA(VLOOKUP(Wapato_Inventory[[#This Row],[quality]],Lookups!$H$2:$J$14,3,FALSE),0)</f>
        <v>28034</v>
      </c>
      <c r="BL889" s="7">
        <f>_xlfn.IFNA(VLOOKUP(Wapato_Inventory[[#This Row],[condition]],Lookups!$H$17:$J$24,3,FALSE),0)</f>
        <v>52231</v>
      </c>
      <c r="BM889" s="7">
        <f>Wapato_Inventory[[#This Row],[Age]]*Lookups!$B$16</f>
        <v>-30766.0831</v>
      </c>
      <c r="BN889" s="7">
        <f>Wapato_Inventory[[#This Row],[Main Floor]]*Lookups!$B$17</f>
        <v>63578.924018999998</v>
      </c>
      <c r="BO889" s="7">
        <f>Wapato_Inventory[[#This Row],[Upper Floor]]*Lookups!$B$18</f>
        <v>0</v>
      </c>
      <c r="BP889" s="7">
        <f>Wapato_Inventory[[#This Row],[Fin BSMT]]*Lookups!$B$19</f>
        <v>0</v>
      </c>
      <c r="BQ889" s="7">
        <f>(Wapato_Inventory[[#This Row],[att_gar]]+Wapato_Inventory[[#This Row],[blt_gar]])*Lookups!$B$20</f>
        <v>0</v>
      </c>
      <c r="BR889" s="7">
        <f>Wapato_Inventory[[#This Row],[Patio]]*Lookups!$B$21</f>
        <v>0</v>
      </c>
      <c r="BS889" s="7">
        <f>SUM(Wapato_Inventory[[#This Row],[intercept]:[patio_value]])*Wapato_Inventory[[#This Row],[res_pct]]</f>
        <v>166843.110919</v>
      </c>
      <c r="BT889" s="7">
        <f>Wapato_Inventory[[#This Row],[land_value]]</f>
        <v>53000</v>
      </c>
      <c r="BU889" s="2">
        <f>_xlfn.IFNA(VLOOKUP(Wapato_Inventory[[#This Row],[quality]],Lookups!$A$28:$C$37,3,FALSE),1)</f>
        <v>0.96265813922927435</v>
      </c>
      <c r="BV889" s="2">
        <f>_xlfn.IFNA(VLOOKUP(Wapato_Inventory[[#This Row],[condition]],Lookups!$A$41:$C$48,3,FALSE),1)</f>
        <v>0.9832333997567807</v>
      </c>
      <c r="BW889" s="2">
        <f>IF(Wapato_Inventory[[#This Row],[decade]]="",1,_xlfn.IFNA(VLOOKUP(Wapato_Inventory[[#This Row],[decade]],Lookups!$F$28:$H$45,3,FALSE),1))</f>
        <v>0.94742695999815718</v>
      </c>
      <c r="BX889" s="2">
        <f>_xlfn.IFNA(VLOOKUP(Wapato_Inventory[[#This Row],[living_area_range]],Lookups!$K$28:$M$37,3,FALSE),1)</f>
        <v>0.99330894324714125</v>
      </c>
      <c r="BY889" s="2">
        <f>AVERAGE(Wapato_Inventory[[#This Row],[qual_adj]:[range_adj]])</f>
        <v>0.97165686055783829</v>
      </c>
      <c r="BZ889" s="7">
        <f>(Wapato_Inventory[[#This Row],[sum_land]]-IF(Wapato_Inventory[[#This Row],[no_utilities]]=1,12000,0))/IF(Wapato_Inventory[[#This Row],[unbuildable]]=1,2,1)</f>
        <v>53000</v>
      </c>
      <c r="CA889" s="7">
        <f>Wapato_Inventory[[#This Row],[pre_res]]*Wapato_Inventory[[#This Row],[overall_adj]]</f>
        <v>162114.25336125871</v>
      </c>
      <c r="CB88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89" s="3">
        <f>IF(ROUND(Wapato_Inventory[[#This Row],[adj_res]]*Lookups!$H$48,-2)&lt;Wapato_Inventory[[#This Row],[min_res]],Wapato_Inventory[[#This Row],[min_res]],ROUND(Wapato_Inventory[[#This Row],[adj_res]]*Lookups!$H$48,-2))</f>
        <v>154000</v>
      </c>
      <c r="CD889" s="3">
        <f>ROUND(Wapato_Inventory[[#This Row],[det_value]]*Lookups!$H$48,-2)</f>
        <v>1300</v>
      </c>
      <c r="CE889" s="3">
        <f>Wapato_Inventory[[#This Row],[final_res]]+Wapato_Inventory[[#This Row],[final_det]]</f>
        <v>155300</v>
      </c>
      <c r="CF889" s="3">
        <f>Wapato_Inventory[[#This Row],[crop_value]]+Wapato_Inventory[[#This Row],[final_land]]+Wapato_Inventory[[#This Row],[final_imp]]</f>
        <v>205700</v>
      </c>
      <c r="CH889" t="str">
        <f t="shared" si="13"/>
        <v>update valuation set market_land =50400, market_bldg=155300, market_total =205700, market_mdno =405, market_date ='9/10/2023' where link_id = (select link_id from parcel where parcel_year = '2024' and parcel_id = '19111514567');</v>
      </c>
    </row>
    <row r="890" spans="1:86" x14ac:dyDescent="0.25">
      <c r="A890">
        <v>19111514568</v>
      </c>
      <c r="B890">
        <v>0.14000000000000001</v>
      </c>
      <c r="C890">
        <v>6200</v>
      </c>
      <c r="D890" t="s">
        <v>144</v>
      </c>
      <c r="E890" t="s">
        <v>54</v>
      </c>
      <c r="F890" t="s">
        <v>54</v>
      </c>
      <c r="G890">
        <v>3</v>
      </c>
      <c r="H890" t="s">
        <v>55</v>
      </c>
      <c r="I890">
        <v>237300</v>
      </c>
      <c r="J890">
        <v>31900</v>
      </c>
      <c r="K890">
        <v>0.14000000000000001</v>
      </c>
      <c r="L890">
        <f>IF(Wapato_Inventory[[#This Row],[parcel_acres]]-Wapato_Inventory[[#This Row],[non_valued_acres]] =0,0,LN(Wapato_Inventory[[#This Row],[parcel_acres]]-Wapato_Inventory[[#This Row],[non_valued_acres]]))</f>
        <v>-1.9661128563728327</v>
      </c>
      <c r="M890">
        <v>0</v>
      </c>
      <c r="N890">
        <v>0</v>
      </c>
      <c r="O890">
        <v>0</v>
      </c>
      <c r="P890">
        <v>27904.037</v>
      </c>
      <c r="Q890">
        <v>74398</v>
      </c>
      <c r="R890" s="3">
        <f>(Wapato_Inventory[[#This Row],[ln_acres]]*Wapato_Inventory[[#This Row],[coeff]])+Wapato_Inventory[[#This Row],[const]]</f>
        <v>19535.514109596792</v>
      </c>
      <c r="S890" t="s">
        <v>66</v>
      </c>
      <c r="T890">
        <v>1</v>
      </c>
      <c r="U890" t="s">
        <v>75</v>
      </c>
      <c r="V890" t="s">
        <v>70</v>
      </c>
      <c r="W890">
        <v>0</v>
      </c>
      <c r="X890">
        <v>0</v>
      </c>
      <c r="Y890">
        <v>53</v>
      </c>
      <c r="Z890">
        <v>93</v>
      </c>
      <c r="AA890">
        <v>100</v>
      </c>
      <c r="AB890">
        <v>2500</v>
      </c>
      <c r="AC890">
        <v>2172</v>
      </c>
      <c r="AD890">
        <v>1086</v>
      </c>
      <c r="AE890">
        <v>0</v>
      </c>
      <c r="AF890">
        <v>0</v>
      </c>
      <c r="AG890">
        <v>1086</v>
      </c>
      <c r="AH890">
        <v>0</v>
      </c>
      <c r="AI890">
        <v>0</v>
      </c>
      <c r="AJ890">
        <v>0</v>
      </c>
      <c r="AK890">
        <v>0</v>
      </c>
      <c r="AL890">
        <v>30</v>
      </c>
      <c r="AM890">
        <v>0</v>
      </c>
      <c r="AN890">
        <v>0</v>
      </c>
      <c r="AO890">
        <v>30</v>
      </c>
      <c r="AP890">
        <v>5</v>
      </c>
      <c r="AQ890">
        <v>0</v>
      </c>
      <c r="AR890">
        <v>0</v>
      </c>
      <c r="AS890" t="s">
        <v>59</v>
      </c>
      <c r="AT890">
        <v>1</v>
      </c>
      <c r="AU890" t="s">
        <v>64</v>
      </c>
      <c r="AV890" t="s">
        <v>65</v>
      </c>
      <c r="AW890">
        <v>0</v>
      </c>
      <c r="AX890">
        <v>3</v>
      </c>
      <c r="AY890">
        <v>0</v>
      </c>
      <c r="AZ890">
        <v>27000</v>
      </c>
      <c r="BA890">
        <v>100</v>
      </c>
      <c r="BB890">
        <v>100</v>
      </c>
      <c r="BC890">
        <v>100</v>
      </c>
      <c r="BD890">
        <v>100</v>
      </c>
      <c r="BE890">
        <v>1</v>
      </c>
      <c r="BF890">
        <v>15000</v>
      </c>
      <c r="BG890">
        <v>1000</v>
      </c>
      <c r="BH890" s="7">
        <f>ROUND(Wapato_Inventory[[#This Row],[detatched_value]]*Lookups!$B$22*Lookups!$H$48,-2)</f>
        <v>24100</v>
      </c>
      <c r="BI890" s="7">
        <f>ROUND(((Wapato_Inventory[[#This Row],[land_extract]]*Lookups!$B$3) +(Lookups!$B$2*0.5))*Lookups!$H$48,-2)</f>
        <v>53000</v>
      </c>
      <c r="BJ890" s="7">
        <f>IF(Wapato_Inventory[[#This Row],[bldg_style]]="",0,Lookups!$B$2*0.5)</f>
        <v>53765.27</v>
      </c>
      <c r="BK890" s="7">
        <f>_xlfn.IFNA(VLOOKUP(Wapato_Inventory[[#This Row],[quality]],Lookups!$H$2:$J$14,3,FALSE),0)</f>
        <v>48043</v>
      </c>
      <c r="BL890" s="7">
        <f>_xlfn.IFNA(VLOOKUP(Wapato_Inventory[[#This Row],[condition]],Lookups!$H$17:$J$24,3,FALSE),0)</f>
        <v>84338</v>
      </c>
      <c r="BM890" s="7">
        <f>Wapato_Inventory[[#This Row],[Age]]*Lookups!$B$16</f>
        <v>-34472.840100000001</v>
      </c>
      <c r="BN890" s="7">
        <f>Wapato_Inventory[[#This Row],[Main Floor]]*Lookups!$B$17</f>
        <v>45395.602553999997</v>
      </c>
      <c r="BO890" s="7">
        <f>Wapato_Inventory[[#This Row],[Upper Floor]]*Lookups!$B$18</f>
        <v>0</v>
      </c>
      <c r="BP890" s="7">
        <f>Wapato_Inventory[[#This Row],[Fin BSMT]]*Lookups!$B$19</f>
        <v>26462.279640000001</v>
      </c>
      <c r="BQ890" s="7">
        <f>(Wapato_Inventory[[#This Row],[att_gar]]+Wapato_Inventory[[#This Row],[blt_gar]])*Lookups!$B$20</f>
        <v>0</v>
      </c>
      <c r="BR890" s="7">
        <f>Wapato_Inventory[[#This Row],[Patio]]*Lookups!$B$21</f>
        <v>0</v>
      </c>
      <c r="BS890" s="7">
        <f>SUM(Wapato_Inventory[[#This Row],[intercept]:[patio_value]])*Wapato_Inventory[[#This Row],[res_pct]]</f>
        <v>223531.31209399996</v>
      </c>
      <c r="BT890" s="7">
        <f>Wapato_Inventory[[#This Row],[land_value]]</f>
        <v>53000</v>
      </c>
      <c r="BU890" s="2">
        <f>_xlfn.IFNA(VLOOKUP(Wapato_Inventory[[#This Row],[quality]],Lookups!$A$28:$C$37,3,FALSE),1)</f>
        <v>0.98196844879778955</v>
      </c>
      <c r="BV890" s="2">
        <f>_xlfn.IFNA(VLOOKUP(Wapato_Inventory[[#This Row],[condition]],Lookups!$A$41:$C$48,3,FALSE),1)</f>
        <v>0.99478075210508476</v>
      </c>
      <c r="BW890" s="2">
        <f>IF(Wapato_Inventory[[#This Row],[decade]]="",1,_xlfn.IFNA(VLOOKUP(Wapato_Inventory[[#This Row],[decade]],Lookups!$F$28:$H$45,3,FALSE),1))</f>
        <v>1.0114203040664467</v>
      </c>
      <c r="BX890" s="2">
        <f>_xlfn.IFNA(VLOOKUP(Wapato_Inventory[[#This Row],[living_area_range]],Lookups!$K$28:$M$37,3,FALSE),1)</f>
        <v>0.90813907160181651</v>
      </c>
      <c r="BY890" s="2">
        <f>AVERAGE(Wapato_Inventory[[#This Row],[qual_adj]:[range_adj]])</f>
        <v>0.97407714414278423</v>
      </c>
      <c r="BZ890" s="7">
        <f>(Wapato_Inventory[[#This Row],[sum_land]]-IF(Wapato_Inventory[[#This Row],[no_utilities]]=1,12000,0))/IF(Wapato_Inventory[[#This Row],[unbuildable]]=1,2,1)</f>
        <v>53000</v>
      </c>
      <c r="CA890" s="7">
        <f>Wapato_Inventory[[#This Row],[pre_res]]*Wapato_Inventory[[#This Row],[overall_adj]]</f>
        <v>217736.74211101289</v>
      </c>
      <c r="CB89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890" s="3">
        <f>IF(ROUND(Wapato_Inventory[[#This Row],[adj_res]]*Lookups!$H$48,-2)&lt;Wapato_Inventory[[#This Row],[min_res]],Wapato_Inventory[[#This Row],[min_res]],ROUND(Wapato_Inventory[[#This Row],[adj_res]]*Lookups!$H$48,-2))</f>
        <v>206800</v>
      </c>
      <c r="CD890" s="3">
        <f>ROUND(Wapato_Inventory[[#This Row],[det_value]]*Lookups!$H$48,-2)</f>
        <v>22900</v>
      </c>
      <c r="CE890" s="3">
        <f>Wapato_Inventory[[#This Row],[final_res]]+Wapato_Inventory[[#This Row],[final_det]]</f>
        <v>229700</v>
      </c>
      <c r="CF890" s="3">
        <f>Wapato_Inventory[[#This Row],[crop_value]]+Wapato_Inventory[[#This Row],[final_land]]+Wapato_Inventory[[#This Row],[final_imp]]</f>
        <v>280100</v>
      </c>
      <c r="CH890" t="str">
        <f t="shared" si="13"/>
        <v>update valuation set market_land =50400, market_bldg=229700, market_total =280100, market_mdno =405, market_date ='9/10/2023' where link_id = (select link_id from parcel where parcel_year = '2024' and parcel_id = '19111514568');</v>
      </c>
    </row>
    <row r="891" spans="1:86" x14ac:dyDescent="0.25">
      <c r="A891">
        <v>19111514569</v>
      </c>
      <c r="B891">
        <v>0.11</v>
      </c>
      <c r="C891">
        <v>4914</v>
      </c>
      <c r="D891" t="s">
        <v>144</v>
      </c>
      <c r="E891" t="s">
        <v>54</v>
      </c>
      <c r="F891" t="s">
        <v>54</v>
      </c>
      <c r="G891">
        <v>3</v>
      </c>
      <c r="H891" t="s">
        <v>55</v>
      </c>
      <c r="I891">
        <v>118700</v>
      </c>
      <c r="J891">
        <v>30200</v>
      </c>
      <c r="K891">
        <v>0.11</v>
      </c>
      <c r="L891">
        <f>IF(Wapato_Inventory[[#This Row],[parcel_acres]]-Wapato_Inventory[[#This Row],[non_valued_acres]] =0,0,LN(Wapato_Inventory[[#This Row],[parcel_acres]]-Wapato_Inventory[[#This Row],[non_valued_acres]]))</f>
        <v>-2.2072749131897207</v>
      </c>
      <c r="M891">
        <v>0</v>
      </c>
      <c r="N891">
        <v>0</v>
      </c>
      <c r="O891">
        <v>0</v>
      </c>
      <c r="P891">
        <v>27904.037</v>
      </c>
      <c r="Q891">
        <v>74398</v>
      </c>
      <c r="R891" s="3">
        <f>(Wapato_Inventory[[#This Row],[ln_acres]]*Wapato_Inventory[[#This Row],[coeff]])+Wapato_Inventory[[#This Row],[const]]</f>
        <v>12806.119153182248</v>
      </c>
      <c r="S891" t="s">
        <v>66</v>
      </c>
      <c r="T891">
        <v>1</v>
      </c>
      <c r="U891" t="s">
        <v>71</v>
      </c>
      <c r="V891" t="s">
        <v>68</v>
      </c>
      <c r="W891">
        <v>0</v>
      </c>
      <c r="X891">
        <v>0</v>
      </c>
      <c r="Y891">
        <v>57</v>
      </c>
      <c r="Z891">
        <v>103</v>
      </c>
      <c r="AA891">
        <v>110</v>
      </c>
      <c r="AB891">
        <v>1500</v>
      </c>
      <c r="AC891">
        <v>1224</v>
      </c>
      <c r="AD891">
        <v>1224</v>
      </c>
      <c r="AE891">
        <v>0</v>
      </c>
      <c r="AF891">
        <v>0</v>
      </c>
      <c r="AG891">
        <v>0</v>
      </c>
      <c r="AH891">
        <v>0</v>
      </c>
      <c r="AI891">
        <v>0</v>
      </c>
      <c r="AJ891">
        <v>0</v>
      </c>
      <c r="AK891">
        <v>0</v>
      </c>
      <c r="AL891">
        <v>0</v>
      </c>
      <c r="AM891">
        <v>100</v>
      </c>
      <c r="AN891">
        <v>0</v>
      </c>
      <c r="AO891">
        <v>100</v>
      </c>
      <c r="AP891">
        <v>5</v>
      </c>
      <c r="AQ891">
        <v>0</v>
      </c>
      <c r="AR891">
        <v>0</v>
      </c>
      <c r="AS891" t="s">
        <v>59</v>
      </c>
      <c r="AT891">
        <v>1</v>
      </c>
      <c r="AU891" t="s">
        <v>72</v>
      </c>
      <c r="AV891" t="s">
        <v>61</v>
      </c>
      <c r="AW891">
        <v>0</v>
      </c>
      <c r="AX891">
        <v>3</v>
      </c>
      <c r="AY891">
        <v>0</v>
      </c>
      <c r="AZ891">
        <v>0</v>
      </c>
      <c r="BA891">
        <v>100</v>
      </c>
      <c r="BB891">
        <v>100</v>
      </c>
      <c r="BC891">
        <v>100</v>
      </c>
      <c r="BD891">
        <v>100</v>
      </c>
      <c r="BE891">
        <v>1</v>
      </c>
      <c r="BF891">
        <v>15000</v>
      </c>
      <c r="BG891">
        <v>1000</v>
      </c>
      <c r="BH891" s="7">
        <f>ROUND(Wapato_Inventory[[#This Row],[detatched_value]]*Lookups!$B$22*Lookups!$H$48,-2)</f>
        <v>0</v>
      </c>
      <c r="BI891" s="7">
        <f>ROUND(((Wapato_Inventory[[#This Row],[land_extract]]*Lookups!$B$3) +(Lookups!$B$2*0.5))*Lookups!$H$48,-2)</f>
        <v>52300</v>
      </c>
      <c r="BJ891" s="7">
        <f>IF(Wapato_Inventory[[#This Row],[bldg_style]]="",0,Lookups!$B$2*0.5)</f>
        <v>53765.27</v>
      </c>
      <c r="BK891" s="7">
        <f>_xlfn.IFNA(VLOOKUP(Wapato_Inventory[[#This Row],[quality]],Lookups!$H$2:$J$14,3,FALSE),0)</f>
        <v>28034</v>
      </c>
      <c r="BL891" s="7">
        <f>_xlfn.IFNA(VLOOKUP(Wapato_Inventory[[#This Row],[condition]],Lookups!$H$17:$J$24,3,FALSE),0)</f>
        <v>52231</v>
      </c>
      <c r="BM891" s="7">
        <f>Wapato_Inventory[[#This Row],[Age]]*Lookups!$B$16</f>
        <v>-38179.597099999999</v>
      </c>
      <c r="BN891" s="7">
        <f>Wapato_Inventory[[#This Row],[Main Floor]]*Lookups!$B$17</f>
        <v>51164.104535999999</v>
      </c>
      <c r="BO891" s="7">
        <f>Wapato_Inventory[[#This Row],[Upper Floor]]*Lookups!$B$18</f>
        <v>0</v>
      </c>
      <c r="BP891" s="7">
        <f>Wapato_Inventory[[#This Row],[Fin BSMT]]*Lookups!$B$19</f>
        <v>0</v>
      </c>
      <c r="BQ891" s="7">
        <f>(Wapato_Inventory[[#This Row],[att_gar]]+Wapato_Inventory[[#This Row],[blt_gar]])*Lookups!$B$20</f>
        <v>0</v>
      </c>
      <c r="BR891" s="7">
        <f>Wapato_Inventory[[#This Row],[Patio]]*Lookups!$B$21</f>
        <v>4332.3978999999999</v>
      </c>
      <c r="BS891" s="7">
        <f>SUM(Wapato_Inventory[[#This Row],[intercept]:[patio_value]])*Wapato_Inventory[[#This Row],[res_pct]]</f>
        <v>151347.17533600001</v>
      </c>
      <c r="BT891" s="7">
        <f>Wapato_Inventory[[#This Row],[land_value]]</f>
        <v>52300</v>
      </c>
      <c r="BU891" s="2">
        <f>_xlfn.IFNA(VLOOKUP(Wapato_Inventory[[#This Row],[quality]],Lookups!$A$28:$C$37,3,FALSE),1)</f>
        <v>0.96265813922927435</v>
      </c>
      <c r="BV891" s="2">
        <f>_xlfn.IFNA(VLOOKUP(Wapato_Inventory[[#This Row],[condition]],Lookups!$A$41:$C$48,3,FALSE),1)</f>
        <v>0.9832333997567807</v>
      </c>
      <c r="BW891" s="2">
        <f>IF(Wapato_Inventory[[#This Row],[decade]]="",1,_xlfn.IFNA(VLOOKUP(Wapato_Inventory[[#This Row],[decade]],Lookups!$F$28:$H$45,3,FALSE),1))</f>
        <v>0.93664589651353292</v>
      </c>
      <c r="BX891" s="2">
        <f>_xlfn.IFNA(VLOOKUP(Wapato_Inventory[[#This Row],[living_area_range]],Lookups!$K$28:$M$37,3,FALSE),1)</f>
        <v>1.0061411172456287</v>
      </c>
      <c r="BY891" s="2">
        <f>AVERAGE(Wapato_Inventory[[#This Row],[qual_adj]:[range_adj]])</f>
        <v>0.97216963818630409</v>
      </c>
      <c r="BZ891" s="7">
        <f>(Wapato_Inventory[[#This Row],[sum_land]]-IF(Wapato_Inventory[[#This Row],[no_utilities]]=1,12000,0))/IF(Wapato_Inventory[[#This Row],[unbuildable]]=1,2,1)</f>
        <v>52300</v>
      </c>
      <c r="CA891" s="7">
        <f>Wapato_Inventory[[#This Row],[pre_res]]*Wapato_Inventory[[#This Row],[overall_adj]]</f>
        <v>147135.12868691827</v>
      </c>
      <c r="CB891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891" s="3">
        <f>IF(ROUND(Wapato_Inventory[[#This Row],[adj_res]]*Lookups!$H$48,-2)&lt;Wapato_Inventory[[#This Row],[min_res]],Wapato_Inventory[[#This Row],[min_res]],ROUND(Wapato_Inventory[[#This Row],[adj_res]]*Lookups!$H$48,-2))</f>
        <v>139800</v>
      </c>
      <c r="CD891" s="3">
        <f>ROUND(Wapato_Inventory[[#This Row],[det_value]]*Lookups!$H$48,-2)</f>
        <v>0</v>
      </c>
      <c r="CE891" s="3">
        <f>Wapato_Inventory[[#This Row],[final_res]]+Wapato_Inventory[[#This Row],[final_det]]</f>
        <v>139800</v>
      </c>
      <c r="CF891" s="3">
        <f>Wapato_Inventory[[#This Row],[crop_value]]+Wapato_Inventory[[#This Row],[final_land]]+Wapato_Inventory[[#This Row],[final_imp]]</f>
        <v>189500</v>
      </c>
      <c r="CH891" t="str">
        <f t="shared" si="13"/>
        <v>update valuation set market_land =49700, market_bldg=139800, market_total =189500, market_mdno =405, market_date ='9/10/2023' where link_id = (select link_id from parcel where parcel_year = '2024' and parcel_id = '19111514569');</v>
      </c>
    </row>
    <row r="892" spans="1:86" x14ac:dyDescent="0.25">
      <c r="A892">
        <v>19111514570</v>
      </c>
      <c r="B892">
        <v>7.0000000000000007E-2</v>
      </c>
      <c r="C892">
        <v>3216</v>
      </c>
      <c r="D892" t="s">
        <v>144</v>
      </c>
      <c r="E892" t="s">
        <v>54</v>
      </c>
      <c r="F892" t="s">
        <v>54</v>
      </c>
      <c r="G892">
        <v>3</v>
      </c>
      <c r="H892" t="s">
        <v>55</v>
      </c>
      <c r="I892">
        <v>119200</v>
      </c>
      <c r="J892">
        <v>26900</v>
      </c>
      <c r="K892">
        <v>7.0000000000000007E-2</v>
      </c>
      <c r="L892">
        <f>IF(Wapato_Inventory[[#This Row],[parcel_acres]]-Wapato_Inventory[[#This Row],[non_valued_acres]] =0,0,LN(Wapato_Inventory[[#This Row],[parcel_acres]]-Wapato_Inventory[[#This Row],[non_valued_acres]]))</f>
        <v>-2.6592600369327779</v>
      </c>
      <c r="M892">
        <v>0</v>
      </c>
      <c r="N892">
        <v>0</v>
      </c>
      <c r="O892">
        <v>0</v>
      </c>
      <c r="P892">
        <v>27904.037</v>
      </c>
      <c r="Q892">
        <v>74398</v>
      </c>
      <c r="R892" s="3">
        <f>(Wapato_Inventory[[#This Row],[ln_acres]]*Wapato_Inventory[[#This Row],[coeff]])+Wapato_Inventory[[#This Row],[const]]</f>
        <v>193.90953680640087</v>
      </c>
      <c r="S892" t="s">
        <v>66</v>
      </c>
      <c r="T892">
        <v>1</v>
      </c>
      <c r="U892" t="s">
        <v>71</v>
      </c>
      <c r="V892" t="s">
        <v>69</v>
      </c>
      <c r="W892">
        <v>0</v>
      </c>
      <c r="X892">
        <v>0</v>
      </c>
      <c r="Y892">
        <v>65</v>
      </c>
      <c r="Z892">
        <v>113</v>
      </c>
      <c r="AA892">
        <v>120</v>
      </c>
      <c r="AB892">
        <v>1000</v>
      </c>
      <c r="AC892">
        <v>744</v>
      </c>
      <c r="AD892">
        <v>744</v>
      </c>
      <c r="AE892">
        <v>0</v>
      </c>
      <c r="AF892">
        <v>0</v>
      </c>
      <c r="AG892">
        <v>0</v>
      </c>
      <c r="AH892">
        <v>0</v>
      </c>
      <c r="AI892">
        <v>0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0</v>
      </c>
      <c r="AP892">
        <v>5</v>
      </c>
      <c r="AQ892">
        <v>0</v>
      </c>
      <c r="AR892">
        <v>0</v>
      </c>
      <c r="AS892" t="s">
        <v>59</v>
      </c>
      <c r="AT892">
        <v>1</v>
      </c>
      <c r="AU892" t="s">
        <v>64</v>
      </c>
      <c r="AV892" t="s">
        <v>65</v>
      </c>
      <c r="AW892">
        <v>0</v>
      </c>
      <c r="AX892">
        <v>2</v>
      </c>
      <c r="AY892">
        <v>0</v>
      </c>
      <c r="AZ892">
        <v>0</v>
      </c>
      <c r="BA892">
        <v>100</v>
      </c>
      <c r="BB892">
        <v>100</v>
      </c>
      <c r="BC892">
        <v>100</v>
      </c>
      <c r="BD892">
        <v>100</v>
      </c>
      <c r="BE892">
        <v>1</v>
      </c>
      <c r="BF892">
        <v>15000</v>
      </c>
      <c r="BG892">
        <v>1000</v>
      </c>
      <c r="BH892" s="7">
        <f>ROUND(Wapato_Inventory[[#This Row],[detatched_value]]*Lookups!$B$22*Lookups!$H$48,-2)</f>
        <v>0</v>
      </c>
      <c r="BI892" s="7">
        <f>ROUND(((Wapato_Inventory[[#This Row],[land_extract]]*Lookups!$B$3) +(Lookups!$B$2*0.5))*Lookups!$H$48,-2)</f>
        <v>51100</v>
      </c>
      <c r="BJ892" s="7">
        <f>IF(Wapato_Inventory[[#This Row],[bldg_style]]="",0,Lookups!$B$2*0.5)</f>
        <v>53765.27</v>
      </c>
      <c r="BK892" s="7">
        <f>_xlfn.IFNA(VLOOKUP(Wapato_Inventory[[#This Row],[quality]],Lookups!$H$2:$J$14,3,FALSE),0)</f>
        <v>28034</v>
      </c>
      <c r="BL892" s="7">
        <f>_xlfn.IFNA(VLOOKUP(Wapato_Inventory[[#This Row],[condition]],Lookups!$H$17:$J$24,3,FALSE),0)</f>
        <v>74543</v>
      </c>
      <c r="BM892" s="7">
        <f>Wapato_Inventory[[#This Row],[Age]]*Lookups!$B$16</f>
        <v>-41886.354100000004</v>
      </c>
      <c r="BN892" s="7">
        <f>Wapato_Inventory[[#This Row],[Main Floor]]*Lookups!$B$17</f>
        <v>31099.749816</v>
      </c>
      <c r="BO892" s="7">
        <f>Wapato_Inventory[[#This Row],[Upper Floor]]*Lookups!$B$18</f>
        <v>0</v>
      </c>
      <c r="BP892" s="7">
        <f>Wapato_Inventory[[#This Row],[Fin BSMT]]*Lookups!$B$19</f>
        <v>0</v>
      </c>
      <c r="BQ892" s="7">
        <f>(Wapato_Inventory[[#This Row],[att_gar]]+Wapato_Inventory[[#This Row],[blt_gar]])*Lookups!$B$20</f>
        <v>0</v>
      </c>
      <c r="BR892" s="7">
        <f>Wapato_Inventory[[#This Row],[Patio]]*Lookups!$B$21</f>
        <v>0</v>
      </c>
      <c r="BS892" s="7">
        <f>SUM(Wapato_Inventory[[#This Row],[intercept]:[patio_value]])*Wapato_Inventory[[#This Row],[res_pct]]</f>
        <v>145555.66571599999</v>
      </c>
      <c r="BT892" s="7">
        <f>Wapato_Inventory[[#This Row],[land_value]]</f>
        <v>51100</v>
      </c>
      <c r="BU892" s="2">
        <f>_xlfn.IFNA(VLOOKUP(Wapato_Inventory[[#This Row],[quality]],Lookups!$A$28:$C$37,3,FALSE),1)</f>
        <v>0.96265813922927435</v>
      </c>
      <c r="BV892" s="2">
        <f>_xlfn.IFNA(VLOOKUP(Wapato_Inventory[[#This Row],[condition]],Lookups!$A$41:$C$48,3,FALSE),1)</f>
        <v>0.98442438223270734</v>
      </c>
      <c r="BW892" s="2">
        <f>IF(Wapato_Inventory[[#This Row],[decade]]="",1,_xlfn.IFNA(VLOOKUP(Wapato_Inventory[[#This Row],[decade]],Lookups!$F$28:$H$45,3,FALSE),1))</f>
        <v>0.93664589651353292</v>
      </c>
      <c r="BX892" s="2">
        <f>_xlfn.IFNA(VLOOKUP(Wapato_Inventory[[#This Row],[living_area_range]],Lookups!$K$28:$M$37,3,FALSE),1)</f>
        <v>0.99022994770196116</v>
      </c>
      <c r="BY892" s="2">
        <f>AVERAGE(Wapato_Inventory[[#This Row],[qual_adj]:[range_adj]])</f>
        <v>0.96848959141936886</v>
      </c>
      <c r="BZ892" s="7">
        <f>(Wapato_Inventory[[#This Row],[sum_land]]-IF(Wapato_Inventory[[#This Row],[no_utilities]]=1,12000,0))/IF(Wapato_Inventory[[#This Row],[unbuildable]]=1,2,1)</f>
        <v>51100</v>
      </c>
      <c r="CA892" s="7">
        <f>Wapato_Inventory[[#This Row],[pre_res]]*Wapato_Inventory[[#This Row],[overall_adj]]</f>
        <v>140969.14721806307</v>
      </c>
      <c r="CB892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892" s="3">
        <f>IF(ROUND(Wapato_Inventory[[#This Row],[adj_res]]*Lookups!$H$48,-2)&lt;Wapato_Inventory[[#This Row],[min_res]],Wapato_Inventory[[#This Row],[min_res]],ROUND(Wapato_Inventory[[#This Row],[adj_res]]*Lookups!$H$48,-2))</f>
        <v>133900</v>
      </c>
      <c r="CD892" s="3">
        <f>ROUND(Wapato_Inventory[[#This Row],[det_value]]*Lookups!$H$48,-2)</f>
        <v>0</v>
      </c>
      <c r="CE892" s="3">
        <f>Wapato_Inventory[[#This Row],[final_res]]+Wapato_Inventory[[#This Row],[final_det]]</f>
        <v>133900</v>
      </c>
      <c r="CF892" s="3">
        <f>Wapato_Inventory[[#This Row],[crop_value]]+Wapato_Inventory[[#This Row],[final_land]]+Wapato_Inventory[[#This Row],[final_imp]]</f>
        <v>182400</v>
      </c>
      <c r="CH892" t="str">
        <f t="shared" si="13"/>
        <v>update valuation set market_land =48500, market_bldg=133900, market_total =182400, market_mdno =405, market_date ='9/10/2023' where link_id = (select link_id from parcel where parcel_year = '2024' and parcel_id = '19111514570');</v>
      </c>
    </row>
    <row r="893" spans="1:86" x14ac:dyDescent="0.25">
      <c r="A893">
        <v>19111514571</v>
      </c>
      <c r="B893">
        <v>7.0000000000000007E-2</v>
      </c>
      <c r="C893">
        <v>3162</v>
      </c>
      <c r="D893" t="s">
        <v>144</v>
      </c>
      <c r="E893" t="s">
        <v>54</v>
      </c>
      <c r="F893" t="s">
        <v>54</v>
      </c>
      <c r="G893">
        <v>3</v>
      </c>
      <c r="H893" t="s">
        <v>55</v>
      </c>
      <c r="I893">
        <v>100600</v>
      </c>
      <c r="J893">
        <v>26900</v>
      </c>
      <c r="K893">
        <v>7.0000000000000007E-2</v>
      </c>
      <c r="L893">
        <f>IF(Wapato_Inventory[[#This Row],[parcel_acres]]-Wapato_Inventory[[#This Row],[non_valued_acres]] =0,0,LN(Wapato_Inventory[[#This Row],[parcel_acres]]-Wapato_Inventory[[#This Row],[non_valued_acres]]))</f>
        <v>-2.6592600369327779</v>
      </c>
      <c r="M893">
        <v>0</v>
      </c>
      <c r="N893">
        <v>0</v>
      </c>
      <c r="O893">
        <v>0</v>
      </c>
      <c r="P893">
        <v>27904.037</v>
      </c>
      <c r="Q893">
        <v>74398</v>
      </c>
      <c r="R893" s="3">
        <f>(Wapato_Inventory[[#This Row],[ln_acres]]*Wapato_Inventory[[#This Row],[coeff]])+Wapato_Inventory[[#This Row],[const]]</f>
        <v>193.90953680640087</v>
      </c>
      <c r="S893" t="s">
        <v>66</v>
      </c>
      <c r="T893">
        <v>1</v>
      </c>
      <c r="U893" t="s">
        <v>75</v>
      </c>
      <c r="V893" t="s">
        <v>73</v>
      </c>
      <c r="W893">
        <v>0</v>
      </c>
      <c r="X893">
        <v>0</v>
      </c>
      <c r="Y893">
        <v>50</v>
      </c>
      <c r="Z893">
        <v>74</v>
      </c>
      <c r="AA893">
        <v>80</v>
      </c>
      <c r="AB893">
        <v>1000</v>
      </c>
      <c r="AC893">
        <v>888</v>
      </c>
      <c r="AD893">
        <v>888</v>
      </c>
      <c r="AE893">
        <v>0</v>
      </c>
      <c r="AF893">
        <v>0</v>
      </c>
      <c r="AG893">
        <v>0</v>
      </c>
      <c r="AH893">
        <v>0</v>
      </c>
      <c r="AI893">
        <v>0</v>
      </c>
      <c r="AJ893">
        <v>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5</v>
      </c>
      <c r="AQ893">
        <v>0</v>
      </c>
      <c r="AR893">
        <v>0</v>
      </c>
      <c r="AS893" t="s">
        <v>59</v>
      </c>
      <c r="AT893">
        <v>0</v>
      </c>
      <c r="AU893" t="s">
        <v>80</v>
      </c>
      <c r="AV893" t="s">
        <v>65</v>
      </c>
      <c r="AW893">
        <v>0</v>
      </c>
      <c r="AX893">
        <v>3</v>
      </c>
      <c r="AY893">
        <v>0</v>
      </c>
      <c r="AZ893">
        <v>0</v>
      </c>
      <c r="BA893">
        <v>100</v>
      </c>
      <c r="BB893">
        <v>100</v>
      </c>
      <c r="BC893">
        <v>100</v>
      </c>
      <c r="BD893">
        <v>100</v>
      </c>
      <c r="BE893">
        <v>1</v>
      </c>
      <c r="BF893">
        <v>15000</v>
      </c>
      <c r="BG893">
        <v>1000</v>
      </c>
      <c r="BH893" s="7">
        <f>ROUND(Wapato_Inventory[[#This Row],[detatched_value]]*Lookups!$B$22*Lookups!$H$48,-2)</f>
        <v>0</v>
      </c>
      <c r="BI893" s="7">
        <f>ROUND(((Wapato_Inventory[[#This Row],[land_extract]]*Lookups!$B$3) +(Lookups!$B$2*0.5))*Lookups!$H$48,-2)</f>
        <v>51100</v>
      </c>
      <c r="BJ893" s="7">
        <f>IF(Wapato_Inventory[[#This Row],[bldg_style]]="",0,Lookups!$B$2*0.5)</f>
        <v>53765.27</v>
      </c>
      <c r="BK893" s="7">
        <f>_xlfn.IFNA(VLOOKUP(Wapato_Inventory[[#This Row],[quality]],Lookups!$H$2:$J$14,3,FALSE),0)</f>
        <v>48043</v>
      </c>
      <c r="BL893" s="7">
        <f>_xlfn.IFNA(VLOOKUP(Wapato_Inventory[[#This Row],[condition]],Lookups!$H$17:$J$24,3,FALSE),0)</f>
        <v>16276</v>
      </c>
      <c r="BM893" s="7">
        <f>Wapato_Inventory[[#This Row],[Age]]*Lookups!$B$16</f>
        <v>-27430.001800000002</v>
      </c>
      <c r="BN893" s="7">
        <f>Wapato_Inventory[[#This Row],[Main Floor]]*Lookups!$B$17</f>
        <v>37119.056232000003</v>
      </c>
      <c r="BO893" s="7">
        <f>Wapato_Inventory[[#This Row],[Upper Floor]]*Lookups!$B$18</f>
        <v>0</v>
      </c>
      <c r="BP893" s="7">
        <f>Wapato_Inventory[[#This Row],[Fin BSMT]]*Lookups!$B$19</f>
        <v>0</v>
      </c>
      <c r="BQ893" s="7">
        <f>(Wapato_Inventory[[#This Row],[att_gar]]+Wapato_Inventory[[#This Row],[blt_gar]])*Lookups!$B$20</f>
        <v>0</v>
      </c>
      <c r="BR893" s="7">
        <f>Wapato_Inventory[[#This Row],[Patio]]*Lookups!$B$21</f>
        <v>0</v>
      </c>
      <c r="BS893" s="7">
        <f>SUM(Wapato_Inventory[[#This Row],[intercept]:[patio_value]])*Wapato_Inventory[[#This Row],[res_pct]]</f>
        <v>127773.32443199999</v>
      </c>
      <c r="BT893" s="7">
        <f>Wapato_Inventory[[#This Row],[land_value]]</f>
        <v>51100</v>
      </c>
      <c r="BU893" s="2">
        <f>_xlfn.IFNA(VLOOKUP(Wapato_Inventory[[#This Row],[quality]],Lookups!$A$28:$C$37,3,FALSE),1)</f>
        <v>0.98196844879778955</v>
      </c>
      <c r="BV893" s="2">
        <f>_xlfn.IFNA(VLOOKUP(Wapato_Inventory[[#This Row],[condition]],Lookups!$A$41:$C$48,3,FALSE),1)</f>
        <v>0.93399385491337139</v>
      </c>
      <c r="BW893" s="2">
        <f>IF(Wapato_Inventory[[#This Row],[decade]]="",1,_xlfn.IFNA(VLOOKUP(Wapato_Inventory[[#This Row],[decade]],Lookups!$F$28:$H$45,3,FALSE),1))</f>
        <v>0.8438929209510081</v>
      </c>
      <c r="BX893" s="2">
        <f>_xlfn.IFNA(VLOOKUP(Wapato_Inventory[[#This Row],[living_area_range]],Lookups!$K$28:$M$37,3,FALSE),1)</f>
        <v>0.99022994770196116</v>
      </c>
      <c r="BY893" s="2">
        <f>AVERAGE(Wapato_Inventory[[#This Row],[qual_adj]:[range_adj]])</f>
        <v>0.9375212930910326</v>
      </c>
      <c r="BZ893" s="7">
        <f>(Wapato_Inventory[[#This Row],[sum_land]]-IF(Wapato_Inventory[[#This Row],[no_utilities]]=1,12000,0))/IF(Wapato_Inventory[[#This Row],[unbuildable]]=1,2,1)</f>
        <v>51100</v>
      </c>
      <c r="CA893" s="7">
        <f>Wapato_Inventory[[#This Row],[pre_res]]*Wapato_Inventory[[#This Row],[overall_adj]]</f>
        <v>119790.21234402867</v>
      </c>
      <c r="CB893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893" s="3">
        <f>IF(ROUND(Wapato_Inventory[[#This Row],[adj_res]]*Lookups!$H$48,-2)&lt;Wapato_Inventory[[#This Row],[min_res]],Wapato_Inventory[[#This Row],[min_res]],ROUND(Wapato_Inventory[[#This Row],[adj_res]]*Lookups!$H$48,-2))</f>
        <v>113800</v>
      </c>
      <c r="CD893" s="3">
        <f>ROUND(Wapato_Inventory[[#This Row],[det_value]]*Lookups!$H$48,-2)</f>
        <v>0</v>
      </c>
      <c r="CE893" s="3">
        <f>Wapato_Inventory[[#This Row],[final_res]]+Wapato_Inventory[[#This Row],[final_det]]</f>
        <v>113800</v>
      </c>
      <c r="CF893" s="3">
        <f>Wapato_Inventory[[#This Row],[crop_value]]+Wapato_Inventory[[#This Row],[final_land]]+Wapato_Inventory[[#This Row],[final_imp]]</f>
        <v>162300</v>
      </c>
      <c r="CH893" t="str">
        <f t="shared" si="13"/>
        <v>update valuation set market_land =48500, market_bldg=113800, market_total =162300, market_mdno =405, market_date ='9/10/2023' where link_id = (select link_id from parcel where parcel_year = '2024' and parcel_id = '19111514571');</v>
      </c>
    </row>
    <row r="894" spans="1:86" x14ac:dyDescent="0.25">
      <c r="A894">
        <v>19111514572</v>
      </c>
      <c r="B894">
        <v>0.09</v>
      </c>
      <c r="C894">
        <v>3853</v>
      </c>
      <c r="D894" t="s">
        <v>144</v>
      </c>
      <c r="E894" t="s">
        <v>54</v>
      </c>
      <c r="F894" t="s">
        <v>54</v>
      </c>
      <c r="G894">
        <v>3</v>
      </c>
      <c r="H894" t="s">
        <v>55</v>
      </c>
      <c r="I894">
        <v>61800</v>
      </c>
      <c r="J894">
        <v>28700</v>
      </c>
      <c r="K894">
        <v>0.09</v>
      </c>
      <c r="L894">
        <f>IF(Wapato_Inventory[[#This Row],[parcel_acres]]-Wapato_Inventory[[#This Row],[non_valued_acres]] =0,0,LN(Wapato_Inventory[[#This Row],[parcel_acres]]-Wapato_Inventory[[#This Row],[non_valued_acres]]))</f>
        <v>-2.4079456086518722</v>
      </c>
      <c r="M894">
        <v>0</v>
      </c>
      <c r="N894">
        <v>0</v>
      </c>
      <c r="O894">
        <v>0</v>
      </c>
      <c r="P894">
        <v>27904.037</v>
      </c>
      <c r="Q894">
        <v>74398</v>
      </c>
      <c r="R894" s="3">
        <f>(Wapato_Inventory[[#This Row],[ln_acres]]*Wapato_Inventory[[#This Row],[coeff]])+Wapato_Inventory[[#This Row],[const]]</f>
        <v>7206.5966421906342</v>
      </c>
      <c r="S894" t="s">
        <v>66</v>
      </c>
      <c r="T894">
        <v>1</v>
      </c>
      <c r="U894" t="s">
        <v>78</v>
      </c>
      <c r="V894" t="s">
        <v>73</v>
      </c>
      <c r="W894">
        <v>0</v>
      </c>
      <c r="X894">
        <v>0</v>
      </c>
      <c r="Y894">
        <v>65</v>
      </c>
      <c r="Z894">
        <v>113</v>
      </c>
      <c r="AA894">
        <v>120</v>
      </c>
      <c r="AB894">
        <v>1000</v>
      </c>
      <c r="AC894">
        <v>798</v>
      </c>
      <c r="AD894">
        <v>798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0</v>
      </c>
      <c r="AM894">
        <v>0</v>
      </c>
      <c r="AN894">
        <v>0</v>
      </c>
      <c r="AO894">
        <v>0</v>
      </c>
      <c r="AP894">
        <v>5</v>
      </c>
      <c r="AQ894">
        <v>0</v>
      </c>
      <c r="AR894">
        <v>0</v>
      </c>
      <c r="AS894" t="s">
        <v>59</v>
      </c>
      <c r="AT894">
        <v>0</v>
      </c>
      <c r="AU894" t="s">
        <v>80</v>
      </c>
      <c r="AV894" t="s">
        <v>65</v>
      </c>
      <c r="AW894">
        <v>0</v>
      </c>
      <c r="AX894">
        <v>3</v>
      </c>
      <c r="AY894">
        <v>0</v>
      </c>
      <c r="AZ894">
        <v>0</v>
      </c>
      <c r="BA894">
        <v>100</v>
      </c>
      <c r="BB894">
        <v>100</v>
      </c>
      <c r="BC894">
        <v>100</v>
      </c>
      <c r="BD894">
        <v>100</v>
      </c>
      <c r="BE894">
        <v>1</v>
      </c>
      <c r="BF894">
        <v>15000</v>
      </c>
      <c r="BG894">
        <v>1000</v>
      </c>
      <c r="BH894" s="7">
        <f>ROUND(Wapato_Inventory[[#This Row],[detatched_value]]*Lookups!$B$22*Lookups!$H$48,-2)</f>
        <v>0</v>
      </c>
      <c r="BI894" s="7">
        <f>ROUND(((Wapato_Inventory[[#This Row],[land_extract]]*Lookups!$B$3) +(Lookups!$B$2*0.5))*Lookups!$H$48,-2)</f>
        <v>51800</v>
      </c>
      <c r="BJ894" s="7">
        <f>IF(Wapato_Inventory[[#This Row],[bldg_style]]="",0,Lookups!$B$2*0.5)</f>
        <v>53765.27</v>
      </c>
      <c r="BK894" s="7">
        <f>_xlfn.IFNA(VLOOKUP(Wapato_Inventory[[#This Row],[quality]],Lookups!$H$2:$J$14,3,FALSE),0)</f>
        <v>23424</v>
      </c>
      <c r="BL894" s="7">
        <f>_xlfn.IFNA(VLOOKUP(Wapato_Inventory[[#This Row],[condition]],Lookups!$H$17:$J$24,3,FALSE),0)</f>
        <v>16276</v>
      </c>
      <c r="BM894" s="7">
        <f>Wapato_Inventory[[#This Row],[Age]]*Lookups!$B$16</f>
        <v>-41886.354100000004</v>
      </c>
      <c r="BN894" s="7">
        <f>Wapato_Inventory[[#This Row],[Main Floor]]*Lookups!$B$17</f>
        <v>33356.989721999998</v>
      </c>
      <c r="BO894" s="7">
        <f>Wapato_Inventory[[#This Row],[Upper Floor]]*Lookups!$B$18</f>
        <v>0</v>
      </c>
      <c r="BP894" s="7">
        <f>Wapato_Inventory[[#This Row],[Fin BSMT]]*Lookups!$B$19</f>
        <v>0</v>
      </c>
      <c r="BQ894" s="7">
        <f>(Wapato_Inventory[[#This Row],[att_gar]]+Wapato_Inventory[[#This Row],[blt_gar]])*Lookups!$B$20</f>
        <v>0</v>
      </c>
      <c r="BR894" s="7">
        <f>Wapato_Inventory[[#This Row],[Patio]]*Lookups!$B$21</f>
        <v>0</v>
      </c>
      <c r="BS894" s="7">
        <f>SUM(Wapato_Inventory[[#This Row],[intercept]:[patio_value]])*Wapato_Inventory[[#This Row],[res_pct]]</f>
        <v>84935.905621999991</v>
      </c>
      <c r="BT894" s="7">
        <f>Wapato_Inventory[[#This Row],[land_value]]</f>
        <v>51800</v>
      </c>
      <c r="BU894" s="2">
        <f>_xlfn.IFNA(VLOOKUP(Wapato_Inventory[[#This Row],[quality]],Lookups!$A$28:$C$37,3,FALSE),1)</f>
        <v>1.0091195562373767</v>
      </c>
      <c r="BV894" s="2">
        <f>_xlfn.IFNA(VLOOKUP(Wapato_Inventory[[#This Row],[condition]],Lookups!$A$41:$C$48,3,FALSE),1)</f>
        <v>0.93399385491337139</v>
      </c>
      <c r="BW894" s="2">
        <f>IF(Wapato_Inventory[[#This Row],[decade]]="",1,_xlfn.IFNA(VLOOKUP(Wapato_Inventory[[#This Row],[decade]],Lookups!$F$28:$H$45,3,FALSE),1))</f>
        <v>0.93664589651353292</v>
      </c>
      <c r="BX894" s="2">
        <f>_xlfn.IFNA(VLOOKUP(Wapato_Inventory[[#This Row],[living_area_range]],Lookups!$K$28:$M$37,3,FALSE),1)</f>
        <v>0.99022994770196116</v>
      </c>
      <c r="BY894" s="2">
        <f>AVERAGE(Wapato_Inventory[[#This Row],[qual_adj]:[range_adj]])</f>
        <v>0.96749731384156046</v>
      </c>
      <c r="BZ894" s="7">
        <f>(Wapato_Inventory[[#This Row],[sum_land]]-IF(Wapato_Inventory[[#This Row],[no_utilities]]=1,12000,0))/IF(Wapato_Inventory[[#This Row],[unbuildable]]=1,2,1)</f>
        <v>51800</v>
      </c>
      <c r="CA894" s="7">
        <f>Wapato_Inventory[[#This Row],[pre_res]]*Wapato_Inventory[[#This Row],[overall_adj]]</f>
        <v>82175.26053798529</v>
      </c>
      <c r="CB894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894" s="3">
        <f>IF(ROUND(Wapato_Inventory[[#This Row],[adj_res]]*Lookups!$H$48,-2)&lt;Wapato_Inventory[[#This Row],[min_res]],Wapato_Inventory[[#This Row],[min_res]],ROUND(Wapato_Inventory[[#This Row],[adj_res]]*Lookups!$H$48,-2))</f>
        <v>78100</v>
      </c>
      <c r="CD894" s="3">
        <f>ROUND(Wapato_Inventory[[#This Row],[det_value]]*Lookups!$H$48,-2)</f>
        <v>0</v>
      </c>
      <c r="CE894" s="3">
        <f>Wapato_Inventory[[#This Row],[final_res]]+Wapato_Inventory[[#This Row],[final_det]]</f>
        <v>78100</v>
      </c>
      <c r="CF894" s="3">
        <f>Wapato_Inventory[[#This Row],[crop_value]]+Wapato_Inventory[[#This Row],[final_land]]+Wapato_Inventory[[#This Row],[final_imp]]</f>
        <v>127300</v>
      </c>
      <c r="CH894" t="str">
        <f t="shared" si="13"/>
        <v>update valuation set market_land =49200, market_bldg=78100, market_total =127300, market_mdno =405, market_date ='9/10/2023' where link_id = (select link_id from parcel where parcel_year = '2024' and parcel_id = '19111514572');</v>
      </c>
    </row>
    <row r="895" spans="1:86" x14ac:dyDescent="0.25">
      <c r="A895">
        <v>19111514573</v>
      </c>
      <c r="B895">
        <v>0.08</v>
      </c>
      <c r="C895">
        <v>3437</v>
      </c>
      <c r="D895" t="s">
        <v>144</v>
      </c>
      <c r="E895" t="s">
        <v>54</v>
      </c>
      <c r="F895" t="s">
        <v>54</v>
      </c>
      <c r="G895">
        <v>3</v>
      </c>
      <c r="H895" t="s">
        <v>55</v>
      </c>
      <c r="I895">
        <v>52700</v>
      </c>
      <c r="J895">
        <v>27900</v>
      </c>
      <c r="K895">
        <v>0.08</v>
      </c>
      <c r="L895">
        <f>IF(Wapato_Inventory[[#This Row],[parcel_acres]]-Wapato_Inventory[[#This Row],[non_valued_acres]] =0,0,LN(Wapato_Inventory[[#This Row],[parcel_acres]]-Wapato_Inventory[[#This Row],[non_valued_acres]]))</f>
        <v>-2.5257286443082556</v>
      </c>
      <c r="M895">
        <v>0</v>
      </c>
      <c r="N895">
        <v>0</v>
      </c>
      <c r="O895">
        <v>0</v>
      </c>
      <c r="P895">
        <v>27904.037</v>
      </c>
      <c r="Q895">
        <v>74398</v>
      </c>
      <c r="R895" s="3">
        <f>(Wapato_Inventory[[#This Row],[ln_acres]]*Wapato_Inventory[[#This Row],[coeff]])+Wapato_Inventory[[#This Row],[const]]</f>
        <v>3919.9744572625932</v>
      </c>
      <c r="S895" t="s">
        <v>66</v>
      </c>
      <c r="T895">
        <v>1</v>
      </c>
      <c r="U895" t="s">
        <v>71</v>
      </c>
      <c r="V895" t="s">
        <v>73</v>
      </c>
      <c r="W895">
        <v>0</v>
      </c>
      <c r="X895">
        <v>0</v>
      </c>
      <c r="Y895">
        <v>53</v>
      </c>
      <c r="Z895">
        <v>113</v>
      </c>
      <c r="AA895">
        <v>120</v>
      </c>
      <c r="AB895">
        <v>1000</v>
      </c>
      <c r="AC895">
        <v>752</v>
      </c>
      <c r="AD895">
        <v>752</v>
      </c>
      <c r="AE895">
        <v>0</v>
      </c>
      <c r="AF895">
        <v>0</v>
      </c>
      <c r="AG895">
        <v>0</v>
      </c>
      <c r="AH895">
        <v>0</v>
      </c>
      <c r="AI895">
        <v>0</v>
      </c>
      <c r="AJ895">
        <v>0</v>
      </c>
      <c r="AK895">
        <v>0</v>
      </c>
      <c r="AL895">
        <v>0</v>
      </c>
      <c r="AM895">
        <v>0</v>
      </c>
      <c r="AN895">
        <v>0</v>
      </c>
      <c r="AO895">
        <v>0</v>
      </c>
      <c r="AP895">
        <v>5</v>
      </c>
      <c r="AQ895">
        <v>0</v>
      </c>
      <c r="AR895">
        <v>0</v>
      </c>
      <c r="AS895" t="s">
        <v>59</v>
      </c>
      <c r="AT895">
        <v>0</v>
      </c>
      <c r="AU895" t="s">
        <v>80</v>
      </c>
      <c r="AV895" t="s">
        <v>65</v>
      </c>
      <c r="AW895">
        <v>0</v>
      </c>
      <c r="AX895">
        <v>2</v>
      </c>
      <c r="AY895">
        <v>0</v>
      </c>
      <c r="AZ895">
        <v>0</v>
      </c>
      <c r="BA895">
        <v>100</v>
      </c>
      <c r="BB895">
        <v>100</v>
      </c>
      <c r="BC895">
        <v>100</v>
      </c>
      <c r="BD895">
        <v>100</v>
      </c>
      <c r="BE895">
        <v>1</v>
      </c>
      <c r="BF895">
        <v>15000</v>
      </c>
      <c r="BG895">
        <v>1000</v>
      </c>
      <c r="BH895" s="7">
        <f>ROUND(Wapato_Inventory[[#This Row],[detatched_value]]*Lookups!$B$22*Lookups!$H$48,-2)</f>
        <v>0</v>
      </c>
      <c r="BI895" s="7">
        <f>ROUND(((Wapato_Inventory[[#This Row],[land_extract]]*Lookups!$B$3) +(Lookups!$B$2*0.5))*Lookups!$H$48,-2)</f>
        <v>51500</v>
      </c>
      <c r="BJ895" s="7">
        <f>IF(Wapato_Inventory[[#This Row],[bldg_style]]="",0,Lookups!$B$2*0.5)</f>
        <v>53765.27</v>
      </c>
      <c r="BK895" s="7">
        <f>_xlfn.IFNA(VLOOKUP(Wapato_Inventory[[#This Row],[quality]],Lookups!$H$2:$J$14,3,FALSE),0)</f>
        <v>28034</v>
      </c>
      <c r="BL895" s="7">
        <f>_xlfn.IFNA(VLOOKUP(Wapato_Inventory[[#This Row],[condition]],Lookups!$H$17:$J$24,3,FALSE),0)</f>
        <v>16276</v>
      </c>
      <c r="BM895" s="7">
        <f>Wapato_Inventory[[#This Row],[Age]]*Lookups!$B$16</f>
        <v>-41886.354100000004</v>
      </c>
      <c r="BN895" s="7">
        <f>Wapato_Inventory[[#This Row],[Main Floor]]*Lookups!$B$17</f>
        <v>31434.155728000002</v>
      </c>
      <c r="BO895" s="7">
        <f>Wapato_Inventory[[#This Row],[Upper Floor]]*Lookups!$B$18</f>
        <v>0</v>
      </c>
      <c r="BP895" s="7">
        <f>Wapato_Inventory[[#This Row],[Fin BSMT]]*Lookups!$B$19</f>
        <v>0</v>
      </c>
      <c r="BQ895" s="7">
        <f>(Wapato_Inventory[[#This Row],[att_gar]]+Wapato_Inventory[[#This Row],[blt_gar]])*Lookups!$B$20</f>
        <v>0</v>
      </c>
      <c r="BR895" s="7">
        <f>Wapato_Inventory[[#This Row],[Patio]]*Lookups!$B$21</f>
        <v>0</v>
      </c>
      <c r="BS895" s="7">
        <f>SUM(Wapato_Inventory[[#This Row],[intercept]:[patio_value]])*Wapato_Inventory[[#This Row],[res_pct]]</f>
        <v>87623.071627999991</v>
      </c>
      <c r="BT895" s="7">
        <f>Wapato_Inventory[[#This Row],[land_value]]</f>
        <v>51500</v>
      </c>
      <c r="BU895" s="2">
        <f>_xlfn.IFNA(VLOOKUP(Wapato_Inventory[[#This Row],[quality]],Lookups!$A$28:$C$37,3,FALSE),1)</f>
        <v>0.96265813922927435</v>
      </c>
      <c r="BV895" s="2">
        <f>_xlfn.IFNA(VLOOKUP(Wapato_Inventory[[#This Row],[condition]],Lookups!$A$41:$C$48,3,FALSE),1)</f>
        <v>0.93399385491337139</v>
      </c>
      <c r="BW895" s="2">
        <f>IF(Wapato_Inventory[[#This Row],[decade]]="",1,_xlfn.IFNA(VLOOKUP(Wapato_Inventory[[#This Row],[decade]],Lookups!$F$28:$H$45,3,FALSE),1))</f>
        <v>0.93664589651353292</v>
      </c>
      <c r="BX895" s="2">
        <f>_xlfn.IFNA(VLOOKUP(Wapato_Inventory[[#This Row],[living_area_range]],Lookups!$K$28:$M$37,3,FALSE),1)</f>
        <v>0.99022994770196116</v>
      </c>
      <c r="BY895" s="2">
        <f>AVERAGE(Wapato_Inventory[[#This Row],[qual_adj]:[range_adj]])</f>
        <v>0.95588195958953504</v>
      </c>
      <c r="BZ895" s="7">
        <f>(Wapato_Inventory[[#This Row],[sum_land]]-IF(Wapato_Inventory[[#This Row],[no_utilities]]=1,12000,0))/IF(Wapato_Inventory[[#This Row],[unbuildable]]=1,2,1)</f>
        <v>51500</v>
      </c>
      <c r="CA895" s="7">
        <f>Wapato_Inventory[[#This Row],[pre_res]]*Wapato_Inventory[[#This Row],[overall_adj]]</f>
        <v>83757.313413026815</v>
      </c>
      <c r="CB895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895" s="3">
        <f>IF(ROUND(Wapato_Inventory[[#This Row],[adj_res]]*Lookups!$H$48,-2)&lt;Wapato_Inventory[[#This Row],[min_res]],Wapato_Inventory[[#This Row],[min_res]],ROUND(Wapato_Inventory[[#This Row],[adj_res]]*Lookups!$H$48,-2))</f>
        <v>79600</v>
      </c>
      <c r="CD895" s="3">
        <f>ROUND(Wapato_Inventory[[#This Row],[det_value]]*Lookups!$H$48,-2)</f>
        <v>0</v>
      </c>
      <c r="CE895" s="3">
        <f>Wapato_Inventory[[#This Row],[final_res]]+Wapato_Inventory[[#This Row],[final_det]]</f>
        <v>79600</v>
      </c>
      <c r="CF895" s="3">
        <f>Wapato_Inventory[[#This Row],[crop_value]]+Wapato_Inventory[[#This Row],[final_land]]+Wapato_Inventory[[#This Row],[final_imp]]</f>
        <v>128500</v>
      </c>
      <c r="CH895" t="str">
        <f t="shared" si="13"/>
        <v>update valuation set market_land =48900, market_bldg=79600, market_total =128500, market_mdno =405, market_date ='9/10/2023' where link_id = (select link_id from parcel where parcel_year = '2024' and parcel_id = '19111514573');</v>
      </c>
    </row>
    <row r="896" spans="1:86" x14ac:dyDescent="0.25">
      <c r="A896">
        <v>19111514574</v>
      </c>
      <c r="B896">
        <v>0.11</v>
      </c>
      <c r="C896">
        <v>4619</v>
      </c>
      <c r="D896" t="s">
        <v>144</v>
      </c>
      <c r="E896" t="s">
        <v>54</v>
      </c>
      <c r="F896" t="s">
        <v>54</v>
      </c>
      <c r="G896">
        <v>3</v>
      </c>
      <c r="H896" t="s">
        <v>55</v>
      </c>
      <c r="I896">
        <v>169400</v>
      </c>
      <c r="J896">
        <v>30200</v>
      </c>
      <c r="K896">
        <v>0.11</v>
      </c>
      <c r="L896">
        <f>IF(Wapato_Inventory[[#This Row],[parcel_acres]]-Wapato_Inventory[[#This Row],[non_valued_acres]] =0,0,LN(Wapato_Inventory[[#This Row],[parcel_acres]]-Wapato_Inventory[[#This Row],[non_valued_acres]]))</f>
        <v>-2.2072749131897207</v>
      </c>
      <c r="M896">
        <v>0</v>
      </c>
      <c r="N896">
        <v>0</v>
      </c>
      <c r="O896">
        <v>0</v>
      </c>
      <c r="P896">
        <v>27904.037</v>
      </c>
      <c r="Q896">
        <v>74398</v>
      </c>
      <c r="R896" s="3">
        <f>(Wapato_Inventory[[#This Row],[ln_acres]]*Wapato_Inventory[[#This Row],[coeff]])+Wapato_Inventory[[#This Row],[const]]</f>
        <v>12806.119153182248</v>
      </c>
      <c r="S896" t="s">
        <v>66</v>
      </c>
      <c r="T896">
        <v>1</v>
      </c>
      <c r="U896" t="s">
        <v>71</v>
      </c>
      <c r="V896" t="s">
        <v>68</v>
      </c>
      <c r="W896">
        <v>0</v>
      </c>
      <c r="X896">
        <v>0</v>
      </c>
      <c r="Y896">
        <v>50</v>
      </c>
      <c r="Z896">
        <v>98</v>
      </c>
      <c r="AA896">
        <v>100</v>
      </c>
      <c r="AB896">
        <v>1500</v>
      </c>
      <c r="AC896">
        <v>1104</v>
      </c>
      <c r="AD896">
        <v>1104</v>
      </c>
      <c r="AE896">
        <v>0</v>
      </c>
      <c r="AF896">
        <v>0</v>
      </c>
      <c r="AG896">
        <v>0</v>
      </c>
      <c r="AH896">
        <v>0</v>
      </c>
      <c r="AI896">
        <v>1092</v>
      </c>
      <c r="AJ896">
        <v>0</v>
      </c>
      <c r="AK896">
        <v>0</v>
      </c>
      <c r="AL896">
        <v>184</v>
      </c>
      <c r="AM896">
        <v>0</v>
      </c>
      <c r="AN896">
        <v>60</v>
      </c>
      <c r="AO896">
        <v>0</v>
      </c>
      <c r="AP896">
        <v>5</v>
      </c>
      <c r="AQ896">
        <v>0</v>
      </c>
      <c r="AR896">
        <v>0</v>
      </c>
      <c r="AS896" t="s">
        <v>59</v>
      </c>
      <c r="AT896">
        <v>1</v>
      </c>
      <c r="AU896" t="s">
        <v>72</v>
      </c>
      <c r="AV896" t="s">
        <v>61</v>
      </c>
      <c r="AW896">
        <v>0</v>
      </c>
      <c r="AX896">
        <v>3</v>
      </c>
      <c r="AY896">
        <v>0</v>
      </c>
      <c r="AZ896">
        <v>0</v>
      </c>
      <c r="BA896">
        <v>100</v>
      </c>
      <c r="BB896">
        <v>100</v>
      </c>
      <c r="BC896">
        <v>100</v>
      </c>
      <c r="BD896">
        <v>100</v>
      </c>
      <c r="BE896">
        <v>1</v>
      </c>
      <c r="BF896">
        <v>15000</v>
      </c>
      <c r="BG896">
        <v>1000</v>
      </c>
      <c r="BH896" s="7">
        <f>ROUND(Wapato_Inventory[[#This Row],[detatched_value]]*Lookups!$B$22*Lookups!$H$48,-2)</f>
        <v>0</v>
      </c>
      <c r="BI896" s="7">
        <f>ROUND(((Wapato_Inventory[[#This Row],[land_extract]]*Lookups!$B$3) +(Lookups!$B$2*0.5))*Lookups!$H$48,-2)</f>
        <v>52300</v>
      </c>
      <c r="BJ896" s="7">
        <f>IF(Wapato_Inventory[[#This Row],[bldg_style]]="",0,Lookups!$B$2*0.5)</f>
        <v>53765.27</v>
      </c>
      <c r="BK896" s="7">
        <f>_xlfn.IFNA(VLOOKUP(Wapato_Inventory[[#This Row],[quality]],Lookups!$H$2:$J$14,3,FALSE),0)</f>
        <v>28034</v>
      </c>
      <c r="BL896" s="7">
        <f>_xlfn.IFNA(VLOOKUP(Wapato_Inventory[[#This Row],[condition]],Lookups!$H$17:$J$24,3,FALSE),0)</f>
        <v>52231</v>
      </c>
      <c r="BM896" s="7">
        <f>Wapato_Inventory[[#This Row],[Age]]*Lookups!$B$16</f>
        <v>-36326.2186</v>
      </c>
      <c r="BN896" s="7">
        <f>Wapato_Inventory[[#This Row],[Main Floor]]*Lookups!$B$17</f>
        <v>46148.015855999998</v>
      </c>
      <c r="BO896" s="7">
        <f>Wapato_Inventory[[#This Row],[Upper Floor]]*Lookups!$B$18</f>
        <v>0</v>
      </c>
      <c r="BP896" s="7">
        <f>Wapato_Inventory[[#This Row],[Fin BSMT]]*Lookups!$B$19</f>
        <v>0</v>
      </c>
      <c r="BQ896" s="7">
        <f>(Wapato_Inventory[[#This Row],[att_gar]]+Wapato_Inventory[[#This Row],[blt_gar]])*Lookups!$B$20</f>
        <v>40413.557184000005</v>
      </c>
      <c r="BR896" s="7">
        <f>Wapato_Inventory[[#This Row],[Patio]]*Lookups!$B$21</f>
        <v>0</v>
      </c>
      <c r="BS896" s="7">
        <f>SUM(Wapato_Inventory[[#This Row],[intercept]:[patio_value]])*Wapato_Inventory[[#This Row],[res_pct]]</f>
        <v>184265.62444000001</v>
      </c>
      <c r="BT896" s="7">
        <f>Wapato_Inventory[[#This Row],[land_value]]</f>
        <v>52300</v>
      </c>
      <c r="BU896" s="2">
        <f>_xlfn.IFNA(VLOOKUP(Wapato_Inventory[[#This Row],[quality]],Lookups!$A$28:$C$37,3,FALSE),1)</f>
        <v>0.96265813922927435</v>
      </c>
      <c r="BV896" s="2">
        <f>_xlfn.IFNA(VLOOKUP(Wapato_Inventory[[#This Row],[condition]],Lookups!$A$41:$C$48,3,FALSE),1)</f>
        <v>0.9832333997567807</v>
      </c>
      <c r="BW896" s="2">
        <f>IF(Wapato_Inventory[[#This Row],[decade]]="",1,_xlfn.IFNA(VLOOKUP(Wapato_Inventory[[#This Row],[decade]],Lookups!$F$28:$H$45,3,FALSE),1))</f>
        <v>1.0114203040664467</v>
      </c>
      <c r="BX896" s="2">
        <f>_xlfn.IFNA(VLOOKUP(Wapato_Inventory[[#This Row],[living_area_range]],Lookups!$K$28:$M$37,3,FALSE),1)</f>
        <v>1.0061411172456287</v>
      </c>
      <c r="BY896" s="2">
        <f>AVERAGE(Wapato_Inventory[[#This Row],[qual_adj]:[range_adj]])</f>
        <v>0.99086324007453253</v>
      </c>
      <c r="BZ896" s="7">
        <f>(Wapato_Inventory[[#This Row],[sum_land]]-IF(Wapato_Inventory[[#This Row],[no_utilities]]=1,12000,0))/IF(Wapato_Inventory[[#This Row],[unbuildable]]=1,2,1)</f>
        <v>52300</v>
      </c>
      <c r="CA896" s="7">
        <f>Wapato_Inventory[[#This Row],[pre_res]]*Wapato_Inventory[[#This Row],[overall_adj]]</f>
        <v>182582.03366697539</v>
      </c>
      <c r="CB896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896" s="3">
        <f>IF(ROUND(Wapato_Inventory[[#This Row],[adj_res]]*Lookups!$H$48,-2)&lt;Wapato_Inventory[[#This Row],[min_res]],Wapato_Inventory[[#This Row],[min_res]],ROUND(Wapato_Inventory[[#This Row],[adj_res]]*Lookups!$H$48,-2))</f>
        <v>173500</v>
      </c>
      <c r="CD896" s="3">
        <f>ROUND(Wapato_Inventory[[#This Row],[det_value]]*Lookups!$H$48,-2)</f>
        <v>0</v>
      </c>
      <c r="CE896" s="3">
        <f>Wapato_Inventory[[#This Row],[final_res]]+Wapato_Inventory[[#This Row],[final_det]]</f>
        <v>173500</v>
      </c>
      <c r="CF896" s="3">
        <f>Wapato_Inventory[[#This Row],[crop_value]]+Wapato_Inventory[[#This Row],[final_land]]+Wapato_Inventory[[#This Row],[final_imp]]</f>
        <v>223200</v>
      </c>
      <c r="CH896" t="str">
        <f t="shared" si="13"/>
        <v>update valuation set market_land =49700, market_bldg=173500, market_total =223200, market_mdno =405, market_date ='9/10/2023' where link_id = (select link_id from parcel where parcel_year = '2024' and parcel_id = '19111514574');</v>
      </c>
    </row>
    <row r="897" spans="1:86" x14ac:dyDescent="0.25">
      <c r="A897">
        <v>19111514575</v>
      </c>
      <c r="B897">
        <v>0.18</v>
      </c>
      <c r="C897">
        <v>7692</v>
      </c>
      <c r="D897" t="s">
        <v>144</v>
      </c>
      <c r="E897" t="s">
        <v>54</v>
      </c>
      <c r="F897" t="s">
        <v>54</v>
      </c>
      <c r="G897">
        <v>3</v>
      </c>
      <c r="H897" t="s">
        <v>55</v>
      </c>
      <c r="I897">
        <v>118900</v>
      </c>
      <c r="J897">
        <v>33700</v>
      </c>
      <c r="K897">
        <v>0.18</v>
      </c>
      <c r="L897">
        <f>IF(Wapato_Inventory[[#This Row],[parcel_acres]]-Wapato_Inventory[[#This Row],[non_valued_acres]] =0,0,LN(Wapato_Inventory[[#This Row],[parcel_acres]]-Wapato_Inventory[[#This Row],[non_valued_acres]]))</f>
        <v>-1.7147984280919266</v>
      </c>
      <c r="M897">
        <v>0</v>
      </c>
      <c r="N897">
        <v>0</v>
      </c>
      <c r="O897">
        <v>0</v>
      </c>
      <c r="P897">
        <v>27904.037</v>
      </c>
      <c r="Q897">
        <v>74398</v>
      </c>
      <c r="R897" s="3">
        <f>(Wapato_Inventory[[#This Row],[ln_acres]]*Wapato_Inventory[[#This Row],[coeff]])+Wapato_Inventory[[#This Row],[const]]</f>
        <v>26548.20121498104</v>
      </c>
      <c r="S897" t="s">
        <v>62</v>
      </c>
      <c r="T897">
        <v>1</v>
      </c>
      <c r="U897" t="s">
        <v>71</v>
      </c>
      <c r="V897" t="s">
        <v>73</v>
      </c>
      <c r="W897">
        <v>0</v>
      </c>
      <c r="X897">
        <v>0</v>
      </c>
      <c r="Y897">
        <v>45</v>
      </c>
      <c r="Z897">
        <v>51</v>
      </c>
      <c r="AA897">
        <v>60</v>
      </c>
      <c r="AB897">
        <v>1500</v>
      </c>
      <c r="AC897">
        <v>1404</v>
      </c>
      <c r="AD897">
        <v>1404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48</v>
      </c>
      <c r="AM897">
        <v>0</v>
      </c>
      <c r="AN897">
        <v>0</v>
      </c>
      <c r="AO897">
        <v>48</v>
      </c>
      <c r="AP897">
        <v>5</v>
      </c>
      <c r="AQ897">
        <v>0</v>
      </c>
      <c r="AR897">
        <v>0</v>
      </c>
      <c r="AS897" t="s">
        <v>59</v>
      </c>
      <c r="AT897">
        <v>1</v>
      </c>
      <c r="AU897" t="s">
        <v>72</v>
      </c>
      <c r="AV897" t="s">
        <v>61</v>
      </c>
      <c r="AW897">
        <v>0</v>
      </c>
      <c r="AX897">
        <v>3</v>
      </c>
      <c r="AY897">
        <v>0</v>
      </c>
      <c r="AZ897">
        <v>0</v>
      </c>
      <c r="BA897">
        <v>100</v>
      </c>
      <c r="BB897">
        <v>100</v>
      </c>
      <c r="BC897">
        <v>100</v>
      </c>
      <c r="BD897">
        <v>100</v>
      </c>
      <c r="BE897">
        <v>1</v>
      </c>
      <c r="BF897">
        <v>15000</v>
      </c>
      <c r="BG897">
        <v>1000</v>
      </c>
      <c r="BH897" s="7">
        <f>ROUND(Wapato_Inventory[[#This Row],[detatched_value]]*Lookups!$B$22*Lookups!$H$48,-2)</f>
        <v>0</v>
      </c>
      <c r="BI897" s="7">
        <f>ROUND(((Wapato_Inventory[[#This Row],[land_extract]]*Lookups!$B$3) +(Lookups!$B$2*0.5))*Lookups!$H$48,-2)</f>
        <v>53600</v>
      </c>
      <c r="BJ897" s="7">
        <f>IF(Wapato_Inventory[[#This Row],[bldg_style]]="",0,Lookups!$B$2*0.5)</f>
        <v>53765.27</v>
      </c>
      <c r="BK897" s="7">
        <f>_xlfn.IFNA(VLOOKUP(Wapato_Inventory[[#This Row],[quality]],Lookups!$H$2:$J$14,3,FALSE),0)</f>
        <v>28034</v>
      </c>
      <c r="BL897" s="7">
        <f>_xlfn.IFNA(VLOOKUP(Wapato_Inventory[[#This Row],[condition]],Lookups!$H$17:$J$24,3,FALSE),0)</f>
        <v>16276</v>
      </c>
      <c r="BM897" s="7">
        <f>Wapato_Inventory[[#This Row],[Age]]*Lookups!$B$16</f>
        <v>-18904.4607</v>
      </c>
      <c r="BN897" s="7">
        <f>Wapato_Inventory[[#This Row],[Main Floor]]*Lookups!$B$17</f>
        <v>58688.237556</v>
      </c>
      <c r="BO897" s="7">
        <f>Wapato_Inventory[[#This Row],[Upper Floor]]*Lookups!$B$18</f>
        <v>0</v>
      </c>
      <c r="BP897" s="7">
        <f>Wapato_Inventory[[#This Row],[Fin BSMT]]*Lookups!$B$19</f>
        <v>0</v>
      </c>
      <c r="BQ897" s="7">
        <f>(Wapato_Inventory[[#This Row],[att_gar]]+Wapato_Inventory[[#This Row],[blt_gar]])*Lookups!$B$20</f>
        <v>0</v>
      </c>
      <c r="BR897" s="7">
        <f>Wapato_Inventory[[#This Row],[Patio]]*Lookups!$B$21</f>
        <v>0</v>
      </c>
      <c r="BS897" s="7">
        <f>SUM(Wapato_Inventory[[#This Row],[intercept]:[patio_value]])*Wapato_Inventory[[#This Row],[res_pct]]</f>
        <v>137859.046856</v>
      </c>
      <c r="BT897" s="7">
        <f>Wapato_Inventory[[#This Row],[land_value]]</f>
        <v>53600</v>
      </c>
      <c r="BU897" s="2">
        <f>_xlfn.IFNA(VLOOKUP(Wapato_Inventory[[#This Row],[quality]],Lookups!$A$28:$C$37,3,FALSE),1)</f>
        <v>0.96265813922927435</v>
      </c>
      <c r="BV897" s="2">
        <f>_xlfn.IFNA(VLOOKUP(Wapato_Inventory[[#This Row],[condition]],Lookups!$A$41:$C$48,3,FALSE),1)</f>
        <v>0.93399385491337139</v>
      </c>
      <c r="BW897" s="2">
        <f>IF(Wapato_Inventory[[#This Row],[decade]]="",1,_xlfn.IFNA(VLOOKUP(Wapato_Inventory[[#This Row],[decade]],Lookups!$F$28:$H$45,3,FALSE),1))</f>
        <v>1.035341704162583</v>
      </c>
      <c r="BX897" s="2">
        <f>_xlfn.IFNA(VLOOKUP(Wapato_Inventory[[#This Row],[living_area_range]],Lookups!$K$28:$M$37,3,FALSE),1)</f>
        <v>1.0061411172456287</v>
      </c>
      <c r="BY897" s="2">
        <f>AVERAGE(Wapato_Inventory[[#This Row],[qual_adj]:[range_adj]])</f>
        <v>0.98453370388771444</v>
      </c>
      <c r="BZ897" s="7">
        <f>(Wapato_Inventory[[#This Row],[sum_land]]-IF(Wapato_Inventory[[#This Row],[no_utilities]]=1,12000,0))/IF(Wapato_Inventory[[#This Row],[unbuildable]]=1,2,1)</f>
        <v>53600</v>
      </c>
      <c r="CA897" s="7">
        <f>Wapato_Inventory[[#This Row],[pre_res]]*Wapato_Inventory[[#This Row],[overall_adj]]</f>
        <v>135726.87801556766</v>
      </c>
      <c r="CB897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897" s="3">
        <f>IF(ROUND(Wapato_Inventory[[#This Row],[adj_res]]*Lookups!$H$48,-2)&lt;Wapato_Inventory[[#This Row],[min_res]],Wapato_Inventory[[#This Row],[min_res]],ROUND(Wapato_Inventory[[#This Row],[adj_res]]*Lookups!$H$48,-2))</f>
        <v>128900</v>
      </c>
      <c r="CD897" s="3">
        <f>ROUND(Wapato_Inventory[[#This Row],[det_value]]*Lookups!$H$48,-2)</f>
        <v>0</v>
      </c>
      <c r="CE897" s="3">
        <f>Wapato_Inventory[[#This Row],[final_res]]+Wapato_Inventory[[#This Row],[final_det]]</f>
        <v>128900</v>
      </c>
      <c r="CF897" s="3">
        <f>Wapato_Inventory[[#This Row],[crop_value]]+Wapato_Inventory[[#This Row],[final_land]]+Wapato_Inventory[[#This Row],[final_imp]]</f>
        <v>179800</v>
      </c>
      <c r="CH897" t="str">
        <f t="shared" si="13"/>
        <v>update valuation set market_land =50900, market_bldg=128900, market_total =179800, market_mdno =405, market_date ='9/10/2023' where link_id = (select link_id from parcel where parcel_year = '2024' and parcel_id = '19111514575');</v>
      </c>
    </row>
    <row r="898" spans="1:86" x14ac:dyDescent="0.25">
      <c r="A898">
        <v>19111514576</v>
      </c>
      <c r="B898">
        <v>0.11</v>
      </c>
      <c r="C898">
        <v>4641</v>
      </c>
      <c r="D898">
        <v>0.11</v>
      </c>
      <c r="E898" t="s">
        <v>54</v>
      </c>
      <c r="F898" t="s">
        <v>54</v>
      </c>
      <c r="G898">
        <v>3</v>
      </c>
      <c r="H898" t="s">
        <v>55</v>
      </c>
      <c r="I898">
        <v>167400</v>
      </c>
      <c r="J898">
        <v>30200</v>
      </c>
      <c r="K898">
        <v>0.11</v>
      </c>
      <c r="L898">
        <f>IF(Wapato_Inventory[[#This Row],[parcel_acres]]-Wapato_Inventory[[#This Row],[non_valued_acres]] =0,0,LN(Wapato_Inventory[[#This Row],[parcel_acres]]-Wapato_Inventory[[#This Row],[non_valued_acres]]))</f>
        <v>-2.2072749131897207</v>
      </c>
      <c r="M898">
        <v>0</v>
      </c>
      <c r="N898">
        <v>0</v>
      </c>
      <c r="O898">
        <v>0</v>
      </c>
      <c r="P898">
        <v>27904.037</v>
      </c>
      <c r="Q898">
        <v>74398</v>
      </c>
      <c r="R898" s="3">
        <f>(Wapato_Inventory[[#This Row],[ln_acres]]*Wapato_Inventory[[#This Row],[coeff]])+Wapato_Inventory[[#This Row],[const]]</f>
        <v>12806.119153182248</v>
      </c>
      <c r="S898" t="s">
        <v>66</v>
      </c>
      <c r="T898">
        <v>1</v>
      </c>
      <c r="U898" t="s">
        <v>75</v>
      </c>
      <c r="V898" t="s">
        <v>68</v>
      </c>
      <c r="W898">
        <v>0</v>
      </c>
      <c r="X898">
        <v>0</v>
      </c>
      <c r="Y898">
        <v>49</v>
      </c>
      <c r="Z898">
        <v>65</v>
      </c>
      <c r="AA898">
        <v>70</v>
      </c>
      <c r="AB898">
        <v>1500</v>
      </c>
      <c r="AC898">
        <v>1296</v>
      </c>
      <c r="AD898">
        <v>1296</v>
      </c>
      <c r="AE898">
        <v>0</v>
      </c>
      <c r="AF898">
        <v>0</v>
      </c>
      <c r="AG898">
        <v>0</v>
      </c>
      <c r="AH898">
        <v>0</v>
      </c>
      <c r="AI898">
        <v>0</v>
      </c>
      <c r="AJ898">
        <v>0</v>
      </c>
      <c r="AK898">
        <v>0</v>
      </c>
      <c r="AL898">
        <v>0</v>
      </c>
      <c r="AM898">
        <v>396</v>
      </c>
      <c r="AN898">
        <v>0</v>
      </c>
      <c r="AO898">
        <v>308</v>
      </c>
      <c r="AP898">
        <v>5</v>
      </c>
      <c r="AQ898">
        <v>0</v>
      </c>
      <c r="AR898">
        <v>0</v>
      </c>
      <c r="AS898" t="s">
        <v>59</v>
      </c>
      <c r="AT898">
        <v>1</v>
      </c>
      <c r="AU898" t="s">
        <v>64</v>
      </c>
      <c r="AV898" t="s">
        <v>65</v>
      </c>
      <c r="AW898">
        <v>1</v>
      </c>
      <c r="AX898">
        <v>2</v>
      </c>
      <c r="AY898">
        <v>0</v>
      </c>
      <c r="AZ898">
        <v>5900</v>
      </c>
      <c r="BA898">
        <v>100</v>
      </c>
      <c r="BB898">
        <v>100</v>
      </c>
      <c r="BC898">
        <v>100</v>
      </c>
      <c r="BD898">
        <v>100</v>
      </c>
      <c r="BE898">
        <v>1</v>
      </c>
      <c r="BF898">
        <v>15000</v>
      </c>
      <c r="BG898">
        <v>1000</v>
      </c>
      <c r="BH898" s="7">
        <f>ROUND(Wapato_Inventory[[#This Row],[detatched_value]]*Lookups!$B$22*Lookups!$H$48,-2)</f>
        <v>5300</v>
      </c>
      <c r="BI898" s="7">
        <f>ROUND(((Wapato_Inventory[[#This Row],[land_extract]]*Lookups!$B$3) +(Lookups!$B$2*0.5))*Lookups!$H$48,-2)</f>
        <v>52300</v>
      </c>
      <c r="BJ898" s="7">
        <f>IF(Wapato_Inventory[[#This Row],[bldg_style]]="",0,Lookups!$B$2*0.5)</f>
        <v>53765.27</v>
      </c>
      <c r="BK898" s="7">
        <f>_xlfn.IFNA(VLOOKUP(Wapato_Inventory[[#This Row],[quality]],Lookups!$H$2:$J$14,3,FALSE),0)</f>
        <v>48043</v>
      </c>
      <c r="BL898" s="7">
        <f>_xlfn.IFNA(VLOOKUP(Wapato_Inventory[[#This Row],[condition]],Lookups!$H$17:$J$24,3,FALSE),0)</f>
        <v>52231</v>
      </c>
      <c r="BM898" s="7">
        <f>Wapato_Inventory[[#This Row],[Age]]*Lookups!$B$16</f>
        <v>-24093.9205</v>
      </c>
      <c r="BN898" s="7">
        <f>Wapato_Inventory[[#This Row],[Main Floor]]*Lookups!$B$17</f>
        <v>54173.757744000002</v>
      </c>
      <c r="BO898" s="7">
        <f>Wapato_Inventory[[#This Row],[Upper Floor]]*Lookups!$B$18</f>
        <v>0</v>
      </c>
      <c r="BP898" s="7">
        <f>Wapato_Inventory[[#This Row],[Fin BSMT]]*Lookups!$B$19</f>
        <v>0</v>
      </c>
      <c r="BQ898" s="7">
        <f>(Wapato_Inventory[[#This Row],[att_gar]]+Wapato_Inventory[[#This Row],[blt_gar]])*Lookups!$B$20</f>
        <v>0</v>
      </c>
      <c r="BR898" s="7">
        <f>Wapato_Inventory[[#This Row],[Patio]]*Lookups!$B$21</f>
        <v>17156.295684000001</v>
      </c>
      <c r="BS898" s="7">
        <f>SUM(Wapato_Inventory[[#This Row],[intercept]:[patio_value]])*Wapato_Inventory[[#This Row],[res_pct]]</f>
        <v>201275.402928</v>
      </c>
      <c r="BT898" s="7">
        <f>Wapato_Inventory[[#This Row],[land_value]]</f>
        <v>52300</v>
      </c>
      <c r="BU898" s="2">
        <f>_xlfn.IFNA(VLOOKUP(Wapato_Inventory[[#This Row],[quality]],Lookups!$A$28:$C$37,3,FALSE),1)</f>
        <v>0.98196844879778955</v>
      </c>
      <c r="BV898" s="2">
        <f>_xlfn.IFNA(VLOOKUP(Wapato_Inventory[[#This Row],[condition]],Lookups!$A$41:$C$48,3,FALSE),1)</f>
        <v>0.9832333997567807</v>
      </c>
      <c r="BW898" s="2">
        <f>IF(Wapato_Inventory[[#This Row],[decade]]="",1,_xlfn.IFNA(VLOOKUP(Wapato_Inventory[[#This Row],[decade]],Lookups!$F$28:$H$45,3,FALSE),1))</f>
        <v>1.0012715221492001</v>
      </c>
      <c r="BX898" s="2">
        <f>_xlfn.IFNA(VLOOKUP(Wapato_Inventory[[#This Row],[living_area_range]],Lookups!$K$28:$M$37,3,FALSE),1)</f>
        <v>1.0061411172456287</v>
      </c>
      <c r="BY898" s="2">
        <f>AVERAGE(Wapato_Inventory[[#This Row],[qual_adj]:[range_adj]])</f>
        <v>0.9931536219873498</v>
      </c>
      <c r="BZ898" s="7">
        <f>(Wapato_Inventory[[#This Row],[sum_land]]-IF(Wapato_Inventory[[#This Row],[no_utilities]]=1,12000,0))/IF(Wapato_Inventory[[#This Row],[unbuildable]]=1,2,1)</f>
        <v>52300</v>
      </c>
      <c r="CA898" s="7">
        <f>Wapato_Inventory[[#This Row],[pre_res]]*Wapato_Inventory[[#This Row],[overall_adj]]</f>
        <v>199897.39543490642</v>
      </c>
      <c r="CB898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898" s="3">
        <f>IF(ROUND(Wapato_Inventory[[#This Row],[adj_res]]*Lookups!$H$48,-2)&lt;Wapato_Inventory[[#This Row],[min_res]],Wapato_Inventory[[#This Row],[min_res]],ROUND(Wapato_Inventory[[#This Row],[adj_res]]*Lookups!$H$48,-2))</f>
        <v>189900</v>
      </c>
      <c r="CD898" s="3">
        <f>ROUND(Wapato_Inventory[[#This Row],[det_value]]*Lookups!$H$48,-2)</f>
        <v>5000</v>
      </c>
      <c r="CE898" s="3">
        <f>Wapato_Inventory[[#This Row],[final_res]]+Wapato_Inventory[[#This Row],[final_det]]</f>
        <v>194900</v>
      </c>
      <c r="CF898" s="3">
        <f>Wapato_Inventory[[#This Row],[crop_value]]+Wapato_Inventory[[#This Row],[final_land]]+Wapato_Inventory[[#This Row],[final_imp]]</f>
        <v>244600</v>
      </c>
      <c r="CH898" t="str">
        <f t="shared" ref="CH898:CH961" si="14">"update valuation set market_land ="&amp;CB898&amp;", market_bldg="&amp;CE898&amp;", market_total ="&amp;CF898&amp;", market_mdno ="&amp;$CH$1&amp;", market_date ='"&amp;TEXT($CI$1,"m/d/yyyy")&amp;"' where link_id = (select link_id from parcel where parcel_year = '2024' and parcel_id = '"&amp;A898&amp;"');"</f>
        <v>update valuation set market_land =49700, market_bldg=194900, market_total =244600, market_mdno =405, market_date ='9/10/2023' where link_id = (select link_id from parcel where parcel_year = '2024' and parcel_id = '19111514576');</v>
      </c>
    </row>
    <row r="899" spans="1:86" x14ac:dyDescent="0.25">
      <c r="A899">
        <v>19111514579</v>
      </c>
      <c r="B899">
        <v>0.13</v>
      </c>
      <c r="C899">
        <v>5750</v>
      </c>
      <c r="D899" t="s">
        <v>144</v>
      </c>
      <c r="E899" t="s">
        <v>54</v>
      </c>
      <c r="F899" t="s">
        <v>54</v>
      </c>
      <c r="G899">
        <v>3</v>
      </c>
      <c r="H899" t="s">
        <v>55</v>
      </c>
      <c r="I899">
        <v>203500</v>
      </c>
      <c r="J899">
        <v>31400</v>
      </c>
      <c r="K899">
        <v>0.13</v>
      </c>
      <c r="L899">
        <f>IF(Wapato_Inventory[[#This Row],[parcel_acres]]-Wapato_Inventory[[#This Row],[non_valued_acres]] =0,0,LN(Wapato_Inventory[[#This Row],[parcel_acres]]-Wapato_Inventory[[#This Row],[non_valued_acres]]))</f>
        <v>-2.0402208285265546</v>
      </c>
      <c r="M899">
        <v>0</v>
      </c>
      <c r="N899">
        <v>0</v>
      </c>
      <c r="O899">
        <v>0</v>
      </c>
      <c r="P899">
        <v>27904.037</v>
      </c>
      <c r="Q899">
        <v>74398</v>
      </c>
      <c r="R899" s="3">
        <f>(Wapato_Inventory[[#This Row],[ln_acres]]*Wapato_Inventory[[#This Row],[coeff]])+Wapato_Inventory[[#This Row],[const]]</f>
        <v>17467.602512624362</v>
      </c>
      <c r="S899" t="s">
        <v>62</v>
      </c>
      <c r="T899">
        <v>1</v>
      </c>
      <c r="U899" t="s">
        <v>71</v>
      </c>
      <c r="V899" t="s">
        <v>69</v>
      </c>
      <c r="W899">
        <v>0</v>
      </c>
      <c r="X899">
        <v>0</v>
      </c>
      <c r="Y899">
        <v>46</v>
      </c>
      <c r="Z899">
        <v>53</v>
      </c>
      <c r="AA899">
        <v>60</v>
      </c>
      <c r="AB899">
        <v>2000</v>
      </c>
      <c r="AC899">
        <v>1950</v>
      </c>
      <c r="AD899">
        <v>1325</v>
      </c>
      <c r="AE899">
        <v>0</v>
      </c>
      <c r="AF899">
        <v>625</v>
      </c>
      <c r="AG899">
        <v>0</v>
      </c>
      <c r="AH899">
        <v>0</v>
      </c>
      <c r="AI899">
        <v>550</v>
      </c>
      <c r="AJ899">
        <v>0</v>
      </c>
      <c r="AK899">
        <v>0</v>
      </c>
      <c r="AL899">
        <v>0</v>
      </c>
      <c r="AM899">
        <v>120</v>
      </c>
      <c r="AN899">
        <v>0</v>
      </c>
      <c r="AO899">
        <v>0</v>
      </c>
      <c r="AP899">
        <v>5</v>
      </c>
      <c r="AQ899">
        <v>0</v>
      </c>
      <c r="AR899">
        <v>0</v>
      </c>
      <c r="AS899" t="s">
        <v>59</v>
      </c>
      <c r="AT899">
        <v>1</v>
      </c>
      <c r="AU899" t="s">
        <v>76</v>
      </c>
      <c r="AV899" t="s">
        <v>61</v>
      </c>
      <c r="AW899">
        <v>0</v>
      </c>
      <c r="AX899">
        <v>3</v>
      </c>
      <c r="AY899">
        <v>0</v>
      </c>
      <c r="AZ899">
        <v>0</v>
      </c>
      <c r="BA899">
        <v>100</v>
      </c>
      <c r="BB899">
        <v>100</v>
      </c>
      <c r="BC899">
        <v>100</v>
      </c>
      <c r="BD899">
        <v>100</v>
      </c>
      <c r="BE899">
        <v>1</v>
      </c>
      <c r="BF899">
        <v>15000</v>
      </c>
      <c r="BG899">
        <v>1000</v>
      </c>
      <c r="BH899" s="7">
        <f>ROUND(Wapato_Inventory[[#This Row],[detatched_value]]*Lookups!$B$22*Lookups!$H$48,-2)</f>
        <v>0</v>
      </c>
      <c r="BI899" s="7">
        <f>ROUND(((Wapato_Inventory[[#This Row],[land_extract]]*Lookups!$B$3) +(Lookups!$B$2*0.5))*Lookups!$H$48,-2)</f>
        <v>52800</v>
      </c>
      <c r="BJ899" s="7">
        <f>IF(Wapato_Inventory[[#This Row],[bldg_style]]="",0,Lookups!$B$2*0.5)</f>
        <v>53765.27</v>
      </c>
      <c r="BK899" s="7">
        <f>_xlfn.IFNA(VLOOKUP(Wapato_Inventory[[#This Row],[quality]],Lookups!$H$2:$J$14,3,FALSE),0)</f>
        <v>28034</v>
      </c>
      <c r="BL899" s="7">
        <f>_xlfn.IFNA(VLOOKUP(Wapato_Inventory[[#This Row],[condition]],Lookups!$H$17:$J$24,3,FALSE),0)</f>
        <v>74543</v>
      </c>
      <c r="BM899" s="7">
        <f>Wapato_Inventory[[#This Row],[Age]]*Lookups!$B$16</f>
        <v>-19645.812099999999</v>
      </c>
      <c r="BN899" s="7">
        <f>Wapato_Inventory[[#This Row],[Main Floor]]*Lookups!$B$17</f>
        <v>55385.979175</v>
      </c>
      <c r="BO899" s="7">
        <f>Wapato_Inventory[[#This Row],[Upper Floor]]*Lookups!$B$18</f>
        <v>0</v>
      </c>
      <c r="BP899" s="7">
        <f>Wapato_Inventory[[#This Row],[Fin BSMT]]*Lookups!$B$19</f>
        <v>0</v>
      </c>
      <c r="BQ899" s="7">
        <f>(Wapato_Inventory[[#This Row],[att_gar]]+Wapato_Inventory[[#This Row],[blt_gar]])*Lookups!$B$20</f>
        <v>20354.813600000001</v>
      </c>
      <c r="BR899" s="7">
        <f>Wapato_Inventory[[#This Row],[Patio]]*Lookups!$B$21</f>
        <v>5198.8774800000001</v>
      </c>
      <c r="BS899" s="7">
        <f>SUM(Wapato_Inventory[[#This Row],[intercept]:[patio_value]])*Wapato_Inventory[[#This Row],[res_pct]]</f>
        <v>217636.12815499995</v>
      </c>
      <c r="BT899" s="7">
        <f>Wapato_Inventory[[#This Row],[land_value]]</f>
        <v>52800</v>
      </c>
      <c r="BU899" s="2">
        <f>_xlfn.IFNA(VLOOKUP(Wapato_Inventory[[#This Row],[quality]],Lookups!$A$28:$C$37,3,FALSE),1)</f>
        <v>0.96265813922927435</v>
      </c>
      <c r="BV899" s="2">
        <f>_xlfn.IFNA(VLOOKUP(Wapato_Inventory[[#This Row],[condition]],Lookups!$A$41:$C$48,3,FALSE),1)</f>
        <v>0.98442438223270734</v>
      </c>
      <c r="BW899" s="2">
        <f>IF(Wapato_Inventory[[#This Row],[decade]]="",1,_xlfn.IFNA(VLOOKUP(Wapato_Inventory[[#This Row],[decade]],Lookups!$F$28:$H$45,3,FALSE),1))</f>
        <v>1.035341704162583</v>
      </c>
      <c r="BX899" s="2">
        <f>_xlfn.IFNA(VLOOKUP(Wapato_Inventory[[#This Row],[living_area_range]],Lookups!$K$28:$M$37,3,FALSE),1)</f>
        <v>0.99330894324714125</v>
      </c>
      <c r="BY899" s="2">
        <f>AVERAGE(Wapato_Inventory[[#This Row],[qual_adj]:[range_adj]])</f>
        <v>0.99393329221792637</v>
      </c>
      <c r="BZ899" s="7">
        <f>(Wapato_Inventory[[#This Row],[sum_land]]-IF(Wapato_Inventory[[#This Row],[no_utilities]]=1,12000,0))/IF(Wapato_Inventory[[#This Row],[unbuildable]]=1,2,1)</f>
        <v>52800</v>
      </c>
      <c r="CA899" s="7">
        <f>Wapato_Inventory[[#This Row],[pre_res]]*Wapato_Inventory[[#This Row],[overall_adj]]</f>
        <v>216315.79336266164</v>
      </c>
      <c r="CB899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899" s="3">
        <f>IF(ROUND(Wapato_Inventory[[#This Row],[adj_res]]*Lookups!$H$48,-2)&lt;Wapato_Inventory[[#This Row],[min_res]],Wapato_Inventory[[#This Row],[min_res]],ROUND(Wapato_Inventory[[#This Row],[adj_res]]*Lookups!$H$48,-2))</f>
        <v>205500</v>
      </c>
      <c r="CD899" s="3">
        <f>ROUND(Wapato_Inventory[[#This Row],[det_value]]*Lookups!$H$48,-2)</f>
        <v>0</v>
      </c>
      <c r="CE899" s="3">
        <f>Wapato_Inventory[[#This Row],[final_res]]+Wapato_Inventory[[#This Row],[final_det]]</f>
        <v>205500</v>
      </c>
      <c r="CF899" s="3">
        <f>Wapato_Inventory[[#This Row],[crop_value]]+Wapato_Inventory[[#This Row],[final_land]]+Wapato_Inventory[[#This Row],[final_imp]]</f>
        <v>255700</v>
      </c>
      <c r="CH899" t="str">
        <f t="shared" si="14"/>
        <v>update valuation set market_land =50200, market_bldg=205500, market_total =255700, market_mdno =405, market_date ='9/10/2023' where link_id = (select link_id from parcel where parcel_year = '2024' and parcel_id = '19111514579');</v>
      </c>
    </row>
    <row r="900" spans="1:86" x14ac:dyDescent="0.25">
      <c r="A900">
        <v>19111514580</v>
      </c>
      <c r="B900">
        <v>0.15</v>
      </c>
      <c r="C900">
        <v>6377</v>
      </c>
      <c r="D900" t="s">
        <v>144</v>
      </c>
      <c r="E900" t="s">
        <v>54</v>
      </c>
      <c r="F900" t="s">
        <v>54</v>
      </c>
      <c r="G900">
        <v>3</v>
      </c>
      <c r="H900" t="s">
        <v>55</v>
      </c>
      <c r="I900">
        <v>303900</v>
      </c>
      <c r="J900">
        <v>32300</v>
      </c>
      <c r="K900">
        <v>0.15</v>
      </c>
      <c r="L900">
        <f>IF(Wapato_Inventory[[#This Row],[parcel_acres]]-Wapato_Inventory[[#This Row],[non_valued_acres]] =0,0,LN(Wapato_Inventory[[#This Row],[parcel_acres]]-Wapato_Inventory[[#This Row],[non_valued_acres]]))</f>
        <v>-1.8971199848858813</v>
      </c>
      <c r="M900">
        <v>0</v>
      </c>
      <c r="N900">
        <v>0</v>
      </c>
      <c r="O900">
        <v>0</v>
      </c>
      <c r="P900">
        <v>27904.037</v>
      </c>
      <c r="Q900">
        <v>74398</v>
      </c>
      <c r="R900" s="3">
        <f>(Wapato_Inventory[[#This Row],[ln_acres]]*Wapato_Inventory[[#This Row],[coeff]])+Wapato_Inventory[[#This Row],[const]]</f>
        <v>21460.693748304926</v>
      </c>
      <c r="S900" t="s">
        <v>66</v>
      </c>
      <c r="T900">
        <v>1</v>
      </c>
      <c r="U900" t="s">
        <v>67</v>
      </c>
      <c r="V900" t="s">
        <v>70</v>
      </c>
      <c r="W900">
        <v>0</v>
      </c>
      <c r="X900">
        <v>0</v>
      </c>
      <c r="Y900">
        <v>17</v>
      </c>
      <c r="Z900">
        <v>17</v>
      </c>
      <c r="AA900">
        <v>20</v>
      </c>
      <c r="AB900">
        <v>2000</v>
      </c>
      <c r="AC900">
        <v>1728</v>
      </c>
      <c r="AD900">
        <v>1728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v>0</v>
      </c>
      <c r="AK900">
        <v>0</v>
      </c>
      <c r="AL900">
        <v>0</v>
      </c>
      <c r="AM900">
        <v>0</v>
      </c>
      <c r="AN900">
        <v>261</v>
      </c>
      <c r="AO900">
        <v>0</v>
      </c>
      <c r="AP900">
        <v>8</v>
      </c>
      <c r="AQ900">
        <v>0</v>
      </c>
      <c r="AR900">
        <v>0</v>
      </c>
      <c r="AS900" t="s">
        <v>59</v>
      </c>
      <c r="AT900">
        <v>1</v>
      </c>
      <c r="AU900" t="s">
        <v>60</v>
      </c>
      <c r="AV900" t="s">
        <v>61</v>
      </c>
      <c r="AW900">
        <v>1</v>
      </c>
      <c r="AX900">
        <v>4</v>
      </c>
      <c r="AY900">
        <v>0</v>
      </c>
      <c r="AZ900">
        <v>0</v>
      </c>
      <c r="BA900">
        <v>100</v>
      </c>
      <c r="BB900">
        <v>100</v>
      </c>
      <c r="BC900">
        <v>100</v>
      </c>
      <c r="BD900">
        <v>100</v>
      </c>
      <c r="BE900">
        <v>1</v>
      </c>
      <c r="BF900">
        <v>15000</v>
      </c>
      <c r="BG900">
        <v>1000</v>
      </c>
      <c r="BH900" s="7">
        <f>ROUND(Wapato_Inventory[[#This Row],[detatched_value]]*Lookups!$B$22*Lookups!$H$48,-2)</f>
        <v>0</v>
      </c>
      <c r="BI900" s="7">
        <f>ROUND(((Wapato_Inventory[[#This Row],[land_extract]]*Lookups!$B$3) +(Lookups!$B$2*0.5))*Lookups!$H$48,-2)</f>
        <v>53100</v>
      </c>
      <c r="BJ900" s="7">
        <f>IF(Wapato_Inventory[[#This Row],[bldg_style]]="",0,Lookups!$B$2*0.5)</f>
        <v>53765.27</v>
      </c>
      <c r="BK900" s="7">
        <f>_xlfn.IFNA(VLOOKUP(Wapato_Inventory[[#This Row],[quality]],Lookups!$H$2:$J$14,3,FALSE),0)</f>
        <v>50405</v>
      </c>
      <c r="BL900" s="7">
        <f>_xlfn.IFNA(VLOOKUP(Wapato_Inventory[[#This Row],[condition]],Lookups!$H$17:$J$24,3,FALSE),0)</f>
        <v>84338</v>
      </c>
      <c r="BM900" s="7">
        <f>Wapato_Inventory[[#This Row],[Age]]*Lookups!$B$16</f>
        <v>-6301.4868999999999</v>
      </c>
      <c r="BN900" s="7">
        <f>Wapato_Inventory[[#This Row],[Main Floor]]*Lookups!$B$17</f>
        <v>72231.676991999993</v>
      </c>
      <c r="BO900" s="7">
        <f>Wapato_Inventory[[#This Row],[Upper Floor]]*Lookups!$B$18</f>
        <v>0</v>
      </c>
      <c r="BP900" s="7">
        <f>Wapato_Inventory[[#This Row],[Fin BSMT]]*Lookups!$B$19</f>
        <v>0</v>
      </c>
      <c r="BQ900" s="7">
        <f>(Wapato_Inventory[[#This Row],[att_gar]]+Wapato_Inventory[[#This Row],[blt_gar]])*Lookups!$B$20</f>
        <v>0</v>
      </c>
      <c r="BR900" s="7">
        <f>Wapato_Inventory[[#This Row],[Patio]]*Lookups!$B$21</f>
        <v>0</v>
      </c>
      <c r="BS900" s="7">
        <f>SUM(Wapato_Inventory[[#This Row],[intercept]:[patio_value]])*Wapato_Inventory[[#This Row],[res_pct]]</f>
        <v>254438.46009199999</v>
      </c>
      <c r="BT900" s="7">
        <f>Wapato_Inventory[[#This Row],[land_value]]</f>
        <v>53100</v>
      </c>
      <c r="BU900" s="2">
        <f>_xlfn.IFNA(VLOOKUP(Wapato_Inventory[[#This Row],[quality]],Lookups!$A$28:$C$37,3,FALSE),1)</f>
        <v>0.97993206410140754</v>
      </c>
      <c r="BV900" s="2">
        <f>_xlfn.IFNA(VLOOKUP(Wapato_Inventory[[#This Row],[condition]],Lookups!$A$41:$C$48,3,FALSE),1)</f>
        <v>0.99478075210508476</v>
      </c>
      <c r="BW900" s="2">
        <f>IF(Wapato_Inventory[[#This Row],[decade]]="",1,_xlfn.IFNA(VLOOKUP(Wapato_Inventory[[#This Row],[decade]],Lookups!$F$28:$H$45,3,FALSE),1))</f>
        <v>1.0658609603367226</v>
      </c>
      <c r="BX900" s="2">
        <f>_xlfn.IFNA(VLOOKUP(Wapato_Inventory[[#This Row],[living_area_range]],Lookups!$K$28:$M$37,3,FALSE),1)</f>
        <v>0.99330894324714125</v>
      </c>
      <c r="BY900" s="2">
        <f>AVERAGE(Wapato_Inventory[[#This Row],[qual_adj]:[range_adj]])</f>
        <v>1.0084706799475891</v>
      </c>
      <c r="BZ900" s="7">
        <f>(Wapato_Inventory[[#This Row],[sum_land]]-IF(Wapato_Inventory[[#This Row],[no_utilities]]=1,12000,0))/IF(Wapato_Inventory[[#This Row],[unbuildable]]=1,2,1)</f>
        <v>53100</v>
      </c>
      <c r="CA900" s="7">
        <f>Wapato_Inventory[[#This Row],[pre_res]]*Wapato_Inventory[[#This Row],[overall_adj]]</f>
        <v>256593.72685379675</v>
      </c>
      <c r="CB90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900" s="3">
        <f>IF(ROUND(Wapato_Inventory[[#This Row],[adj_res]]*Lookups!$H$48,-2)&lt;Wapato_Inventory[[#This Row],[min_res]],Wapato_Inventory[[#This Row],[min_res]],ROUND(Wapato_Inventory[[#This Row],[adj_res]]*Lookups!$H$48,-2))</f>
        <v>243800</v>
      </c>
      <c r="CD900" s="3">
        <f>ROUND(Wapato_Inventory[[#This Row],[det_value]]*Lookups!$H$48,-2)</f>
        <v>0</v>
      </c>
      <c r="CE900" s="3">
        <f>Wapato_Inventory[[#This Row],[final_res]]+Wapato_Inventory[[#This Row],[final_det]]</f>
        <v>243800</v>
      </c>
      <c r="CF900" s="3">
        <f>Wapato_Inventory[[#This Row],[crop_value]]+Wapato_Inventory[[#This Row],[final_land]]+Wapato_Inventory[[#This Row],[final_imp]]</f>
        <v>294200</v>
      </c>
      <c r="CH900" t="str">
        <f t="shared" si="14"/>
        <v>update valuation set market_land =50400, market_bldg=243800, market_total =294200, market_mdno =405, market_date ='9/10/2023' where link_id = (select link_id from parcel where parcel_year = '2024' and parcel_id = '19111514580');</v>
      </c>
    </row>
    <row r="901" spans="1:86" x14ac:dyDescent="0.25">
      <c r="A901">
        <v>19111514581</v>
      </c>
      <c r="B901">
        <v>0.14000000000000001</v>
      </c>
      <c r="C901">
        <v>6279</v>
      </c>
      <c r="D901" t="s">
        <v>144</v>
      </c>
      <c r="E901" t="s">
        <v>54</v>
      </c>
      <c r="F901" t="s">
        <v>54</v>
      </c>
      <c r="G901">
        <v>3</v>
      </c>
      <c r="H901" t="s">
        <v>55</v>
      </c>
      <c r="I901">
        <v>172300</v>
      </c>
      <c r="J901">
        <v>31900</v>
      </c>
      <c r="K901">
        <v>0.14000000000000001</v>
      </c>
      <c r="L901">
        <f>IF(Wapato_Inventory[[#This Row],[parcel_acres]]-Wapato_Inventory[[#This Row],[non_valued_acres]] =0,0,LN(Wapato_Inventory[[#This Row],[parcel_acres]]-Wapato_Inventory[[#This Row],[non_valued_acres]]))</f>
        <v>-1.9661128563728327</v>
      </c>
      <c r="M901">
        <v>0</v>
      </c>
      <c r="N901">
        <v>0</v>
      </c>
      <c r="O901">
        <v>0</v>
      </c>
      <c r="P901">
        <v>27904.037</v>
      </c>
      <c r="Q901">
        <v>74398</v>
      </c>
      <c r="R901" s="3">
        <f>(Wapato_Inventory[[#This Row],[ln_acres]]*Wapato_Inventory[[#This Row],[coeff]])+Wapato_Inventory[[#This Row],[const]]</f>
        <v>19535.514109596792</v>
      </c>
      <c r="S901" t="s">
        <v>62</v>
      </c>
      <c r="T901">
        <v>1</v>
      </c>
      <c r="U901" t="s">
        <v>75</v>
      </c>
      <c r="V901" t="s">
        <v>68</v>
      </c>
      <c r="W901">
        <v>0</v>
      </c>
      <c r="X901">
        <v>0</v>
      </c>
      <c r="Y901">
        <v>49</v>
      </c>
      <c r="Z901">
        <v>64</v>
      </c>
      <c r="AA901">
        <v>70</v>
      </c>
      <c r="AB901">
        <v>1000</v>
      </c>
      <c r="AC901">
        <v>932</v>
      </c>
      <c r="AD901">
        <v>932</v>
      </c>
      <c r="AE901">
        <v>0</v>
      </c>
      <c r="AF901">
        <v>0</v>
      </c>
      <c r="AG901">
        <v>0</v>
      </c>
      <c r="AH901">
        <v>0</v>
      </c>
      <c r="AI901">
        <v>480</v>
      </c>
      <c r="AJ901">
        <v>0</v>
      </c>
      <c r="AK901">
        <v>0</v>
      </c>
      <c r="AL901">
        <v>0</v>
      </c>
      <c r="AM901">
        <v>0</v>
      </c>
      <c r="AN901">
        <v>84</v>
      </c>
      <c r="AO901">
        <v>0</v>
      </c>
      <c r="AP901">
        <v>5</v>
      </c>
      <c r="AQ901">
        <v>0</v>
      </c>
      <c r="AR901">
        <v>1</v>
      </c>
      <c r="AS901" t="s">
        <v>59</v>
      </c>
      <c r="AT901">
        <v>1</v>
      </c>
      <c r="AU901" t="s">
        <v>64</v>
      </c>
      <c r="AV901" t="s">
        <v>65</v>
      </c>
      <c r="AW901">
        <v>0</v>
      </c>
      <c r="AX901">
        <v>2</v>
      </c>
      <c r="AY901">
        <v>0</v>
      </c>
      <c r="AZ901">
        <v>0</v>
      </c>
      <c r="BA901">
        <v>100</v>
      </c>
      <c r="BB901">
        <v>100</v>
      </c>
      <c r="BC901">
        <v>100</v>
      </c>
      <c r="BD901">
        <v>100</v>
      </c>
      <c r="BE901">
        <v>1</v>
      </c>
      <c r="BF901">
        <v>15000</v>
      </c>
      <c r="BG901">
        <v>1000</v>
      </c>
      <c r="BH901" s="7">
        <f>ROUND(Wapato_Inventory[[#This Row],[detatched_value]]*Lookups!$B$22*Lookups!$H$48,-2)</f>
        <v>0</v>
      </c>
      <c r="BI901" s="7">
        <f>ROUND(((Wapato_Inventory[[#This Row],[land_extract]]*Lookups!$B$3) +(Lookups!$B$2*0.5))*Lookups!$H$48,-2)</f>
        <v>53000</v>
      </c>
      <c r="BJ901" s="7">
        <f>IF(Wapato_Inventory[[#This Row],[bldg_style]]="",0,Lookups!$B$2*0.5)</f>
        <v>53765.27</v>
      </c>
      <c r="BK901" s="7">
        <f>_xlfn.IFNA(VLOOKUP(Wapato_Inventory[[#This Row],[quality]],Lookups!$H$2:$J$14,3,FALSE),0)</f>
        <v>48043</v>
      </c>
      <c r="BL901" s="7">
        <f>_xlfn.IFNA(VLOOKUP(Wapato_Inventory[[#This Row],[condition]],Lookups!$H$17:$J$24,3,FALSE),0)</f>
        <v>52231</v>
      </c>
      <c r="BM901" s="7">
        <f>Wapato_Inventory[[#This Row],[Age]]*Lookups!$B$16</f>
        <v>-23723.2448</v>
      </c>
      <c r="BN901" s="7">
        <f>Wapato_Inventory[[#This Row],[Main Floor]]*Lookups!$B$17</f>
        <v>38958.288747999999</v>
      </c>
      <c r="BO901" s="7">
        <f>Wapato_Inventory[[#This Row],[Upper Floor]]*Lookups!$B$18</f>
        <v>0</v>
      </c>
      <c r="BP901" s="7">
        <f>Wapato_Inventory[[#This Row],[Fin BSMT]]*Lookups!$B$19</f>
        <v>0</v>
      </c>
      <c r="BQ901" s="7">
        <f>(Wapato_Inventory[[#This Row],[att_gar]]+Wapato_Inventory[[#This Row],[blt_gar]])*Lookups!$B$20</f>
        <v>17764.200960000002</v>
      </c>
      <c r="BR901" s="7">
        <f>Wapato_Inventory[[#This Row],[Patio]]*Lookups!$B$21</f>
        <v>0</v>
      </c>
      <c r="BS901" s="7">
        <f>SUM(Wapato_Inventory[[#This Row],[intercept]:[patio_value]])*Wapato_Inventory[[#This Row],[res_pct]]</f>
        <v>187038.51490800001</v>
      </c>
      <c r="BT901" s="7">
        <f>Wapato_Inventory[[#This Row],[land_value]]</f>
        <v>53000</v>
      </c>
      <c r="BU901" s="2">
        <f>_xlfn.IFNA(VLOOKUP(Wapato_Inventory[[#This Row],[quality]],Lookups!$A$28:$C$37,3,FALSE),1)</f>
        <v>0.98196844879778955</v>
      </c>
      <c r="BV901" s="2">
        <f>_xlfn.IFNA(VLOOKUP(Wapato_Inventory[[#This Row],[condition]],Lookups!$A$41:$C$48,3,FALSE),1)</f>
        <v>0.9832333997567807</v>
      </c>
      <c r="BW901" s="2">
        <f>IF(Wapato_Inventory[[#This Row],[decade]]="",1,_xlfn.IFNA(VLOOKUP(Wapato_Inventory[[#This Row],[decade]],Lookups!$F$28:$H$45,3,FALSE),1))</f>
        <v>1.0012715221492001</v>
      </c>
      <c r="BX901" s="2">
        <f>_xlfn.IFNA(VLOOKUP(Wapato_Inventory[[#This Row],[living_area_range]],Lookups!$K$28:$M$37,3,FALSE),1)</f>
        <v>0.99022994770196116</v>
      </c>
      <c r="BY901" s="2">
        <f>AVERAGE(Wapato_Inventory[[#This Row],[qual_adj]:[range_adj]])</f>
        <v>0.98917582960143291</v>
      </c>
      <c r="BZ901" s="7">
        <f>(Wapato_Inventory[[#This Row],[sum_land]]-IF(Wapato_Inventory[[#This Row],[no_utilities]]=1,12000,0))/IF(Wapato_Inventory[[#This Row],[unbuildable]]=1,2,1)</f>
        <v>53000</v>
      </c>
      <c r="CA901" s="7">
        <f>Wapato_Inventory[[#This Row],[pre_res]]*Wapato_Inventory[[#This Row],[overall_adj]]</f>
        <v>185013.97815154088</v>
      </c>
      <c r="CB90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901" s="3">
        <f>IF(ROUND(Wapato_Inventory[[#This Row],[adj_res]]*Lookups!$H$48,-2)&lt;Wapato_Inventory[[#This Row],[min_res]],Wapato_Inventory[[#This Row],[min_res]],ROUND(Wapato_Inventory[[#This Row],[adj_res]]*Lookups!$H$48,-2))</f>
        <v>175800</v>
      </c>
      <c r="CD901" s="3">
        <f>ROUND(Wapato_Inventory[[#This Row],[det_value]]*Lookups!$H$48,-2)</f>
        <v>0</v>
      </c>
      <c r="CE901" s="3">
        <f>Wapato_Inventory[[#This Row],[final_res]]+Wapato_Inventory[[#This Row],[final_det]]</f>
        <v>175800</v>
      </c>
      <c r="CF901" s="3">
        <f>Wapato_Inventory[[#This Row],[crop_value]]+Wapato_Inventory[[#This Row],[final_land]]+Wapato_Inventory[[#This Row],[final_imp]]</f>
        <v>226200</v>
      </c>
      <c r="CH901" t="str">
        <f t="shared" si="14"/>
        <v>update valuation set market_land =50400, market_bldg=175800, market_total =226200, market_mdno =405, market_date ='9/10/2023' where link_id = (select link_id from parcel where parcel_year = '2024' and parcel_id = '19111514581');</v>
      </c>
    </row>
    <row r="902" spans="1:86" x14ac:dyDescent="0.25">
      <c r="A902">
        <v>19111514584</v>
      </c>
      <c r="B902">
        <v>0.1</v>
      </c>
      <c r="C902">
        <v>4159</v>
      </c>
      <c r="D902" t="s">
        <v>144</v>
      </c>
      <c r="E902" t="s">
        <v>54</v>
      </c>
      <c r="F902" t="s">
        <v>54</v>
      </c>
      <c r="G902">
        <v>3</v>
      </c>
      <c r="H902" t="s">
        <v>55</v>
      </c>
      <c r="I902">
        <v>201800</v>
      </c>
      <c r="J902">
        <v>29500</v>
      </c>
      <c r="K902">
        <v>0.1</v>
      </c>
      <c r="L902">
        <f>IF(Wapato_Inventory[[#This Row],[parcel_acres]]-Wapato_Inventory[[#This Row],[non_valued_acres]] =0,0,LN(Wapato_Inventory[[#This Row],[parcel_acres]]-Wapato_Inventory[[#This Row],[non_valued_acres]]))</f>
        <v>-2.3025850929940455</v>
      </c>
      <c r="M902">
        <v>0</v>
      </c>
      <c r="N902">
        <v>0</v>
      </c>
      <c r="O902">
        <v>0</v>
      </c>
      <c r="P902">
        <v>27904.037</v>
      </c>
      <c r="Q902">
        <v>74398</v>
      </c>
      <c r="R902" s="3">
        <f>(Wapato_Inventory[[#This Row],[ln_acres]]*Wapato_Inventory[[#This Row],[coeff]])+Wapato_Inventory[[#This Row],[const]]</f>
        <v>10146.580369445714</v>
      </c>
      <c r="S902" t="s">
        <v>66</v>
      </c>
      <c r="T902">
        <v>1</v>
      </c>
      <c r="U902" t="s">
        <v>75</v>
      </c>
      <c r="V902" t="s">
        <v>69</v>
      </c>
      <c r="W902">
        <v>0</v>
      </c>
      <c r="X902">
        <v>0</v>
      </c>
      <c r="Y902">
        <v>51</v>
      </c>
      <c r="Z902">
        <v>83</v>
      </c>
      <c r="AA902">
        <v>90</v>
      </c>
      <c r="AB902">
        <v>1500</v>
      </c>
      <c r="AC902">
        <v>1384</v>
      </c>
      <c r="AD902">
        <v>1384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535</v>
      </c>
      <c r="AL902">
        <v>0</v>
      </c>
      <c r="AM902">
        <v>0</v>
      </c>
      <c r="AN902">
        <v>60</v>
      </c>
      <c r="AO902">
        <v>0</v>
      </c>
      <c r="AP902">
        <v>8</v>
      </c>
      <c r="AQ902">
        <v>1</v>
      </c>
      <c r="AR902">
        <v>0</v>
      </c>
      <c r="AS902" t="s">
        <v>59</v>
      </c>
      <c r="AT902">
        <v>1</v>
      </c>
      <c r="AU902" t="s">
        <v>76</v>
      </c>
      <c r="AV902" t="s">
        <v>61</v>
      </c>
      <c r="AW902">
        <v>0</v>
      </c>
      <c r="AX902">
        <v>4</v>
      </c>
      <c r="AY902">
        <v>0</v>
      </c>
      <c r="AZ902">
        <v>0</v>
      </c>
      <c r="BA902">
        <v>100</v>
      </c>
      <c r="BB902">
        <v>100</v>
      </c>
      <c r="BC902">
        <v>100</v>
      </c>
      <c r="BD902">
        <v>100</v>
      </c>
      <c r="BE902">
        <v>1</v>
      </c>
      <c r="BF902">
        <v>15000</v>
      </c>
      <c r="BG902">
        <v>1000</v>
      </c>
      <c r="BH902" s="7">
        <f>ROUND(Wapato_Inventory[[#This Row],[detatched_value]]*Lookups!$B$22*Lookups!$H$48,-2)</f>
        <v>0</v>
      </c>
      <c r="BI902" s="7">
        <f>ROUND(((Wapato_Inventory[[#This Row],[land_extract]]*Lookups!$B$3) +(Lookups!$B$2*0.5))*Lookups!$H$48,-2)</f>
        <v>52100</v>
      </c>
      <c r="BJ902" s="7">
        <f>IF(Wapato_Inventory[[#This Row],[bldg_style]]="",0,Lookups!$B$2*0.5)</f>
        <v>53765.27</v>
      </c>
      <c r="BK902" s="7">
        <f>_xlfn.IFNA(VLOOKUP(Wapato_Inventory[[#This Row],[quality]],Lookups!$H$2:$J$14,3,FALSE),0)</f>
        <v>48043</v>
      </c>
      <c r="BL902" s="7">
        <f>_xlfn.IFNA(VLOOKUP(Wapato_Inventory[[#This Row],[condition]],Lookups!$H$17:$J$24,3,FALSE),0)</f>
        <v>74543</v>
      </c>
      <c r="BM902" s="7">
        <f>Wapato_Inventory[[#This Row],[Age]]*Lookups!$B$16</f>
        <v>-30766.0831</v>
      </c>
      <c r="BN902" s="7">
        <f>Wapato_Inventory[[#This Row],[Main Floor]]*Lookups!$B$17</f>
        <v>57852.222776000002</v>
      </c>
      <c r="BO902" s="7">
        <f>Wapato_Inventory[[#This Row],[Upper Floor]]*Lookups!$B$18</f>
        <v>0</v>
      </c>
      <c r="BP902" s="7">
        <f>Wapato_Inventory[[#This Row],[Fin BSMT]]*Lookups!$B$19</f>
        <v>0</v>
      </c>
      <c r="BQ902" s="7">
        <f>(Wapato_Inventory[[#This Row],[att_gar]]+Wapato_Inventory[[#This Row],[blt_gar]])*Lookups!$B$20</f>
        <v>0</v>
      </c>
      <c r="BR902" s="7">
        <f>Wapato_Inventory[[#This Row],[Patio]]*Lookups!$B$21</f>
        <v>0</v>
      </c>
      <c r="BS902" s="7">
        <f>SUM(Wapato_Inventory[[#This Row],[intercept]:[patio_value]])*Wapato_Inventory[[#This Row],[res_pct]]</f>
        <v>203437.40967600001</v>
      </c>
      <c r="BT902" s="7">
        <f>Wapato_Inventory[[#This Row],[land_value]]</f>
        <v>52100</v>
      </c>
      <c r="BU902" s="2">
        <f>_xlfn.IFNA(VLOOKUP(Wapato_Inventory[[#This Row],[quality]],Lookups!$A$28:$C$37,3,FALSE),1)</f>
        <v>0.98196844879778955</v>
      </c>
      <c r="BV902" s="2">
        <f>_xlfn.IFNA(VLOOKUP(Wapato_Inventory[[#This Row],[condition]],Lookups!$A$41:$C$48,3,FALSE),1)</f>
        <v>0.98442438223270734</v>
      </c>
      <c r="BW902" s="2">
        <f>IF(Wapato_Inventory[[#This Row],[decade]]="",1,_xlfn.IFNA(VLOOKUP(Wapato_Inventory[[#This Row],[decade]],Lookups!$F$28:$H$45,3,FALSE),1))</f>
        <v>0.94742695999815718</v>
      </c>
      <c r="BX902" s="2">
        <f>_xlfn.IFNA(VLOOKUP(Wapato_Inventory[[#This Row],[living_area_range]],Lookups!$K$28:$M$37,3,FALSE),1)</f>
        <v>1.0061411172456287</v>
      </c>
      <c r="BY902" s="2">
        <f>AVERAGE(Wapato_Inventory[[#This Row],[qual_adj]:[range_adj]])</f>
        <v>0.97999022706857064</v>
      </c>
      <c r="BZ902" s="7">
        <f>(Wapato_Inventory[[#This Row],[sum_land]]-IF(Wapato_Inventory[[#This Row],[no_utilities]]=1,12000,0))/IF(Wapato_Inventory[[#This Row],[unbuildable]]=1,2,1)</f>
        <v>52100</v>
      </c>
      <c r="CA902" s="7">
        <f>Wapato_Inventory[[#This Row],[pre_res]]*Wapato_Inventory[[#This Row],[overall_adj]]</f>
        <v>199366.67330262507</v>
      </c>
      <c r="CB902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902" s="3">
        <f>IF(ROUND(Wapato_Inventory[[#This Row],[adj_res]]*Lookups!$H$48,-2)&lt;Wapato_Inventory[[#This Row],[min_res]],Wapato_Inventory[[#This Row],[min_res]],ROUND(Wapato_Inventory[[#This Row],[adj_res]]*Lookups!$H$48,-2))</f>
        <v>189400</v>
      </c>
      <c r="CD902" s="3">
        <f>ROUND(Wapato_Inventory[[#This Row],[det_value]]*Lookups!$H$48,-2)</f>
        <v>0</v>
      </c>
      <c r="CE902" s="3">
        <f>Wapato_Inventory[[#This Row],[final_res]]+Wapato_Inventory[[#This Row],[final_det]]</f>
        <v>189400</v>
      </c>
      <c r="CF902" s="3">
        <f>Wapato_Inventory[[#This Row],[crop_value]]+Wapato_Inventory[[#This Row],[final_land]]+Wapato_Inventory[[#This Row],[final_imp]]</f>
        <v>238900</v>
      </c>
      <c r="CH902" t="str">
        <f t="shared" si="14"/>
        <v>update valuation set market_land =49500, market_bldg=189400, market_total =238900, market_mdno =405, market_date ='9/10/2023' where link_id = (select link_id from parcel where parcel_year = '2024' and parcel_id = '19111514584');</v>
      </c>
    </row>
    <row r="903" spans="1:86" x14ac:dyDescent="0.25">
      <c r="A903">
        <v>19111514588</v>
      </c>
      <c r="B903">
        <v>0.08</v>
      </c>
      <c r="C903">
        <v>3613</v>
      </c>
      <c r="D903" t="s">
        <v>144</v>
      </c>
      <c r="E903" t="s">
        <v>54</v>
      </c>
      <c r="F903" t="s">
        <v>54</v>
      </c>
      <c r="G903">
        <v>3</v>
      </c>
      <c r="H903" t="s">
        <v>55</v>
      </c>
      <c r="I903">
        <v>160200</v>
      </c>
      <c r="J903">
        <v>27900</v>
      </c>
      <c r="K903">
        <v>0.08</v>
      </c>
      <c r="L903">
        <f>IF(Wapato_Inventory[[#This Row],[parcel_acres]]-Wapato_Inventory[[#This Row],[non_valued_acres]] =0,0,LN(Wapato_Inventory[[#This Row],[parcel_acres]]-Wapato_Inventory[[#This Row],[non_valued_acres]]))</f>
        <v>-2.5257286443082556</v>
      </c>
      <c r="M903">
        <v>0</v>
      </c>
      <c r="N903">
        <v>0</v>
      </c>
      <c r="O903">
        <v>0</v>
      </c>
      <c r="P903">
        <v>27904.037</v>
      </c>
      <c r="Q903">
        <v>74398</v>
      </c>
      <c r="R903" s="3">
        <f>(Wapato_Inventory[[#This Row],[ln_acres]]*Wapato_Inventory[[#This Row],[coeff]])+Wapato_Inventory[[#This Row],[const]]</f>
        <v>3919.9744572625932</v>
      </c>
      <c r="S903" t="s">
        <v>56</v>
      </c>
      <c r="T903">
        <v>2</v>
      </c>
      <c r="U903" t="s">
        <v>75</v>
      </c>
      <c r="V903" t="s">
        <v>68</v>
      </c>
      <c r="W903">
        <v>0</v>
      </c>
      <c r="X903">
        <v>0</v>
      </c>
      <c r="Y903">
        <v>65</v>
      </c>
      <c r="Z903">
        <v>113</v>
      </c>
      <c r="AA903">
        <v>120</v>
      </c>
      <c r="AB903">
        <v>2000</v>
      </c>
      <c r="AC903">
        <v>1530</v>
      </c>
      <c r="AD903">
        <v>816</v>
      </c>
      <c r="AE903">
        <v>714</v>
      </c>
      <c r="AF903">
        <v>0</v>
      </c>
      <c r="AG903">
        <v>0</v>
      </c>
      <c r="AH903">
        <v>0</v>
      </c>
      <c r="AI903">
        <v>288</v>
      </c>
      <c r="AJ903">
        <v>0</v>
      </c>
      <c r="AK903">
        <v>0</v>
      </c>
      <c r="AL903">
        <v>0</v>
      </c>
      <c r="AM903">
        <v>0</v>
      </c>
      <c r="AN903">
        <v>84</v>
      </c>
      <c r="AO903">
        <v>0</v>
      </c>
      <c r="AP903">
        <v>5</v>
      </c>
      <c r="AQ903">
        <v>0</v>
      </c>
      <c r="AR903">
        <v>0</v>
      </c>
      <c r="AS903" t="s">
        <v>59</v>
      </c>
      <c r="AT903">
        <v>0</v>
      </c>
      <c r="AU903" t="s">
        <v>80</v>
      </c>
      <c r="AV903" t="s">
        <v>65</v>
      </c>
      <c r="AW903">
        <v>0</v>
      </c>
      <c r="AX903">
        <v>3</v>
      </c>
      <c r="AY903">
        <v>0</v>
      </c>
      <c r="AZ903">
        <v>0</v>
      </c>
      <c r="BA903">
        <v>100</v>
      </c>
      <c r="BB903">
        <v>100</v>
      </c>
      <c r="BC903">
        <v>100</v>
      </c>
      <c r="BD903">
        <v>100</v>
      </c>
      <c r="BE903">
        <v>1</v>
      </c>
      <c r="BF903">
        <v>15000</v>
      </c>
      <c r="BG903">
        <v>1000</v>
      </c>
      <c r="BH903" s="7">
        <f>ROUND(Wapato_Inventory[[#This Row],[detatched_value]]*Lookups!$B$22*Lookups!$H$48,-2)</f>
        <v>0</v>
      </c>
      <c r="BI903" s="7">
        <f>ROUND(((Wapato_Inventory[[#This Row],[land_extract]]*Lookups!$B$3) +(Lookups!$B$2*0.5))*Lookups!$H$48,-2)</f>
        <v>51500</v>
      </c>
      <c r="BJ903" s="7">
        <f>IF(Wapato_Inventory[[#This Row],[bldg_style]]="",0,Lookups!$B$2*0.5)</f>
        <v>53765.27</v>
      </c>
      <c r="BK903" s="7">
        <f>_xlfn.IFNA(VLOOKUP(Wapato_Inventory[[#This Row],[quality]],Lookups!$H$2:$J$14,3,FALSE),0)</f>
        <v>48043</v>
      </c>
      <c r="BL903" s="7">
        <f>_xlfn.IFNA(VLOOKUP(Wapato_Inventory[[#This Row],[condition]],Lookups!$H$17:$J$24,3,FALSE),0)</f>
        <v>52231</v>
      </c>
      <c r="BM903" s="7">
        <f>Wapato_Inventory[[#This Row],[Age]]*Lookups!$B$16</f>
        <v>-41886.354100000004</v>
      </c>
      <c r="BN903" s="7">
        <f>Wapato_Inventory[[#This Row],[Main Floor]]*Lookups!$B$17</f>
        <v>34109.403023999999</v>
      </c>
      <c r="BO903" s="7">
        <f>Wapato_Inventory[[#This Row],[Upper Floor]]*Lookups!$B$18</f>
        <v>35415.213245999999</v>
      </c>
      <c r="BP903" s="7">
        <f>Wapato_Inventory[[#This Row],[Fin BSMT]]*Lookups!$B$19</f>
        <v>0</v>
      </c>
      <c r="BQ903" s="7">
        <f>(Wapato_Inventory[[#This Row],[att_gar]]+Wapato_Inventory[[#This Row],[blt_gar]])*Lookups!$B$20</f>
        <v>10658.520576000001</v>
      </c>
      <c r="BR903" s="7">
        <f>Wapato_Inventory[[#This Row],[Patio]]*Lookups!$B$21</f>
        <v>0</v>
      </c>
      <c r="BS903" s="7">
        <f>SUM(Wapato_Inventory[[#This Row],[intercept]:[patio_value]])*Wapato_Inventory[[#This Row],[res_pct]]</f>
        <v>192336.052746</v>
      </c>
      <c r="BT903" s="7">
        <f>Wapato_Inventory[[#This Row],[land_value]]</f>
        <v>51500</v>
      </c>
      <c r="BU903" s="2">
        <f>_xlfn.IFNA(VLOOKUP(Wapato_Inventory[[#This Row],[quality]],Lookups!$A$28:$C$37,3,FALSE),1)</f>
        <v>0.98196844879778955</v>
      </c>
      <c r="BV903" s="2">
        <f>_xlfn.IFNA(VLOOKUP(Wapato_Inventory[[#This Row],[condition]],Lookups!$A$41:$C$48,3,FALSE),1)</f>
        <v>0.9832333997567807</v>
      </c>
      <c r="BW903" s="2">
        <f>IF(Wapato_Inventory[[#This Row],[decade]]="",1,_xlfn.IFNA(VLOOKUP(Wapato_Inventory[[#This Row],[decade]],Lookups!$F$28:$H$45,3,FALSE),1))</f>
        <v>0.93664589651353292</v>
      </c>
      <c r="BX903" s="2">
        <f>_xlfn.IFNA(VLOOKUP(Wapato_Inventory[[#This Row],[living_area_range]],Lookups!$K$28:$M$37,3,FALSE),1)</f>
        <v>0.99330894324714125</v>
      </c>
      <c r="BY903" s="2">
        <f>AVERAGE(Wapato_Inventory[[#This Row],[qual_adj]:[range_adj]])</f>
        <v>0.9737891720788111</v>
      </c>
      <c r="BZ903" s="7">
        <f>(Wapato_Inventory[[#This Row],[sum_land]]-IF(Wapato_Inventory[[#This Row],[no_utilities]]=1,12000,0))/IF(Wapato_Inventory[[#This Row],[unbuildable]]=1,2,1)</f>
        <v>51500</v>
      </c>
      <c r="CA903" s="7">
        <f>Wapato_Inventory[[#This Row],[pre_res]]*Wapato_Inventory[[#This Row],[overall_adj]]</f>
        <v>187294.76556443388</v>
      </c>
      <c r="CB903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903" s="3">
        <f>IF(ROUND(Wapato_Inventory[[#This Row],[adj_res]]*Lookups!$H$48,-2)&lt;Wapato_Inventory[[#This Row],[min_res]],Wapato_Inventory[[#This Row],[min_res]],ROUND(Wapato_Inventory[[#This Row],[adj_res]]*Lookups!$H$48,-2))</f>
        <v>177900</v>
      </c>
      <c r="CD903" s="3">
        <f>ROUND(Wapato_Inventory[[#This Row],[det_value]]*Lookups!$H$48,-2)</f>
        <v>0</v>
      </c>
      <c r="CE903" s="3">
        <f>Wapato_Inventory[[#This Row],[final_res]]+Wapato_Inventory[[#This Row],[final_det]]</f>
        <v>177900</v>
      </c>
      <c r="CF903" s="3">
        <f>Wapato_Inventory[[#This Row],[crop_value]]+Wapato_Inventory[[#This Row],[final_land]]+Wapato_Inventory[[#This Row],[final_imp]]</f>
        <v>226800</v>
      </c>
      <c r="CH903" t="str">
        <f t="shared" si="14"/>
        <v>update valuation set market_land =48900, market_bldg=177900, market_total =226800, market_mdno =405, market_date ='9/10/2023' where link_id = (select link_id from parcel where parcel_year = '2024' and parcel_id = '19111514588');</v>
      </c>
    </row>
    <row r="904" spans="1:86" x14ac:dyDescent="0.25">
      <c r="A904">
        <v>19111514589</v>
      </c>
      <c r="B904">
        <v>0.08</v>
      </c>
      <c r="C904">
        <v>3497</v>
      </c>
      <c r="D904" t="s">
        <v>144</v>
      </c>
      <c r="E904" t="s">
        <v>54</v>
      </c>
      <c r="F904" t="s">
        <v>54</v>
      </c>
      <c r="G904">
        <v>3</v>
      </c>
      <c r="H904" t="s">
        <v>55</v>
      </c>
      <c r="I904">
        <v>177000</v>
      </c>
      <c r="J904">
        <v>27900</v>
      </c>
      <c r="K904">
        <v>0.08</v>
      </c>
      <c r="L904">
        <f>IF(Wapato_Inventory[[#This Row],[parcel_acres]]-Wapato_Inventory[[#This Row],[non_valued_acres]] =0,0,LN(Wapato_Inventory[[#This Row],[parcel_acres]]-Wapato_Inventory[[#This Row],[non_valued_acres]]))</f>
        <v>-2.5257286443082556</v>
      </c>
      <c r="M904">
        <v>0</v>
      </c>
      <c r="N904">
        <v>0</v>
      </c>
      <c r="O904">
        <v>0</v>
      </c>
      <c r="P904">
        <v>27904.037</v>
      </c>
      <c r="Q904">
        <v>74398</v>
      </c>
      <c r="R904" s="3">
        <f>(Wapato_Inventory[[#This Row],[ln_acres]]*Wapato_Inventory[[#This Row],[coeff]])+Wapato_Inventory[[#This Row],[const]]</f>
        <v>3919.9744572625932</v>
      </c>
      <c r="S904" t="s">
        <v>62</v>
      </c>
      <c r="T904">
        <v>1</v>
      </c>
      <c r="U904" t="s">
        <v>75</v>
      </c>
      <c r="V904" t="s">
        <v>68</v>
      </c>
      <c r="W904">
        <v>0</v>
      </c>
      <c r="X904">
        <v>0</v>
      </c>
      <c r="Y904">
        <v>47</v>
      </c>
      <c r="Z904">
        <v>58</v>
      </c>
      <c r="AA904">
        <v>60</v>
      </c>
      <c r="AB904">
        <v>1500</v>
      </c>
      <c r="AC904">
        <v>1148</v>
      </c>
      <c r="AD904">
        <v>1148</v>
      </c>
      <c r="AE904">
        <v>0</v>
      </c>
      <c r="AF904">
        <v>0</v>
      </c>
      <c r="AG904">
        <v>0</v>
      </c>
      <c r="AH904">
        <v>0</v>
      </c>
      <c r="AI904">
        <v>308</v>
      </c>
      <c r="AJ904">
        <v>0</v>
      </c>
      <c r="AK904">
        <v>0</v>
      </c>
      <c r="AL904">
        <v>0</v>
      </c>
      <c r="AM904">
        <v>436</v>
      </c>
      <c r="AN904">
        <v>0</v>
      </c>
      <c r="AO904">
        <v>0</v>
      </c>
      <c r="AP904">
        <v>6</v>
      </c>
      <c r="AQ904">
        <v>0</v>
      </c>
      <c r="AR904">
        <v>1</v>
      </c>
      <c r="AS904" t="s">
        <v>59</v>
      </c>
      <c r="AT904">
        <v>1</v>
      </c>
      <c r="AU904" t="s">
        <v>76</v>
      </c>
      <c r="AV904" t="s">
        <v>61</v>
      </c>
      <c r="AW904">
        <v>0</v>
      </c>
      <c r="AX904">
        <v>3</v>
      </c>
      <c r="AY904">
        <v>0</v>
      </c>
      <c r="AZ904">
        <v>0</v>
      </c>
      <c r="BA904">
        <v>100</v>
      </c>
      <c r="BB904">
        <v>100</v>
      </c>
      <c r="BC904">
        <v>100</v>
      </c>
      <c r="BD904">
        <v>100</v>
      </c>
      <c r="BE904">
        <v>1</v>
      </c>
      <c r="BF904">
        <v>15000</v>
      </c>
      <c r="BG904">
        <v>1000</v>
      </c>
      <c r="BH904" s="7">
        <f>ROUND(Wapato_Inventory[[#This Row],[detatched_value]]*Lookups!$B$22*Lookups!$H$48,-2)</f>
        <v>0</v>
      </c>
      <c r="BI904" s="7">
        <f>ROUND(((Wapato_Inventory[[#This Row],[land_extract]]*Lookups!$B$3) +(Lookups!$B$2*0.5))*Lookups!$H$48,-2)</f>
        <v>51500</v>
      </c>
      <c r="BJ904" s="7">
        <f>IF(Wapato_Inventory[[#This Row],[bldg_style]]="",0,Lookups!$B$2*0.5)</f>
        <v>53765.27</v>
      </c>
      <c r="BK904" s="7">
        <f>_xlfn.IFNA(VLOOKUP(Wapato_Inventory[[#This Row],[quality]],Lookups!$H$2:$J$14,3,FALSE),0)</f>
        <v>48043</v>
      </c>
      <c r="BL904" s="7">
        <f>_xlfn.IFNA(VLOOKUP(Wapato_Inventory[[#This Row],[condition]],Lookups!$H$17:$J$24,3,FALSE),0)</f>
        <v>52231</v>
      </c>
      <c r="BM904" s="7">
        <f>Wapato_Inventory[[#This Row],[Age]]*Lookups!$B$16</f>
        <v>-21499.190600000002</v>
      </c>
      <c r="BN904" s="7">
        <f>Wapato_Inventory[[#This Row],[Main Floor]]*Lookups!$B$17</f>
        <v>47987.248372000002</v>
      </c>
      <c r="BO904" s="7">
        <f>Wapato_Inventory[[#This Row],[Upper Floor]]*Lookups!$B$18</f>
        <v>0</v>
      </c>
      <c r="BP904" s="7">
        <f>Wapato_Inventory[[#This Row],[Fin BSMT]]*Lookups!$B$19</f>
        <v>0</v>
      </c>
      <c r="BQ904" s="7">
        <f>(Wapato_Inventory[[#This Row],[att_gar]]+Wapato_Inventory[[#This Row],[blt_gar]])*Lookups!$B$20</f>
        <v>11398.695616000001</v>
      </c>
      <c r="BR904" s="7">
        <f>Wapato_Inventory[[#This Row],[Patio]]*Lookups!$B$21</f>
        <v>18889.254843999999</v>
      </c>
      <c r="BS904" s="7">
        <f>SUM(Wapato_Inventory[[#This Row],[intercept]:[patio_value]])*Wapato_Inventory[[#This Row],[res_pct]]</f>
        <v>210815.27823200001</v>
      </c>
      <c r="BT904" s="7">
        <f>Wapato_Inventory[[#This Row],[land_value]]</f>
        <v>51500</v>
      </c>
      <c r="BU904" s="2">
        <f>_xlfn.IFNA(VLOOKUP(Wapato_Inventory[[#This Row],[quality]],Lookups!$A$28:$C$37,3,FALSE),1)</f>
        <v>0.98196844879778955</v>
      </c>
      <c r="BV904" s="2">
        <f>_xlfn.IFNA(VLOOKUP(Wapato_Inventory[[#This Row],[condition]],Lookups!$A$41:$C$48,3,FALSE),1)</f>
        <v>0.9832333997567807</v>
      </c>
      <c r="BW904" s="2">
        <f>IF(Wapato_Inventory[[#This Row],[decade]]="",1,_xlfn.IFNA(VLOOKUP(Wapato_Inventory[[#This Row],[decade]],Lookups!$F$28:$H$45,3,FALSE),1))</f>
        <v>1.035341704162583</v>
      </c>
      <c r="BX904" s="2">
        <f>_xlfn.IFNA(VLOOKUP(Wapato_Inventory[[#This Row],[living_area_range]],Lookups!$K$28:$M$37,3,FALSE),1)</f>
        <v>1.0061411172456287</v>
      </c>
      <c r="BY904" s="2">
        <f>AVERAGE(Wapato_Inventory[[#This Row],[qual_adj]:[range_adj]])</f>
        <v>1.0016711674906955</v>
      </c>
      <c r="BZ904" s="7">
        <f>(Wapato_Inventory[[#This Row],[sum_land]]-IF(Wapato_Inventory[[#This Row],[no_utilities]]=1,12000,0))/IF(Wapato_Inventory[[#This Row],[unbuildable]]=1,2,1)</f>
        <v>51500</v>
      </c>
      <c r="CA904" s="7">
        <f>Wapato_Inventory[[#This Row],[pre_res]]*Wapato_Inventory[[#This Row],[overall_adj]]</f>
        <v>211167.58587152325</v>
      </c>
      <c r="CB904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904" s="3">
        <f>IF(ROUND(Wapato_Inventory[[#This Row],[adj_res]]*Lookups!$H$48,-2)&lt;Wapato_Inventory[[#This Row],[min_res]],Wapato_Inventory[[#This Row],[min_res]],ROUND(Wapato_Inventory[[#This Row],[adj_res]]*Lookups!$H$48,-2))</f>
        <v>200600</v>
      </c>
      <c r="CD904" s="3">
        <f>ROUND(Wapato_Inventory[[#This Row],[det_value]]*Lookups!$H$48,-2)</f>
        <v>0</v>
      </c>
      <c r="CE904" s="3">
        <f>Wapato_Inventory[[#This Row],[final_res]]+Wapato_Inventory[[#This Row],[final_det]]</f>
        <v>200600</v>
      </c>
      <c r="CF904" s="3">
        <f>Wapato_Inventory[[#This Row],[crop_value]]+Wapato_Inventory[[#This Row],[final_land]]+Wapato_Inventory[[#This Row],[final_imp]]</f>
        <v>249500</v>
      </c>
      <c r="CH904" t="str">
        <f t="shared" si="14"/>
        <v>update valuation set market_land =48900, market_bldg=200600, market_total =249500, market_mdno =405, market_date ='9/10/2023' where link_id = (select link_id from parcel where parcel_year = '2024' and parcel_id = '19111514589');</v>
      </c>
    </row>
    <row r="905" spans="1:86" x14ac:dyDescent="0.25">
      <c r="A905">
        <v>19111514593</v>
      </c>
      <c r="B905">
        <v>0.14000000000000001</v>
      </c>
      <c r="C905">
        <v>6034</v>
      </c>
      <c r="D905" t="s">
        <v>144</v>
      </c>
      <c r="E905" t="s">
        <v>54</v>
      </c>
      <c r="F905" t="s">
        <v>54</v>
      </c>
      <c r="G905">
        <v>3</v>
      </c>
      <c r="H905" t="s">
        <v>55</v>
      </c>
      <c r="I905">
        <v>190400</v>
      </c>
      <c r="J905">
        <v>31900</v>
      </c>
      <c r="K905">
        <v>0.14000000000000001</v>
      </c>
      <c r="L905">
        <f>IF(Wapato_Inventory[[#This Row],[parcel_acres]]-Wapato_Inventory[[#This Row],[non_valued_acres]] =0,0,LN(Wapato_Inventory[[#This Row],[parcel_acres]]-Wapato_Inventory[[#This Row],[non_valued_acres]]))</f>
        <v>-1.9661128563728327</v>
      </c>
      <c r="M905">
        <v>0</v>
      </c>
      <c r="N905">
        <v>0</v>
      </c>
      <c r="O905">
        <v>0</v>
      </c>
      <c r="P905">
        <v>27904.037</v>
      </c>
      <c r="Q905">
        <v>74398</v>
      </c>
      <c r="R905" s="3">
        <f>(Wapato_Inventory[[#This Row],[ln_acres]]*Wapato_Inventory[[#This Row],[coeff]])+Wapato_Inventory[[#This Row],[const]]</f>
        <v>19535.514109596792</v>
      </c>
      <c r="S905" t="s">
        <v>62</v>
      </c>
      <c r="T905">
        <v>1</v>
      </c>
      <c r="U905" t="s">
        <v>67</v>
      </c>
      <c r="V905" t="s">
        <v>68</v>
      </c>
      <c r="W905">
        <v>0</v>
      </c>
      <c r="X905">
        <v>0</v>
      </c>
      <c r="Y905">
        <v>31</v>
      </c>
      <c r="Z905">
        <v>31</v>
      </c>
      <c r="AA905">
        <v>40</v>
      </c>
      <c r="AB905">
        <v>1500</v>
      </c>
      <c r="AC905">
        <v>1440</v>
      </c>
      <c r="AD905">
        <v>1440</v>
      </c>
      <c r="AE905">
        <v>0</v>
      </c>
      <c r="AF905">
        <v>0</v>
      </c>
      <c r="AG905">
        <v>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0</v>
      </c>
      <c r="AN905">
        <v>120</v>
      </c>
      <c r="AO905">
        <v>0</v>
      </c>
      <c r="AP905">
        <v>8</v>
      </c>
      <c r="AQ905">
        <v>0</v>
      </c>
      <c r="AR905">
        <v>0</v>
      </c>
      <c r="AS905" t="s">
        <v>59</v>
      </c>
      <c r="AT905">
        <v>1</v>
      </c>
      <c r="AU905" t="s">
        <v>64</v>
      </c>
      <c r="AV905" t="s">
        <v>61</v>
      </c>
      <c r="AW905">
        <v>0</v>
      </c>
      <c r="AX905">
        <v>3</v>
      </c>
      <c r="AY905">
        <v>0</v>
      </c>
      <c r="AZ905">
        <v>0</v>
      </c>
      <c r="BA905">
        <v>100</v>
      </c>
      <c r="BB905">
        <v>100</v>
      </c>
      <c r="BC905">
        <v>100</v>
      </c>
      <c r="BD905">
        <v>100</v>
      </c>
      <c r="BE905">
        <v>1</v>
      </c>
      <c r="BF905">
        <v>15000</v>
      </c>
      <c r="BG905">
        <v>1000</v>
      </c>
      <c r="BH905" s="7">
        <f>ROUND(Wapato_Inventory[[#This Row],[detatched_value]]*Lookups!$B$22*Lookups!$H$48,-2)</f>
        <v>0</v>
      </c>
      <c r="BI905" s="7">
        <f>ROUND(((Wapato_Inventory[[#This Row],[land_extract]]*Lookups!$B$3) +(Lookups!$B$2*0.5))*Lookups!$H$48,-2)</f>
        <v>53000</v>
      </c>
      <c r="BJ905" s="7">
        <f>IF(Wapato_Inventory[[#This Row],[bldg_style]]="",0,Lookups!$B$2*0.5)</f>
        <v>53765.27</v>
      </c>
      <c r="BK905" s="7">
        <f>_xlfn.IFNA(VLOOKUP(Wapato_Inventory[[#This Row],[quality]],Lookups!$H$2:$J$14,3,FALSE),0)</f>
        <v>50405</v>
      </c>
      <c r="BL905" s="7">
        <f>_xlfn.IFNA(VLOOKUP(Wapato_Inventory[[#This Row],[condition]],Lookups!$H$17:$J$24,3,FALSE),0)</f>
        <v>52231</v>
      </c>
      <c r="BM905" s="7">
        <f>Wapato_Inventory[[#This Row],[Age]]*Lookups!$B$16</f>
        <v>-11490.9467</v>
      </c>
      <c r="BN905" s="7">
        <f>Wapato_Inventory[[#This Row],[Main Floor]]*Lookups!$B$17</f>
        <v>60193.064160000002</v>
      </c>
      <c r="BO905" s="7">
        <f>Wapato_Inventory[[#This Row],[Upper Floor]]*Lookups!$B$18</f>
        <v>0</v>
      </c>
      <c r="BP905" s="7">
        <f>Wapato_Inventory[[#This Row],[Fin BSMT]]*Lookups!$B$19</f>
        <v>0</v>
      </c>
      <c r="BQ905" s="7">
        <f>(Wapato_Inventory[[#This Row],[att_gar]]+Wapato_Inventory[[#This Row],[blt_gar]])*Lookups!$B$20</f>
        <v>0</v>
      </c>
      <c r="BR905" s="7">
        <f>Wapato_Inventory[[#This Row],[Patio]]*Lookups!$B$21</f>
        <v>0</v>
      </c>
      <c r="BS905" s="7">
        <f>SUM(Wapato_Inventory[[#This Row],[intercept]:[patio_value]])*Wapato_Inventory[[#This Row],[res_pct]]</f>
        <v>205103.38746</v>
      </c>
      <c r="BT905" s="7">
        <f>Wapato_Inventory[[#This Row],[land_value]]</f>
        <v>53000</v>
      </c>
      <c r="BU905" s="2">
        <f>_xlfn.IFNA(VLOOKUP(Wapato_Inventory[[#This Row],[quality]],Lookups!$A$28:$C$37,3,FALSE),1)</f>
        <v>0.97993206410140754</v>
      </c>
      <c r="BV905" s="2">
        <f>_xlfn.IFNA(VLOOKUP(Wapato_Inventory[[#This Row],[condition]],Lookups!$A$41:$C$48,3,FALSE),1)</f>
        <v>0.9832333997567807</v>
      </c>
      <c r="BW905" s="2">
        <f>IF(Wapato_Inventory[[#This Row],[decade]]="",1,_xlfn.IFNA(VLOOKUP(Wapato_Inventory[[#This Row],[decade]],Lookups!$F$28:$H$45,3,FALSE),1))</f>
        <v>1.0327621624630683</v>
      </c>
      <c r="BX905" s="2">
        <f>_xlfn.IFNA(VLOOKUP(Wapato_Inventory[[#This Row],[living_area_range]],Lookups!$K$28:$M$37,3,FALSE),1)</f>
        <v>1.0061411172456287</v>
      </c>
      <c r="BY905" s="2">
        <f>AVERAGE(Wapato_Inventory[[#This Row],[qual_adj]:[range_adj]])</f>
        <v>1.0005171858917215</v>
      </c>
      <c r="BZ905" s="7">
        <f>(Wapato_Inventory[[#This Row],[sum_land]]-IF(Wapato_Inventory[[#This Row],[no_utilities]]=1,12000,0))/IF(Wapato_Inventory[[#This Row],[unbuildable]]=1,2,1)</f>
        <v>53000</v>
      </c>
      <c r="CA905" s="7">
        <f>Wapato_Inventory[[#This Row],[pre_res]]*Wapato_Inventory[[#This Row],[overall_adj]]</f>
        <v>205209.4640383386</v>
      </c>
      <c r="CB90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905" s="3">
        <f>IF(ROUND(Wapato_Inventory[[#This Row],[adj_res]]*Lookups!$H$48,-2)&lt;Wapato_Inventory[[#This Row],[min_res]],Wapato_Inventory[[#This Row],[min_res]],ROUND(Wapato_Inventory[[#This Row],[adj_res]]*Lookups!$H$48,-2))</f>
        <v>194900</v>
      </c>
      <c r="CD905" s="3">
        <f>ROUND(Wapato_Inventory[[#This Row],[det_value]]*Lookups!$H$48,-2)</f>
        <v>0</v>
      </c>
      <c r="CE905" s="3">
        <f>Wapato_Inventory[[#This Row],[final_res]]+Wapato_Inventory[[#This Row],[final_det]]</f>
        <v>194900</v>
      </c>
      <c r="CF905" s="3">
        <f>Wapato_Inventory[[#This Row],[crop_value]]+Wapato_Inventory[[#This Row],[final_land]]+Wapato_Inventory[[#This Row],[final_imp]]</f>
        <v>245300</v>
      </c>
      <c r="CH905" t="str">
        <f t="shared" si="14"/>
        <v>update valuation set market_land =50400, market_bldg=194900, market_total =245300, market_mdno =405, market_date ='9/10/2023' where link_id = (select link_id from parcel where parcel_year = '2024' and parcel_id = '19111514593');</v>
      </c>
    </row>
    <row r="906" spans="1:86" x14ac:dyDescent="0.25">
      <c r="A906">
        <v>19111514595</v>
      </c>
      <c r="B906">
        <v>0.15</v>
      </c>
      <c r="C906">
        <v>6682</v>
      </c>
      <c r="D906" t="s">
        <v>144</v>
      </c>
      <c r="E906" t="s">
        <v>54</v>
      </c>
      <c r="F906" t="s">
        <v>54</v>
      </c>
      <c r="G906">
        <v>3</v>
      </c>
      <c r="H906" t="s">
        <v>55</v>
      </c>
      <c r="I906">
        <v>303800</v>
      </c>
      <c r="J906">
        <v>32300</v>
      </c>
      <c r="K906">
        <v>0.15</v>
      </c>
      <c r="L906">
        <f>IF(Wapato_Inventory[[#This Row],[parcel_acres]]-Wapato_Inventory[[#This Row],[non_valued_acres]] =0,0,LN(Wapato_Inventory[[#This Row],[parcel_acres]]-Wapato_Inventory[[#This Row],[non_valued_acres]]))</f>
        <v>-1.8971199848858813</v>
      </c>
      <c r="M906">
        <v>0</v>
      </c>
      <c r="N906">
        <v>0</v>
      </c>
      <c r="O906">
        <v>0</v>
      </c>
      <c r="P906">
        <v>27904.037</v>
      </c>
      <c r="Q906">
        <v>74398</v>
      </c>
      <c r="R906" s="3">
        <f>(Wapato_Inventory[[#This Row],[ln_acres]]*Wapato_Inventory[[#This Row],[coeff]])+Wapato_Inventory[[#This Row],[const]]</f>
        <v>21460.693748304926</v>
      </c>
      <c r="S906" t="s">
        <v>66</v>
      </c>
      <c r="T906">
        <v>1</v>
      </c>
      <c r="U906" t="s">
        <v>67</v>
      </c>
      <c r="V906" t="s">
        <v>70</v>
      </c>
      <c r="W906">
        <v>0</v>
      </c>
      <c r="X906">
        <v>0</v>
      </c>
      <c r="Y906">
        <v>9</v>
      </c>
      <c r="Z906">
        <v>9</v>
      </c>
      <c r="AA906">
        <v>10</v>
      </c>
      <c r="AB906">
        <v>1500</v>
      </c>
      <c r="AC906">
        <v>1465</v>
      </c>
      <c r="AD906">
        <v>1465</v>
      </c>
      <c r="AE906">
        <v>0</v>
      </c>
      <c r="AF906">
        <v>0</v>
      </c>
      <c r="AG906">
        <v>0</v>
      </c>
      <c r="AH906">
        <v>540</v>
      </c>
      <c r="AI906">
        <v>644</v>
      </c>
      <c r="AJ906">
        <v>0</v>
      </c>
      <c r="AK906">
        <v>0</v>
      </c>
      <c r="AL906">
        <v>0</v>
      </c>
      <c r="AM906">
        <v>0</v>
      </c>
      <c r="AN906">
        <v>252</v>
      </c>
      <c r="AO906">
        <v>0</v>
      </c>
      <c r="AP906">
        <v>8</v>
      </c>
      <c r="AQ906">
        <v>0</v>
      </c>
      <c r="AR906">
        <v>0</v>
      </c>
      <c r="AS906" t="s">
        <v>59</v>
      </c>
      <c r="AT906">
        <v>1</v>
      </c>
      <c r="AU906" t="s">
        <v>64</v>
      </c>
      <c r="AV906" t="s">
        <v>61</v>
      </c>
      <c r="AW906">
        <v>1</v>
      </c>
      <c r="AX906">
        <v>3</v>
      </c>
      <c r="AY906">
        <v>0</v>
      </c>
      <c r="AZ906">
        <v>0</v>
      </c>
      <c r="BA906">
        <v>100</v>
      </c>
      <c r="BB906">
        <v>100</v>
      </c>
      <c r="BC906">
        <v>100</v>
      </c>
      <c r="BD906">
        <v>100</v>
      </c>
      <c r="BE906">
        <v>1</v>
      </c>
      <c r="BF906">
        <v>15000</v>
      </c>
      <c r="BG906">
        <v>1000</v>
      </c>
      <c r="BH906" s="7">
        <f>ROUND(Wapato_Inventory[[#This Row],[detatched_value]]*Lookups!$B$22*Lookups!$H$48,-2)</f>
        <v>0</v>
      </c>
      <c r="BI906" s="7">
        <f>ROUND(((Wapato_Inventory[[#This Row],[land_extract]]*Lookups!$B$3) +(Lookups!$B$2*0.5))*Lookups!$H$48,-2)</f>
        <v>53100</v>
      </c>
      <c r="BJ906" s="7">
        <f>IF(Wapato_Inventory[[#This Row],[bldg_style]]="",0,Lookups!$B$2*0.5)</f>
        <v>53765.27</v>
      </c>
      <c r="BK906" s="7">
        <f>_xlfn.IFNA(VLOOKUP(Wapato_Inventory[[#This Row],[quality]],Lookups!$H$2:$J$14,3,FALSE),0)</f>
        <v>50405</v>
      </c>
      <c r="BL906" s="7">
        <f>_xlfn.IFNA(VLOOKUP(Wapato_Inventory[[#This Row],[condition]],Lookups!$H$17:$J$24,3,FALSE),0)</f>
        <v>84338</v>
      </c>
      <c r="BM906" s="7">
        <f>Wapato_Inventory[[#This Row],[Age]]*Lookups!$B$16</f>
        <v>-3336.0812999999998</v>
      </c>
      <c r="BN906" s="7">
        <f>Wapato_Inventory[[#This Row],[Main Floor]]*Lookups!$B$17</f>
        <v>61238.082634999999</v>
      </c>
      <c r="BO906" s="7">
        <f>Wapato_Inventory[[#This Row],[Upper Floor]]*Lookups!$B$18</f>
        <v>0</v>
      </c>
      <c r="BP906" s="7">
        <f>Wapato_Inventory[[#This Row],[Fin BSMT]]*Lookups!$B$19</f>
        <v>0</v>
      </c>
      <c r="BQ906" s="7">
        <f>(Wapato_Inventory[[#This Row],[att_gar]]+Wapato_Inventory[[#This Row],[blt_gar]])*Lookups!$B$20</f>
        <v>23833.636288000002</v>
      </c>
      <c r="BR906" s="7">
        <f>Wapato_Inventory[[#This Row],[Patio]]*Lookups!$B$21</f>
        <v>0</v>
      </c>
      <c r="BS906" s="7">
        <f>SUM(Wapato_Inventory[[#This Row],[intercept]:[patio_value]])*Wapato_Inventory[[#This Row],[res_pct]]</f>
        <v>270243.90762299998</v>
      </c>
      <c r="BT906" s="7">
        <f>Wapato_Inventory[[#This Row],[land_value]]</f>
        <v>53100</v>
      </c>
      <c r="BU906" s="2">
        <f>_xlfn.IFNA(VLOOKUP(Wapato_Inventory[[#This Row],[quality]],Lookups!$A$28:$C$37,3,FALSE),1)</f>
        <v>0.97993206410140754</v>
      </c>
      <c r="BV906" s="2">
        <f>_xlfn.IFNA(VLOOKUP(Wapato_Inventory[[#This Row],[condition]],Lookups!$A$41:$C$48,3,FALSE),1)</f>
        <v>0.99478075210508476</v>
      </c>
      <c r="BW906" s="2">
        <f>IF(Wapato_Inventory[[#This Row],[decade]]="",1,_xlfn.IFNA(VLOOKUP(Wapato_Inventory[[#This Row],[decade]],Lookups!$F$28:$H$45,3,FALSE),1))</f>
        <v>1.0321018519633791</v>
      </c>
      <c r="BX906" s="2">
        <f>_xlfn.IFNA(VLOOKUP(Wapato_Inventory[[#This Row],[living_area_range]],Lookups!$K$28:$M$37,3,FALSE),1)</f>
        <v>1.0061411172456287</v>
      </c>
      <c r="BY906" s="2">
        <f>AVERAGE(Wapato_Inventory[[#This Row],[qual_adj]:[range_adj]])</f>
        <v>1.0032389463538751</v>
      </c>
      <c r="BZ906" s="7">
        <f>(Wapato_Inventory[[#This Row],[sum_land]]-IF(Wapato_Inventory[[#This Row],[no_utilities]]=1,12000,0))/IF(Wapato_Inventory[[#This Row],[unbuildable]]=1,2,1)</f>
        <v>53100</v>
      </c>
      <c r="CA906" s="7">
        <f>Wapato_Inventory[[#This Row],[pre_res]]*Wapato_Inventory[[#This Row],[overall_adj]]</f>
        <v>271119.21314225247</v>
      </c>
      <c r="CB90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906" s="3">
        <f>IF(ROUND(Wapato_Inventory[[#This Row],[adj_res]]*Lookups!$H$48,-2)&lt;Wapato_Inventory[[#This Row],[min_res]],Wapato_Inventory[[#This Row],[min_res]],ROUND(Wapato_Inventory[[#This Row],[adj_res]]*Lookups!$H$48,-2))</f>
        <v>257600</v>
      </c>
      <c r="CD906" s="3">
        <f>ROUND(Wapato_Inventory[[#This Row],[det_value]]*Lookups!$H$48,-2)</f>
        <v>0</v>
      </c>
      <c r="CE906" s="3">
        <f>Wapato_Inventory[[#This Row],[final_res]]+Wapato_Inventory[[#This Row],[final_det]]</f>
        <v>257600</v>
      </c>
      <c r="CF906" s="3">
        <f>Wapato_Inventory[[#This Row],[crop_value]]+Wapato_Inventory[[#This Row],[final_land]]+Wapato_Inventory[[#This Row],[final_imp]]</f>
        <v>308000</v>
      </c>
      <c r="CH906" t="str">
        <f t="shared" si="14"/>
        <v>update valuation set market_land =50400, market_bldg=257600, market_total =308000, market_mdno =405, market_date ='9/10/2023' where link_id = (select link_id from parcel where parcel_year = '2024' and parcel_id = '19111514595');</v>
      </c>
    </row>
    <row r="907" spans="1:86" x14ac:dyDescent="0.25">
      <c r="A907">
        <v>19111514596</v>
      </c>
      <c r="B907">
        <v>0.16</v>
      </c>
      <c r="C907">
        <v>6857</v>
      </c>
      <c r="D907" t="s">
        <v>144</v>
      </c>
      <c r="E907" t="s">
        <v>54</v>
      </c>
      <c r="F907" t="s">
        <v>54</v>
      </c>
      <c r="G907">
        <v>3</v>
      </c>
      <c r="H907" t="s">
        <v>55</v>
      </c>
      <c r="I907">
        <v>188300</v>
      </c>
      <c r="J907">
        <v>32800</v>
      </c>
      <c r="K907">
        <v>0.16</v>
      </c>
      <c r="L907">
        <f>IF(Wapato_Inventory[[#This Row],[parcel_acres]]-Wapato_Inventory[[#This Row],[non_valued_acres]] =0,0,LN(Wapato_Inventory[[#This Row],[parcel_acres]]-Wapato_Inventory[[#This Row],[non_valued_acres]]))</f>
        <v>-1.8325814637483102</v>
      </c>
      <c r="M907">
        <v>0</v>
      </c>
      <c r="N907">
        <v>0</v>
      </c>
      <c r="O907">
        <v>0</v>
      </c>
      <c r="P907">
        <v>27904.037</v>
      </c>
      <c r="Q907">
        <v>74398</v>
      </c>
      <c r="R907" s="3">
        <f>(Wapato_Inventory[[#This Row],[ln_acres]]*Wapato_Inventory[[#This Row],[coeff]])+Wapato_Inventory[[#This Row],[const]]</f>
        <v>23261.579030052992</v>
      </c>
      <c r="S907" t="s">
        <v>56</v>
      </c>
      <c r="T907">
        <v>2</v>
      </c>
      <c r="U907" t="s">
        <v>75</v>
      </c>
      <c r="V907" t="s">
        <v>68</v>
      </c>
      <c r="W907">
        <v>0</v>
      </c>
      <c r="X907">
        <v>0</v>
      </c>
      <c r="Y907">
        <v>57</v>
      </c>
      <c r="Z907">
        <v>103</v>
      </c>
      <c r="AA907">
        <v>110</v>
      </c>
      <c r="AB907">
        <v>2000</v>
      </c>
      <c r="AC907">
        <v>1872</v>
      </c>
      <c r="AD907">
        <v>1152</v>
      </c>
      <c r="AE907">
        <v>576</v>
      </c>
      <c r="AF907">
        <v>0</v>
      </c>
      <c r="AG907">
        <v>144</v>
      </c>
      <c r="AH907">
        <v>0</v>
      </c>
      <c r="AI907">
        <v>0</v>
      </c>
      <c r="AJ907">
        <v>0</v>
      </c>
      <c r="AK907">
        <v>0</v>
      </c>
      <c r="AL907">
        <v>0</v>
      </c>
      <c r="AM907">
        <v>0</v>
      </c>
      <c r="AN907">
        <v>128</v>
      </c>
      <c r="AO907">
        <v>0</v>
      </c>
      <c r="AP907">
        <v>5</v>
      </c>
      <c r="AQ907">
        <v>0</v>
      </c>
      <c r="AR907">
        <v>1</v>
      </c>
      <c r="AS907" t="s">
        <v>82</v>
      </c>
      <c r="AT907">
        <v>1</v>
      </c>
      <c r="AU907" t="s">
        <v>64</v>
      </c>
      <c r="AV907" t="s">
        <v>61</v>
      </c>
      <c r="AW907">
        <v>0</v>
      </c>
      <c r="AX907">
        <v>4</v>
      </c>
      <c r="AY907">
        <v>0</v>
      </c>
      <c r="AZ907">
        <v>0</v>
      </c>
      <c r="BA907">
        <v>100</v>
      </c>
      <c r="BB907">
        <v>100</v>
      </c>
      <c r="BC907">
        <v>100</v>
      </c>
      <c r="BD907">
        <v>100</v>
      </c>
      <c r="BE907">
        <v>1</v>
      </c>
      <c r="BF907">
        <v>15000</v>
      </c>
      <c r="BG907">
        <v>1000</v>
      </c>
      <c r="BH907" s="7">
        <f>ROUND(Wapato_Inventory[[#This Row],[detatched_value]]*Lookups!$B$22*Lookups!$H$48,-2)</f>
        <v>0</v>
      </c>
      <c r="BI907" s="7">
        <f>ROUND(((Wapato_Inventory[[#This Row],[land_extract]]*Lookups!$B$3) +(Lookups!$B$2*0.5))*Lookups!$H$48,-2)</f>
        <v>53300</v>
      </c>
      <c r="BJ907" s="7">
        <f>IF(Wapato_Inventory[[#This Row],[bldg_style]]="",0,Lookups!$B$2*0.5)</f>
        <v>53765.27</v>
      </c>
      <c r="BK907" s="7">
        <f>_xlfn.IFNA(VLOOKUP(Wapato_Inventory[[#This Row],[quality]],Lookups!$H$2:$J$14,3,FALSE),0)</f>
        <v>48043</v>
      </c>
      <c r="BL907" s="7">
        <f>_xlfn.IFNA(VLOOKUP(Wapato_Inventory[[#This Row],[condition]],Lookups!$H$17:$J$24,3,FALSE),0)</f>
        <v>52231</v>
      </c>
      <c r="BM907" s="7">
        <f>Wapato_Inventory[[#This Row],[Age]]*Lookups!$B$16</f>
        <v>-38179.597099999999</v>
      </c>
      <c r="BN907" s="7">
        <f>Wapato_Inventory[[#This Row],[Main Floor]]*Lookups!$B$17</f>
        <v>48154.451328000003</v>
      </c>
      <c r="BO907" s="7">
        <f>Wapato_Inventory[[#This Row],[Upper Floor]]*Lookups!$B$18</f>
        <v>28570.256064000001</v>
      </c>
      <c r="BP907" s="7">
        <f>Wapato_Inventory[[#This Row],[Fin BSMT]]*Lookups!$B$19</f>
        <v>3508.8105599999999</v>
      </c>
      <c r="BQ907" s="7">
        <f>(Wapato_Inventory[[#This Row],[att_gar]]+Wapato_Inventory[[#This Row],[blt_gar]])*Lookups!$B$20</f>
        <v>0</v>
      </c>
      <c r="BR907" s="7">
        <f>Wapato_Inventory[[#This Row],[Patio]]*Lookups!$B$21</f>
        <v>0</v>
      </c>
      <c r="BS907" s="7">
        <f>SUM(Wapato_Inventory[[#This Row],[intercept]:[patio_value]])*Wapato_Inventory[[#This Row],[res_pct]]</f>
        <v>196093.19085200003</v>
      </c>
      <c r="BT907" s="7">
        <f>Wapato_Inventory[[#This Row],[land_value]]</f>
        <v>53300</v>
      </c>
      <c r="BU907" s="2">
        <f>_xlfn.IFNA(VLOOKUP(Wapato_Inventory[[#This Row],[quality]],Lookups!$A$28:$C$37,3,FALSE),1)</f>
        <v>0.98196844879778955</v>
      </c>
      <c r="BV907" s="2">
        <f>_xlfn.IFNA(VLOOKUP(Wapato_Inventory[[#This Row],[condition]],Lookups!$A$41:$C$48,3,FALSE),1)</f>
        <v>0.9832333997567807</v>
      </c>
      <c r="BW907" s="2">
        <f>IF(Wapato_Inventory[[#This Row],[decade]]="",1,_xlfn.IFNA(VLOOKUP(Wapato_Inventory[[#This Row],[decade]],Lookups!$F$28:$H$45,3,FALSE),1))</f>
        <v>0.93664589651353292</v>
      </c>
      <c r="BX907" s="2">
        <f>_xlfn.IFNA(VLOOKUP(Wapato_Inventory[[#This Row],[living_area_range]],Lookups!$K$28:$M$37,3,FALSE),1)</f>
        <v>0.99330894324714125</v>
      </c>
      <c r="BY907" s="2">
        <f>AVERAGE(Wapato_Inventory[[#This Row],[qual_adj]:[range_adj]])</f>
        <v>0.9737891720788111</v>
      </c>
      <c r="BZ907" s="7">
        <f>(Wapato_Inventory[[#This Row],[sum_land]]-IF(Wapato_Inventory[[#This Row],[no_utilities]]=1,12000,0))/IF(Wapato_Inventory[[#This Row],[unbuildable]]=1,2,1)</f>
        <v>53300</v>
      </c>
      <c r="CA907" s="7">
        <f>Wapato_Inventory[[#This Row],[pre_res]]*Wapato_Inventory[[#This Row],[overall_adj]]</f>
        <v>190953.42597006139</v>
      </c>
      <c r="CB907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907" s="3">
        <f>IF(ROUND(Wapato_Inventory[[#This Row],[adj_res]]*Lookups!$H$48,-2)&lt;Wapato_Inventory[[#This Row],[min_res]],Wapato_Inventory[[#This Row],[min_res]],ROUND(Wapato_Inventory[[#This Row],[adj_res]]*Lookups!$H$48,-2))</f>
        <v>181400</v>
      </c>
      <c r="CD907" s="3">
        <f>ROUND(Wapato_Inventory[[#This Row],[det_value]]*Lookups!$H$48,-2)</f>
        <v>0</v>
      </c>
      <c r="CE907" s="3">
        <f>Wapato_Inventory[[#This Row],[final_res]]+Wapato_Inventory[[#This Row],[final_det]]</f>
        <v>181400</v>
      </c>
      <c r="CF907" s="3">
        <f>Wapato_Inventory[[#This Row],[crop_value]]+Wapato_Inventory[[#This Row],[final_land]]+Wapato_Inventory[[#This Row],[final_imp]]</f>
        <v>232000</v>
      </c>
      <c r="CH907" t="str">
        <f t="shared" si="14"/>
        <v>update valuation set market_land =50600, market_bldg=181400, market_total =232000, market_mdno =405, market_date ='9/10/2023' where link_id = (select link_id from parcel where parcel_year = '2024' and parcel_id = '19111514596');</v>
      </c>
    </row>
    <row r="908" spans="1:86" x14ac:dyDescent="0.25">
      <c r="A908">
        <v>19111521400</v>
      </c>
      <c r="B908">
        <v>0.21</v>
      </c>
      <c r="C908">
        <v>9013</v>
      </c>
      <c r="D908" t="s">
        <v>144</v>
      </c>
      <c r="E908" t="s">
        <v>54</v>
      </c>
      <c r="F908" t="s">
        <v>54</v>
      </c>
      <c r="G908">
        <v>3</v>
      </c>
      <c r="H908" t="s">
        <v>55</v>
      </c>
      <c r="I908">
        <v>241800</v>
      </c>
      <c r="J908">
        <v>34300</v>
      </c>
      <c r="K908">
        <v>0.21</v>
      </c>
      <c r="L908">
        <f>IF(Wapato_Inventory[[#This Row],[parcel_acres]]-Wapato_Inventory[[#This Row],[non_valued_acres]] =0,0,LN(Wapato_Inventory[[#This Row],[parcel_acres]]-Wapato_Inventory[[#This Row],[non_valued_acres]]))</f>
        <v>-1.5606477482646683</v>
      </c>
      <c r="M908">
        <v>0</v>
      </c>
      <c r="N908">
        <v>0</v>
      </c>
      <c r="O908">
        <v>0</v>
      </c>
      <c r="P908">
        <v>27904.037</v>
      </c>
      <c r="Q908">
        <v>74398</v>
      </c>
      <c r="R908" s="3">
        <f>(Wapato_Inventory[[#This Row],[ln_acres]]*Wapato_Inventory[[#This Row],[coeff]])+Wapato_Inventory[[#This Row],[const]]</f>
        <v>30849.627488456012</v>
      </c>
      <c r="S908" t="s">
        <v>66</v>
      </c>
      <c r="T908">
        <v>1</v>
      </c>
      <c r="U908" t="s">
        <v>75</v>
      </c>
      <c r="V908" t="s">
        <v>68</v>
      </c>
      <c r="W908">
        <v>0</v>
      </c>
      <c r="X908">
        <v>0</v>
      </c>
      <c r="Y908">
        <v>50</v>
      </c>
      <c r="Z908">
        <v>73</v>
      </c>
      <c r="AA908">
        <v>80</v>
      </c>
      <c r="AB908">
        <v>2000</v>
      </c>
      <c r="AC908">
        <v>1948</v>
      </c>
      <c r="AD908">
        <v>1948</v>
      </c>
      <c r="AE908">
        <v>0</v>
      </c>
      <c r="AF908">
        <v>0</v>
      </c>
      <c r="AG908">
        <v>0</v>
      </c>
      <c r="AH908">
        <v>384</v>
      </c>
      <c r="AI908">
        <v>576</v>
      </c>
      <c r="AJ908">
        <v>0</v>
      </c>
      <c r="AK908">
        <v>0</v>
      </c>
      <c r="AL908">
        <v>0</v>
      </c>
      <c r="AM908">
        <v>385</v>
      </c>
      <c r="AN908">
        <v>0</v>
      </c>
      <c r="AO908">
        <v>385</v>
      </c>
      <c r="AP908">
        <v>8</v>
      </c>
      <c r="AQ908">
        <v>1</v>
      </c>
      <c r="AR908">
        <v>0</v>
      </c>
      <c r="AS908" t="s">
        <v>59</v>
      </c>
      <c r="AT908">
        <v>1</v>
      </c>
      <c r="AU908" t="s">
        <v>64</v>
      </c>
      <c r="AV908" t="s">
        <v>61</v>
      </c>
      <c r="AW908">
        <v>1</v>
      </c>
      <c r="AX908">
        <v>3</v>
      </c>
      <c r="AY908">
        <v>0</v>
      </c>
      <c r="AZ908">
        <v>0</v>
      </c>
      <c r="BA908">
        <v>100</v>
      </c>
      <c r="BB908">
        <v>100</v>
      </c>
      <c r="BC908">
        <v>100</v>
      </c>
      <c r="BD908">
        <v>100</v>
      </c>
      <c r="BE908">
        <v>1</v>
      </c>
      <c r="BF908">
        <v>15000</v>
      </c>
      <c r="BG908">
        <v>1000</v>
      </c>
      <c r="BH908" s="7">
        <f>ROUND(Wapato_Inventory[[#This Row],[detatched_value]]*Lookups!$B$22*Lookups!$H$48,-2)</f>
        <v>0</v>
      </c>
      <c r="BI908" s="7">
        <f>ROUND(((Wapato_Inventory[[#This Row],[land_extract]]*Lookups!$B$3) +(Lookups!$B$2*0.5))*Lookups!$H$48,-2)</f>
        <v>54100</v>
      </c>
      <c r="BJ908" s="7">
        <f>IF(Wapato_Inventory[[#This Row],[bldg_style]]="",0,Lookups!$B$2*0.5)</f>
        <v>53765.27</v>
      </c>
      <c r="BK908" s="7">
        <f>_xlfn.IFNA(VLOOKUP(Wapato_Inventory[[#This Row],[quality]],Lookups!$H$2:$J$14,3,FALSE),0)</f>
        <v>48043</v>
      </c>
      <c r="BL908" s="7">
        <f>_xlfn.IFNA(VLOOKUP(Wapato_Inventory[[#This Row],[condition]],Lookups!$H$17:$J$24,3,FALSE),0)</f>
        <v>52231</v>
      </c>
      <c r="BM908" s="7">
        <f>Wapato_Inventory[[#This Row],[Age]]*Lookups!$B$16</f>
        <v>-27059.326100000002</v>
      </c>
      <c r="BN908" s="7">
        <f>Wapato_Inventory[[#This Row],[Main Floor]]*Lookups!$B$17</f>
        <v>81427.839571999997</v>
      </c>
      <c r="BO908" s="7">
        <f>Wapato_Inventory[[#This Row],[Upper Floor]]*Lookups!$B$18</f>
        <v>0</v>
      </c>
      <c r="BP908" s="7">
        <f>Wapato_Inventory[[#This Row],[Fin BSMT]]*Lookups!$B$19</f>
        <v>0</v>
      </c>
      <c r="BQ908" s="7">
        <f>(Wapato_Inventory[[#This Row],[att_gar]]+Wapato_Inventory[[#This Row],[blt_gar]])*Lookups!$B$20</f>
        <v>21317.041152000002</v>
      </c>
      <c r="BR908" s="7">
        <f>Wapato_Inventory[[#This Row],[Patio]]*Lookups!$B$21</f>
        <v>16679.731915</v>
      </c>
      <c r="BS908" s="7">
        <f>SUM(Wapato_Inventory[[#This Row],[intercept]:[patio_value]])*Wapato_Inventory[[#This Row],[res_pct]]</f>
        <v>246404.55653899998</v>
      </c>
      <c r="BT908" s="7">
        <f>Wapato_Inventory[[#This Row],[land_value]]</f>
        <v>54100</v>
      </c>
      <c r="BU908" s="2">
        <f>_xlfn.IFNA(VLOOKUP(Wapato_Inventory[[#This Row],[quality]],Lookups!$A$28:$C$37,3,FALSE),1)</f>
        <v>0.98196844879778955</v>
      </c>
      <c r="BV908" s="2">
        <f>_xlfn.IFNA(VLOOKUP(Wapato_Inventory[[#This Row],[condition]],Lookups!$A$41:$C$48,3,FALSE),1)</f>
        <v>0.9832333997567807</v>
      </c>
      <c r="BW908" s="2">
        <f>IF(Wapato_Inventory[[#This Row],[decade]]="",1,_xlfn.IFNA(VLOOKUP(Wapato_Inventory[[#This Row],[decade]],Lookups!$F$28:$H$45,3,FALSE),1))</f>
        <v>0.8438929209510081</v>
      </c>
      <c r="BX908" s="2">
        <f>_xlfn.IFNA(VLOOKUP(Wapato_Inventory[[#This Row],[living_area_range]],Lookups!$K$28:$M$37,3,FALSE),1)</f>
        <v>0.99330894324714125</v>
      </c>
      <c r="BY908" s="2">
        <f>AVERAGE(Wapato_Inventory[[#This Row],[qual_adj]:[range_adj]])</f>
        <v>0.95060092818817987</v>
      </c>
      <c r="BZ908" s="7">
        <f>(Wapato_Inventory[[#This Row],[sum_land]]-IF(Wapato_Inventory[[#This Row],[no_utilities]]=1,12000,0))/IF(Wapato_Inventory[[#This Row],[unbuildable]]=1,2,1)</f>
        <v>54100</v>
      </c>
      <c r="CA908" s="7">
        <f>Wapato_Inventory[[#This Row],[pre_res]]*Wapato_Inventory[[#This Row],[overall_adj]]</f>
        <v>234232.40015577024</v>
      </c>
      <c r="CB908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08" s="3">
        <f>IF(ROUND(Wapato_Inventory[[#This Row],[adj_res]]*Lookups!$H$48,-2)&lt;Wapato_Inventory[[#This Row],[min_res]],Wapato_Inventory[[#This Row],[min_res]],ROUND(Wapato_Inventory[[#This Row],[adj_res]]*Lookups!$H$48,-2))</f>
        <v>222500</v>
      </c>
      <c r="CD908" s="3">
        <f>ROUND(Wapato_Inventory[[#This Row],[det_value]]*Lookups!$H$48,-2)</f>
        <v>0</v>
      </c>
      <c r="CE908" s="3">
        <f>Wapato_Inventory[[#This Row],[final_res]]+Wapato_Inventory[[#This Row],[final_det]]</f>
        <v>222500</v>
      </c>
      <c r="CF908" s="3">
        <f>Wapato_Inventory[[#This Row],[crop_value]]+Wapato_Inventory[[#This Row],[final_land]]+Wapato_Inventory[[#This Row],[final_imp]]</f>
        <v>273900</v>
      </c>
      <c r="CH908" t="str">
        <f t="shared" si="14"/>
        <v>update valuation set market_land =51400, market_bldg=222500, market_total =273900, market_mdno =405, market_date ='9/10/2023' where link_id = (select link_id from parcel where parcel_year = '2024' and parcel_id = '19111521400');</v>
      </c>
    </row>
    <row r="909" spans="1:86" x14ac:dyDescent="0.25">
      <c r="A909">
        <v>19111521401</v>
      </c>
      <c r="B909">
        <v>0.21</v>
      </c>
      <c r="C909">
        <v>9013</v>
      </c>
      <c r="D909" t="s">
        <v>144</v>
      </c>
      <c r="E909" t="s">
        <v>54</v>
      </c>
      <c r="F909" t="s">
        <v>54</v>
      </c>
      <c r="G909">
        <v>3</v>
      </c>
      <c r="H909" t="s">
        <v>55</v>
      </c>
      <c r="I909">
        <v>100800</v>
      </c>
      <c r="J909">
        <v>34300</v>
      </c>
      <c r="K909">
        <v>0.21</v>
      </c>
      <c r="L909">
        <f>IF(Wapato_Inventory[[#This Row],[parcel_acres]]-Wapato_Inventory[[#This Row],[non_valued_acres]] =0,0,LN(Wapato_Inventory[[#This Row],[parcel_acres]]-Wapato_Inventory[[#This Row],[non_valued_acres]]))</f>
        <v>-1.5606477482646683</v>
      </c>
      <c r="M909">
        <v>0</v>
      </c>
      <c r="N909">
        <v>0</v>
      </c>
      <c r="O909">
        <v>0</v>
      </c>
      <c r="P909">
        <v>27904.037</v>
      </c>
      <c r="Q909">
        <v>74398</v>
      </c>
      <c r="R909" s="3">
        <f>(Wapato_Inventory[[#This Row],[ln_acres]]*Wapato_Inventory[[#This Row],[coeff]])+Wapato_Inventory[[#This Row],[const]]</f>
        <v>30849.627488456012</v>
      </c>
      <c r="S909" t="s">
        <v>66</v>
      </c>
      <c r="T909">
        <v>1</v>
      </c>
      <c r="U909" t="s">
        <v>71</v>
      </c>
      <c r="V909" t="s">
        <v>68</v>
      </c>
      <c r="W909">
        <v>0</v>
      </c>
      <c r="X909">
        <v>0</v>
      </c>
      <c r="Y909">
        <v>50</v>
      </c>
      <c r="Z909">
        <v>73</v>
      </c>
      <c r="AA909">
        <v>80</v>
      </c>
      <c r="AB909">
        <v>1000</v>
      </c>
      <c r="AC909">
        <v>772</v>
      </c>
      <c r="AD909">
        <v>772</v>
      </c>
      <c r="AE909">
        <v>0</v>
      </c>
      <c r="AF909">
        <v>0</v>
      </c>
      <c r="AG909">
        <v>0</v>
      </c>
      <c r="AH909">
        <v>0</v>
      </c>
      <c r="AI909">
        <v>0</v>
      </c>
      <c r="AJ909">
        <v>0</v>
      </c>
      <c r="AK909">
        <v>0</v>
      </c>
      <c r="AL909">
        <v>0</v>
      </c>
      <c r="AM909">
        <v>0</v>
      </c>
      <c r="AN909">
        <v>0</v>
      </c>
      <c r="AO909">
        <v>0</v>
      </c>
      <c r="AP909">
        <v>5</v>
      </c>
      <c r="AQ909">
        <v>0</v>
      </c>
      <c r="AR909">
        <v>0</v>
      </c>
      <c r="AS909" t="s">
        <v>59</v>
      </c>
      <c r="AT909">
        <v>0</v>
      </c>
      <c r="AU909" t="s">
        <v>80</v>
      </c>
      <c r="AV909" t="s">
        <v>77</v>
      </c>
      <c r="AW909">
        <v>0</v>
      </c>
      <c r="AX909">
        <v>2</v>
      </c>
      <c r="AY909">
        <v>0</v>
      </c>
      <c r="AZ909">
        <v>0</v>
      </c>
      <c r="BA909">
        <v>100</v>
      </c>
      <c r="BB909">
        <v>100</v>
      </c>
      <c r="BC909">
        <v>100</v>
      </c>
      <c r="BD909">
        <v>100</v>
      </c>
      <c r="BE909">
        <v>1</v>
      </c>
      <c r="BF909">
        <v>15000</v>
      </c>
      <c r="BG909">
        <v>1000</v>
      </c>
      <c r="BH909" s="7">
        <f>ROUND(Wapato_Inventory[[#This Row],[detatched_value]]*Lookups!$B$22*Lookups!$H$48,-2)</f>
        <v>0</v>
      </c>
      <c r="BI909" s="7">
        <f>ROUND(((Wapato_Inventory[[#This Row],[land_extract]]*Lookups!$B$3) +(Lookups!$B$2*0.5))*Lookups!$H$48,-2)</f>
        <v>54100</v>
      </c>
      <c r="BJ909" s="7">
        <f>IF(Wapato_Inventory[[#This Row],[bldg_style]]="",0,Lookups!$B$2*0.5)</f>
        <v>53765.27</v>
      </c>
      <c r="BK909" s="7">
        <f>_xlfn.IFNA(VLOOKUP(Wapato_Inventory[[#This Row],[quality]],Lookups!$H$2:$J$14,3,FALSE),0)</f>
        <v>28034</v>
      </c>
      <c r="BL909" s="7">
        <f>_xlfn.IFNA(VLOOKUP(Wapato_Inventory[[#This Row],[condition]],Lookups!$H$17:$J$24,3,FALSE),0)</f>
        <v>52231</v>
      </c>
      <c r="BM909" s="7">
        <f>Wapato_Inventory[[#This Row],[Age]]*Lookups!$B$16</f>
        <v>-27059.326100000002</v>
      </c>
      <c r="BN909" s="7">
        <f>Wapato_Inventory[[#This Row],[Main Floor]]*Lookups!$B$17</f>
        <v>32270.170507999999</v>
      </c>
      <c r="BO909" s="7">
        <f>Wapato_Inventory[[#This Row],[Upper Floor]]*Lookups!$B$18</f>
        <v>0</v>
      </c>
      <c r="BP909" s="7">
        <f>Wapato_Inventory[[#This Row],[Fin BSMT]]*Lookups!$B$19</f>
        <v>0</v>
      </c>
      <c r="BQ909" s="7">
        <f>(Wapato_Inventory[[#This Row],[att_gar]]+Wapato_Inventory[[#This Row],[blt_gar]])*Lookups!$B$20</f>
        <v>0</v>
      </c>
      <c r="BR909" s="7">
        <f>Wapato_Inventory[[#This Row],[Patio]]*Lookups!$B$21</f>
        <v>0</v>
      </c>
      <c r="BS909" s="7">
        <f>SUM(Wapato_Inventory[[#This Row],[intercept]:[patio_value]])*Wapato_Inventory[[#This Row],[res_pct]]</f>
        <v>139241.11440799999</v>
      </c>
      <c r="BT909" s="7">
        <f>Wapato_Inventory[[#This Row],[land_value]]</f>
        <v>54100</v>
      </c>
      <c r="BU909" s="2">
        <f>_xlfn.IFNA(VLOOKUP(Wapato_Inventory[[#This Row],[quality]],Lookups!$A$28:$C$37,3,FALSE),1)</f>
        <v>0.96265813922927435</v>
      </c>
      <c r="BV909" s="2">
        <f>_xlfn.IFNA(VLOOKUP(Wapato_Inventory[[#This Row],[condition]],Lookups!$A$41:$C$48,3,FALSE),1)</f>
        <v>0.9832333997567807</v>
      </c>
      <c r="BW909" s="2">
        <f>IF(Wapato_Inventory[[#This Row],[decade]]="",1,_xlfn.IFNA(VLOOKUP(Wapato_Inventory[[#This Row],[decade]],Lookups!$F$28:$H$45,3,FALSE),1))</f>
        <v>0.8438929209510081</v>
      </c>
      <c r="BX909" s="2">
        <f>_xlfn.IFNA(VLOOKUP(Wapato_Inventory[[#This Row],[living_area_range]],Lookups!$K$28:$M$37,3,FALSE),1)</f>
        <v>0.99022994770196116</v>
      </c>
      <c r="BY909" s="2">
        <f>AVERAGE(Wapato_Inventory[[#This Row],[qual_adj]:[range_adj]])</f>
        <v>0.94500360190975607</v>
      </c>
      <c r="BZ909" s="7">
        <f>(Wapato_Inventory[[#This Row],[sum_land]]-IF(Wapato_Inventory[[#This Row],[no_utilities]]=1,12000,0))/IF(Wapato_Inventory[[#This Row],[unbuildable]]=1,2,1)</f>
        <v>54100</v>
      </c>
      <c r="CA909" s="7">
        <f>Wapato_Inventory[[#This Row],[pre_res]]*Wapato_Inventory[[#This Row],[overall_adj]]</f>
        <v>131583.35464948844</v>
      </c>
      <c r="CB909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09" s="3">
        <f>IF(ROUND(Wapato_Inventory[[#This Row],[adj_res]]*Lookups!$H$48,-2)&lt;Wapato_Inventory[[#This Row],[min_res]],Wapato_Inventory[[#This Row],[min_res]],ROUND(Wapato_Inventory[[#This Row],[adj_res]]*Lookups!$H$48,-2))</f>
        <v>125000</v>
      </c>
      <c r="CD909" s="3">
        <f>ROUND(Wapato_Inventory[[#This Row],[det_value]]*Lookups!$H$48,-2)</f>
        <v>0</v>
      </c>
      <c r="CE909" s="3">
        <f>Wapato_Inventory[[#This Row],[final_res]]+Wapato_Inventory[[#This Row],[final_det]]</f>
        <v>125000</v>
      </c>
      <c r="CF909" s="3">
        <f>Wapato_Inventory[[#This Row],[crop_value]]+Wapato_Inventory[[#This Row],[final_land]]+Wapato_Inventory[[#This Row],[final_imp]]</f>
        <v>176400</v>
      </c>
      <c r="CH909" t="str">
        <f t="shared" si="14"/>
        <v>update valuation set market_land =51400, market_bldg=125000, market_total =176400, market_mdno =405, market_date ='9/10/2023' where link_id = (select link_id from parcel where parcel_year = '2024' and parcel_id = '19111521401');</v>
      </c>
    </row>
    <row r="910" spans="1:86" x14ac:dyDescent="0.25">
      <c r="A910">
        <v>19111521402</v>
      </c>
      <c r="B910">
        <v>0.21</v>
      </c>
      <c r="C910">
        <v>9100</v>
      </c>
      <c r="D910" t="s">
        <v>144</v>
      </c>
      <c r="E910" t="s">
        <v>54</v>
      </c>
      <c r="F910" t="s">
        <v>54</v>
      </c>
      <c r="G910">
        <v>3</v>
      </c>
      <c r="H910" t="s">
        <v>55</v>
      </c>
      <c r="I910">
        <v>112800</v>
      </c>
      <c r="J910">
        <v>34300</v>
      </c>
      <c r="K910">
        <v>0.21</v>
      </c>
      <c r="L910">
        <f>IF(Wapato_Inventory[[#This Row],[parcel_acres]]-Wapato_Inventory[[#This Row],[non_valued_acres]] =0,0,LN(Wapato_Inventory[[#This Row],[parcel_acres]]-Wapato_Inventory[[#This Row],[non_valued_acres]]))</f>
        <v>-1.5606477482646683</v>
      </c>
      <c r="M910">
        <v>0</v>
      </c>
      <c r="N910">
        <v>0</v>
      </c>
      <c r="O910">
        <v>0</v>
      </c>
      <c r="P910">
        <v>27904.037</v>
      </c>
      <c r="Q910">
        <v>74398</v>
      </c>
      <c r="R910" s="3">
        <f>(Wapato_Inventory[[#This Row],[ln_acres]]*Wapato_Inventory[[#This Row],[coeff]])+Wapato_Inventory[[#This Row],[const]]</f>
        <v>30849.627488456012</v>
      </c>
      <c r="S910" t="s">
        <v>66</v>
      </c>
      <c r="T910">
        <v>1</v>
      </c>
      <c r="U910" t="s">
        <v>71</v>
      </c>
      <c r="V910" t="s">
        <v>68</v>
      </c>
      <c r="W910">
        <v>0</v>
      </c>
      <c r="X910">
        <v>0</v>
      </c>
      <c r="Y910">
        <v>50</v>
      </c>
      <c r="Z910">
        <v>73</v>
      </c>
      <c r="AA910">
        <v>80</v>
      </c>
      <c r="AB910">
        <v>1000</v>
      </c>
      <c r="AC910">
        <v>808</v>
      </c>
      <c r="AD910">
        <v>808</v>
      </c>
      <c r="AE910">
        <v>0</v>
      </c>
      <c r="AF910">
        <v>0</v>
      </c>
      <c r="AG910">
        <v>0</v>
      </c>
      <c r="AH910">
        <v>0</v>
      </c>
      <c r="AI910">
        <v>0</v>
      </c>
      <c r="AJ910">
        <v>0</v>
      </c>
      <c r="AK910">
        <v>0</v>
      </c>
      <c r="AL910">
        <v>0</v>
      </c>
      <c r="AM910">
        <v>0</v>
      </c>
      <c r="AN910">
        <v>0</v>
      </c>
      <c r="AO910">
        <v>0</v>
      </c>
      <c r="AP910">
        <v>5</v>
      </c>
      <c r="AQ910">
        <v>0</v>
      </c>
      <c r="AR910">
        <v>1</v>
      </c>
      <c r="AS910" t="s">
        <v>59</v>
      </c>
      <c r="AT910">
        <v>1</v>
      </c>
      <c r="AU910" t="s">
        <v>72</v>
      </c>
      <c r="AV910" t="s">
        <v>61</v>
      </c>
      <c r="AW910">
        <v>0</v>
      </c>
      <c r="AX910">
        <v>2</v>
      </c>
      <c r="AY910">
        <v>0</v>
      </c>
      <c r="AZ910">
        <v>0</v>
      </c>
      <c r="BA910">
        <v>100</v>
      </c>
      <c r="BB910">
        <v>100</v>
      </c>
      <c r="BC910">
        <v>100</v>
      </c>
      <c r="BD910">
        <v>100</v>
      </c>
      <c r="BE910">
        <v>1</v>
      </c>
      <c r="BF910">
        <v>15000</v>
      </c>
      <c r="BG910">
        <v>1000</v>
      </c>
      <c r="BH910" s="7">
        <f>ROUND(Wapato_Inventory[[#This Row],[detatched_value]]*Lookups!$B$22*Lookups!$H$48,-2)</f>
        <v>0</v>
      </c>
      <c r="BI910" s="7">
        <f>ROUND(((Wapato_Inventory[[#This Row],[land_extract]]*Lookups!$B$3) +(Lookups!$B$2*0.5))*Lookups!$H$48,-2)</f>
        <v>54100</v>
      </c>
      <c r="BJ910" s="7">
        <f>IF(Wapato_Inventory[[#This Row],[bldg_style]]="",0,Lookups!$B$2*0.5)</f>
        <v>53765.27</v>
      </c>
      <c r="BK910" s="7">
        <f>_xlfn.IFNA(VLOOKUP(Wapato_Inventory[[#This Row],[quality]],Lookups!$H$2:$J$14,3,FALSE),0)</f>
        <v>28034</v>
      </c>
      <c r="BL910" s="7">
        <f>_xlfn.IFNA(VLOOKUP(Wapato_Inventory[[#This Row],[condition]],Lookups!$H$17:$J$24,3,FALSE),0)</f>
        <v>52231</v>
      </c>
      <c r="BM910" s="7">
        <f>Wapato_Inventory[[#This Row],[Age]]*Lookups!$B$16</f>
        <v>-27059.326100000002</v>
      </c>
      <c r="BN910" s="7">
        <f>Wapato_Inventory[[#This Row],[Main Floor]]*Lookups!$B$17</f>
        <v>33774.997111999997</v>
      </c>
      <c r="BO910" s="7">
        <f>Wapato_Inventory[[#This Row],[Upper Floor]]*Lookups!$B$18</f>
        <v>0</v>
      </c>
      <c r="BP910" s="7">
        <f>Wapato_Inventory[[#This Row],[Fin BSMT]]*Lookups!$B$19</f>
        <v>0</v>
      </c>
      <c r="BQ910" s="7">
        <f>(Wapato_Inventory[[#This Row],[att_gar]]+Wapato_Inventory[[#This Row],[blt_gar]])*Lookups!$B$20</f>
        <v>0</v>
      </c>
      <c r="BR910" s="7">
        <f>Wapato_Inventory[[#This Row],[Patio]]*Lookups!$B$21</f>
        <v>0</v>
      </c>
      <c r="BS910" s="7">
        <f>SUM(Wapato_Inventory[[#This Row],[intercept]:[patio_value]])*Wapato_Inventory[[#This Row],[res_pct]]</f>
        <v>140745.94101199997</v>
      </c>
      <c r="BT910" s="7">
        <f>Wapato_Inventory[[#This Row],[land_value]]</f>
        <v>54100</v>
      </c>
      <c r="BU910" s="2">
        <f>_xlfn.IFNA(VLOOKUP(Wapato_Inventory[[#This Row],[quality]],Lookups!$A$28:$C$37,3,FALSE),1)</f>
        <v>0.96265813922927435</v>
      </c>
      <c r="BV910" s="2">
        <f>_xlfn.IFNA(VLOOKUP(Wapato_Inventory[[#This Row],[condition]],Lookups!$A$41:$C$48,3,FALSE),1)</f>
        <v>0.9832333997567807</v>
      </c>
      <c r="BW910" s="2">
        <f>IF(Wapato_Inventory[[#This Row],[decade]]="",1,_xlfn.IFNA(VLOOKUP(Wapato_Inventory[[#This Row],[decade]],Lookups!$F$28:$H$45,3,FALSE),1))</f>
        <v>0.8438929209510081</v>
      </c>
      <c r="BX910" s="2">
        <f>_xlfn.IFNA(VLOOKUP(Wapato_Inventory[[#This Row],[living_area_range]],Lookups!$K$28:$M$37,3,FALSE),1)</f>
        <v>0.99022994770196116</v>
      </c>
      <c r="BY910" s="2">
        <f>AVERAGE(Wapato_Inventory[[#This Row],[qual_adj]:[range_adj]])</f>
        <v>0.94500360190975607</v>
      </c>
      <c r="BZ910" s="7">
        <f>(Wapato_Inventory[[#This Row],[sum_land]]-IF(Wapato_Inventory[[#This Row],[no_utilities]]=1,12000,0))/IF(Wapato_Inventory[[#This Row],[unbuildable]]=1,2,1)</f>
        <v>54100</v>
      </c>
      <c r="CA910" s="7">
        <f>Wapato_Inventory[[#This Row],[pre_res]]*Wapato_Inventory[[#This Row],[overall_adj]]</f>
        <v>133005.42121051802</v>
      </c>
      <c r="CB910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10" s="3">
        <f>IF(ROUND(Wapato_Inventory[[#This Row],[adj_res]]*Lookups!$H$48,-2)&lt;Wapato_Inventory[[#This Row],[min_res]],Wapato_Inventory[[#This Row],[min_res]],ROUND(Wapato_Inventory[[#This Row],[adj_res]]*Lookups!$H$48,-2))</f>
        <v>126400</v>
      </c>
      <c r="CD910" s="3">
        <f>ROUND(Wapato_Inventory[[#This Row],[det_value]]*Lookups!$H$48,-2)</f>
        <v>0</v>
      </c>
      <c r="CE910" s="3">
        <f>Wapato_Inventory[[#This Row],[final_res]]+Wapato_Inventory[[#This Row],[final_det]]</f>
        <v>126400</v>
      </c>
      <c r="CF910" s="3">
        <f>Wapato_Inventory[[#This Row],[crop_value]]+Wapato_Inventory[[#This Row],[final_land]]+Wapato_Inventory[[#This Row],[final_imp]]</f>
        <v>177800</v>
      </c>
      <c r="CH910" t="str">
        <f t="shared" si="14"/>
        <v>update valuation set market_land =51400, market_bldg=126400, market_total =177800, market_mdno =405, market_date ='9/10/2023' where link_id = (select link_id from parcel where parcel_year = '2024' and parcel_id = '19111521402');</v>
      </c>
    </row>
    <row r="911" spans="1:86" x14ac:dyDescent="0.25">
      <c r="A911">
        <v>19111521403</v>
      </c>
      <c r="B911">
        <v>0.2</v>
      </c>
      <c r="C911">
        <v>8751</v>
      </c>
      <c r="D911" t="s">
        <v>144</v>
      </c>
      <c r="E911" t="s">
        <v>54</v>
      </c>
      <c r="F911" t="s">
        <v>54</v>
      </c>
      <c r="G911">
        <v>3</v>
      </c>
      <c r="H911" t="s">
        <v>55</v>
      </c>
      <c r="I911">
        <v>223600</v>
      </c>
      <c r="J911">
        <v>33900</v>
      </c>
      <c r="K911">
        <v>0.2</v>
      </c>
      <c r="L911">
        <f>IF(Wapato_Inventory[[#This Row],[parcel_acres]]-Wapato_Inventory[[#This Row],[non_valued_acres]] =0,0,LN(Wapato_Inventory[[#This Row],[parcel_acres]]-Wapato_Inventory[[#This Row],[non_valued_acres]]))</f>
        <v>-1.6094379124341003</v>
      </c>
      <c r="M911">
        <v>0</v>
      </c>
      <c r="N911">
        <v>0</v>
      </c>
      <c r="O911">
        <v>0</v>
      </c>
      <c r="P911">
        <v>27904.037</v>
      </c>
      <c r="Q911">
        <v>74398</v>
      </c>
      <c r="R911" s="3">
        <f>(Wapato_Inventory[[#This Row],[ln_acres]]*Wapato_Inventory[[#This Row],[coeff]])+Wapato_Inventory[[#This Row],[const]]</f>
        <v>29488.184942236105</v>
      </c>
      <c r="S911" t="s">
        <v>66</v>
      </c>
      <c r="T911">
        <v>1</v>
      </c>
      <c r="U911" t="s">
        <v>75</v>
      </c>
      <c r="V911" t="s">
        <v>69</v>
      </c>
      <c r="W911">
        <v>0</v>
      </c>
      <c r="X911">
        <v>0</v>
      </c>
      <c r="Y911">
        <v>50</v>
      </c>
      <c r="Z911">
        <v>73</v>
      </c>
      <c r="AA911">
        <v>80</v>
      </c>
      <c r="AB911">
        <v>2000</v>
      </c>
      <c r="AC911">
        <v>1626</v>
      </c>
      <c r="AD911">
        <v>1626</v>
      </c>
      <c r="AE911">
        <v>0</v>
      </c>
      <c r="AF911">
        <v>0</v>
      </c>
      <c r="AG911">
        <v>0</v>
      </c>
      <c r="AH911">
        <v>0</v>
      </c>
      <c r="AI911">
        <v>0</v>
      </c>
      <c r="AJ911">
        <v>0</v>
      </c>
      <c r="AK911">
        <v>360</v>
      </c>
      <c r="AL911">
        <v>0</v>
      </c>
      <c r="AM911">
        <v>0</v>
      </c>
      <c r="AN911">
        <v>130</v>
      </c>
      <c r="AO911">
        <v>0</v>
      </c>
      <c r="AP911">
        <v>8</v>
      </c>
      <c r="AQ911">
        <v>0</v>
      </c>
      <c r="AR911">
        <v>1</v>
      </c>
      <c r="AS911" t="s">
        <v>59</v>
      </c>
      <c r="AT911">
        <v>0</v>
      </c>
      <c r="AU911" t="s">
        <v>80</v>
      </c>
      <c r="AV911" t="s">
        <v>65</v>
      </c>
      <c r="AW911">
        <v>0</v>
      </c>
      <c r="AX911">
        <v>3</v>
      </c>
      <c r="AY911">
        <v>0</v>
      </c>
      <c r="AZ911">
        <v>0</v>
      </c>
      <c r="BA911">
        <v>100</v>
      </c>
      <c r="BB911">
        <v>100</v>
      </c>
      <c r="BC911">
        <v>100</v>
      </c>
      <c r="BD911">
        <v>100</v>
      </c>
      <c r="BE911">
        <v>1</v>
      </c>
      <c r="BF911">
        <v>15000</v>
      </c>
      <c r="BG911">
        <v>1000</v>
      </c>
      <c r="BH911" s="7">
        <f>ROUND(Wapato_Inventory[[#This Row],[detatched_value]]*Lookups!$B$22*Lookups!$H$48,-2)</f>
        <v>0</v>
      </c>
      <c r="BI911" s="7">
        <f>ROUND(((Wapato_Inventory[[#This Row],[land_extract]]*Lookups!$B$3) +(Lookups!$B$2*0.5))*Lookups!$H$48,-2)</f>
        <v>53900</v>
      </c>
      <c r="BJ911" s="7">
        <f>IF(Wapato_Inventory[[#This Row],[bldg_style]]="",0,Lookups!$B$2*0.5)</f>
        <v>53765.27</v>
      </c>
      <c r="BK911" s="7">
        <f>_xlfn.IFNA(VLOOKUP(Wapato_Inventory[[#This Row],[quality]],Lookups!$H$2:$J$14,3,FALSE),0)</f>
        <v>48043</v>
      </c>
      <c r="BL911" s="7">
        <f>_xlfn.IFNA(VLOOKUP(Wapato_Inventory[[#This Row],[condition]],Lookups!$H$17:$J$24,3,FALSE),0)</f>
        <v>74543</v>
      </c>
      <c r="BM911" s="7">
        <f>Wapato_Inventory[[#This Row],[Age]]*Lookups!$B$16</f>
        <v>-27059.326100000002</v>
      </c>
      <c r="BN911" s="7">
        <f>Wapato_Inventory[[#This Row],[Main Floor]]*Lookups!$B$17</f>
        <v>67968.001613999993</v>
      </c>
      <c r="BO911" s="7">
        <f>Wapato_Inventory[[#This Row],[Upper Floor]]*Lookups!$B$18</f>
        <v>0</v>
      </c>
      <c r="BP911" s="7">
        <f>Wapato_Inventory[[#This Row],[Fin BSMT]]*Lookups!$B$19</f>
        <v>0</v>
      </c>
      <c r="BQ911" s="7">
        <f>(Wapato_Inventory[[#This Row],[att_gar]]+Wapato_Inventory[[#This Row],[blt_gar]])*Lookups!$B$20</f>
        <v>0</v>
      </c>
      <c r="BR911" s="7">
        <f>Wapato_Inventory[[#This Row],[Patio]]*Lookups!$B$21</f>
        <v>0</v>
      </c>
      <c r="BS911" s="7">
        <f>SUM(Wapato_Inventory[[#This Row],[intercept]:[patio_value]])*Wapato_Inventory[[#This Row],[res_pct]]</f>
        <v>217259.94551399996</v>
      </c>
      <c r="BT911" s="7">
        <f>Wapato_Inventory[[#This Row],[land_value]]</f>
        <v>53900</v>
      </c>
      <c r="BU911" s="2">
        <f>_xlfn.IFNA(VLOOKUP(Wapato_Inventory[[#This Row],[quality]],Lookups!$A$28:$C$37,3,FALSE),1)</f>
        <v>0.98196844879778955</v>
      </c>
      <c r="BV911" s="2">
        <f>_xlfn.IFNA(VLOOKUP(Wapato_Inventory[[#This Row],[condition]],Lookups!$A$41:$C$48,3,FALSE),1)</f>
        <v>0.98442438223270734</v>
      </c>
      <c r="BW911" s="2">
        <f>IF(Wapato_Inventory[[#This Row],[decade]]="",1,_xlfn.IFNA(VLOOKUP(Wapato_Inventory[[#This Row],[decade]],Lookups!$F$28:$H$45,3,FALSE),1))</f>
        <v>0.8438929209510081</v>
      </c>
      <c r="BX911" s="2">
        <f>_xlfn.IFNA(VLOOKUP(Wapato_Inventory[[#This Row],[living_area_range]],Lookups!$K$28:$M$37,3,FALSE),1)</f>
        <v>0.99330894324714125</v>
      </c>
      <c r="BY911" s="2">
        <f>AVERAGE(Wapato_Inventory[[#This Row],[qual_adj]:[range_adj]])</f>
        <v>0.95089867380716153</v>
      </c>
      <c r="BZ911" s="7">
        <f>(Wapato_Inventory[[#This Row],[sum_land]]-IF(Wapato_Inventory[[#This Row],[no_utilities]]=1,12000,0))/IF(Wapato_Inventory[[#This Row],[unbuildable]]=1,2,1)</f>
        <v>53900</v>
      </c>
      <c r="CA911" s="7">
        <f>Wapato_Inventory[[#This Row],[pre_res]]*Wapato_Inventory[[#This Row],[overall_adj]]</f>
        <v>206592.19406067874</v>
      </c>
      <c r="CB911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11" s="3">
        <f>IF(ROUND(Wapato_Inventory[[#This Row],[adj_res]]*Lookups!$H$48,-2)&lt;Wapato_Inventory[[#This Row],[min_res]],Wapato_Inventory[[#This Row],[min_res]],ROUND(Wapato_Inventory[[#This Row],[adj_res]]*Lookups!$H$48,-2))</f>
        <v>196300</v>
      </c>
      <c r="CD911" s="3">
        <f>ROUND(Wapato_Inventory[[#This Row],[det_value]]*Lookups!$H$48,-2)</f>
        <v>0</v>
      </c>
      <c r="CE911" s="3">
        <f>Wapato_Inventory[[#This Row],[final_res]]+Wapato_Inventory[[#This Row],[final_det]]</f>
        <v>196300</v>
      </c>
      <c r="CF911" s="3">
        <f>Wapato_Inventory[[#This Row],[crop_value]]+Wapato_Inventory[[#This Row],[final_land]]+Wapato_Inventory[[#This Row],[final_imp]]</f>
        <v>247500</v>
      </c>
      <c r="CH911" t="str">
        <f t="shared" si="14"/>
        <v>update valuation set market_land =51200, market_bldg=196300, market_total =247500, market_mdno =405, market_date ='9/10/2023' where link_id = (select link_id from parcel where parcel_year = '2024' and parcel_id = '19111521403');</v>
      </c>
    </row>
    <row r="912" spans="1:86" x14ac:dyDescent="0.25">
      <c r="A912">
        <v>19111521404</v>
      </c>
      <c r="B912">
        <v>0.26</v>
      </c>
      <c r="C912">
        <v>11303</v>
      </c>
      <c r="D912" t="s">
        <v>144</v>
      </c>
      <c r="E912" t="s">
        <v>54</v>
      </c>
      <c r="F912" t="s">
        <v>54</v>
      </c>
      <c r="G912">
        <v>3</v>
      </c>
      <c r="H912" t="s">
        <v>55</v>
      </c>
      <c r="I912">
        <v>109800</v>
      </c>
      <c r="J912">
        <v>35800</v>
      </c>
      <c r="K912">
        <v>0.26</v>
      </c>
      <c r="L912">
        <f>IF(Wapato_Inventory[[#This Row],[parcel_acres]]-Wapato_Inventory[[#This Row],[non_valued_acres]] =0,0,LN(Wapato_Inventory[[#This Row],[parcel_acres]]-Wapato_Inventory[[#This Row],[non_valued_acres]]))</f>
        <v>-1.3470736479666092</v>
      </c>
      <c r="M912">
        <v>0</v>
      </c>
      <c r="N912">
        <v>0</v>
      </c>
      <c r="O912">
        <v>0</v>
      </c>
      <c r="P912">
        <v>27904.037</v>
      </c>
      <c r="Q912">
        <v>74398</v>
      </c>
      <c r="R912" s="3">
        <f>(Wapato_Inventory[[#This Row],[ln_acres]]*Wapato_Inventory[[#This Row],[coeff]])+Wapato_Inventory[[#This Row],[const]]</f>
        <v>36809.207085414761</v>
      </c>
      <c r="S912" t="s">
        <v>66</v>
      </c>
      <c r="T912">
        <v>1</v>
      </c>
      <c r="U912" t="s">
        <v>71</v>
      </c>
      <c r="V912" t="s">
        <v>73</v>
      </c>
      <c r="W912">
        <v>0</v>
      </c>
      <c r="X912">
        <v>0</v>
      </c>
      <c r="Y912">
        <v>50</v>
      </c>
      <c r="Z912">
        <v>73</v>
      </c>
      <c r="AA912">
        <v>80</v>
      </c>
      <c r="AB912">
        <v>1000</v>
      </c>
      <c r="AC912">
        <v>980</v>
      </c>
      <c r="AD912">
        <v>980</v>
      </c>
      <c r="AE912">
        <v>0</v>
      </c>
      <c r="AF912">
        <v>0</v>
      </c>
      <c r="AG912">
        <v>0</v>
      </c>
      <c r="AH912">
        <v>0</v>
      </c>
      <c r="AI912">
        <v>0</v>
      </c>
      <c r="AJ912">
        <v>0</v>
      </c>
      <c r="AK912">
        <v>672</v>
      </c>
      <c r="AL912">
        <v>480</v>
      </c>
      <c r="AM912">
        <v>100</v>
      </c>
      <c r="AN912">
        <v>24</v>
      </c>
      <c r="AO912">
        <v>0</v>
      </c>
      <c r="AP912">
        <v>5</v>
      </c>
      <c r="AQ912">
        <v>0</v>
      </c>
      <c r="AR912">
        <v>0</v>
      </c>
      <c r="AS912" t="s">
        <v>59</v>
      </c>
      <c r="AT912">
        <v>0</v>
      </c>
      <c r="AU912" t="s">
        <v>80</v>
      </c>
      <c r="AV912" t="s">
        <v>65</v>
      </c>
      <c r="AW912">
        <v>0</v>
      </c>
      <c r="AX912">
        <v>3</v>
      </c>
      <c r="AY912">
        <v>0</v>
      </c>
      <c r="AZ912">
        <v>20800</v>
      </c>
      <c r="BA912">
        <v>100</v>
      </c>
      <c r="BB912">
        <v>100</v>
      </c>
      <c r="BC912">
        <v>100</v>
      </c>
      <c r="BD912">
        <v>100</v>
      </c>
      <c r="BE912">
        <v>1</v>
      </c>
      <c r="BF912">
        <v>15000</v>
      </c>
      <c r="BG912">
        <v>1000</v>
      </c>
      <c r="BH912" s="7">
        <f>ROUND(Wapato_Inventory[[#This Row],[detatched_value]]*Lookups!$B$22*Lookups!$H$48,-2)</f>
        <v>18600</v>
      </c>
      <c r="BI912" s="7">
        <f>ROUND(((Wapato_Inventory[[#This Row],[land_extract]]*Lookups!$B$3) +(Lookups!$B$2*0.5))*Lookups!$H$48,-2)</f>
        <v>54600</v>
      </c>
      <c r="BJ912" s="7">
        <f>IF(Wapato_Inventory[[#This Row],[bldg_style]]="",0,Lookups!$B$2*0.5)</f>
        <v>53765.27</v>
      </c>
      <c r="BK912" s="7">
        <f>_xlfn.IFNA(VLOOKUP(Wapato_Inventory[[#This Row],[quality]],Lookups!$H$2:$J$14,3,FALSE),0)</f>
        <v>28034</v>
      </c>
      <c r="BL912" s="7">
        <f>_xlfn.IFNA(VLOOKUP(Wapato_Inventory[[#This Row],[condition]],Lookups!$H$17:$J$24,3,FALSE),0)</f>
        <v>16276</v>
      </c>
      <c r="BM912" s="7">
        <f>Wapato_Inventory[[#This Row],[Age]]*Lookups!$B$16</f>
        <v>-27059.326100000002</v>
      </c>
      <c r="BN912" s="7">
        <f>Wapato_Inventory[[#This Row],[Main Floor]]*Lookups!$B$17</f>
        <v>40964.724220000004</v>
      </c>
      <c r="BO912" s="7">
        <f>Wapato_Inventory[[#This Row],[Upper Floor]]*Lookups!$B$18</f>
        <v>0</v>
      </c>
      <c r="BP912" s="7">
        <f>Wapato_Inventory[[#This Row],[Fin BSMT]]*Lookups!$B$19</f>
        <v>0</v>
      </c>
      <c r="BQ912" s="7">
        <f>(Wapato_Inventory[[#This Row],[att_gar]]+Wapato_Inventory[[#This Row],[blt_gar]])*Lookups!$B$20</f>
        <v>0</v>
      </c>
      <c r="BR912" s="7">
        <f>Wapato_Inventory[[#This Row],[Patio]]*Lookups!$B$21</f>
        <v>4332.3978999999999</v>
      </c>
      <c r="BS912" s="7">
        <f>SUM(Wapato_Inventory[[#This Row],[intercept]:[patio_value]])*Wapato_Inventory[[#This Row],[res_pct]]</f>
        <v>116313.06601999998</v>
      </c>
      <c r="BT912" s="7">
        <f>Wapato_Inventory[[#This Row],[land_value]]</f>
        <v>54600</v>
      </c>
      <c r="BU912" s="2">
        <f>_xlfn.IFNA(VLOOKUP(Wapato_Inventory[[#This Row],[quality]],Lookups!$A$28:$C$37,3,FALSE),1)</f>
        <v>0.96265813922927435</v>
      </c>
      <c r="BV912" s="2">
        <f>_xlfn.IFNA(VLOOKUP(Wapato_Inventory[[#This Row],[condition]],Lookups!$A$41:$C$48,3,FALSE),1)</f>
        <v>0.93399385491337139</v>
      </c>
      <c r="BW912" s="2">
        <f>IF(Wapato_Inventory[[#This Row],[decade]]="",1,_xlfn.IFNA(VLOOKUP(Wapato_Inventory[[#This Row],[decade]],Lookups!$F$28:$H$45,3,FALSE),1))</f>
        <v>0.8438929209510081</v>
      </c>
      <c r="BX912" s="2">
        <f>_xlfn.IFNA(VLOOKUP(Wapato_Inventory[[#This Row],[living_area_range]],Lookups!$K$28:$M$37,3,FALSE),1)</f>
        <v>0.99022994770196116</v>
      </c>
      <c r="BY912" s="2">
        <f>AVERAGE(Wapato_Inventory[[#This Row],[qual_adj]:[range_adj]])</f>
        <v>0.9326937156989038</v>
      </c>
      <c r="BZ912" s="7">
        <f>(Wapato_Inventory[[#This Row],[sum_land]]-IF(Wapato_Inventory[[#This Row],[no_utilities]]=1,12000,0))/IF(Wapato_Inventory[[#This Row],[unbuildable]]=1,2,1)</f>
        <v>54600</v>
      </c>
      <c r="CA912" s="7">
        <f>Wapato_Inventory[[#This Row],[pre_res]]*Wapato_Inventory[[#This Row],[overall_adj]]</f>
        <v>108484.4657305257</v>
      </c>
      <c r="CB912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912" s="3">
        <f>IF(ROUND(Wapato_Inventory[[#This Row],[adj_res]]*Lookups!$H$48,-2)&lt;Wapato_Inventory[[#This Row],[min_res]],Wapato_Inventory[[#This Row],[min_res]],ROUND(Wapato_Inventory[[#This Row],[adj_res]]*Lookups!$H$48,-2))</f>
        <v>103100</v>
      </c>
      <c r="CD912" s="3">
        <f>ROUND(Wapato_Inventory[[#This Row],[det_value]]*Lookups!$H$48,-2)</f>
        <v>17700</v>
      </c>
      <c r="CE912" s="3">
        <f>Wapato_Inventory[[#This Row],[final_res]]+Wapato_Inventory[[#This Row],[final_det]]</f>
        <v>120800</v>
      </c>
      <c r="CF912" s="3">
        <f>Wapato_Inventory[[#This Row],[crop_value]]+Wapato_Inventory[[#This Row],[final_land]]+Wapato_Inventory[[#This Row],[final_imp]]</f>
        <v>172700</v>
      </c>
      <c r="CH912" t="str">
        <f t="shared" si="14"/>
        <v>update valuation set market_land =51900, market_bldg=120800, market_total =172700, market_mdno =405, market_date ='9/10/2023' where link_id = (select link_id from parcel where parcel_year = '2024' and parcel_id = '19111521404');</v>
      </c>
    </row>
    <row r="913" spans="1:86" x14ac:dyDescent="0.25">
      <c r="A913">
        <v>19111521405</v>
      </c>
      <c r="B913">
        <v>0.21</v>
      </c>
      <c r="C913">
        <v>9023</v>
      </c>
      <c r="D913" t="s">
        <v>144</v>
      </c>
      <c r="E913" t="s">
        <v>54</v>
      </c>
      <c r="F913" t="s">
        <v>54</v>
      </c>
      <c r="G913">
        <v>3</v>
      </c>
      <c r="H913" t="s">
        <v>55</v>
      </c>
      <c r="I913">
        <v>223700</v>
      </c>
      <c r="J913">
        <v>34300</v>
      </c>
      <c r="K913">
        <v>0.21</v>
      </c>
      <c r="L913">
        <f>IF(Wapato_Inventory[[#This Row],[parcel_acres]]-Wapato_Inventory[[#This Row],[non_valued_acres]] =0,0,LN(Wapato_Inventory[[#This Row],[parcel_acres]]-Wapato_Inventory[[#This Row],[non_valued_acres]]))</f>
        <v>-1.5606477482646683</v>
      </c>
      <c r="M913">
        <v>0</v>
      </c>
      <c r="N913">
        <v>0</v>
      </c>
      <c r="O913">
        <v>0</v>
      </c>
      <c r="P913">
        <v>27904.037</v>
      </c>
      <c r="Q913">
        <v>74398</v>
      </c>
      <c r="R913" s="3">
        <f>(Wapato_Inventory[[#This Row],[ln_acres]]*Wapato_Inventory[[#This Row],[coeff]])+Wapato_Inventory[[#This Row],[const]]</f>
        <v>30849.627488456012</v>
      </c>
      <c r="S913" t="s">
        <v>66</v>
      </c>
      <c r="T913">
        <v>1</v>
      </c>
      <c r="U913" t="s">
        <v>75</v>
      </c>
      <c r="V913" t="s">
        <v>69</v>
      </c>
      <c r="W913">
        <v>0</v>
      </c>
      <c r="X913">
        <v>0</v>
      </c>
      <c r="Y913">
        <v>50</v>
      </c>
      <c r="Z913">
        <v>73</v>
      </c>
      <c r="AA913">
        <v>80</v>
      </c>
      <c r="AB913">
        <v>1500</v>
      </c>
      <c r="AC913">
        <v>1484</v>
      </c>
      <c r="AD913">
        <v>1484</v>
      </c>
      <c r="AE913">
        <v>0</v>
      </c>
      <c r="AF913">
        <v>0</v>
      </c>
      <c r="AG913">
        <v>0</v>
      </c>
      <c r="AH913">
        <v>0</v>
      </c>
      <c r="AI913">
        <v>350</v>
      </c>
      <c r="AJ913">
        <v>0</v>
      </c>
      <c r="AK913">
        <v>0</v>
      </c>
      <c r="AL913">
        <v>0</v>
      </c>
      <c r="AM913">
        <v>320</v>
      </c>
      <c r="AN913">
        <v>0</v>
      </c>
      <c r="AO913">
        <v>320</v>
      </c>
      <c r="AP913">
        <v>8</v>
      </c>
      <c r="AQ913">
        <v>0</v>
      </c>
      <c r="AR913">
        <v>0</v>
      </c>
      <c r="AS913" t="s">
        <v>59</v>
      </c>
      <c r="AT913">
        <v>1</v>
      </c>
      <c r="AU913" t="s">
        <v>64</v>
      </c>
      <c r="AV913" t="s">
        <v>65</v>
      </c>
      <c r="AW913">
        <v>1</v>
      </c>
      <c r="AX913">
        <v>3</v>
      </c>
      <c r="AY913">
        <v>0</v>
      </c>
      <c r="AZ913">
        <v>0</v>
      </c>
      <c r="BA913">
        <v>100</v>
      </c>
      <c r="BB913">
        <v>100</v>
      </c>
      <c r="BC913">
        <v>100</v>
      </c>
      <c r="BD913">
        <v>100</v>
      </c>
      <c r="BE913">
        <v>1</v>
      </c>
      <c r="BF913">
        <v>15000</v>
      </c>
      <c r="BG913">
        <v>1000</v>
      </c>
      <c r="BH913" s="7">
        <f>ROUND(Wapato_Inventory[[#This Row],[detatched_value]]*Lookups!$B$22*Lookups!$H$48,-2)</f>
        <v>0</v>
      </c>
      <c r="BI913" s="7">
        <f>ROUND(((Wapato_Inventory[[#This Row],[land_extract]]*Lookups!$B$3) +(Lookups!$B$2*0.5))*Lookups!$H$48,-2)</f>
        <v>54100</v>
      </c>
      <c r="BJ913" s="7">
        <f>IF(Wapato_Inventory[[#This Row],[bldg_style]]="",0,Lookups!$B$2*0.5)</f>
        <v>53765.27</v>
      </c>
      <c r="BK913" s="7">
        <f>_xlfn.IFNA(VLOOKUP(Wapato_Inventory[[#This Row],[quality]],Lookups!$H$2:$J$14,3,FALSE),0)</f>
        <v>48043</v>
      </c>
      <c r="BL913" s="7">
        <f>_xlfn.IFNA(VLOOKUP(Wapato_Inventory[[#This Row],[condition]],Lookups!$H$17:$J$24,3,FALSE),0)</f>
        <v>74543</v>
      </c>
      <c r="BM913" s="7">
        <f>Wapato_Inventory[[#This Row],[Age]]*Lookups!$B$16</f>
        <v>-27059.326100000002</v>
      </c>
      <c r="BN913" s="7">
        <f>Wapato_Inventory[[#This Row],[Main Floor]]*Lookups!$B$17</f>
        <v>62032.296675999998</v>
      </c>
      <c r="BO913" s="7">
        <f>Wapato_Inventory[[#This Row],[Upper Floor]]*Lookups!$B$18</f>
        <v>0</v>
      </c>
      <c r="BP913" s="7">
        <f>Wapato_Inventory[[#This Row],[Fin BSMT]]*Lookups!$B$19</f>
        <v>0</v>
      </c>
      <c r="BQ913" s="7">
        <f>(Wapato_Inventory[[#This Row],[att_gar]]+Wapato_Inventory[[#This Row],[blt_gar]])*Lookups!$B$20</f>
        <v>12953.063200000001</v>
      </c>
      <c r="BR913" s="7">
        <f>Wapato_Inventory[[#This Row],[Patio]]*Lookups!$B$21</f>
        <v>13863.673280000001</v>
      </c>
      <c r="BS913" s="7">
        <f>SUM(Wapato_Inventory[[#This Row],[intercept]:[patio_value]])*Wapato_Inventory[[#This Row],[res_pct]]</f>
        <v>238140.97705599997</v>
      </c>
      <c r="BT913" s="7">
        <f>Wapato_Inventory[[#This Row],[land_value]]</f>
        <v>54100</v>
      </c>
      <c r="BU913" s="2">
        <f>_xlfn.IFNA(VLOOKUP(Wapato_Inventory[[#This Row],[quality]],Lookups!$A$28:$C$37,3,FALSE),1)</f>
        <v>0.98196844879778955</v>
      </c>
      <c r="BV913" s="2">
        <f>_xlfn.IFNA(VLOOKUP(Wapato_Inventory[[#This Row],[condition]],Lookups!$A$41:$C$48,3,FALSE),1)</f>
        <v>0.98442438223270734</v>
      </c>
      <c r="BW913" s="2">
        <f>IF(Wapato_Inventory[[#This Row],[decade]]="",1,_xlfn.IFNA(VLOOKUP(Wapato_Inventory[[#This Row],[decade]],Lookups!$F$28:$H$45,3,FALSE),1))</f>
        <v>0.8438929209510081</v>
      </c>
      <c r="BX913" s="2">
        <f>_xlfn.IFNA(VLOOKUP(Wapato_Inventory[[#This Row],[living_area_range]],Lookups!$K$28:$M$37,3,FALSE),1)</f>
        <v>1.0061411172456287</v>
      </c>
      <c r="BY913" s="2">
        <f>AVERAGE(Wapato_Inventory[[#This Row],[qual_adj]:[range_adj]])</f>
        <v>0.95410671730678343</v>
      </c>
      <c r="BZ913" s="7">
        <f>(Wapato_Inventory[[#This Row],[sum_land]]-IF(Wapato_Inventory[[#This Row],[no_utilities]]=1,12000,0))/IF(Wapato_Inventory[[#This Row],[unbuildable]]=1,2,1)</f>
        <v>54100</v>
      </c>
      <c r="CA913" s="7">
        <f>Wapato_Inventory[[#This Row],[pre_res]]*Wapato_Inventory[[#This Row],[overall_adj]]</f>
        <v>227211.90587513018</v>
      </c>
      <c r="CB913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13" s="3">
        <f>IF(ROUND(Wapato_Inventory[[#This Row],[adj_res]]*Lookups!$H$48,-2)&lt;Wapato_Inventory[[#This Row],[min_res]],Wapato_Inventory[[#This Row],[min_res]],ROUND(Wapato_Inventory[[#This Row],[adj_res]]*Lookups!$H$48,-2))</f>
        <v>215900</v>
      </c>
      <c r="CD913" s="3">
        <f>ROUND(Wapato_Inventory[[#This Row],[det_value]]*Lookups!$H$48,-2)</f>
        <v>0</v>
      </c>
      <c r="CE913" s="3">
        <f>Wapato_Inventory[[#This Row],[final_res]]+Wapato_Inventory[[#This Row],[final_det]]</f>
        <v>215900</v>
      </c>
      <c r="CF913" s="3">
        <f>Wapato_Inventory[[#This Row],[crop_value]]+Wapato_Inventory[[#This Row],[final_land]]+Wapato_Inventory[[#This Row],[final_imp]]</f>
        <v>267300</v>
      </c>
      <c r="CH913" t="str">
        <f t="shared" si="14"/>
        <v>update valuation set market_land =51400, market_bldg=215900, market_total =267300, market_mdno =405, market_date ='9/10/2023' where link_id = (select link_id from parcel where parcel_year = '2024' and parcel_id = '19111521405');</v>
      </c>
    </row>
    <row r="914" spans="1:86" x14ac:dyDescent="0.25">
      <c r="A914">
        <v>19111521406</v>
      </c>
      <c r="B914">
        <v>0.25</v>
      </c>
      <c r="C914">
        <v>10893</v>
      </c>
      <c r="D914" t="s">
        <v>144</v>
      </c>
      <c r="E914" t="s">
        <v>54</v>
      </c>
      <c r="F914" t="s">
        <v>54</v>
      </c>
      <c r="G914">
        <v>3</v>
      </c>
      <c r="H914" t="s">
        <v>55</v>
      </c>
      <c r="I914">
        <v>237400</v>
      </c>
      <c r="J914">
        <v>35500</v>
      </c>
      <c r="K914">
        <v>0.25</v>
      </c>
      <c r="L914">
        <f>IF(Wapato_Inventory[[#This Row],[parcel_acres]]-Wapato_Inventory[[#This Row],[non_valued_acres]] =0,0,LN(Wapato_Inventory[[#This Row],[parcel_acres]]-Wapato_Inventory[[#This Row],[non_valued_acres]]))</f>
        <v>-1.3862943611198906</v>
      </c>
      <c r="M914">
        <v>0</v>
      </c>
      <c r="N914">
        <v>0</v>
      </c>
      <c r="O914">
        <v>0</v>
      </c>
      <c r="P914">
        <v>27904.037</v>
      </c>
      <c r="Q914">
        <v>74398</v>
      </c>
      <c r="R914" s="3">
        <f>(Wapato_Inventory[[#This Row],[ln_acres]]*Wapato_Inventory[[#This Row],[coeff]])+Wapato_Inventory[[#This Row],[const]]</f>
        <v>35714.790854419211</v>
      </c>
      <c r="S914" t="s">
        <v>62</v>
      </c>
      <c r="T914">
        <v>1</v>
      </c>
      <c r="U914" t="s">
        <v>75</v>
      </c>
      <c r="V914" t="s">
        <v>69</v>
      </c>
      <c r="W914">
        <v>0</v>
      </c>
      <c r="X914">
        <v>0</v>
      </c>
      <c r="Y914">
        <v>49</v>
      </c>
      <c r="Z914">
        <v>68</v>
      </c>
      <c r="AA914">
        <v>70</v>
      </c>
      <c r="AB914">
        <v>1500</v>
      </c>
      <c r="AC914">
        <v>1376</v>
      </c>
      <c r="AD914">
        <v>1376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v>0</v>
      </c>
      <c r="AK914">
        <v>604</v>
      </c>
      <c r="AL914">
        <v>0</v>
      </c>
      <c r="AM914">
        <v>315</v>
      </c>
      <c r="AN914">
        <v>0</v>
      </c>
      <c r="AO914">
        <v>225</v>
      </c>
      <c r="AP914">
        <v>8</v>
      </c>
      <c r="AQ914">
        <v>0</v>
      </c>
      <c r="AR914">
        <v>0</v>
      </c>
      <c r="AS914" t="s">
        <v>79</v>
      </c>
      <c r="AT914">
        <v>0</v>
      </c>
      <c r="AU914" t="s">
        <v>80</v>
      </c>
      <c r="AV914" t="s">
        <v>65</v>
      </c>
      <c r="AW914">
        <v>0</v>
      </c>
      <c r="AX914">
        <v>3</v>
      </c>
      <c r="AY914">
        <v>0</v>
      </c>
      <c r="AZ914">
        <v>0</v>
      </c>
      <c r="BA914">
        <v>100</v>
      </c>
      <c r="BB914">
        <v>100</v>
      </c>
      <c r="BC914">
        <v>100</v>
      </c>
      <c r="BD914">
        <v>100</v>
      </c>
      <c r="BE914">
        <v>1</v>
      </c>
      <c r="BF914">
        <v>15000</v>
      </c>
      <c r="BG914">
        <v>1000</v>
      </c>
      <c r="BH914" s="7">
        <f>ROUND(Wapato_Inventory[[#This Row],[detatched_value]]*Lookups!$B$22*Lookups!$H$48,-2)</f>
        <v>0</v>
      </c>
      <c r="BI914" s="7">
        <f>ROUND(((Wapato_Inventory[[#This Row],[land_extract]]*Lookups!$B$3) +(Lookups!$B$2*0.5))*Lookups!$H$48,-2)</f>
        <v>54500</v>
      </c>
      <c r="BJ914" s="7">
        <f>IF(Wapato_Inventory[[#This Row],[bldg_style]]="",0,Lookups!$B$2*0.5)</f>
        <v>53765.27</v>
      </c>
      <c r="BK914" s="7">
        <f>_xlfn.IFNA(VLOOKUP(Wapato_Inventory[[#This Row],[quality]],Lookups!$H$2:$J$14,3,FALSE),0)</f>
        <v>48043</v>
      </c>
      <c r="BL914" s="7">
        <f>_xlfn.IFNA(VLOOKUP(Wapato_Inventory[[#This Row],[condition]],Lookups!$H$17:$J$24,3,FALSE),0)</f>
        <v>74543</v>
      </c>
      <c r="BM914" s="7">
        <f>Wapato_Inventory[[#This Row],[Age]]*Lookups!$B$16</f>
        <v>-25205.9476</v>
      </c>
      <c r="BN914" s="7">
        <f>Wapato_Inventory[[#This Row],[Main Floor]]*Lookups!$B$17</f>
        <v>57517.816864</v>
      </c>
      <c r="BO914" s="7">
        <f>Wapato_Inventory[[#This Row],[Upper Floor]]*Lookups!$B$18</f>
        <v>0</v>
      </c>
      <c r="BP914" s="7">
        <f>Wapato_Inventory[[#This Row],[Fin BSMT]]*Lookups!$B$19</f>
        <v>0</v>
      </c>
      <c r="BQ914" s="7">
        <f>(Wapato_Inventory[[#This Row],[att_gar]]+Wapato_Inventory[[#This Row],[blt_gar]])*Lookups!$B$20</f>
        <v>0</v>
      </c>
      <c r="BR914" s="7">
        <f>Wapato_Inventory[[#This Row],[Patio]]*Lookups!$B$21</f>
        <v>13647.053385000001</v>
      </c>
      <c r="BS914" s="7">
        <f>SUM(Wapato_Inventory[[#This Row],[intercept]:[patio_value]])*Wapato_Inventory[[#This Row],[res_pct]]</f>
        <v>222310.192649</v>
      </c>
      <c r="BT914" s="7">
        <f>Wapato_Inventory[[#This Row],[land_value]]</f>
        <v>54500</v>
      </c>
      <c r="BU914" s="2">
        <f>_xlfn.IFNA(VLOOKUP(Wapato_Inventory[[#This Row],[quality]],Lookups!$A$28:$C$37,3,FALSE),1)</f>
        <v>0.98196844879778955</v>
      </c>
      <c r="BV914" s="2">
        <f>_xlfn.IFNA(VLOOKUP(Wapato_Inventory[[#This Row],[condition]],Lookups!$A$41:$C$48,3,FALSE),1)</f>
        <v>0.98442438223270734</v>
      </c>
      <c r="BW914" s="2">
        <f>IF(Wapato_Inventory[[#This Row],[decade]]="",1,_xlfn.IFNA(VLOOKUP(Wapato_Inventory[[#This Row],[decade]],Lookups!$F$28:$H$45,3,FALSE),1))</f>
        <v>1.0012715221492001</v>
      </c>
      <c r="BX914" s="2">
        <f>_xlfn.IFNA(VLOOKUP(Wapato_Inventory[[#This Row],[living_area_range]],Lookups!$K$28:$M$37,3,FALSE),1)</f>
        <v>1.0061411172456287</v>
      </c>
      <c r="BY914" s="2">
        <f>AVERAGE(Wapato_Inventory[[#This Row],[qual_adj]:[range_adj]])</f>
        <v>0.99345136760633146</v>
      </c>
      <c r="BZ914" s="7">
        <f>(Wapato_Inventory[[#This Row],[sum_land]]-IF(Wapato_Inventory[[#This Row],[no_utilities]]=1,12000,0))/IF(Wapato_Inventory[[#This Row],[unbuildable]]=1,2,1)</f>
        <v>54500</v>
      </c>
      <c r="CA914" s="7">
        <f>Wapato_Inventory[[#This Row],[pre_res]]*Wapato_Inventory[[#This Row],[overall_adj]]</f>
        <v>220854.36491997607</v>
      </c>
      <c r="CB914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914" s="3">
        <f>IF(ROUND(Wapato_Inventory[[#This Row],[adj_res]]*Lookups!$H$48,-2)&lt;Wapato_Inventory[[#This Row],[min_res]],Wapato_Inventory[[#This Row],[min_res]],ROUND(Wapato_Inventory[[#This Row],[adj_res]]*Lookups!$H$48,-2))</f>
        <v>209800</v>
      </c>
      <c r="CD914" s="3">
        <f>ROUND(Wapato_Inventory[[#This Row],[det_value]]*Lookups!$H$48,-2)</f>
        <v>0</v>
      </c>
      <c r="CE914" s="3">
        <f>Wapato_Inventory[[#This Row],[final_res]]+Wapato_Inventory[[#This Row],[final_det]]</f>
        <v>209800</v>
      </c>
      <c r="CF914" s="3">
        <f>Wapato_Inventory[[#This Row],[crop_value]]+Wapato_Inventory[[#This Row],[final_land]]+Wapato_Inventory[[#This Row],[final_imp]]</f>
        <v>261600</v>
      </c>
      <c r="CH914" t="str">
        <f t="shared" si="14"/>
        <v>update valuation set market_land =51800, market_bldg=209800, market_total =261600, market_mdno =405, market_date ='9/10/2023' where link_id = (select link_id from parcel where parcel_year = '2024' and parcel_id = '19111521406');</v>
      </c>
    </row>
    <row r="915" spans="1:86" x14ac:dyDescent="0.25">
      <c r="A915">
        <v>19111521407</v>
      </c>
      <c r="B915">
        <v>0.2</v>
      </c>
      <c r="C915">
        <v>8750</v>
      </c>
      <c r="D915" t="s">
        <v>144</v>
      </c>
      <c r="E915" t="s">
        <v>54</v>
      </c>
      <c r="F915" t="s">
        <v>54</v>
      </c>
      <c r="G915">
        <v>3</v>
      </c>
      <c r="H915" t="s">
        <v>55</v>
      </c>
      <c r="I915">
        <v>148800</v>
      </c>
      <c r="J915">
        <v>33900</v>
      </c>
      <c r="K915">
        <v>0.2</v>
      </c>
      <c r="L915">
        <f>IF(Wapato_Inventory[[#This Row],[parcel_acres]]-Wapato_Inventory[[#This Row],[non_valued_acres]] =0,0,LN(Wapato_Inventory[[#This Row],[parcel_acres]]-Wapato_Inventory[[#This Row],[non_valued_acres]]))</f>
        <v>-1.6094379124341003</v>
      </c>
      <c r="M915">
        <v>0</v>
      </c>
      <c r="N915">
        <v>0</v>
      </c>
      <c r="O915">
        <v>0</v>
      </c>
      <c r="P915">
        <v>27904.037</v>
      </c>
      <c r="Q915">
        <v>74398</v>
      </c>
      <c r="R915" s="3">
        <f>(Wapato_Inventory[[#This Row],[ln_acres]]*Wapato_Inventory[[#This Row],[coeff]])+Wapato_Inventory[[#This Row],[const]]</f>
        <v>29488.184942236105</v>
      </c>
      <c r="S915" t="s">
        <v>66</v>
      </c>
      <c r="T915">
        <v>1</v>
      </c>
      <c r="U915" t="s">
        <v>71</v>
      </c>
      <c r="V915" t="s">
        <v>69</v>
      </c>
      <c r="W915">
        <v>0</v>
      </c>
      <c r="X915">
        <v>0</v>
      </c>
      <c r="Y915">
        <v>50</v>
      </c>
      <c r="Z915">
        <v>73</v>
      </c>
      <c r="AA915">
        <v>80</v>
      </c>
      <c r="AB915">
        <v>1000</v>
      </c>
      <c r="AC915">
        <v>772</v>
      </c>
      <c r="AD915">
        <v>772</v>
      </c>
      <c r="AE915">
        <v>0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264</v>
      </c>
      <c r="AL915">
        <v>0</v>
      </c>
      <c r="AM915">
        <v>216</v>
      </c>
      <c r="AN915">
        <v>0</v>
      </c>
      <c r="AO915">
        <v>216</v>
      </c>
      <c r="AP915">
        <v>5</v>
      </c>
      <c r="AQ915">
        <v>0</v>
      </c>
      <c r="AR915">
        <v>1</v>
      </c>
      <c r="AS915" t="s">
        <v>59</v>
      </c>
      <c r="AT915">
        <v>1</v>
      </c>
      <c r="AU915" t="s">
        <v>72</v>
      </c>
      <c r="AV915" t="s">
        <v>61</v>
      </c>
      <c r="AW915">
        <v>0</v>
      </c>
      <c r="AX915">
        <v>2</v>
      </c>
      <c r="AY915">
        <v>0</v>
      </c>
      <c r="AZ915">
        <v>3200</v>
      </c>
      <c r="BA915">
        <v>100</v>
      </c>
      <c r="BB915">
        <v>100</v>
      </c>
      <c r="BC915">
        <v>100</v>
      </c>
      <c r="BD915">
        <v>100</v>
      </c>
      <c r="BE915">
        <v>1</v>
      </c>
      <c r="BF915">
        <v>15000</v>
      </c>
      <c r="BG915">
        <v>1000</v>
      </c>
      <c r="BH915" s="7">
        <f>ROUND(Wapato_Inventory[[#This Row],[detatched_value]]*Lookups!$B$22*Lookups!$H$48,-2)</f>
        <v>2900</v>
      </c>
      <c r="BI915" s="7">
        <f>ROUND(((Wapato_Inventory[[#This Row],[land_extract]]*Lookups!$B$3) +(Lookups!$B$2*0.5))*Lookups!$H$48,-2)</f>
        <v>53900</v>
      </c>
      <c r="BJ915" s="7">
        <f>IF(Wapato_Inventory[[#This Row],[bldg_style]]="",0,Lookups!$B$2*0.5)</f>
        <v>53765.27</v>
      </c>
      <c r="BK915" s="7">
        <f>_xlfn.IFNA(VLOOKUP(Wapato_Inventory[[#This Row],[quality]],Lookups!$H$2:$J$14,3,FALSE),0)</f>
        <v>28034</v>
      </c>
      <c r="BL915" s="7">
        <f>_xlfn.IFNA(VLOOKUP(Wapato_Inventory[[#This Row],[condition]],Lookups!$H$17:$J$24,3,FALSE),0)</f>
        <v>74543</v>
      </c>
      <c r="BM915" s="7">
        <f>Wapato_Inventory[[#This Row],[Age]]*Lookups!$B$16</f>
        <v>-27059.326100000002</v>
      </c>
      <c r="BN915" s="7">
        <f>Wapato_Inventory[[#This Row],[Main Floor]]*Lookups!$B$17</f>
        <v>32270.170507999999</v>
      </c>
      <c r="BO915" s="7">
        <f>Wapato_Inventory[[#This Row],[Upper Floor]]*Lookups!$B$18</f>
        <v>0</v>
      </c>
      <c r="BP915" s="7">
        <f>Wapato_Inventory[[#This Row],[Fin BSMT]]*Lookups!$B$19</f>
        <v>0</v>
      </c>
      <c r="BQ915" s="7">
        <f>(Wapato_Inventory[[#This Row],[att_gar]]+Wapato_Inventory[[#This Row],[blt_gar]])*Lookups!$B$20</f>
        <v>0</v>
      </c>
      <c r="BR915" s="7">
        <f>Wapato_Inventory[[#This Row],[Patio]]*Lookups!$B$21</f>
        <v>9357.979464</v>
      </c>
      <c r="BS915" s="7">
        <f>SUM(Wapato_Inventory[[#This Row],[intercept]:[patio_value]])*Wapato_Inventory[[#This Row],[res_pct]]</f>
        <v>170911.093872</v>
      </c>
      <c r="BT915" s="7">
        <f>Wapato_Inventory[[#This Row],[land_value]]</f>
        <v>53900</v>
      </c>
      <c r="BU915" s="2">
        <f>_xlfn.IFNA(VLOOKUP(Wapato_Inventory[[#This Row],[quality]],Lookups!$A$28:$C$37,3,FALSE),1)</f>
        <v>0.96265813922927435</v>
      </c>
      <c r="BV915" s="2">
        <f>_xlfn.IFNA(VLOOKUP(Wapato_Inventory[[#This Row],[condition]],Lookups!$A$41:$C$48,3,FALSE),1)</f>
        <v>0.98442438223270734</v>
      </c>
      <c r="BW915" s="2">
        <f>IF(Wapato_Inventory[[#This Row],[decade]]="",1,_xlfn.IFNA(VLOOKUP(Wapato_Inventory[[#This Row],[decade]],Lookups!$F$28:$H$45,3,FALSE),1))</f>
        <v>0.8438929209510081</v>
      </c>
      <c r="BX915" s="2">
        <f>_xlfn.IFNA(VLOOKUP(Wapato_Inventory[[#This Row],[living_area_range]],Lookups!$K$28:$M$37,3,FALSE),1)</f>
        <v>0.99022994770196116</v>
      </c>
      <c r="BY915" s="2">
        <f>AVERAGE(Wapato_Inventory[[#This Row],[qual_adj]:[range_adj]])</f>
        <v>0.94530134752873773</v>
      </c>
      <c r="BZ915" s="7">
        <f>(Wapato_Inventory[[#This Row],[sum_land]]-IF(Wapato_Inventory[[#This Row],[no_utilities]]=1,12000,0))/IF(Wapato_Inventory[[#This Row],[unbuildable]]=1,2,1)</f>
        <v>53900</v>
      </c>
      <c r="CA915" s="7">
        <f>Wapato_Inventory[[#This Row],[pre_res]]*Wapato_Inventory[[#This Row],[overall_adj]]</f>
        <v>161562.48734481219</v>
      </c>
      <c r="CB915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15" s="3">
        <f>IF(ROUND(Wapato_Inventory[[#This Row],[adj_res]]*Lookups!$H$48,-2)&lt;Wapato_Inventory[[#This Row],[min_res]],Wapato_Inventory[[#This Row],[min_res]],ROUND(Wapato_Inventory[[#This Row],[adj_res]]*Lookups!$H$48,-2))</f>
        <v>153500</v>
      </c>
      <c r="CD915" s="3">
        <f>ROUND(Wapato_Inventory[[#This Row],[det_value]]*Lookups!$H$48,-2)</f>
        <v>2800</v>
      </c>
      <c r="CE915" s="3">
        <f>Wapato_Inventory[[#This Row],[final_res]]+Wapato_Inventory[[#This Row],[final_det]]</f>
        <v>156300</v>
      </c>
      <c r="CF915" s="3">
        <f>Wapato_Inventory[[#This Row],[crop_value]]+Wapato_Inventory[[#This Row],[final_land]]+Wapato_Inventory[[#This Row],[final_imp]]</f>
        <v>207500</v>
      </c>
      <c r="CH915" t="str">
        <f t="shared" si="14"/>
        <v>update valuation set market_land =51200, market_bldg=156300, market_total =207500, market_mdno =405, market_date ='9/10/2023' where link_id = (select link_id from parcel where parcel_year = '2024' and parcel_id = '19111521407');</v>
      </c>
    </row>
    <row r="916" spans="1:86" x14ac:dyDescent="0.25">
      <c r="A916">
        <v>19111521408</v>
      </c>
      <c r="B916">
        <v>0.21</v>
      </c>
      <c r="C916">
        <v>9100</v>
      </c>
      <c r="D916" t="s">
        <v>144</v>
      </c>
      <c r="E916" t="s">
        <v>54</v>
      </c>
      <c r="F916" t="s">
        <v>54</v>
      </c>
      <c r="G916">
        <v>3</v>
      </c>
      <c r="H916" t="s">
        <v>55</v>
      </c>
      <c r="I916">
        <v>110200</v>
      </c>
      <c r="J916">
        <v>34300</v>
      </c>
      <c r="K916">
        <v>0.21</v>
      </c>
      <c r="L916">
        <f>IF(Wapato_Inventory[[#This Row],[parcel_acres]]-Wapato_Inventory[[#This Row],[non_valued_acres]] =0,0,LN(Wapato_Inventory[[#This Row],[parcel_acres]]-Wapato_Inventory[[#This Row],[non_valued_acres]]))</f>
        <v>-1.5606477482646683</v>
      </c>
      <c r="M916">
        <v>0</v>
      </c>
      <c r="N916">
        <v>0</v>
      </c>
      <c r="O916">
        <v>0</v>
      </c>
      <c r="P916">
        <v>27904.037</v>
      </c>
      <c r="Q916">
        <v>74398</v>
      </c>
      <c r="R916" s="3">
        <f>(Wapato_Inventory[[#This Row],[ln_acres]]*Wapato_Inventory[[#This Row],[coeff]])+Wapato_Inventory[[#This Row],[const]]</f>
        <v>30849.627488456012</v>
      </c>
      <c r="S916" t="s">
        <v>66</v>
      </c>
      <c r="T916">
        <v>1</v>
      </c>
      <c r="U916" t="s">
        <v>71</v>
      </c>
      <c r="V916" t="s">
        <v>68</v>
      </c>
      <c r="W916">
        <v>0</v>
      </c>
      <c r="X916">
        <v>0</v>
      </c>
      <c r="Y916">
        <v>50</v>
      </c>
      <c r="Z916">
        <v>73</v>
      </c>
      <c r="AA916">
        <v>80</v>
      </c>
      <c r="AB916">
        <v>1000</v>
      </c>
      <c r="AC916">
        <v>798</v>
      </c>
      <c r="AD916">
        <v>798</v>
      </c>
      <c r="AE916">
        <v>0</v>
      </c>
      <c r="AF916">
        <v>0</v>
      </c>
      <c r="AG916">
        <v>0</v>
      </c>
      <c r="AH916">
        <v>399</v>
      </c>
      <c r="AI916">
        <v>0</v>
      </c>
      <c r="AJ916">
        <v>0</v>
      </c>
      <c r="AK916">
        <v>300</v>
      </c>
      <c r="AL916">
        <v>0</v>
      </c>
      <c r="AM916">
        <v>256</v>
      </c>
      <c r="AN916">
        <v>0</v>
      </c>
      <c r="AO916">
        <v>0</v>
      </c>
      <c r="AP916">
        <v>5</v>
      </c>
      <c r="AQ916">
        <v>1</v>
      </c>
      <c r="AR916">
        <v>0</v>
      </c>
      <c r="AS916" t="s">
        <v>59</v>
      </c>
      <c r="AT916">
        <v>0</v>
      </c>
      <c r="AU916" t="s">
        <v>80</v>
      </c>
      <c r="AV916" t="s">
        <v>77</v>
      </c>
      <c r="AW916">
        <v>0</v>
      </c>
      <c r="AX916">
        <v>2</v>
      </c>
      <c r="AY916">
        <v>0</v>
      </c>
      <c r="AZ916">
        <v>1700</v>
      </c>
      <c r="BA916">
        <v>100</v>
      </c>
      <c r="BB916">
        <v>100</v>
      </c>
      <c r="BC916">
        <v>100</v>
      </c>
      <c r="BD916">
        <v>100</v>
      </c>
      <c r="BE916">
        <v>1</v>
      </c>
      <c r="BF916">
        <v>15000</v>
      </c>
      <c r="BG916">
        <v>1000</v>
      </c>
      <c r="BH916" s="7">
        <f>ROUND(Wapato_Inventory[[#This Row],[detatched_value]]*Lookups!$B$22*Lookups!$H$48,-2)</f>
        <v>1500</v>
      </c>
      <c r="BI916" s="7">
        <f>ROUND(((Wapato_Inventory[[#This Row],[land_extract]]*Lookups!$B$3) +(Lookups!$B$2*0.5))*Lookups!$H$48,-2)</f>
        <v>54100</v>
      </c>
      <c r="BJ916" s="7">
        <f>IF(Wapato_Inventory[[#This Row],[bldg_style]]="",0,Lookups!$B$2*0.5)</f>
        <v>53765.27</v>
      </c>
      <c r="BK916" s="7">
        <f>_xlfn.IFNA(VLOOKUP(Wapato_Inventory[[#This Row],[quality]],Lookups!$H$2:$J$14,3,FALSE),0)</f>
        <v>28034</v>
      </c>
      <c r="BL916" s="7">
        <f>_xlfn.IFNA(VLOOKUP(Wapato_Inventory[[#This Row],[condition]],Lookups!$H$17:$J$24,3,FALSE),0)</f>
        <v>52231</v>
      </c>
      <c r="BM916" s="7">
        <f>Wapato_Inventory[[#This Row],[Age]]*Lookups!$B$16</f>
        <v>-27059.326100000002</v>
      </c>
      <c r="BN916" s="7">
        <f>Wapato_Inventory[[#This Row],[Main Floor]]*Lookups!$B$17</f>
        <v>33356.989721999998</v>
      </c>
      <c r="BO916" s="7">
        <f>Wapato_Inventory[[#This Row],[Upper Floor]]*Lookups!$B$18</f>
        <v>0</v>
      </c>
      <c r="BP916" s="7">
        <f>Wapato_Inventory[[#This Row],[Fin BSMT]]*Lookups!$B$19</f>
        <v>0</v>
      </c>
      <c r="BQ916" s="7">
        <f>(Wapato_Inventory[[#This Row],[att_gar]]+Wapato_Inventory[[#This Row],[blt_gar]])*Lookups!$B$20</f>
        <v>0</v>
      </c>
      <c r="BR916" s="7">
        <f>Wapato_Inventory[[#This Row],[Patio]]*Lookups!$B$21</f>
        <v>11090.938624</v>
      </c>
      <c r="BS916" s="7">
        <f>SUM(Wapato_Inventory[[#This Row],[intercept]:[patio_value]])*Wapato_Inventory[[#This Row],[res_pct]]</f>
        <v>151418.87224599998</v>
      </c>
      <c r="BT916" s="7">
        <f>Wapato_Inventory[[#This Row],[land_value]]</f>
        <v>54100</v>
      </c>
      <c r="BU916" s="2">
        <f>_xlfn.IFNA(VLOOKUP(Wapato_Inventory[[#This Row],[quality]],Lookups!$A$28:$C$37,3,FALSE),1)</f>
        <v>0.96265813922927435</v>
      </c>
      <c r="BV916" s="2">
        <f>_xlfn.IFNA(VLOOKUP(Wapato_Inventory[[#This Row],[condition]],Lookups!$A$41:$C$48,3,FALSE),1)</f>
        <v>0.9832333997567807</v>
      </c>
      <c r="BW916" s="2">
        <f>IF(Wapato_Inventory[[#This Row],[decade]]="",1,_xlfn.IFNA(VLOOKUP(Wapato_Inventory[[#This Row],[decade]],Lookups!$F$28:$H$45,3,FALSE),1))</f>
        <v>0.8438929209510081</v>
      </c>
      <c r="BX916" s="2">
        <f>_xlfn.IFNA(VLOOKUP(Wapato_Inventory[[#This Row],[living_area_range]],Lookups!$K$28:$M$37,3,FALSE),1)</f>
        <v>0.99022994770196116</v>
      </c>
      <c r="BY916" s="2">
        <f>AVERAGE(Wapato_Inventory[[#This Row],[qual_adj]:[range_adj]])</f>
        <v>0.94500360190975607</v>
      </c>
      <c r="BZ916" s="7">
        <f>(Wapato_Inventory[[#This Row],[sum_land]]-IF(Wapato_Inventory[[#This Row],[no_utilities]]=1,12000,0))/IF(Wapato_Inventory[[#This Row],[unbuildable]]=1,2,1)</f>
        <v>54100</v>
      </c>
      <c r="CA916" s="7">
        <f>Wapato_Inventory[[#This Row],[pre_res]]*Wapato_Inventory[[#This Row],[overall_adj]]</f>
        <v>143091.37966958317</v>
      </c>
      <c r="CB916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16" s="3">
        <f>IF(ROUND(Wapato_Inventory[[#This Row],[adj_res]]*Lookups!$H$48,-2)&lt;Wapato_Inventory[[#This Row],[min_res]],Wapato_Inventory[[#This Row],[min_res]],ROUND(Wapato_Inventory[[#This Row],[adj_res]]*Lookups!$H$48,-2))</f>
        <v>135900</v>
      </c>
      <c r="CD916" s="3">
        <f>ROUND(Wapato_Inventory[[#This Row],[det_value]]*Lookups!$H$48,-2)</f>
        <v>1400</v>
      </c>
      <c r="CE916" s="3">
        <f>Wapato_Inventory[[#This Row],[final_res]]+Wapato_Inventory[[#This Row],[final_det]]</f>
        <v>137300</v>
      </c>
      <c r="CF916" s="3">
        <f>Wapato_Inventory[[#This Row],[crop_value]]+Wapato_Inventory[[#This Row],[final_land]]+Wapato_Inventory[[#This Row],[final_imp]]</f>
        <v>188700</v>
      </c>
      <c r="CH916" t="str">
        <f t="shared" si="14"/>
        <v>update valuation set market_land =51400, market_bldg=137300, market_total =188700, market_mdno =405, market_date ='9/10/2023' where link_id = (select link_id from parcel where parcel_year = '2024' and parcel_id = '19111521408');</v>
      </c>
    </row>
    <row r="917" spans="1:86" x14ac:dyDescent="0.25">
      <c r="A917">
        <v>19111521409</v>
      </c>
      <c r="B917">
        <v>0.19</v>
      </c>
      <c r="C917">
        <v>8318</v>
      </c>
      <c r="D917" t="s">
        <v>144</v>
      </c>
      <c r="E917" t="s">
        <v>54</v>
      </c>
      <c r="F917" t="s">
        <v>54</v>
      </c>
      <c r="G917">
        <v>3</v>
      </c>
      <c r="H917" t="s">
        <v>55</v>
      </c>
      <c r="I917">
        <v>193600</v>
      </c>
      <c r="J917">
        <v>33600</v>
      </c>
      <c r="K917">
        <v>0.19</v>
      </c>
      <c r="L917">
        <f>IF(Wapato_Inventory[[#This Row],[parcel_acres]]-Wapato_Inventory[[#This Row],[non_valued_acres]] =0,0,LN(Wapato_Inventory[[#This Row],[parcel_acres]]-Wapato_Inventory[[#This Row],[non_valued_acres]]))</f>
        <v>-1.6607312068216509</v>
      </c>
      <c r="M917">
        <v>0</v>
      </c>
      <c r="N917">
        <v>0</v>
      </c>
      <c r="O917">
        <v>0</v>
      </c>
      <c r="P917">
        <v>27904.037</v>
      </c>
      <c r="Q917">
        <v>74398</v>
      </c>
      <c r="R917" s="3">
        <f>(Wapato_Inventory[[#This Row],[ln_acres]]*Wapato_Inventory[[#This Row],[coeff]])+Wapato_Inventory[[#This Row],[const]]</f>
        <v>28056.894957794</v>
      </c>
      <c r="S917" t="s">
        <v>66</v>
      </c>
      <c r="T917">
        <v>1</v>
      </c>
      <c r="U917" t="s">
        <v>67</v>
      </c>
      <c r="V917" t="s">
        <v>68</v>
      </c>
      <c r="W917">
        <v>0</v>
      </c>
      <c r="X917">
        <v>0</v>
      </c>
      <c r="Y917">
        <v>50</v>
      </c>
      <c r="Z917">
        <v>73</v>
      </c>
      <c r="AA917">
        <v>80</v>
      </c>
      <c r="AB917">
        <v>2000</v>
      </c>
      <c r="AC917">
        <v>1826</v>
      </c>
      <c r="AD917">
        <v>1826</v>
      </c>
      <c r="AE917">
        <v>0</v>
      </c>
      <c r="AF917">
        <v>0</v>
      </c>
      <c r="AG917">
        <v>0</v>
      </c>
      <c r="AH917">
        <v>0</v>
      </c>
      <c r="AI917">
        <v>0</v>
      </c>
      <c r="AJ917">
        <v>0</v>
      </c>
      <c r="AK917">
        <v>1140</v>
      </c>
      <c r="AL917">
        <v>0</v>
      </c>
      <c r="AM917">
        <v>164</v>
      </c>
      <c r="AN917">
        <v>0</v>
      </c>
      <c r="AO917">
        <v>164</v>
      </c>
      <c r="AP917">
        <v>8</v>
      </c>
      <c r="AQ917">
        <v>0</v>
      </c>
      <c r="AR917">
        <v>0</v>
      </c>
      <c r="AS917" t="s">
        <v>59</v>
      </c>
      <c r="AT917">
        <v>1</v>
      </c>
      <c r="AU917" t="s">
        <v>151</v>
      </c>
      <c r="AV917" t="s">
        <v>61</v>
      </c>
      <c r="AW917">
        <v>0</v>
      </c>
      <c r="AX917">
        <v>3</v>
      </c>
      <c r="AY917">
        <v>0</v>
      </c>
      <c r="AZ917">
        <v>0</v>
      </c>
      <c r="BA917">
        <v>100</v>
      </c>
      <c r="BB917">
        <v>100</v>
      </c>
      <c r="BC917">
        <v>100</v>
      </c>
      <c r="BD917">
        <v>100</v>
      </c>
      <c r="BE917">
        <v>1</v>
      </c>
      <c r="BF917">
        <v>15000</v>
      </c>
      <c r="BG917">
        <v>1000</v>
      </c>
      <c r="BH917" s="7">
        <f>ROUND(Wapato_Inventory[[#This Row],[detatched_value]]*Lookups!$B$22*Lookups!$H$48,-2)</f>
        <v>0</v>
      </c>
      <c r="BI917" s="7">
        <f>ROUND(((Wapato_Inventory[[#This Row],[land_extract]]*Lookups!$B$3) +(Lookups!$B$2*0.5))*Lookups!$H$48,-2)</f>
        <v>53800</v>
      </c>
      <c r="BJ917" s="7">
        <f>IF(Wapato_Inventory[[#This Row],[bldg_style]]="",0,Lookups!$B$2*0.5)</f>
        <v>53765.27</v>
      </c>
      <c r="BK917" s="7">
        <f>_xlfn.IFNA(VLOOKUP(Wapato_Inventory[[#This Row],[quality]],Lookups!$H$2:$J$14,3,FALSE),0)</f>
        <v>50405</v>
      </c>
      <c r="BL917" s="7">
        <f>_xlfn.IFNA(VLOOKUP(Wapato_Inventory[[#This Row],[condition]],Lookups!$H$17:$J$24,3,FALSE),0)</f>
        <v>52231</v>
      </c>
      <c r="BM917" s="7">
        <f>Wapato_Inventory[[#This Row],[Age]]*Lookups!$B$16</f>
        <v>-27059.326100000002</v>
      </c>
      <c r="BN917" s="7">
        <f>Wapato_Inventory[[#This Row],[Main Floor]]*Lookups!$B$17</f>
        <v>76328.149414</v>
      </c>
      <c r="BO917" s="7">
        <f>Wapato_Inventory[[#This Row],[Upper Floor]]*Lookups!$B$18</f>
        <v>0</v>
      </c>
      <c r="BP917" s="7">
        <f>Wapato_Inventory[[#This Row],[Fin BSMT]]*Lookups!$B$19</f>
        <v>0</v>
      </c>
      <c r="BQ917" s="7">
        <f>(Wapato_Inventory[[#This Row],[att_gar]]+Wapato_Inventory[[#This Row],[blt_gar]])*Lookups!$B$20</f>
        <v>0</v>
      </c>
      <c r="BR917" s="7">
        <f>Wapato_Inventory[[#This Row],[Patio]]*Lookups!$B$21</f>
        <v>7105.1325560000005</v>
      </c>
      <c r="BS917" s="7">
        <f>SUM(Wapato_Inventory[[#This Row],[intercept]:[patio_value]])*Wapato_Inventory[[#This Row],[res_pct]]</f>
        <v>212775.22586999999</v>
      </c>
      <c r="BT917" s="7">
        <f>Wapato_Inventory[[#This Row],[land_value]]</f>
        <v>53800</v>
      </c>
      <c r="BU917" s="2">
        <f>_xlfn.IFNA(VLOOKUP(Wapato_Inventory[[#This Row],[quality]],Lookups!$A$28:$C$37,3,FALSE),1)</f>
        <v>0.97993206410140754</v>
      </c>
      <c r="BV917" s="2">
        <f>_xlfn.IFNA(VLOOKUP(Wapato_Inventory[[#This Row],[condition]],Lookups!$A$41:$C$48,3,FALSE),1)</f>
        <v>0.9832333997567807</v>
      </c>
      <c r="BW917" s="2">
        <f>IF(Wapato_Inventory[[#This Row],[decade]]="",1,_xlfn.IFNA(VLOOKUP(Wapato_Inventory[[#This Row],[decade]],Lookups!$F$28:$H$45,3,FALSE),1))</f>
        <v>0.8438929209510081</v>
      </c>
      <c r="BX917" s="2">
        <f>_xlfn.IFNA(VLOOKUP(Wapato_Inventory[[#This Row],[living_area_range]],Lookups!$K$28:$M$37,3,FALSE),1)</f>
        <v>0.99330894324714125</v>
      </c>
      <c r="BY917" s="2">
        <f>AVERAGE(Wapato_Inventory[[#This Row],[qual_adj]:[range_adj]])</f>
        <v>0.95009183201408443</v>
      </c>
      <c r="BZ917" s="7">
        <f>(Wapato_Inventory[[#This Row],[sum_land]]-IF(Wapato_Inventory[[#This Row],[no_utilities]]=1,12000,0))/IF(Wapato_Inventory[[#This Row],[unbuildable]]=1,2,1)</f>
        <v>53800</v>
      </c>
      <c r="CA917" s="7">
        <f>Wapato_Inventory[[#This Row],[pre_res]]*Wapato_Inventory[[#This Row],[overall_adj]]</f>
        <v>202156.00415403891</v>
      </c>
      <c r="CB917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17" s="3">
        <f>IF(ROUND(Wapato_Inventory[[#This Row],[adj_res]]*Lookups!$H$48,-2)&lt;Wapato_Inventory[[#This Row],[min_res]],Wapato_Inventory[[#This Row],[min_res]],ROUND(Wapato_Inventory[[#This Row],[adj_res]]*Lookups!$H$48,-2))</f>
        <v>192000</v>
      </c>
      <c r="CD917" s="3">
        <f>ROUND(Wapato_Inventory[[#This Row],[det_value]]*Lookups!$H$48,-2)</f>
        <v>0</v>
      </c>
      <c r="CE917" s="3">
        <f>Wapato_Inventory[[#This Row],[final_res]]+Wapato_Inventory[[#This Row],[final_det]]</f>
        <v>192000</v>
      </c>
      <c r="CF917" s="3">
        <f>Wapato_Inventory[[#This Row],[crop_value]]+Wapato_Inventory[[#This Row],[final_land]]+Wapato_Inventory[[#This Row],[final_imp]]</f>
        <v>243100</v>
      </c>
      <c r="CH917" t="str">
        <f t="shared" si="14"/>
        <v>update valuation set market_land =51100, market_bldg=192000, market_total =243100, market_mdno =405, market_date ='9/10/2023' where link_id = (select link_id from parcel where parcel_year = '2024' and parcel_id = '19111521409');</v>
      </c>
    </row>
    <row r="918" spans="1:86" x14ac:dyDescent="0.25">
      <c r="A918">
        <v>19111521410</v>
      </c>
      <c r="B918">
        <v>0.17</v>
      </c>
      <c r="C918">
        <v>7195</v>
      </c>
      <c r="D918" t="s">
        <v>144</v>
      </c>
      <c r="E918" t="s">
        <v>54</v>
      </c>
      <c r="F918" t="s">
        <v>54</v>
      </c>
      <c r="G918">
        <v>3</v>
      </c>
      <c r="H918" t="s">
        <v>55</v>
      </c>
      <c r="I918">
        <v>101200</v>
      </c>
      <c r="J918">
        <v>32700</v>
      </c>
      <c r="K918">
        <v>0.17</v>
      </c>
      <c r="L918">
        <f>IF(Wapato_Inventory[[#This Row],[parcel_acres]]-Wapato_Inventory[[#This Row],[non_valued_acres]] =0,0,LN(Wapato_Inventory[[#This Row],[parcel_acres]]-Wapato_Inventory[[#This Row],[non_valued_acres]]))</f>
        <v>-1.7719568419318752</v>
      </c>
      <c r="M918">
        <v>0</v>
      </c>
      <c r="N918">
        <v>0</v>
      </c>
      <c r="O918">
        <v>0</v>
      </c>
      <c r="P918">
        <v>27904.037</v>
      </c>
      <c r="Q918">
        <v>74398</v>
      </c>
      <c r="R918" s="3">
        <f>(Wapato_Inventory[[#This Row],[ln_acres]]*Wapato_Inventory[[#This Row],[coeff]])+Wapato_Inventory[[#This Row],[const]]</f>
        <v>24953.250720329801</v>
      </c>
      <c r="S918" t="s">
        <v>66</v>
      </c>
      <c r="T918">
        <v>1</v>
      </c>
      <c r="U918" t="s">
        <v>71</v>
      </c>
      <c r="V918" t="s">
        <v>68</v>
      </c>
      <c r="W918">
        <v>0</v>
      </c>
      <c r="X918">
        <v>0</v>
      </c>
      <c r="Y918">
        <v>50</v>
      </c>
      <c r="Z918">
        <v>73</v>
      </c>
      <c r="AA918">
        <v>80</v>
      </c>
      <c r="AB918">
        <v>1000</v>
      </c>
      <c r="AC918">
        <v>772</v>
      </c>
      <c r="AD918">
        <v>772</v>
      </c>
      <c r="AE918">
        <v>0</v>
      </c>
      <c r="AF918">
        <v>0</v>
      </c>
      <c r="AG918">
        <v>0</v>
      </c>
      <c r="AH918">
        <v>0</v>
      </c>
      <c r="AI918">
        <v>0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0</v>
      </c>
      <c r="AP918">
        <v>5</v>
      </c>
      <c r="AQ918">
        <v>0</v>
      </c>
      <c r="AR918">
        <v>0</v>
      </c>
      <c r="AS918" t="s">
        <v>59</v>
      </c>
      <c r="AT918">
        <v>0</v>
      </c>
      <c r="AU918" t="s">
        <v>80</v>
      </c>
      <c r="AV918" t="s">
        <v>65</v>
      </c>
      <c r="AW918">
        <v>0</v>
      </c>
      <c r="AX918">
        <v>2</v>
      </c>
      <c r="AY918">
        <v>0</v>
      </c>
      <c r="AZ918">
        <v>0</v>
      </c>
      <c r="BA918">
        <v>100</v>
      </c>
      <c r="BB918">
        <v>100</v>
      </c>
      <c r="BC918">
        <v>100</v>
      </c>
      <c r="BD918">
        <v>100</v>
      </c>
      <c r="BE918">
        <v>1</v>
      </c>
      <c r="BF918">
        <v>15000</v>
      </c>
      <c r="BG918">
        <v>1000</v>
      </c>
      <c r="BH918" s="7">
        <f>ROUND(Wapato_Inventory[[#This Row],[detatched_value]]*Lookups!$B$22*Lookups!$H$48,-2)</f>
        <v>0</v>
      </c>
      <c r="BI918" s="7">
        <f>ROUND(((Wapato_Inventory[[#This Row],[land_extract]]*Lookups!$B$3) +(Lookups!$B$2*0.5))*Lookups!$H$48,-2)</f>
        <v>53500</v>
      </c>
      <c r="BJ918" s="7">
        <f>IF(Wapato_Inventory[[#This Row],[bldg_style]]="",0,Lookups!$B$2*0.5)</f>
        <v>53765.27</v>
      </c>
      <c r="BK918" s="7">
        <f>_xlfn.IFNA(VLOOKUP(Wapato_Inventory[[#This Row],[quality]],Lookups!$H$2:$J$14,3,FALSE),0)</f>
        <v>28034</v>
      </c>
      <c r="BL918" s="7">
        <f>_xlfn.IFNA(VLOOKUP(Wapato_Inventory[[#This Row],[condition]],Lookups!$H$17:$J$24,3,FALSE),0)</f>
        <v>52231</v>
      </c>
      <c r="BM918" s="7">
        <f>Wapato_Inventory[[#This Row],[Age]]*Lookups!$B$16</f>
        <v>-27059.326100000002</v>
      </c>
      <c r="BN918" s="7">
        <f>Wapato_Inventory[[#This Row],[Main Floor]]*Lookups!$B$17</f>
        <v>32270.170507999999</v>
      </c>
      <c r="BO918" s="7">
        <f>Wapato_Inventory[[#This Row],[Upper Floor]]*Lookups!$B$18</f>
        <v>0</v>
      </c>
      <c r="BP918" s="7">
        <f>Wapato_Inventory[[#This Row],[Fin BSMT]]*Lookups!$B$19</f>
        <v>0</v>
      </c>
      <c r="BQ918" s="7">
        <f>(Wapato_Inventory[[#This Row],[att_gar]]+Wapato_Inventory[[#This Row],[blt_gar]])*Lookups!$B$20</f>
        <v>0</v>
      </c>
      <c r="BR918" s="7">
        <f>Wapato_Inventory[[#This Row],[Patio]]*Lookups!$B$21</f>
        <v>0</v>
      </c>
      <c r="BS918" s="7">
        <f>SUM(Wapato_Inventory[[#This Row],[intercept]:[patio_value]])*Wapato_Inventory[[#This Row],[res_pct]]</f>
        <v>139241.11440799999</v>
      </c>
      <c r="BT918" s="7">
        <f>Wapato_Inventory[[#This Row],[land_value]]</f>
        <v>53500</v>
      </c>
      <c r="BU918" s="2">
        <f>_xlfn.IFNA(VLOOKUP(Wapato_Inventory[[#This Row],[quality]],Lookups!$A$28:$C$37,3,FALSE),1)</f>
        <v>0.96265813922927435</v>
      </c>
      <c r="BV918" s="2">
        <f>_xlfn.IFNA(VLOOKUP(Wapato_Inventory[[#This Row],[condition]],Lookups!$A$41:$C$48,3,FALSE),1)</f>
        <v>0.9832333997567807</v>
      </c>
      <c r="BW918" s="2">
        <f>IF(Wapato_Inventory[[#This Row],[decade]]="",1,_xlfn.IFNA(VLOOKUP(Wapato_Inventory[[#This Row],[decade]],Lookups!$F$28:$H$45,3,FALSE),1))</f>
        <v>0.8438929209510081</v>
      </c>
      <c r="BX918" s="2">
        <f>_xlfn.IFNA(VLOOKUP(Wapato_Inventory[[#This Row],[living_area_range]],Lookups!$K$28:$M$37,3,FALSE),1)</f>
        <v>0.99022994770196116</v>
      </c>
      <c r="BY918" s="2">
        <f>AVERAGE(Wapato_Inventory[[#This Row],[qual_adj]:[range_adj]])</f>
        <v>0.94500360190975607</v>
      </c>
      <c r="BZ918" s="7">
        <f>(Wapato_Inventory[[#This Row],[sum_land]]-IF(Wapato_Inventory[[#This Row],[no_utilities]]=1,12000,0))/IF(Wapato_Inventory[[#This Row],[unbuildable]]=1,2,1)</f>
        <v>53500</v>
      </c>
      <c r="CA918" s="7">
        <f>Wapato_Inventory[[#This Row],[pre_res]]*Wapato_Inventory[[#This Row],[overall_adj]]</f>
        <v>131583.35464948844</v>
      </c>
      <c r="CB918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918" s="3">
        <f>IF(ROUND(Wapato_Inventory[[#This Row],[adj_res]]*Lookups!$H$48,-2)&lt;Wapato_Inventory[[#This Row],[min_res]],Wapato_Inventory[[#This Row],[min_res]],ROUND(Wapato_Inventory[[#This Row],[adj_res]]*Lookups!$H$48,-2))</f>
        <v>125000</v>
      </c>
      <c r="CD918" s="3">
        <f>ROUND(Wapato_Inventory[[#This Row],[det_value]]*Lookups!$H$48,-2)</f>
        <v>0</v>
      </c>
      <c r="CE918" s="3">
        <f>Wapato_Inventory[[#This Row],[final_res]]+Wapato_Inventory[[#This Row],[final_det]]</f>
        <v>125000</v>
      </c>
      <c r="CF918" s="3">
        <f>Wapato_Inventory[[#This Row],[crop_value]]+Wapato_Inventory[[#This Row],[final_land]]+Wapato_Inventory[[#This Row],[final_imp]]</f>
        <v>175800</v>
      </c>
      <c r="CH918" t="str">
        <f t="shared" si="14"/>
        <v>update valuation set market_land =50800, market_bldg=125000, market_total =175800, market_mdno =405, market_date ='9/10/2023' where link_id = (select link_id from parcel where parcel_year = '2024' and parcel_id = '19111521410');</v>
      </c>
    </row>
    <row r="919" spans="1:86" x14ac:dyDescent="0.25">
      <c r="A919">
        <v>19111521411</v>
      </c>
      <c r="B919">
        <v>0.17</v>
      </c>
      <c r="C919">
        <v>7193</v>
      </c>
      <c r="D919" t="s">
        <v>144</v>
      </c>
      <c r="E919" t="s">
        <v>54</v>
      </c>
      <c r="F919" t="s">
        <v>54</v>
      </c>
      <c r="G919">
        <v>3</v>
      </c>
      <c r="H919" t="s">
        <v>55</v>
      </c>
      <c r="I919">
        <v>114500</v>
      </c>
      <c r="J919">
        <v>32700</v>
      </c>
      <c r="K919">
        <v>0.17</v>
      </c>
      <c r="L919">
        <f>IF(Wapato_Inventory[[#This Row],[parcel_acres]]-Wapato_Inventory[[#This Row],[non_valued_acres]] =0,0,LN(Wapato_Inventory[[#This Row],[parcel_acres]]-Wapato_Inventory[[#This Row],[non_valued_acres]]))</f>
        <v>-1.7719568419318752</v>
      </c>
      <c r="M919">
        <v>0</v>
      </c>
      <c r="N919">
        <v>0</v>
      </c>
      <c r="O919">
        <v>0</v>
      </c>
      <c r="P919">
        <v>27904.037</v>
      </c>
      <c r="Q919">
        <v>74398</v>
      </c>
      <c r="R919" s="3">
        <f>(Wapato_Inventory[[#This Row],[ln_acres]]*Wapato_Inventory[[#This Row],[coeff]])+Wapato_Inventory[[#This Row],[const]]</f>
        <v>24953.250720329801</v>
      </c>
      <c r="S919" t="s">
        <v>66</v>
      </c>
      <c r="T919">
        <v>1</v>
      </c>
      <c r="U919" t="s">
        <v>71</v>
      </c>
      <c r="V919" t="s">
        <v>68</v>
      </c>
      <c r="W919">
        <v>0</v>
      </c>
      <c r="X919">
        <v>0</v>
      </c>
      <c r="Y919">
        <v>50</v>
      </c>
      <c r="Z919">
        <v>73</v>
      </c>
      <c r="AA919">
        <v>80</v>
      </c>
      <c r="AB919">
        <v>1500</v>
      </c>
      <c r="AC919">
        <v>1010</v>
      </c>
      <c r="AD919">
        <v>1010</v>
      </c>
      <c r="AE919">
        <v>0</v>
      </c>
      <c r="AF919">
        <v>0</v>
      </c>
      <c r="AG919">
        <v>0</v>
      </c>
      <c r="AH919">
        <v>0</v>
      </c>
      <c r="AI919">
        <v>0</v>
      </c>
      <c r="AJ919">
        <v>0</v>
      </c>
      <c r="AK919">
        <v>0</v>
      </c>
      <c r="AL919">
        <v>0</v>
      </c>
      <c r="AM919">
        <v>0</v>
      </c>
      <c r="AN919">
        <v>0</v>
      </c>
      <c r="AO919">
        <v>0</v>
      </c>
      <c r="AP919">
        <v>5</v>
      </c>
      <c r="AQ919">
        <v>0</v>
      </c>
      <c r="AR919">
        <v>0</v>
      </c>
      <c r="AS919" t="s">
        <v>59</v>
      </c>
      <c r="AT919">
        <v>1</v>
      </c>
      <c r="AU919" t="s">
        <v>64</v>
      </c>
      <c r="AV919" t="s">
        <v>65</v>
      </c>
      <c r="AW919">
        <v>0</v>
      </c>
      <c r="AX919">
        <v>2</v>
      </c>
      <c r="AY919">
        <v>0</v>
      </c>
      <c r="AZ919">
        <v>0</v>
      </c>
      <c r="BA919">
        <v>100</v>
      </c>
      <c r="BB919">
        <v>100</v>
      </c>
      <c r="BC919">
        <v>100</v>
      </c>
      <c r="BD919">
        <v>100</v>
      </c>
      <c r="BE919">
        <v>1</v>
      </c>
      <c r="BF919">
        <v>15000</v>
      </c>
      <c r="BG919">
        <v>1000</v>
      </c>
      <c r="BH919" s="7">
        <f>ROUND(Wapato_Inventory[[#This Row],[detatched_value]]*Lookups!$B$22*Lookups!$H$48,-2)</f>
        <v>0</v>
      </c>
      <c r="BI919" s="7">
        <f>ROUND(((Wapato_Inventory[[#This Row],[land_extract]]*Lookups!$B$3) +(Lookups!$B$2*0.5))*Lookups!$H$48,-2)</f>
        <v>53500</v>
      </c>
      <c r="BJ919" s="7">
        <f>IF(Wapato_Inventory[[#This Row],[bldg_style]]="",0,Lookups!$B$2*0.5)</f>
        <v>53765.27</v>
      </c>
      <c r="BK919" s="7">
        <f>_xlfn.IFNA(VLOOKUP(Wapato_Inventory[[#This Row],[quality]],Lookups!$H$2:$J$14,3,FALSE),0)</f>
        <v>28034</v>
      </c>
      <c r="BL919" s="7">
        <f>_xlfn.IFNA(VLOOKUP(Wapato_Inventory[[#This Row],[condition]],Lookups!$H$17:$J$24,3,FALSE),0)</f>
        <v>52231</v>
      </c>
      <c r="BM919" s="7">
        <f>Wapato_Inventory[[#This Row],[Age]]*Lookups!$B$16</f>
        <v>-27059.326100000002</v>
      </c>
      <c r="BN919" s="7">
        <f>Wapato_Inventory[[#This Row],[Main Floor]]*Lookups!$B$17</f>
        <v>42218.74639</v>
      </c>
      <c r="BO919" s="7">
        <f>Wapato_Inventory[[#This Row],[Upper Floor]]*Lookups!$B$18</f>
        <v>0</v>
      </c>
      <c r="BP919" s="7">
        <f>Wapato_Inventory[[#This Row],[Fin BSMT]]*Lookups!$B$19</f>
        <v>0</v>
      </c>
      <c r="BQ919" s="7">
        <f>(Wapato_Inventory[[#This Row],[att_gar]]+Wapato_Inventory[[#This Row],[blt_gar]])*Lookups!$B$20</f>
        <v>0</v>
      </c>
      <c r="BR919" s="7">
        <f>Wapato_Inventory[[#This Row],[Patio]]*Lookups!$B$21</f>
        <v>0</v>
      </c>
      <c r="BS919" s="7">
        <f>SUM(Wapato_Inventory[[#This Row],[intercept]:[patio_value]])*Wapato_Inventory[[#This Row],[res_pct]]</f>
        <v>149189.69029</v>
      </c>
      <c r="BT919" s="7">
        <f>Wapato_Inventory[[#This Row],[land_value]]</f>
        <v>53500</v>
      </c>
      <c r="BU919" s="2">
        <f>_xlfn.IFNA(VLOOKUP(Wapato_Inventory[[#This Row],[quality]],Lookups!$A$28:$C$37,3,FALSE),1)</f>
        <v>0.96265813922927435</v>
      </c>
      <c r="BV919" s="2">
        <f>_xlfn.IFNA(VLOOKUP(Wapato_Inventory[[#This Row],[condition]],Lookups!$A$41:$C$48,3,FALSE),1)</f>
        <v>0.9832333997567807</v>
      </c>
      <c r="BW919" s="2">
        <f>IF(Wapato_Inventory[[#This Row],[decade]]="",1,_xlfn.IFNA(VLOOKUP(Wapato_Inventory[[#This Row],[decade]],Lookups!$F$28:$H$45,3,FALSE),1))</f>
        <v>0.8438929209510081</v>
      </c>
      <c r="BX919" s="2">
        <f>_xlfn.IFNA(VLOOKUP(Wapato_Inventory[[#This Row],[living_area_range]],Lookups!$K$28:$M$37,3,FALSE),1)</f>
        <v>1.0061411172456287</v>
      </c>
      <c r="BY919" s="2">
        <f>AVERAGE(Wapato_Inventory[[#This Row],[qual_adj]:[range_adj]])</f>
        <v>0.94898139429567296</v>
      </c>
      <c r="BZ919" s="7">
        <f>(Wapato_Inventory[[#This Row],[sum_land]]-IF(Wapato_Inventory[[#This Row],[no_utilities]]=1,12000,0))/IF(Wapato_Inventory[[#This Row],[unbuildable]]=1,2,1)</f>
        <v>53500</v>
      </c>
      <c r="CA919" s="7">
        <f>Wapato_Inventory[[#This Row],[pre_res]]*Wapato_Inventory[[#This Row],[overall_adj]]</f>
        <v>141578.24030594382</v>
      </c>
      <c r="CB919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919" s="3">
        <f>IF(ROUND(Wapato_Inventory[[#This Row],[adj_res]]*Lookups!$H$48,-2)&lt;Wapato_Inventory[[#This Row],[min_res]],Wapato_Inventory[[#This Row],[min_res]],ROUND(Wapato_Inventory[[#This Row],[adj_res]]*Lookups!$H$48,-2))</f>
        <v>134500</v>
      </c>
      <c r="CD919" s="3">
        <f>ROUND(Wapato_Inventory[[#This Row],[det_value]]*Lookups!$H$48,-2)</f>
        <v>0</v>
      </c>
      <c r="CE919" s="3">
        <f>Wapato_Inventory[[#This Row],[final_res]]+Wapato_Inventory[[#This Row],[final_det]]</f>
        <v>134500</v>
      </c>
      <c r="CF919" s="3">
        <f>Wapato_Inventory[[#This Row],[crop_value]]+Wapato_Inventory[[#This Row],[final_land]]+Wapato_Inventory[[#This Row],[final_imp]]</f>
        <v>185300</v>
      </c>
      <c r="CH919" t="str">
        <f t="shared" si="14"/>
        <v>update valuation set market_land =50800, market_bldg=134500, market_total =185300, market_mdno =405, market_date ='9/10/2023' where link_id = (select link_id from parcel where parcel_year = '2024' and parcel_id = '19111521411');</v>
      </c>
    </row>
    <row r="920" spans="1:86" x14ac:dyDescent="0.25">
      <c r="A920">
        <v>19111521412</v>
      </c>
      <c r="B920">
        <v>0.17</v>
      </c>
      <c r="C920">
        <v>7190</v>
      </c>
      <c r="D920" t="s">
        <v>144</v>
      </c>
      <c r="E920" t="s">
        <v>54</v>
      </c>
      <c r="F920" t="s">
        <v>54</v>
      </c>
      <c r="G920">
        <v>3</v>
      </c>
      <c r="H920" t="s">
        <v>55</v>
      </c>
      <c r="I920">
        <v>175300</v>
      </c>
      <c r="J920">
        <v>32700</v>
      </c>
      <c r="K920">
        <v>0.17</v>
      </c>
      <c r="L920">
        <f>IF(Wapato_Inventory[[#This Row],[parcel_acres]]-Wapato_Inventory[[#This Row],[non_valued_acres]] =0,0,LN(Wapato_Inventory[[#This Row],[parcel_acres]]-Wapato_Inventory[[#This Row],[non_valued_acres]]))</f>
        <v>-1.7719568419318752</v>
      </c>
      <c r="M920">
        <v>0</v>
      </c>
      <c r="N920">
        <v>0</v>
      </c>
      <c r="O920">
        <v>0</v>
      </c>
      <c r="P920">
        <v>27904.037</v>
      </c>
      <c r="Q920">
        <v>74398</v>
      </c>
      <c r="R920" s="3">
        <f>(Wapato_Inventory[[#This Row],[ln_acres]]*Wapato_Inventory[[#This Row],[coeff]])+Wapato_Inventory[[#This Row],[const]]</f>
        <v>24953.250720329801</v>
      </c>
      <c r="S920" t="s">
        <v>66</v>
      </c>
      <c r="T920">
        <v>1</v>
      </c>
      <c r="U920" t="s">
        <v>75</v>
      </c>
      <c r="V920" t="s">
        <v>68</v>
      </c>
      <c r="W920">
        <v>0</v>
      </c>
      <c r="X920">
        <v>0</v>
      </c>
      <c r="Y920">
        <v>50</v>
      </c>
      <c r="Z920">
        <v>73</v>
      </c>
      <c r="AA920">
        <v>80</v>
      </c>
      <c r="AB920">
        <v>1500</v>
      </c>
      <c r="AC920">
        <v>1432</v>
      </c>
      <c r="AD920">
        <v>1432</v>
      </c>
      <c r="AE920">
        <v>0</v>
      </c>
      <c r="AF920">
        <v>0</v>
      </c>
      <c r="AG920">
        <v>0</v>
      </c>
      <c r="AH920">
        <v>0</v>
      </c>
      <c r="AI920">
        <v>0</v>
      </c>
      <c r="AJ920">
        <v>0</v>
      </c>
      <c r="AK920">
        <v>308</v>
      </c>
      <c r="AL920">
        <v>120</v>
      </c>
      <c r="AM920">
        <v>156</v>
      </c>
      <c r="AN920">
        <v>0</v>
      </c>
      <c r="AO920">
        <v>276</v>
      </c>
      <c r="AP920">
        <v>7</v>
      </c>
      <c r="AQ920">
        <v>1</v>
      </c>
      <c r="AR920">
        <v>0</v>
      </c>
      <c r="AS920" t="s">
        <v>59</v>
      </c>
      <c r="AT920">
        <v>1</v>
      </c>
      <c r="AU920" t="s">
        <v>72</v>
      </c>
      <c r="AV920" t="s">
        <v>61</v>
      </c>
      <c r="AW920">
        <v>0</v>
      </c>
      <c r="AX920">
        <v>4</v>
      </c>
      <c r="AY920">
        <v>0</v>
      </c>
      <c r="AZ920">
        <v>0</v>
      </c>
      <c r="BA920">
        <v>100</v>
      </c>
      <c r="BB920">
        <v>100</v>
      </c>
      <c r="BC920">
        <v>100</v>
      </c>
      <c r="BD920">
        <v>100</v>
      </c>
      <c r="BE920">
        <v>1</v>
      </c>
      <c r="BF920">
        <v>15000</v>
      </c>
      <c r="BG920">
        <v>1000</v>
      </c>
      <c r="BH920" s="7">
        <f>ROUND(Wapato_Inventory[[#This Row],[detatched_value]]*Lookups!$B$22*Lookups!$H$48,-2)</f>
        <v>0</v>
      </c>
      <c r="BI920" s="7">
        <f>ROUND(((Wapato_Inventory[[#This Row],[land_extract]]*Lookups!$B$3) +(Lookups!$B$2*0.5))*Lookups!$H$48,-2)</f>
        <v>53500</v>
      </c>
      <c r="BJ920" s="7">
        <f>IF(Wapato_Inventory[[#This Row],[bldg_style]]="",0,Lookups!$B$2*0.5)</f>
        <v>53765.27</v>
      </c>
      <c r="BK920" s="7">
        <f>_xlfn.IFNA(VLOOKUP(Wapato_Inventory[[#This Row],[quality]],Lookups!$H$2:$J$14,3,FALSE),0)</f>
        <v>48043</v>
      </c>
      <c r="BL920" s="7">
        <f>_xlfn.IFNA(VLOOKUP(Wapato_Inventory[[#This Row],[condition]],Lookups!$H$17:$J$24,3,FALSE),0)</f>
        <v>52231</v>
      </c>
      <c r="BM920" s="7">
        <f>Wapato_Inventory[[#This Row],[Age]]*Lookups!$B$16</f>
        <v>-27059.326100000002</v>
      </c>
      <c r="BN920" s="7">
        <f>Wapato_Inventory[[#This Row],[Main Floor]]*Lookups!$B$17</f>
        <v>59858.658248</v>
      </c>
      <c r="BO920" s="7">
        <f>Wapato_Inventory[[#This Row],[Upper Floor]]*Lookups!$B$18</f>
        <v>0</v>
      </c>
      <c r="BP920" s="7">
        <f>Wapato_Inventory[[#This Row],[Fin BSMT]]*Lookups!$B$19</f>
        <v>0</v>
      </c>
      <c r="BQ920" s="7">
        <f>(Wapato_Inventory[[#This Row],[att_gar]]+Wapato_Inventory[[#This Row],[blt_gar]])*Lookups!$B$20</f>
        <v>0</v>
      </c>
      <c r="BR920" s="7">
        <f>Wapato_Inventory[[#This Row],[Patio]]*Lookups!$B$21</f>
        <v>6758.5407240000004</v>
      </c>
      <c r="BS920" s="7">
        <f>SUM(Wapato_Inventory[[#This Row],[intercept]:[patio_value]])*Wapato_Inventory[[#This Row],[res_pct]]</f>
        <v>193597.14287199997</v>
      </c>
      <c r="BT920" s="7">
        <f>Wapato_Inventory[[#This Row],[land_value]]</f>
        <v>53500</v>
      </c>
      <c r="BU920" s="2">
        <f>_xlfn.IFNA(VLOOKUP(Wapato_Inventory[[#This Row],[quality]],Lookups!$A$28:$C$37,3,FALSE),1)</f>
        <v>0.98196844879778955</v>
      </c>
      <c r="BV920" s="2">
        <f>_xlfn.IFNA(VLOOKUP(Wapato_Inventory[[#This Row],[condition]],Lookups!$A$41:$C$48,3,FALSE),1)</f>
        <v>0.9832333997567807</v>
      </c>
      <c r="BW920" s="2">
        <f>IF(Wapato_Inventory[[#This Row],[decade]]="",1,_xlfn.IFNA(VLOOKUP(Wapato_Inventory[[#This Row],[decade]],Lookups!$F$28:$H$45,3,FALSE),1))</f>
        <v>0.8438929209510081</v>
      </c>
      <c r="BX920" s="2">
        <f>_xlfn.IFNA(VLOOKUP(Wapato_Inventory[[#This Row],[living_area_range]],Lookups!$K$28:$M$37,3,FALSE),1)</f>
        <v>1.0061411172456287</v>
      </c>
      <c r="BY920" s="2">
        <f>AVERAGE(Wapato_Inventory[[#This Row],[qual_adj]:[range_adj]])</f>
        <v>0.95380897168780177</v>
      </c>
      <c r="BZ920" s="7">
        <f>(Wapato_Inventory[[#This Row],[sum_land]]-IF(Wapato_Inventory[[#This Row],[no_utilities]]=1,12000,0))/IF(Wapato_Inventory[[#This Row],[unbuildable]]=1,2,1)</f>
        <v>53500</v>
      </c>
      <c r="CA920" s="7">
        <f>Wapato_Inventory[[#This Row],[pre_res]]*Wapato_Inventory[[#This Row],[overall_adj]]</f>
        <v>184654.69176443873</v>
      </c>
      <c r="CB920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920" s="3">
        <f>IF(ROUND(Wapato_Inventory[[#This Row],[adj_res]]*Lookups!$H$48,-2)&lt;Wapato_Inventory[[#This Row],[min_res]],Wapato_Inventory[[#This Row],[min_res]],ROUND(Wapato_Inventory[[#This Row],[adj_res]]*Lookups!$H$48,-2))</f>
        <v>175400</v>
      </c>
      <c r="CD920" s="3">
        <f>ROUND(Wapato_Inventory[[#This Row],[det_value]]*Lookups!$H$48,-2)</f>
        <v>0</v>
      </c>
      <c r="CE920" s="3">
        <f>Wapato_Inventory[[#This Row],[final_res]]+Wapato_Inventory[[#This Row],[final_det]]</f>
        <v>175400</v>
      </c>
      <c r="CF920" s="3">
        <f>Wapato_Inventory[[#This Row],[crop_value]]+Wapato_Inventory[[#This Row],[final_land]]+Wapato_Inventory[[#This Row],[final_imp]]</f>
        <v>226200</v>
      </c>
      <c r="CH920" t="str">
        <f t="shared" si="14"/>
        <v>update valuation set market_land =50800, market_bldg=175400, market_total =226200, market_mdno =405, market_date ='9/10/2023' where link_id = (select link_id from parcel where parcel_year = '2024' and parcel_id = '19111521412');</v>
      </c>
    </row>
    <row r="921" spans="1:86" x14ac:dyDescent="0.25">
      <c r="A921">
        <v>19111521413</v>
      </c>
      <c r="B921">
        <v>0.16</v>
      </c>
      <c r="C921">
        <v>7187</v>
      </c>
      <c r="D921" t="s">
        <v>144</v>
      </c>
      <c r="E921" t="s">
        <v>54</v>
      </c>
      <c r="F921" t="s">
        <v>54</v>
      </c>
      <c r="G921">
        <v>3</v>
      </c>
      <c r="H921" t="s">
        <v>55</v>
      </c>
      <c r="I921">
        <v>222500</v>
      </c>
      <c r="J921">
        <v>32400</v>
      </c>
      <c r="K921">
        <v>0.16</v>
      </c>
      <c r="L921">
        <f>IF(Wapato_Inventory[[#This Row],[parcel_acres]]-Wapato_Inventory[[#This Row],[non_valued_acres]] =0,0,LN(Wapato_Inventory[[#This Row],[parcel_acres]]-Wapato_Inventory[[#This Row],[non_valued_acres]]))</f>
        <v>-1.8325814637483102</v>
      </c>
      <c r="M921">
        <v>0</v>
      </c>
      <c r="N921">
        <v>0</v>
      </c>
      <c r="O921">
        <v>0</v>
      </c>
      <c r="P921">
        <v>27904.037</v>
      </c>
      <c r="Q921">
        <v>74398</v>
      </c>
      <c r="R921" s="3">
        <f>(Wapato_Inventory[[#This Row],[ln_acres]]*Wapato_Inventory[[#This Row],[coeff]])+Wapato_Inventory[[#This Row],[const]]</f>
        <v>23261.579030052992</v>
      </c>
      <c r="S921" t="s">
        <v>66</v>
      </c>
      <c r="T921">
        <v>1</v>
      </c>
      <c r="U921" t="s">
        <v>75</v>
      </c>
      <c r="V921" t="s">
        <v>69</v>
      </c>
      <c r="W921">
        <v>0</v>
      </c>
      <c r="X921">
        <v>0</v>
      </c>
      <c r="Y921">
        <v>50</v>
      </c>
      <c r="Z921">
        <v>73</v>
      </c>
      <c r="AA921">
        <v>80</v>
      </c>
      <c r="AB921">
        <v>2000</v>
      </c>
      <c r="AC921">
        <v>1542</v>
      </c>
      <c r="AD921">
        <v>1542</v>
      </c>
      <c r="AE921">
        <v>0</v>
      </c>
      <c r="AF921">
        <v>0</v>
      </c>
      <c r="AG921">
        <v>0</v>
      </c>
      <c r="AH921">
        <v>0</v>
      </c>
      <c r="AI921">
        <v>0</v>
      </c>
      <c r="AJ921">
        <v>0</v>
      </c>
      <c r="AK921">
        <v>220</v>
      </c>
      <c r="AL921">
        <v>0</v>
      </c>
      <c r="AM921">
        <v>464</v>
      </c>
      <c r="AN921">
        <v>0</v>
      </c>
      <c r="AO921">
        <v>116</v>
      </c>
      <c r="AP921">
        <v>8</v>
      </c>
      <c r="AQ921">
        <v>0</v>
      </c>
      <c r="AR921">
        <v>0</v>
      </c>
      <c r="AS921" t="s">
        <v>59</v>
      </c>
      <c r="AT921">
        <v>0</v>
      </c>
      <c r="AU921" t="s">
        <v>80</v>
      </c>
      <c r="AV921" t="s">
        <v>61</v>
      </c>
      <c r="AW921">
        <v>0</v>
      </c>
      <c r="AX921">
        <v>3</v>
      </c>
      <c r="AY921">
        <v>0</v>
      </c>
      <c r="AZ921">
        <v>0</v>
      </c>
      <c r="BA921">
        <v>100</v>
      </c>
      <c r="BB921">
        <v>100</v>
      </c>
      <c r="BC921">
        <v>100</v>
      </c>
      <c r="BD921">
        <v>100</v>
      </c>
      <c r="BE921">
        <v>1</v>
      </c>
      <c r="BF921">
        <v>15000</v>
      </c>
      <c r="BG921">
        <v>1000</v>
      </c>
      <c r="BH921" s="7">
        <f>ROUND(Wapato_Inventory[[#This Row],[detatched_value]]*Lookups!$B$22*Lookups!$H$48,-2)</f>
        <v>0</v>
      </c>
      <c r="BI921" s="7">
        <f>ROUND(((Wapato_Inventory[[#This Row],[land_extract]]*Lookups!$B$3) +(Lookups!$B$2*0.5))*Lookups!$H$48,-2)</f>
        <v>53300</v>
      </c>
      <c r="BJ921" s="7">
        <f>IF(Wapato_Inventory[[#This Row],[bldg_style]]="",0,Lookups!$B$2*0.5)</f>
        <v>53765.27</v>
      </c>
      <c r="BK921" s="7">
        <f>_xlfn.IFNA(VLOOKUP(Wapato_Inventory[[#This Row],[quality]],Lookups!$H$2:$J$14,3,FALSE),0)</f>
        <v>48043</v>
      </c>
      <c r="BL921" s="7">
        <f>_xlfn.IFNA(VLOOKUP(Wapato_Inventory[[#This Row],[condition]],Lookups!$H$17:$J$24,3,FALSE),0)</f>
        <v>74543</v>
      </c>
      <c r="BM921" s="7">
        <f>Wapato_Inventory[[#This Row],[Age]]*Lookups!$B$16</f>
        <v>-27059.326100000002</v>
      </c>
      <c r="BN921" s="7">
        <f>Wapato_Inventory[[#This Row],[Main Floor]]*Lookups!$B$17</f>
        <v>64456.739538000002</v>
      </c>
      <c r="BO921" s="7">
        <f>Wapato_Inventory[[#This Row],[Upper Floor]]*Lookups!$B$18</f>
        <v>0</v>
      </c>
      <c r="BP921" s="7">
        <f>Wapato_Inventory[[#This Row],[Fin BSMT]]*Lookups!$B$19</f>
        <v>0</v>
      </c>
      <c r="BQ921" s="7">
        <f>(Wapato_Inventory[[#This Row],[att_gar]]+Wapato_Inventory[[#This Row],[blt_gar]])*Lookups!$B$20</f>
        <v>0</v>
      </c>
      <c r="BR921" s="7">
        <f>Wapato_Inventory[[#This Row],[Patio]]*Lookups!$B$21</f>
        <v>20102.326256</v>
      </c>
      <c r="BS921" s="7">
        <f>SUM(Wapato_Inventory[[#This Row],[intercept]:[patio_value]])*Wapato_Inventory[[#This Row],[res_pct]]</f>
        <v>233851.00969399998</v>
      </c>
      <c r="BT921" s="7">
        <f>Wapato_Inventory[[#This Row],[land_value]]</f>
        <v>53300</v>
      </c>
      <c r="BU921" s="2">
        <f>_xlfn.IFNA(VLOOKUP(Wapato_Inventory[[#This Row],[quality]],Lookups!$A$28:$C$37,3,FALSE),1)</f>
        <v>0.98196844879778955</v>
      </c>
      <c r="BV921" s="2">
        <f>_xlfn.IFNA(VLOOKUP(Wapato_Inventory[[#This Row],[condition]],Lookups!$A$41:$C$48,3,FALSE),1)</f>
        <v>0.98442438223270734</v>
      </c>
      <c r="BW921" s="2">
        <f>IF(Wapato_Inventory[[#This Row],[decade]]="",1,_xlfn.IFNA(VLOOKUP(Wapato_Inventory[[#This Row],[decade]],Lookups!$F$28:$H$45,3,FALSE),1))</f>
        <v>0.8438929209510081</v>
      </c>
      <c r="BX921" s="2">
        <f>_xlfn.IFNA(VLOOKUP(Wapato_Inventory[[#This Row],[living_area_range]],Lookups!$K$28:$M$37,3,FALSE),1)</f>
        <v>0.99330894324714125</v>
      </c>
      <c r="BY921" s="2">
        <f>AVERAGE(Wapato_Inventory[[#This Row],[qual_adj]:[range_adj]])</f>
        <v>0.95089867380716153</v>
      </c>
      <c r="BZ921" s="7">
        <f>(Wapato_Inventory[[#This Row],[sum_land]]-IF(Wapato_Inventory[[#This Row],[no_utilities]]=1,12000,0))/IF(Wapato_Inventory[[#This Row],[unbuildable]]=1,2,1)</f>
        <v>53300</v>
      </c>
      <c r="CA921" s="7">
        <f>Wapato_Inventory[[#This Row],[pre_res]]*Wapato_Inventory[[#This Row],[overall_adj]]</f>
        <v>222368.61498649025</v>
      </c>
      <c r="CB921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921" s="3">
        <f>IF(ROUND(Wapato_Inventory[[#This Row],[adj_res]]*Lookups!$H$48,-2)&lt;Wapato_Inventory[[#This Row],[min_res]],Wapato_Inventory[[#This Row],[min_res]],ROUND(Wapato_Inventory[[#This Row],[adj_res]]*Lookups!$H$48,-2))</f>
        <v>211300</v>
      </c>
      <c r="CD921" s="3">
        <f>ROUND(Wapato_Inventory[[#This Row],[det_value]]*Lookups!$H$48,-2)</f>
        <v>0</v>
      </c>
      <c r="CE921" s="3">
        <f>Wapato_Inventory[[#This Row],[final_res]]+Wapato_Inventory[[#This Row],[final_det]]</f>
        <v>211300</v>
      </c>
      <c r="CF921" s="3">
        <f>Wapato_Inventory[[#This Row],[crop_value]]+Wapato_Inventory[[#This Row],[final_land]]+Wapato_Inventory[[#This Row],[final_imp]]</f>
        <v>261900</v>
      </c>
      <c r="CH921" t="str">
        <f t="shared" si="14"/>
        <v>update valuation set market_land =50600, market_bldg=211300, market_total =261900, market_mdno =405, market_date ='9/10/2023' where link_id = (select link_id from parcel where parcel_year = '2024' and parcel_id = '19111521413');</v>
      </c>
    </row>
    <row r="922" spans="1:86" x14ac:dyDescent="0.25">
      <c r="A922">
        <v>19111521414</v>
      </c>
      <c r="B922">
        <v>0.15</v>
      </c>
      <c r="C922">
        <v>6519</v>
      </c>
      <c r="D922" t="s">
        <v>144</v>
      </c>
      <c r="E922" t="s">
        <v>54</v>
      </c>
      <c r="F922" t="s">
        <v>54</v>
      </c>
      <c r="G922">
        <v>3</v>
      </c>
      <c r="H922" t="s">
        <v>55</v>
      </c>
      <c r="I922">
        <v>113700</v>
      </c>
      <c r="J922">
        <v>31900</v>
      </c>
      <c r="K922">
        <v>0.15</v>
      </c>
      <c r="L922">
        <f>IF(Wapato_Inventory[[#This Row],[parcel_acres]]-Wapato_Inventory[[#This Row],[non_valued_acres]] =0,0,LN(Wapato_Inventory[[#This Row],[parcel_acres]]-Wapato_Inventory[[#This Row],[non_valued_acres]]))</f>
        <v>-1.8971199848858813</v>
      </c>
      <c r="M922">
        <v>0</v>
      </c>
      <c r="N922">
        <v>0</v>
      </c>
      <c r="O922">
        <v>0</v>
      </c>
      <c r="P922">
        <v>27904.037</v>
      </c>
      <c r="Q922">
        <v>74398</v>
      </c>
      <c r="R922" s="3">
        <f>(Wapato_Inventory[[#This Row],[ln_acres]]*Wapato_Inventory[[#This Row],[coeff]])+Wapato_Inventory[[#This Row],[const]]</f>
        <v>21460.693748304926</v>
      </c>
      <c r="S922" t="s">
        <v>66</v>
      </c>
      <c r="T922">
        <v>1</v>
      </c>
      <c r="U922" t="s">
        <v>71</v>
      </c>
      <c r="V922" t="s">
        <v>68</v>
      </c>
      <c r="W922">
        <v>0</v>
      </c>
      <c r="X922">
        <v>0</v>
      </c>
      <c r="Y922">
        <v>50</v>
      </c>
      <c r="Z922">
        <v>73</v>
      </c>
      <c r="AA922">
        <v>80</v>
      </c>
      <c r="AB922">
        <v>1000</v>
      </c>
      <c r="AC922">
        <v>996</v>
      </c>
      <c r="AD922">
        <v>996</v>
      </c>
      <c r="AE922">
        <v>0</v>
      </c>
      <c r="AF922">
        <v>0</v>
      </c>
      <c r="AG922">
        <v>0</v>
      </c>
      <c r="AH922">
        <v>0</v>
      </c>
      <c r="AI922">
        <v>0</v>
      </c>
      <c r="AJ922">
        <v>0</v>
      </c>
      <c r="AK922">
        <v>364</v>
      </c>
      <c r="AL922">
        <v>0</v>
      </c>
      <c r="AM922">
        <v>0</v>
      </c>
      <c r="AN922">
        <v>0</v>
      </c>
      <c r="AO922">
        <v>0</v>
      </c>
      <c r="AP922">
        <v>5</v>
      </c>
      <c r="AQ922">
        <v>0</v>
      </c>
      <c r="AR922">
        <v>0</v>
      </c>
      <c r="AS922" t="s">
        <v>59</v>
      </c>
      <c r="AT922">
        <v>1</v>
      </c>
      <c r="AU922" t="s">
        <v>64</v>
      </c>
      <c r="AV922" t="s">
        <v>65</v>
      </c>
      <c r="AW922">
        <v>0</v>
      </c>
      <c r="AX922">
        <v>3</v>
      </c>
      <c r="AY922">
        <v>0</v>
      </c>
      <c r="AZ922">
        <v>0</v>
      </c>
      <c r="BA922">
        <v>100</v>
      </c>
      <c r="BB922">
        <v>100</v>
      </c>
      <c r="BC922">
        <v>100</v>
      </c>
      <c r="BD922">
        <v>100</v>
      </c>
      <c r="BE922">
        <v>1</v>
      </c>
      <c r="BF922">
        <v>15000</v>
      </c>
      <c r="BG922">
        <v>1000</v>
      </c>
      <c r="BH922" s="7">
        <f>ROUND(Wapato_Inventory[[#This Row],[detatched_value]]*Lookups!$B$22*Lookups!$H$48,-2)</f>
        <v>0</v>
      </c>
      <c r="BI922" s="7">
        <f>ROUND(((Wapato_Inventory[[#This Row],[land_extract]]*Lookups!$B$3) +(Lookups!$B$2*0.5))*Lookups!$H$48,-2)</f>
        <v>53100</v>
      </c>
      <c r="BJ922" s="7">
        <f>IF(Wapato_Inventory[[#This Row],[bldg_style]]="",0,Lookups!$B$2*0.5)</f>
        <v>53765.27</v>
      </c>
      <c r="BK922" s="7">
        <f>_xlfn.IFNA(VLOOKUP(Wapato_Inventory[[#This Row],[quality]],Lookups!$H$2:$J$14,3,FALSE),0)</f>
        <v>28034</v>
      </c>
      <c r="BL922" s="7">
        <f>_xlfn.IFNA(VLOOKUP(Wapato_Inventory[[#This Row],[condition]],Lookups!$H$17:$J$24,3,FALSE),0)</f>
        <v>52231</v>
      </c>
      <c r="BM922" s="7">
        <f>Wapato_Inventory[[#This Row],[Age]]*Lookups!$B$16</f>
        <v>-27059.326100000002</v>
      </c>
      <c r="BN922" s="7">
        <f>Wapato_Inventory[[#This Row],[Main Floor]]*Lookups!$B$17</f>
        <v>41633.536044</v>
      </c>
      <c r="BO922" s="7">
        <f>Wapato_Inventory[[#This Row],[Upper Floor]]*Lookups!$B$18</f>
        <v>0</v>
      </c>
      <c r="BP922" s="7">
        <f>Wapato_Inventory[[#This Row],[Fin BSMT]]*Lookups!$B$19</f>
        <v>0</v>
      </c>
      <c r="BQ922" s="7">
        <f>(Wapato_Inventory[[#This Row],[att_gar]]+Wapato_Inventory[[#This Row],[blt_gar]])*Lookups!$B$20</f>
        <v>0</v>
      </c>
      <c r="BR922" s="7">
        <f>Wapato_Inventory[[#This Row],[Patio]]*Lookups!$B$21</f>
        <v>0</v>
      </c>
      <c r="BS922" s="7">
        <f>SUM(Wapato_Inventory[[#This Row],[intercept]:[patio_value]])*Wapato_Inventory[[#This Row],[res_pct]]</f>
        <v>148604.47994399999</v>
      </c>
      <c r="BT922" s="7">
        <f>Wapato_Inventory[[#This Row],[land_value]]</f>
        <v>53100</v>
      </c>
      <c r="BU922" s="2">
        <f>_xlfn.IFNA(VLOOKUP(Wapato_Inventory[[#This Row],[quality]],Lookups!$A$28:$C$37,3,FALSE),1)</f>
        <v>0.96265813922927435</v>
      </c>
      <c r="BV922" s="2">
        <f>_xlfn.IFNA(VLOOKUP(Wapato_Inventory[[#This Row],[condition]],Lookups!$A$41:$C$48,3,FALSE),1)</f>
        <v>0.9832333997567807</v>
      </c>
      <c r="BW922" s="2">
        <f>IF(Wapato_Inventory[[#This Row],[decade]]="",1,_xlfn.IFNA(VLOOKUP(Wapato_Inventory[[#This Row],[decade]],Lookups!$F$28:$H$45,3,FALSE),1))</f>
        <v>0.8438929209510081</v>
      </c>
      <c r="BX922" s="2">
        <f>_xlfn.IFNA(VLOOKUP(Wapato_Inventory[[#This Row],[living_area_range]],Lookups!$K$28:$M$37,3,FALSE),1)</f>
        <v>0.99022994770196116</v>
      </c>
      <c r="BY922" s="2">
        <f>AVERAGE(Wapato_Inventory[[#This Row],[qual_adj]:[range_adj]])</f>
        <v>0.94500360190975607</v>
      </c>
      <c r="BZ922" s="7">
        <f>(Wapato_Inventory[[#This Row],[sum_land]]-IF(Wapato_Inventory[[#This Row],[no_utilities]]=1,12000,0))/IF(Wapato_Inventory[[#This Row],[unbuildable]]=1,2,1)</f>
        <v>53100</v>
      </c>
      <c r="CA922" s="7">
        <f>Wapato_Inventory[[#This Row],[pre_res]]*Wapato_Inventory[[#This Row],[overall_adj]]</f>
        <v>140431.7688070061</v>
      </c>
      <c r="CB92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922" s="3">
        <f>IF(ROUND(Wapato_Inventory[[#This Row],[adj_res]]*Lookups!$H$48,-2)&lt;Wapato_Inventory[[#This Row],[min_res]],Wapato_Inventory[[#This Row],[min_res]],ROUND(Wapato_Inventory[[#This Row],[adj_res]]*Lookups!$H$48,-2))</f>
        <v>133400</v>
      </c>
      <c r="CD922" s="3">
        <f>ROUND(Wapato_Inventory[[#This Row],[det_value]]*Lookups!$H$48,-2)</f>
        <v>0</v>
      </c>
      <c r="CE922" s="3">
        <f>Wapato_Inventory[[#This Row],[final_res]]+Wapato_Inventory[[#This Row],[final_det]]</f>
        <v>133400</v>
      </c>
      <c r="CF922" s="3">
        <f>Wapato_Inventory[[#This Row],[crop_value]]+Wapato_Inventory[[#This Row],[final_land]]+Wapato_Inventory[[#This Row],[final_imp]]</f>
        <v>183800</v>
      </c>
      <c r="CH922" t="str">
        <f t="shared" si="14"/>
        <v>update valuation set market_land =50400, market_bldg=133400, market_total =183800, market_mdno =405, market_date ='9/10/2023' where link_id = (select link_id from parcel where parcel_year = '2024' and parcel_id = '19111521414');</v>
      </c>
    </row>
    <row r="923" spans="1:86" x14ac:dyDescent="0.25">
      <c r="A923">
        <v>19111521415</v>
      </c>
      <c r="B923">
        <v>0.27</v>
      </c>
      <c r="C923">
        <v>11702</v>
      </c>
      <c r="D923" t="s">
        <v>144</v>
      </c>
      <c r="E923" t="s">
        <v>54</v>
      </c>
      <c r="F923" t="s">
        <v>54</v>
      </c>
      <c r="G923">
        <v>3</v>
      </c>
      <c r="H923" t="s">
        <v>55</v>
      </c>
      <c r="I923">
        <v>228600</v>
      </c>
      <c r="J923">
        <v>36000</v>
      </c>
      <c r="K923">
        <v>0.27</v>
      </c>
      <c r="L923">
        <f>IF(Wapato_Inventory[[#This Row],[parcel_acres]]-Wapato_Inventory[[#This Row],[non_valued_acres]] =0,0,LN(Wapato_Inventory[[#This Row],[parcel_acres]]-Wapato_Inventory[[#This Row],[non_valued_acres]]))</f>
        <v>-1.3093333199837622</v>
      </c>
      <c r="M923">
        <v>0</v>
      </c>
      <c r="N923">
        <v>0</v>
      </c>
      <c r="O923">
        <v>0</v>
      </c>
      <c r="P923">
        <v>27904.037</v>
      </c>
      <c r="Q923">
        <v>74398</v>
      </c>
      <c r="R923" s="3">
        <f>(Wapato_Inventory[[#This Row],[ln_acres]]*Wapato_Inventory[[#This Row],[coeff]])+Wapato_Inventory[[#This Row],[const]]</f>
        <v>37862.314593840259</v>
      </c>
      <c r="S923" t="s">
        <v>62</v>
      </c>
      <c r="T923">
        <v>1</v>
      </c>
      <c r="U923" t="s">
        <v>67</v>
      </c>
      <c r="V923" t="s">
        <v>68</v>
      </c>
      <c r="W923">
        <v>0</v>
      </c>
      <c r="X923">
        <v>0</v>
      </c>
      <c r="Y923">
        <v>50</v>
      </c>
      <c r="Z923">
        <v>73</v>
      </c>
      <c r="AA923">
        <v>80</v>
      </c>
      <c r="AB923">
        <v>2500</v>
      </c>
      <c r="AC923">
        <v>2339</v>
      </c>
      <c r="AD923">
        <v>2339</v>
      </c>
      <c r="AE923">
        <v>0</v>
      </c>
      <c r="AF923">
        <v>0</v>
      </c>
      <c r="AG923">
        <v>0</v>
      </c>
      <c r="AH923">
        <v>0</v>
      </c>
      <c r="AI923">
        <v>352</v>
      </c>
      <c r="AJ923">
        <v>0</v>
      </c>
      <c r="AK923">
        <v>0</v>
      </c>
      <c r="AL923">
        <v>0</v>
      </c>
      <c r="AM923">
        <v>0</v>
      </c>
      <c r="AN923">
        <v>0</v>
      </c>
      <c r="AO923">
        <v>0</v>
      </c>
      <c r="AP923">
        <v>8</v>
      </c>
      <c r="AQ923">
        <v>0</v>
      </c>
      <c r="AR923">
        <v>0</v>
      </c>
      <c r="AS923" t="s">
        <v>59</v>
      </c>
      <c r="AT923">
        <v>1</v>
      </c>
      <c r="AU923" t="s">
        <v>64</v>
      </c>
      <c r="AV923" t="s">
        <v>65</v>
      </c>
      <c r="AW923">
        <v>1</v>
      </c>
      <c r="AX923">
        <v>4</v>
      </c>
      <c r="AY923">
        <v>0</v>
      </c>
      <c r="AZ923">
        <v>0</v>
      </c>
      <c r="BA923">
        <v>100</v>
      </c>
      <c r="BB923">
        <v>100</v>
      </c>
      <c r="BC923">
        <v>100</v>
      </c>
      <c r="BD923">
        <v>100</v>
      </c>
      <c r="BE923">
        <v>1</v>
      </c>
      <c r="BF923">
        <v>15000</v>
      </c>
      <c r="BG923">
        <v>1000</v>
      </c>
      <c r="BH923" s="7">
        <f>ROUND(Wapato_Inventory[[#This Row],[detatched_value]]*Lookups!$B$22*Lookups!$H$48,-2)</f>
        <v>0</v>
      </c>
      <c r="BI923" s="7">
        <f>ROUND(((Wapato_Inventory[[#This Row],[land_extract]]*Lookups!$B$3) +(Lookups!$B$2*0.5))*Lookups!$H$48,-2)</f>
        <v>54700</v>
      </c>
      <c r="BJ923" s="7">
        <f>IF(Wapato_Inventory[[#This Row],[bldg_style]]="",0,Lookups!$B$2*0.5)</f>
        <v>53765.27</v>
      </c>
      <c r="BK923" s="7">
        <f>_xlfn.IFNA(VLOOKUP(Wapato_Inventory[[#This Row],[quality]],Lookups!$H$2:$J$14,3,FALSE),0)</f>
        <v>50405</v>
      </c>
      <c r="BL923" s="7">
        <f>_xlfn.IFNA(VLOOKUP(Wapato_Inventory[[#This Row],[condition]],Lookups!$H$17:$J$24,3,FALSE),0)</f>
        <v>52231</v>
      </c>
      <c r="BM923" s="7">
        <f>Wapato_Inventory[[#This Row],[Age]]*Lookups!$B$16</f>
        <v>-27059.326100000002</v>
      </c>
      <c r="BN923" s="7">
        <f>Wapato_Inventory[[#This Row],[Main Floor]]*Lookups!$B$17</f>
        <v>97771.928520999994</v>
      </c>
      <c r="BO923" s="7">
        <f>Wapato_Inventory[[#This Row],[Upper Floor]]*Lookups!$B$18</f>
        <v>0</v>
      </c>
      <c r="BP923" s="7">
        <f>Wapato_Inventory[[#This Row],[Fin BSMT]]*Lookups!$B$19</f>
        <v>0</v>
      </c>
      <c r="BQ923" s="7">
        <f>(Wapato_Inventory[[#This Row],[att_gar]]+Wapato_Inventory[[#This Row],[blt_gar]])*Lookups!$B$20</f>
        <v>13027.080704</v>
      </c>
      <c r="BR923" s="7">
        <f>Wapato_Inventory[[#This Row],[Patio]]*Lookups!$B$21</f>
        <v>0</v>
      </c>
      <c r="BS923" s="7">
        <f>SUM(Wapato_Inventory[[#This Row],[intercept]:[patio_value]])*Wapato_Inventory[[#This Row],[res_pct]]</f>
        <v>240140.95312499997</v>
      </c>
      <c r="BT923" s="7">
        <f>Wapato_Inventory[[#This Row],[land_value]]</f>
        <v>54700</v>
      </c>
      <c r="BU923" s="2">
        <f>_xlfn.IFNA(VLOOKUP(Wapato_Inventory[[#This Row],[quality]],Lookups!$A$28:$C$37,3,FALSE),1)</f>
        <v>0.97993206410140754</v>
      </c>
      <c r="BV923" s="2">
        <f>_xlfn.IFNA(VLOOKUP(Wapato_Inventory[[#This Row],[condition]],Lookups!$A$41:$C$48,3,FALSE),1)</f>
        <v>0.9832333997567807</v>
      </c>
      <c r="BW923" s="2">
        <f>IF(Wapato_Inventory[[#This Row],[decade]]="",1,_xlfn.IFNA(VLOOKUP(Wapato_Inventory[[#This Row],[decade]],Lookups!$F$28:$H$45,3,FALSE),1))</f>
        <v>0.8438929209510081</v>
      </c>
      <c r="BX923" s="2">
        <f>_xlfn.IFNA(VLOOKUP(Wapato_Inventory[[#This Row],[living_area_range]],Lookups!$K$28:$M$37,3,FALSE),1)</f>
        <v>0.90813907160181651</v>
      </c>
      <c r="BY923" s="2">
        <f>AVERAGE(Wapato_Inventory[[#This Row],[qual_adj]:[range_adj]])</f>
        <v>0.92879936410275321</v>
      </c>
      <c r="BZ923" s="7">
        <f>(Wapato_Inventory[[#This Row],[sum_land]]-IF(Wapato_Inventory[[#This Row],[no_utilities]]=1,12000,0))/IF(Wapato_Inventory[[#This Row],[unbuildable]]=1,2,1)</f>
        <v>54700</v>
      </c>
      <c r="CA923" s="7">
        <f>Wapato_Inventory[[#This Row],[pre_res]]*Wapato_Inventory[[#This Row],[overall_adj]]</f>
        <v>223042.76455752904</v>
      </c>
      <c r="CB923" s="3">
        <f>IF(ROUND(Wapato_Inventory[[#This Row],[adj_land]]*Lookups!$H$48,-2)&lt;Wapato_Inventory[[#This Row],[min_land]],Wapato_Inventory[[#This Row],[min_land]],ROUND(Wapato_Inventory[[#This Row],[adj_land]]*Lookups!$H$48,-2))</f>
        <v>52000</v>
      </c>
      <c r="CC923" s="3">
        <f>IF(ROUND(Wapato_Inventory[[#This Row],[adj_res]]*Lookups!$H$48,-2)&lt;Wapato_Inventory[[#This Row],[min_res]],Wapato_Inventory[[#This Row],[min_res]],ROUND(Wapato_Inventory[[#This Row],[adj_res]]*Lookups!$H$48,-2))</f>
        <v>211900</v>
      </c>
      <c r="CD923" s="3">
        <f>ROUND(Wapato_Inventory[[#This Row],[det_value]]*Lookups!$H$48,-2)</f>
        <v>0</v>
      </c>
      <c r="CE923" s="3">
        <f>Wapato_Inventory[[#This Row],[final_res]]+Wapato_Inventory[[#This Row],[final_det]]</f>
        <v>211900</v>
      </c>
      <c r="CF923" s="3">
        <f>Wapato_Inventory[[#This Row],[crop_value]]+Wapato_Inventory[[#This Row],[final_land]]+Wapato_Inventory[[#This Row],[final_imp]]</f>
        <v>263900</v>
      </c>
      <c r="CH923" t="str">
        <f t="shared" si="14"/>
        <v>update valuation set market_land =52000, market_bldg=211900, market_total =263900, market_mdno =405, market_date ='9/10/2023' where link_id = (select link_id from parcel where parcel_year = '2024' and parcel_id = '19111521415');</v>
      </c>
    </row>
    <row r="924" spans="1:86" x14ac:dyDescent="0.25">
      <c r="A924">
        <v>19111521416</v>
      </c>
      <c r="B924">
        <v>0.27</v>
      </c>
      <c r="C924">
        <v>11669</v>
      </c>
      <c r="D924" t="s">
        <v>144</v>
      </c>
      <c r="E924" t="s">
        <v>54</v>
      </c>
      <c r="F924" t="s">
        <v>54</v>
      </c>
      <c r="G924">
        <v>3</v>
      </c>
      <c r="H924" t="s">
        <v>55</v>
      </c>
      <c r="I924">
        <v>190000</v>
      </c>
      <c r="J924">
        <v>36000</v>
      </c>
      <c r="K924">
        <v>0.27</v>
      </c>
      <c r="L924">
        <f>IF(Wapato_Inventory[[#This Row],[parcel_acres]]-Wapato_Inventory[[#This Row],[non_valued_acres]] =0,0,LN(Wapato_Inventory[[#This Row],[parcel_acres]]-Wapato_Inventory[[#This Row],[non_valued_acres]]))</f>
        <v>-1.3093333199837622</v>
      </c>
      <c r="M924">
        <v>0</v>
      </c>
      <c r="N924">
        <v>0</v>
      </c>
      <c r="O924">
        <v>0</v>
      </c>
      <c r="P924">
        <v>27904.037</v>
      </c>
      <c r="Q924">
        <v>74398</v>
      </c>
      <c r="R924" s="3">
        <f>(Wapato_Inventory[[#This Row],[ln_acres]]*Wapato_Inventory[[#This Row],[coeff]])+Wapato_Inventory[[#This Row],[const]]</f>
        <v>37862.314593840259</v>
      </c>
      <c r="S924" t="s">
        <v>66</v>
      </c>
      <c r="T924">
        <v>1</v>
      </c>
      <c r="U924" t="s">
        <v>75</v>
      </c>
      <c r="V924" t="s">
        <v>68</v>
      </c>
      <c r="W924">
        <v>0</v>
      </c>
      <c r="X924">
        <v>0</v>
      </c>
      <c r="Y924">
        <v>50</v>
      </c>
      <c r="Z924">
        <v>73</v>
      </c>
      <c r="AA924">
        <v>80</v>
      </c>
      <c r="AB924">
        <v>1500</v>
      </c>
      <c r="AC924">
        <v>1404</v>
      </c>
      <c r="AD924">
        <v>1404</v>
      </c>
      <c r="AE924">
        <v>0</v>
      </c>
      <c r="AF924">
        <v>0</v>
      </c>
      <c r="AG924">
        <v>0</v>
      </c>
      <c r="AH924">
        <v>0</v>
      </c>
      <c r="AI924">
        <v>0</v>
      </c>
      <c r="AJ924">
        <v>0</v>
      </c>
      <c r="AK924">
        <v>451</v>
      </c>
      <c r="AL924">
        <v>0</v>
      </c>
      <c r="AM924">
        <v>464</v>
      </c>
      <c r="AN924">
        <v>0</v>
      </c>
      <c r="AO924">
        <v>464</v>
      </c>
      <c r="AP924">
        <v>5</v>
      </c>
      <c r="AQ924">
        <v>0</v>
      </c>
      <c r="AR924">
        <v>0</v>
      </c>
      <c r="AS924" t="s">
        <v>59</v>
      </c>
      <c r="AT924">
        <v>1</v>
      </c>
      <c r="AU924" t="s">
        <v>76</v>
      </c>
      <c r="AV924" t="s">
        <v>61</v>
      </c>
      <c r="AW924">
        <v>0</v>
      </c>
      <c r="AX924">
        <v>3</v>
      </c>
      <c r="AY924">
        <v>0</v>
      </c>
      <c r="AZ924">
        <v>33300</v>
      </c>
      <c r="BA924">
        <v>100</v>
      </c>
      <c r="BB924">
        <v>100</v>
      </c>
      <c r="BC924">
        <v>100</v>
      </c>
      <c r="BD924">
        <v>100</v>
      </c>
      <c r="BE924">
        <v>1</v>
      </c>
      <c r="BF924">
        <v>15000</v>
      </c>
      <c r="BG924">
        <v>1000</v>
      </c>
      <c r="BH924" s="7">
        <f>ROUND(Wapato_Inventory[[#This Row],[detatched_value]]*Lookups!$B$22*Lookups!$H$48,-2)</f>
        <v>29700</v>
      </c>
      <c r="BI924" s="7">
        <f>ROUND(((Wapato_Inventory[[#This Row],[land_extract]]*Lookups!$B$3) +(Lookups!$B$2*0.5))*Lookups!$H$48,-2)</f>
        <v>54700</v>
      </c>
      <c r="BJ924" s="7">
        <f>IF(Wapato_Inventory[[#This Row],[bldg_style]]="",0,Lookups!$B$2*0.5)</f>
        <v>53765.27</v>
      </c>
      <c r="BK924" s="7">
        <f>_xlfn.IFNA(VLOOKUP(Wapato_Inventory[[#This Row],[quality]],Lookups!$H$2:$J$14,3,FALSE),0)</f>
        <v>48043</v>
      </c>
      <c r="BL924" s="7">
        <f>_xlfn.IFNA(VLOOKUP(Wapato_Inventory[[#This Row],[condition]],Lookups!$H$17:$J$24,3,FALSE),0)</f>
        <v>52231</v>
      </c>
      <c r="BM924" s="7">
        <f>Wapato_Inventory[[#This Row],[Age]]*Lookups!$B$16</f>
        <v>-27059.326100000002</v>
      </c>
      <c r="BN924" s="7">
        <f>Wapato_Inventory[[#This Row],[Main Floor]]*Lookups!$B$17</f>
        <v>58688.237556</v>
      </c>
      <c r="BO924" s="7">
        <f>Wapato_Inventory[[#This Row],[Upper Floor]]*Lookups!$B$18</f>
        <v>0</v>
      </c>
      <c r="BP924" s="7">
        <f>Wapato_Inventory[[#This Row],[Fin BSMT]]*Lookups!$B$19</f>
        <v>0</v>
      </c>
      <c r="BQ924" s="7">
        <f>(Wapato_Inventory[[#This Row],[att_gar]]+Wapato_Inventory[[#This Row],[blt_gar]])*Lookups!$B$20</f>
        <v>0</v>
      </c>
      <c r="BR924" s="7">
        <f>Wapato_Inventory[[#This Row],[Patio]]*Lookups!$B$21</f>
        <v>20102.326256</v>
      </c>
      <c r="BS924" s="7">
        <f>SUM(Wapato_Inventory[[#This Row],[intercept]:[patio_value]])*Wapato_Inventory[[#This Row],[res_pct]]</f>
        <v>205770.50771199999</v>
      </c>
      <c r="BT924" s="7">
        <f>Wapato_Inventory[[#This Row],[land_value]]</f>
        <v>54700</v>
      </c>
      <c r="BU924" s="2">
        <f>_xlfn.IFNA(VLOOKUP(Wapato_Inventory[[#This Row],[quality]],Lookups!$A$28:$C$37,3,FALSE),1)</f>
        <v>0.98196844879778955</v>
      </c>
      <c r="BV924" s="2">
        <f>_xlfn.IFNA(VLOOKUP(Wapato_Inventory[[#This Row],[condition]],Lookups!$A$41:$C$48,3,FALSE),1)</f>
        <v>0.9832333997567807</v>
      </c>
      <c r="BW924" s="2">
        <f>IF(Wapato_Inventory[[#This Row],[decade]]="",1,_xlfn.IFNA(VLOOKUP(Wapato_Inventory[[#This Row],[decade]],Lookups!$F$28:$H$45,3,FALSE),1))</f>
        <v>0.8438929209510081</v>
      </c>
      <c r="BX924" s="2">
        <f>_xlfn.IFNA(VLOOKUP(Wapato_Inventory[[#This Row],[living_area_range]],Lookups!$K$28:$M$37,3,FALSE),1)</f>
        <v>1.0061411172456287</v>
      </c>
      <c r="BY924" s="2">
        <f>AVERAGE(Wapato_Inventory[[#This Row],[qual_adj]:[range_adj]])</f>
        <v>0.95380897168780177</v>
      </c>
      <c r="BZ924" s="7">
        <f>(Wapato_Inventory[[#This Row],[sum_land]]-IF(Wapato_Inventory[[#This Row],[no_utilities]]=1,12000,0))/IF(Wapato_Inventory[[#This Row],[unbuildable]]=1,2,1)</f>
        <v>54700</v>
      </c>
      <c r="CA924" s="7">
        <f>Wapato_Inventory[[#This Row],[pre_res]]*Wapato_Inventory[[#This Row],[overall_adj]]</f>
        <v>196265.75636445961</v>
      </c>
      <c r="CB924" s="3">
        <f>IF(ROUND(Wapato_Inventory[[#This Row],[adj_land]]*Lookups!$H$48,-2)&lt;Wapato_Inventory[[#This Row],[min_land]],Wapato_Inventory[[#This Row],[min_land]],ROUND(Wapato_Inventory[[#This Row],[adj_land]]*Lookups!$H$48,-2))</f>
        <v>52000</v>
      </c>
      <c r="CC924" s="3">
        <f>IF(ROUND(Wapato_Inventory[[#This Row],[adj_res]]*Lookups!$H$48,-2)&lt;Wapato_Inventory[[#This Row],[min_res]],Wapato_Inventory[[#This Row],[min_res]],ROUND(Wapato_Inventory[[#This Row],[adj_res]]*Lookups!$H$48,-2))</f>
        <v>186500</v>
      </c>
      <c r="CD924" s="3">
        <f>ROUND(Wapato_Inventory[[#This Row],[det_value]]*Lookups!$H$48,-2)</f>
        <v>28200</v>
      </c>
      <c r="CE924" s="3">
        <f>Wapato_Inventory[[#This Row],[final_res]]+Wapato_Inventory[[#This Row],[final_det]]</f>
        <v>214700</v>
      </c>
      <c r="CF924" s="3">
        <f>Wapato_Inventory[[#This Row],[crop_value]]+Wapato_Inventory[[#This Row],[final_land]]+Wapato_Inventory[[#This Row],[final_imp]]</f>
        <v>266700</v>
      </c>
      <c r="CH924" t="str">
        <f t="shared" si="14"/>
        <v>update valuation set market_land =52000, market_bldg=214700, market_total =266700, market_mdno =405, market_date ='9/10/2023' where link_id = (select link_id from parcel where parcel_year = '2024' and parcel_id = '19111521416');</v>
      </c>
    </row>
    <row r="925" spans="1:86" x14ac:dyDescent="0.25">
      <c r="A925">
        <v>19111521417</v>
      </c>
      <c r="B925">
        <v>0.2</v>
      </c>
      <c r="C925">
        <v>8768</v>
      </c>
      <c r="D925" t="s">
        <v>144</v>
      </c>
      <c r="E925" t="s">
        <v>54</v>
      </c>
      <c r="F925" t="s">
        <v>54</v>
      </c>
      <c r="G925">
        <v>3</v>
      </c>
      <c r="H925" t="s">
        <v>55</v>
      </c>
      <c r="I925">
        <v>134500</v>
      </c>
      <c r="J925">
        <v>33900</v>
      </c>
      <c r="K925">
        <v>0.2</v>
      </c>
      <c r="L925">
        <f>IF(Wapato_Inventory[[#This Row],[parcel_acres]]-Wapato_Inventory[[#This Row],[non_valued_acres]] =0,0,LN(Wapato_Inventory[[#This Row],[parcel_acres]]-Wapato_Inventory[[#This Row],[non_valued_acres]]))</f>
        <v>-1.6094379124341003</v>
      </c>
      <c r="M925">
        <v>0</v>
      </c>
      <c r="N925">
        <v>0</v>
      </c>
      <c r="O925">
        <v>0</v>
      </c>
      <c r="P925">
        <v>27904.037</v>
      </c>
      <c r="Q925">
        <v>74398</v>
      </c>
      <c r="R925" s="3">
        <f>(Wapato_Inventory[[#This Row],[ln_acres]]*Wapato_Inventory[[#This Row],[coeff]])+Wapato_Inventory[[#This Row],[const]]</f>
        <v>29488.184942236105</v>
      </c>
      <c r="S925" t="s">
        <v>66</v>
      </c>
      <c r="T925">
        <v>1</v>
      </c>
      <c r="U925" t="s">
        <v>75</v>
      </c>
      <c r="V925" t="s">
        <v>73</v>
      </c>
      <c r="W925">
        <v>0</v>
      </c>
      <c r="X925">
        <v>0</v>
      </c>
      <c r="Y925">
        <v>50</v>
      </c>
      <c r="Z925">
        <v>73</v>
      </c>
      <c r="AA925">
        <v>80</v>
      </c>
      <c r="AB925">
        <v>1500</v>
      </c>
      <c r="AC925">
        <v>1306</v>
      </c>
      <c r="AD925">
        <v>1306</v>
      </c>
      <c r="AE925">
        <v>0</v>
      </c>
      <c r="AF925">
        <v>0</v>
      </c>
      <c r="AG925">
        <v>0</v>
      </c>
      <c r="AH925">
        <v>0</v>
      </c>
      <c r="AI925">
        <v>0</v>
      </c>
      <c r="AJ925">
        <v>0</v>
      </c>
      <c r="AK925">
        <v>310</v>
      </c>
      <c r="AL925">
        <v>0</v>
      </c>
      <c r="AM925">
        <v>136</v>
      </c>
      <c r="AN925">
        <v>0</v>
      </c>
      <c r="AO925">
        <v>136</v>
      </c>
      <c r="AP925">
        <v>8</v>
      </c>
      <c r="AQ925">
        <v>0</v>
      </c>
      <c r="AR925">
        <v>1</v>
      </c>
      <c r="AS925" t="s">
        <v>59</v>
      </c>
      <c r="AT925">
        <v>1</v>
      </c>
      <c r="AU925" t="s">
        <v>72</v>
      </c>
      <c r="AV925" t="s">
        <v>61</v>
      </c>
      <c r="AW925">
        <v>0</v>
      </c>
      <c r="AX925">
        <v>3</v>
      </c>
      <c r="AY925">
        <v>0</v>
      </c>
      <c r="AZ925">
        <v>0</v>
      </c>
      <c r="BA925">
        <v>100</v>
      </c>
      <c r="BB925">
        <v>100</v>
      </c>
      <c r="BC925">
        <v>100</v>
      </c>
      <c r="BD925">
        <v>100</v>
      </c>
      <c r="BE925">
        <v>1</v>
      </c>
      <c r="BF925">
        <v>15000</v>
      </c>
      <c r="BG925">
        <v>1000</v>
      </c>
      <c r="BH925" s="7">
        <f>ROUND(Wapato_Inventory[[#This Row],[detatched_value]]*Lookups!$B$22*Lookups!$H$48,-2)</f>
        <v>0</v>
      </c>
      <c r="BI925" s="7">
        <f>ROUND(((Wapato_Inventory[[#This Row],[land_extract]]*Lookups!$B$3) +(Lookups!$B$2*0.5))*Lookups!$H$48,-2)</f>
        <v>53900</v>
      </c>
      <c r="BJ925" s="7">
        <f>IF(Wapato_Inventory[[#This Row],[bldg_style]]="",0,Lookups!$B$2*0.5)</f>
        <v>53765.27</v>
      </c>
      <c r="BK925" s="7">
        <f>_xlfn.IFNA(VLOOKUP(Wapato_Inventory[[#This Row],[quality]],Lookups!$H$2:$J$14,3,FALSE),0)</f>
        <v>48043</v>
      </c>
      <c r="BL925" s="7">
        <f>_xlfn.IFNA(VLOOKUP(Wapato_Inventory[[#This Row],[condition]],Lookups!$H$17:$J$24,3,FALSE),0)</f>
        <v>16276</v>
      </c>
      <c r="BM925" s="7">
        <f>Wapato_Inventory[[#This Row],[Age]]*Lookups!$B$16</f>
        <v>-27059.326100000002</v>
      </c>
      <c r="BN925" s="7">
        <f>Wapato_Inventory[[#This Row],[Main Floor]]*Lookups!$B$17</f>
        <v>54591.765134000001</v>
      </c>
      <c r="BO925" s="7">
        <f>Wapato_Inventory[[#This Row],[Upper Floor]]*Lookups!$B$18</f>
        <v>0</v>
      </c>
      <c r="BP925" s="7">
        <f>Wapato_Inventory[[#This Row],[Fin BSMT]]*Lookups!$B$19</f>
        <v>0</v>
      </c>
      <c r="BQ925" s="7">
        <f>(Wapato_Inventory[[#This Row],[att_gar]]+Wapato_Inventory[[#This Row],[blt_gar]])*Lookups!$B$20</f>
        <v>0</v>
      </c>
      <c r="BR925" s="7">
        <f>Wapato_Inventory[[#This Row],[Patio]]*Lookups!$B$21</f>
        <v>5892.0611440000002</v>
      </c>
      <c r="BS925" s="7">
        <f>SUM(Wapato_Inventory[[#This Row],[intercept]:[patio_value]])*Wapato_Inventory[[#This Row],[res_pct]]</f>
        <v>151508.77017800001</v>
      </c>
      <c r="BT925" s="7">
        <f>Wapato_Inventory[[#This Row],[land_value]]</f>
        <v>53900</v>
      </c>
      <c r="BU925" s="2">
        <f>_xlfn.IFNA(VLOOKUP(Wapato_Inventory[[#This Row],[quality]],Lookups!$A$28:$C$37,3,FALSE),1)</f>
        <v>0.98196844879778955</v>
      </c>
      <c r="BV925" s="2">
        <f>_xlfn.IFNA(VLOOKUP(Wapato_Inventory[[#This Row],[condition]],Lookups!$A$41:$C$48,3,FALSE),1)</f>
        <v>0.93399385491337139</v>
      </c>
      <c r="BW925" s="2">
        <f>IF(Wapato_Inventory[[#This Row],[decade]]="",1,_xlfn.IFNA(VLOOKUP(Wapato_Inventory[[#This Row],[decade]],Lookups!$F$28:$H$45,3,FALSE),1))</f>
        <v>0.8438929209510081</v>
      </c>
      <c r="BX925" s="2">
        <f>_xlfn.IFNA(VLOOKUP(Wapato_Inventory[[#This Row],[living_area_range]],Lookups!$K$28:$M$37,3,FALSE),1)</f>
        <v>1.0061411172456287</v>
      </c>
      <c r="BY925" s="2">
        <f>AVERAGE(Wapato_Inventory[[#This Row],[qual_adj]:[range_adj]])</f>
        <v>0.94149908547694949</v>
      </c>
      <c r="BZ925" s="7">
        <f>(Wapato_Inventory[[#This Row],[sum_land]]-IF(Wapato_Inventory[[#This Row],[no_utilities]]=1,12000,0))/IF(Wapato_Inventory[[#This Row],[unbuildable]]=1,2,1)</f>
        <v>53900</v>
      </c>
      <c r="CA925" s="7">
        <f>Wapato_Inventory[[#This Row],[pre_res]]*Wapato_Inventory[[#This Row],[overall_adj]]</f>
        <v>142645.36856432434</v>
      </c>
      <c r="CB925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25" s="3">
        <f>IF(ROUND(Wapato_Inventory[[#This Row],[adj_res]]*Lookups!$H$48,-2)&lt;Wapato_Inventory[[#This Row],[min_res]],Wapato_Inventory[[#This Row],[min_res]],ROUND(Wapato_Inventory[[#This Row],[adj_res]]*Lookups!$H$48,-2))</f>
        <v>135500</v>
      </c>
      <c r="CD925" s="3">
        <f>ROUND(Wapato_Inventory[[#This Row],[det_value]]*Lookups!$H$48,-2)</f>
        <v>0</v>
      </c>
      <c r="CE925" s="3">
        <f>Wapato_Inventory[[#This Row],[final_res]]+Wapato_Inventory[[#This Row],[final_det]]</f>
        <v>135500</v>
      </c>
      <c r="CF925" s="3">
        <f>Wapato_Inventory[[#This Row],[crop_value]]+Wapato_Inventory[[#This Row],[final_land]]+Wapato_Inventory[[#This Row],[final_imp]]</f>
        <v>186700</v>
      </c>
      <c r="CH925" t="str">
        <f t="shared" si="14"/>
        <v>update valuation set market_land =51200, market_bldg=135500, market_total =186700, market_mdno =405, market_date ='9/10/2023' where link_id = (select link_id from parcel where parcel_year = '2024' and parcel_id = '19111521417');</v>
      </c>
    </row>
    <row r="926" spans="1:86" x14ac:dyDescent="0.25">
      <c r="A926">
        <v>19111521418</v>
      </c>
      <c r="B926">
        <v>0.21</v>
      </c>
      <c r="C926">
        <v>9243</v>
      </c>
      <c r="D926" t="s">
        <v>144</v>
      </c>
      <c r="E926" t="s">
        <v>54</v>
      </c>
      <c r="F926" t="s">
        <v>54</v>
      </c>
      <c r="G926">
        <v>3</v>
      </c>
      <c r="H926" t="s">
        <v>55</v>
      </c>
      <c r="I926">
        <v>149400</v>
      </c>
      <c r="J926">
        <v>34300</v>
      </c>
      <c r="K926">
        <v>0.21</v>
      </c>
      <c r="L926">
        <f>IF(Wapato_Inventory[[#This Row],[parcel_acres]]-Wapato_Inventory[[#This Row],[non_valued_acres]] =0,0,LN(Wapato_Inventory[[#This Row],[parcel_acres]]-Wapato_Inventory[[#This Row],[non_valued_acres]]))</f>
        <v>-1.5606477482646683</v>
      </c>
      <c r="M926">
        <v>0</v>
      </c>
      <c r="N926">
        <v>0</v>
      </c>
      <c r="O926">
        <v>0</v>
      </c>
      <c r="P926">
        <v>27904.037</v>
      </c>
      <c r="Q926">
        <v>74398</v>
      </c>
      <c r="R926" s="3">
        <f>(Wapato_Inventory[[#This Row],[ln_acres]]*Wapato_Inventory[[#This Row],[coeff]])+Wapato_Inventory[[#This Row],[const]]</f>
        <v>30849.627488456012</v>
      </c>
      <c r="S926" t="s">
        <v>66</v>
      </c>
      <c r="T926">
        <v>1</v>
      </c>
      <c r="U926" t="s">
        <v>71</v>
      </c>
      <c r="V926" t="s">
        <v>69</v>
      </c>
      <c r="W926">
        <v>0</v>
      </c>
      <c r="X926">
        <v>0</v>
      </c>
      <c r="Y926">
        <v>50</v>
      </c>
      <c r="Z926">
        <v>72</v>
      </c>
      <c r="AA926">
        <v>80</v>
      </c>
      <c r="AB926">
        <v>1000</v>
      </c>
      <c r="AC926">
        <v>960</v>
      </c>
      <c r="AD926">
        <v>960</v>
      </c>
      <c r="AE926">
        <v>0</v>
      </c>
      <c r="AF926">
        <v>0</v>
      </c>
      <c r="AG926">
        <v>0</v>
      </c>
      <c r="AH926">
        <v>0</v>
      </c>
      <c r="AI926">
        <v>0</v>
      </c>
      <c r="AJ926">
        <v>0</v>
      </c>
      <c r="AK926">
        <v>180</v>
      </c>
      <c r="AL926">
        <v>0</v>
      </c>
      <c r="AM926">
        <v>144</v>
      </c>
      <c r="AN926">
        <v>0</v>
      </c>
      <c r="AO926">
        <v>0</v>
      </c>
      <c r="AP926">
        <v>5</v>
      </c>
      <c r="AQ926">
        <v>0</v>
      </c>
      <c r="AR926">
        <v>0</v>
      </c>
      <c r="AS926" t="s">
        <v>59</v>
      </c>
      <c r="AT926">
        <v>1</v>
      </c>
      <c r="AU926" t="s">
        <v>72</v>
      </c>
      <c r="AV926" t="s">
        <v>61</v>
      </c>
      <c r="AW926">
        <v>0</v>
      </c>
      <c r="AX926">
        <v>3</v>
      </c>
      <c r="AY926">
        <v>0</v>
      </c>
      <c r="AZ926">
        <v>0</v>
      </c>
      <c r="BA926">
        <v>100</v>
      </c>
      <c r="BB926">
        <v>100</v>
      </c>
      <c r="BC926">
        <v>100</v>
      </c>
      <c r="BD926">
        <v>100</v>
      </c>
      <c r="BE926">
        <v>1</v>
      </c>
      <c r="BF926">
        <v>15000</v>
      </c>
      <c r="BG926">
        <v>1000</v>
      </c>
      <c r="BH926" s="7">
        <f>ROUND(Wapato_Inventory[[#This Row],[detatched_value]]*Lookups!$B$22*Lookups!$H$48,-2)</f>
        <v>0</v>
      </c>
      <c r="BI926" s="7">
        <f>ROUND(((Wapato_Inventory[[#This Row],[land_extract]]*Lookups!$B$3) +(Lookups!$B$2*0.5))*Lookups!$H$48,-2)</f>
        <v>54100</v>
      </c>
      <c r="BJ926" s="7">
        <f>IF(Wapato_Inventory[[#This Row],[bldg_style]]="",0,Lookups!$B$2*0.5)</f>
        <v>53765.27</v>
      </c>
      <c r="BK926" s="7">
        <f>_xlfn.IFNA(VLOOKUP(Wapato_Inventory[[#This Row],[quality]],Lookups!$H$2:$J$14,3,FALSE),0)</f>
        <v>28034</v>
      </c>
      <c r="BL926" s="7">
        <f>_xlfn.IFNA(VLOOKUP(Wapato_Inventory[[#This Row],[condition]],Lookups!$H$17:$J$24,3,FALSE),0)</f>
        <v>74543</v>
      </c>
      <c r="BM926" s="7">
        <f>Wapato_Inventory[[#This Row],[Age]]*Lookups!$B$16</f>
        <v>-26688.650399999999</v>
      </c>
      <c r="BN926" s="7">
        <f>Wapato_Inventory[[#This Row],[Main Floor]]*Lookups!$B$17</f>
        <v>40128.709439999999</v>
      </c>
      <c r="BO926" s="7">
        <f>Wapato_Inventory[[#This Row],[Upper Floor]]*Lookups!$B$18</f>
        <v>0</v>
      </c>
      <c r="BP926" s="7">
        <f>Wapato_Inventory[[#This Row],[Fin BSMT]]*Lookups!$B$19</f>
        <v>0</v>
      </c>
      <c r="BQ926" s="7">
        <f>(Wapato_Inventory[[#This Row],[att_gar]]+Wapato_Inventory[[#This Row],[blt_gar]])*Lookups!$B$20</f>
        <v>0</v>
      </c>
      <c r="BR926" s="7">
        <f>Wapato_Inventory[[#This Row],[Patio]]*Lookups!$B$21</f>
        <v>6238.6529760000003</v>
      </c>
      <c r="BS926" s="7">
        <f>SUM(Wapato_Inventory[[#This Row],[intercept]:[patio_value]])*Wapato_Inventory[[#This Row],[res_pct]]</f>
        <v>176020.98201599999</v>
      </c>
      <c r="BT926" s="7">
        <f>Wapato_Inventory[[#This Row],[land_value]]</f>
        <v>54100</v>
      </c>
      <c r="BU926" s="2">
        <f>_xlfn.IFNA(VLOOKUP(Wapato_Inventory[[#This Row],[quality]],Lookups!$A$28:$C$37,3,FALSE),1)</f>
        <v>0.96265813922927435</v>
      </c>
      <c r="BV926" s="2">
        <f>_xlfn.IFNA(VLOOKUP(Wapato_Inventory[[#This Row],[condition]],Lookups!$A$41:$C$48,3,FALSE),1)</f>
        <v>0.98442438223270734</v>
      </c>
      <c r="BW926" s="2">
        <f>IF(Wapato_Inventory[[#This Row],[decade]]="",1,_xlfn.IFNA(VLOOKUP(Wapato_Inventory[[#This Row],[decade]],Lookups!$F$28:$H$45,3,FALSE),1))</f>
        <v>0.8438929209510081</v>
      </c>
      <c r="BX926" s="2">
        <f>_xlfn.IFNA(VLOOKUP(Wapato_Inventory[[#This Row],[living_area_range]],Lookups!$K$28:$M$37,3,FALSE),1)</f>
        <v>0.99022994770196116</v>
      </c>
      <c r="BY926" s="2">
        <f>AVERAGE(Wapato_Inventory[[#This Row],[qual_adj]:[range_adj]])</f>
        <v>0.94530134752873773</v>
      </c>
      <c r="BZ926" s="7">
        <f>(Wapato_Inventory[[#This Row],[sum_land]]-IF(Wapato_Inventory[[#This Row],[no_utilities]]=1,12000,0))/IF(Wapato_Inventory[[#This Row],[unbuildable]]=1,2,1)</f>
        <v>54100</v>
      </c>
      <c r="CA926" s="7">
        <f>Wapato_Inventory[[#This Row],[pre_res]]*Wapato_Inventory[[#This Row],[overall_adj]]</f>
        <v>166392.8714930565</v>
      </c>
      <c r="CB926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26" s="3">
        <f>IF(ROUND(Wapato_Inventory[[#This Row],[adj_res]]*Lookups!$H$48,-2)&lt;Wapato_Inventory[[#This Row],[min_res]],Wapato_Inventory[[#This Row],[min_res]],ROUND(Wapato_Inventory[[#This Row],[adj_res]]*Lookups!$H$48,-2))</f>
        <v>158100</v>
      </c>
      <c r="CD926" s="3">
        <f>ROUND(Wapato_Inventory[[#This Row],[det_value]]*Lookups!$H$48,-2)</f>
        <v>0</v>
      </c>
      <c r="CE926" s="3">
        <f>Wapato_Inventory[[#This Row],[final_res]]+Wapato_Inventory[[#This Row],[final_det]]</f>
        <v>158100</v>
      </c>
      <c r="CF926" s="3">
        <f>Wapato_Inventory[[#This Row],[crop_value]]+Wapato_Inventory[[#This Row],[final_land]]+Wapato_Inventory[[#This Row],[final_imp]]</f>
        <v>209500</v>
      </c>
      <c r="CH926" t="str">
        <f t="shared" si="14"/>
        <v>update valuation set market_land =51400, market_bldg=158100, market_total =209500, market_mdno =405, market_date ='9/10/2023' where link_id = (select link_id from parcel where parcel_year = '2024' and parcel_id = '19111521418');</v>
      </c>
    </row>
    <row r="927" spans="1:86" x14ac:dyDescent="0.25">
      <c r="A927">
        <v>19111521419</v>
      </c>
      <c r="B927">
        <v>0.21</v>
      </c>
      <c r="C927">
        <v>9245</v>
      </c>
      <c r="D927" t="s">
        <v>144</v>
      </c>
      <c r="E927" t="s">
        <v>54</v>
      </c>
      <c r="F927" t="s">
        <v>54</v>
      </c>
      <c r="G927">
        <v>3</v>
      </c>
      <c r="H927" t="s">
        <v>55</v>
      </c>
      <c r="I927">
        <v>101200</v>
      </c>
      <c r="J927">
        <v>34300</v>
      </c>
      <c r="K927">
        <v>0.21</v>
      </c>
      <c r="L927">
        <f>IF(Wapato_Inventory[[#This Row],[parcel_acres]]-Wapato_Inventory[[#This Row],[non_valued_acres]] =0,0,LN(Wapato_Inventory[[#This Row],[parcel_acres]]-Wapato_Inventory[[#This Row],[non_valued_acres]]))</f>
        <v>-1.5606477482646683</v>
      </c>
      <c r="M927">
        <v>0</v>
      </c>
      <c r="N927">
        <v>0</v>
      </c>
      <c r="O927">
        <v>0</v>
      </c>
      <c r="P927">
        <v>27904.037</v>
      </c>
      <c r="Q927">
        <v>74398</v>
      </c>
      <c r="R927" s="3">
        <f>(Wapato_Inventory[[#This Row],[ln_acres]]*Wapato_Inventory[[#This Row],[coeff]])+Wapato_Inventory[[#This Row],[const]]</f>
        <v>30849.627488456012</v>
      </c>
      <c r="S927" t="s">
        <v>66</v>
      </c>
      <c r="T927">
        <v>1</v>
      </c>
      <c r="U927" t="s">
        <v>71</v>
      </c>
      <c r="V927" t="s">
        <v>68</v>
      </c>
      <c r="W927">
        <v>0</v>
      </c>
      <c r="X927">
        <v>0</v>
      </c>
      <c r="Y927">
        <v>50</v>
      </c>
      <c r="Z927">
        <v>73</v>
      </c>
      <c r="AA927">
        <v>80</v>
      </c>
      <c r="AB927">
        <v>1000</v>
      </c>
      <c r="AC927">
        <v>772</v>
      </c>
      <c r="AD927">
        <v>772</v>
      </c>
      <c r="AE927">
        <v>0</v>
      </c>
      <c r="AF927">
        <v>0</v>
      </c>
      <c r="AG927">
        <v>0</v>
      </c>
      <c r="AH927">
        <v>0</v>
      </c>
      <c r="AI927">
        <v>0</v>
      </c>
      <c r="AJ927">
        <v>0</v>
      </c>
      <c r="AK927">
        <v>356</v>
      </c>
      <c r="AL927">
        <v>0</v>
      </c>
      <c r="AM927">
        <v>128</v>
      </c>
      <c r="AN927">
        <v>0</v>
      </c>
      <c r="AO927">
        <v>104</v>
      </c>
      <c r="AP927">
        <v>5</v>
      </c>
      <c r="AQ927">
        <v>0</v>
      </c>
      <c r="AR927">
        <v>0</v>
      </c>
      <c r="AS927" t="s">
        <v>59</v>
      </c>
      <c r="AT927">
        <v>0</v>
      </c>
      <c r="AU927" t="s">
        <v>80</v>
      </c>
      <c r="AV927" t="s">
        <v>65</v>
      </c>
      <c r="AW927">
        <v>0</v>
      </c>
      <c r="AX927">
        <v>2</v>
      </c>
      <c r="AY927">
        <v>0</v>
      </c>
      <c r="AZ927">
        <v>0</v>
      </c>
      <c r="BA927">
        <v>100</v>
      </c>
      <c r="BB927">
        <v>100</v>
      </c>
      <c r="BC927">
        <v>100</v>
      </c>
      <c r="BD927">
        <v>100</v>
      </c>
      <c r="BE927">
        <v>1</v>
      </c>
      <c r="BF927">
        <v>15000</v>
      </c>
      <c r="BG927">
        <v>1000</v>
      </c>
      <c r="BH927" s="7">
        <f>ROUND(Wapato_Inventory[[#This Row],[detatched_value]]*Lookups!$B$22*Lookups!$H$48,-2)</f>
        <v>0</v>
      </c>
      <c r="BI927" s="7">
        <f>ROUND(((Wapato_Inventory[[#This Row],[land_extract]]*Lookups!$B$3) +(Lookups!$B$2*0.5))*Lookups!$H$48,-2)</f>
        <v>54100</v>
      </c>
      <c r="BJ927" s="7">
        <f>IF(Wapato_Inventory[[#This Row],[bldg_style]]="",0,Lookups!$B$2*0.5)</f>
        <v>53765.27</v>
      </c>
      <c r="BK927" s="7">
        <f>_xlfn.IFNA(VLOOKUP(Wapato_Inventory[[#This Row],[quality]],Lookups!$H$2:$J$14,3,FALSE),0)</f>
        <v>28034</v>
      </c>
      <c r="BL927" s="7">
        <f>_xlfn.IFNA(VLOOKUP(Wapato_Inventory[[#This Row],[condition]],Lookups!$H$17:$J$24,3,FALSE),0)</f>
        <v>52231</v>
      </c>
      <c r="BM927" s="7">
        <f>Wapato_Inventory[[#This Row],[Age]]*Lookups!$B$16</f>
        <v>-27059.326100000002</v>
      </c>
      <c r="BN927" s="7">
        <f>Wapato_Inventory[[#This Row],[Main Floor]]*Lookups!$B$17</f>
        <v>32270.170507999999</v>
      </c>
      <c r="BO927" s="7">
        <f>Wapato_Inventory[[#This Row],[Upper Floor]]*Lookups!$B$18</f>
        <v>0</v>
      </c>
      <c r="BP927" s="7">
        <f>Wapato_Inventory[[#This Row],[Fin BSMT]]*Lookups!$B$19</f>
        <v>0</v>
      </c>
      <c r="BQ927" s="7">
        <f>(Wapato_Inventory[[#This Row],[att_gar]]+Wapato_Inventory[[#This Row],[blt_gar]])*Lookups!$B$20</f>
        <v>0</v>
      </c>
      <c r="BR927" s="7">
        <f>Wapato_Inventory[[#This Row],[Patio]]*Lookups!$B$21</f>
        <v>5545.4693120000002</v>
      </c>
      <c r="BS927" s="7">
        <f>SUM(Wapato_Inventory[[#This Row],[intercept]:[patio_value]])*Wapato_Inventory[[#This Row],[res_pct]]</f>
        <v>144786.58372</v>
      </c>
      <c r="BT927" s="7">
        <f>Wapato_Inventory[[#This Row],[land_value]]</f>
        <v>54100</v>
      </c>
      <c r="BU927" s="2">
        <f>_xlfn.IFNA(VLOOKUP(Wapato_Inventory[[#This Row],[quality]],Lookups!$A$28:$C$37,3,FALSE),1)</f>
        <v>0.96265813922927435</v>
      </c>
      <c r="BV927" s="2">
        <f>_xlfn.IFNA(VLOOKUP(Wapato_Inventory[[#This Row],[condition]],Lookups!$A$41:$C$48,3,FALSE),1)</f>
        <v>0.9832333997567807</v>
      </c>
      <c r="BW927" s="2">
        <f>IF(Wapato_Inventory[[#This Row],[decade]]="",1,_xlfn.IFNA(VLOOKUP(Wapato_Inventory[[#This Row],[decade]],Lookups!$F$28:$H$45,3,FALSE),1))</f>
        <v>0.8438929209510081</v>
      </c>
      <c r="BX927" s="2">
        <f>_xlfn.IFNA(VLOOKUP(Wapato_Inventory[[#This Row],[living_area_range]],Lookups!$K$28:$M$37,3,FALSE),1)</f>
        <v>0.99022994770196116</v>
      </c>
      <c r="BY927" s="2">
        <f>AVERAGE(Wapato_Inventory[[#This Row],[qual_adj]:[range_adj]])</f>
        <v>0.94500360190975607</v>
      </c>
      <c r="BZ927" s="7">
        <f>(Wapato_Inventory[[#This Row],[sum_land]]-IF(Wapato_Inventory[[#This Row],[no_utilities]]=1,12000,0))/IF(Wapato_Inventory[[#This Row],[unbuildable]]=1,2,1)</f>
        <v>54100</v>
      </c>
      <c r="CA927" s="7">
        <f>Wapato_Inventory[[#This Row],[pre_res]]*Wapato_Inventory[[#This Row],[overall_adj]]</f>
        <v>136823.84312360844</v>
      </c>
      <c r="CB927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27" s="3">
        <f>IF(ROUND(Wapato_Inventory[[#This Row],[adj_res]]*Lookups!$H$48,-2)&lt;Wapato_Inventory[[#This Row],[min_res]],Wapato_Inventory[[#This Row],[min_res]],ROUND(Wapato_Inventory[[#This Row],[adj_res]]*Lookups!$H$48,-2))</f>
        <v>130000</v>
      </c>
      <c r="CD927" s="3">
        <f>ROUND(Wapato_Inventory[[#This Row],[det_value]]*Lookups!$H$48,-2)</f>
        <v>0</v>
      </c>
      <c r="CE927" s="3">
        <f>Wapato_Inventory[[#This Row],[final_res]]+Wapato_Inventory[[#This Row],[final_det]]</f>
        <v>130000</v>
      </c>
      <c r="CF927" s="3">
        <f>Wapato_Inventory[[#This Row],[crop_value]]+Wapato_Inventory[[#This Row],[final_land]]+Wapato_Inventory[[#This Row],[final_imp]]</f>
        <v>181400</v>
      </c>
      <c r="CH927" t="str">
        <f t="shared" si="14"/>
        <v>update valuation set market_land =51400, market_bldg=130000, market_total =181400, market_mdno =405, market_date ='9/10/2023' where link_id = (select link_id from parcel where parcel_year = '2024' and parcel_id = '19111521419');</v>
      </c>
    </row>
    <row r="928" spans="1:86" x14ac:dyDescent="0.25">
      <c r="A928">
        <v>19111521420</v>
      </c>
      <c r="B928">
        <v>0.2</v>
      </c>
      <c r="C928">
        <v>8600</v>
      </c>
      <c r="D928" t="s">
        <v>144</v>
      </c>
      <c r="E928" t="s">
        <v>54</v>
      </c>
      <c r="F928" t="s">
        <v>54</v>
      </c>
      <c r="G928">
        <v>3</v>
      </c>
      <c r="H928" t="s">
        <v>55</v>
      </c>
      <c r="I928">
        <v>178400</v>
      </c>
      <c r="J928">
        <v>33900</v>
      </c>
      <c r="K928">
        <v>0.2</v>
      </c>
      <c r="L928">
        <f>IF(Wapato_Inventory[[#This Row],[parcel_acres]]-Wapato_Inventory[[#This Row],[non_valued_acres]] =0,0,LN(Wapato_Inventory[[#This Row],[parcel_acres]]-Wapato_Inventory[[#This Row],[non_valued_acres]]))</f>
        <v>-1.6094379124341003</v>
      </c>
      <c r="M928">
        <v>0</v>
      </c>
      <c r="N928">
        <v>0</v>
      </c>
      <c r="O928">
        <v>0</v>
      </c>
      <c r="P928">
        <v>27904.037</v>
      </c>
      <c r="Q928">
        <v>74398</v>
      </c>
      <c r="R928" s="3">
        <f>(Wapato_Inventory[[#This Row],[ln_acres]]*Wapato_Inventory[[#This Row],[coeff]])+Wapato_Inventory[[#This Row],[const]]</f>
        <v>29488.184942236105</v>
      </c>
      <c r="S928" t="s">
        <v>66</v>
      </c>
      <c r="T928">
        <v>1</v>
      </c>
      <c r="U928" t="s">
        <v>71</v>
      </c>
      <c r="V928" t="s">
        <v>69</v>
      </c>
      <c r="W928">
        <v>0</v>
      </c>
      <c r="X928">
        <v>0</v>
      </c>
      <c r="Y928">
        <v>50</v>
      </c>
      <c r="Z928">
        <v>73</v>
      </c>
      <c r="AA928">
        <v>80</v>
      </c>
      <c r="AB928">
        <v>1500</v>
      </c>
      <c r="AC928">
        <v>1456</v>
      </c>
      <c r="AD928">
        <v>1456</v>
      </c>
      <c r="AE928">
        <v>0</v>
      </c>
      <c r="AF928">
        <v>0</v>
      </c>
      <c r="AG928">
        <v>0</v>
      </c>
      <c r="AH928">
        <v>0</v>
      </c>
      <c r="AI928">
        <v>0</v>
      </c>
      <c r="AJ928">
        <v>0</v>
      </c>
      <c r="AK928">
        <v>572</v>
      </c>
      <c r="AL928">
        <v>0</v>
      </c>
      <c r="AM928">
        <v>180</v>
      </c>
      <c r="AN928">
        <v>0</v>
      </c>
      <c r="AO928">
        <v>376</v>
      </c>
      <c r="AP928">
        <v>5</v>
      </c>
      <c r="AQ928">
        <v>0</v>
      </c>
      <c r="AR928">
        <v>0</v>
      </c>
      <c r="AS928" t="s">
        <v>59</v>
      </c>
      <c r="AT928">
        <v>1</v>
      </c>
      <c r="AU928" t="s">
        <v>72</v>
      </c>
      <c r="AV928" t="s">
        <v>61</v>
      </c>
      <c r="AW928">
        <v>0</v>
      </c>
      <c r="AX928">
        <v>3</v>
      </c>
      <c r="AY928">
        <v>0</v>
      </c>
      <c r="AZ928">
        <v>0</v>
      </c>
      <c r="BA928">
        <v>100</v>
      </c>
      <c r="BB928">
        <v>100</v>
      </c>
      <c r="BC928">
        <v>100</v>
      </c>
      <c r="BD928">
        <v>100</v>
      </c>
      <c r="BE928">
        <v>1</v>
      </c>
      <c r="BF928">
        <v>15000</v>
      </c>
      <c r="BG928">
        <v>1000</v>
      </c>
      <c r="BH928" s="7">
        <f>ROUND(Wapato_Inventory[[#This Row],[detatched_value]]*Lookups!$B$22*Lookups!$H$48,-2)</f>
        <v>0</v>
      </c>
      <c r="BI928" s="7">
        <f>ROUND(((Wapato_Inventory[[#This Row],[land_extract]]*Lookups!$B$3) +(Lookups!$B$2*0.5))*Lookups!$H$48,-2)</f>
        <v>53900</v>
      </c>
      <c r="BJ928" s="7">
        <f>IF(Wapato_Inventory[[#This Row],[bldg_style]]="",0,Lookups!$B$2*0.5)</f>
        <v>53765.27</v>
      </c>
      <c r="BK928" s="7">
        <f>_xlfn.IFNA(VLOOKUP(Wapato_Inventory[[#This Row],[quality]],Lookups!$H$2:$J$14,3,FALSE),0)</f>
        <v>28034</v>
      </c>
      <c r="BL928" s="7">
        <f>_xlfn.IFNA(VLOOKUP(Wapato_Inventory[[#This Row],[condition]],Lookups!$H$17:$J$24,3,FALSE),0)</f>
        <v>74543</v>
      </c>
      <c r="BM928" s="7">
        <f>Wapato_Inventory[[#This Row],[Age]]*Lookups!$B$16</f>
        <v>-27059.326100000002</v>
      </c>
      <c r="BN928" s="7">
        <f>Wapato_Inventory[[#This Row],[Main Floor]]*Lookups!$B$17</f>
        <v>60861.875983999998</v>
      </c>
      <c r="BO928" s="7">
        <f>Wapato_Inventory[[#This Row],[Upper Floor]]*Lookups!$B$18</f>
        <v>0</v>
      </c>
      <c r="BP928" s="7">
        <f>Wapato_Inventory[[#This Row],[Fin BSMT]]*Lookups!$B$19</f>
        <v>0</v>
      </c>
      <c r="BQ928" s="7">
        <f>(Wapato_Inventory[[#This Row],[att_gar]]+Wapato_Inventory[[#This Row],[blt_gar]])*Lookups!$B$20</f>
        <v>0</v>
      </c>
      <c r="BR928" s="7">
        <f>Wapato_Inventory[[#This Row],[Patio]]*Lookups!$B$21</f>
        <v>7798.3162200000006</v>
      </c>
      <c r="BS928" s="7">
        <f>SUM(Wapato_Inventory[[#This Row],[intercept]:[patio_value]])*Wapato_Inventory[[#This Row],[res_pct]]</f>
        <v>197943.136104</v>
      </c>
      <c r="BT928" s="7">
        <f>Wapato_Inventory[[#This Row],[land_value]]</f>
        <v>53900</v>
      </c>
      <c r="BU928" s="2">
        <f>_xlfn.IFNA(VLOOKUP(Wapato_Inventory[[#This Row],[quality]],Lookups!$A$28:$C$37,3,FALSE),1)</f>
        <v>0.96265813922927435</v>
      </c>
      <c r="BV928" s="2">
        <f>_xlfn.IFNA(VLOOKUP(Wapato_Inventory[[#This Row],[condition]],Lookups!$A$41:$C$48,3,FALSE),1)</f>
        <v>0.98442438223270734</v>
      </c>
      <c r="BW928" s="2">
        <f>IF(Wapato_Inventory[[#This Row],[decade]]="",1,_xlfn.IFNA(VLOOKUP(Wapato_Inventory[[#This Row],[decade]],Lookups!$F$28:$H$45,3,FALSE),1))</f>
        <v>0.8438929209510081</v>
      </c>
      <c r="BX928" s="2">
        <f>_xlfn.IFNA(VLOOKUP(Wapato_Inventory[[#This Row],[living_area_range]],Lookups!$K$28:$M$37,3,FALSE),1)</f>
        <v>1.0061411172456287</v>
      </c>
      <c r="BY928" s="2">
        <f>AVERAGE(Wapato_Inventory[[#This Row],[qual_adj]:[range_adj]])</f>
        <v>0.94927913991465462</v>
      </c>
      <c r="BZ928" s="7">
        <f>(Wapato_Inventory[[#This Row],[sum_land]]-IF(Wapato_Inventory[[#This Row],[no_utilities]]=1,12000,0))/IF(Wapato_Inventory[[#This Row],[unbuildable]]=1,2,1)</f>
        <v>53900</v>
      </c>
      <c r="CA928" s="7">
        <f>Wapato_Inventory[[#This Row],[pre_res]]*Wapato_Inventory[[#This Row],[overall_adj]]</f>
        <v>187903.28999281453</v>
      </c>
      <c r="CB928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28" s="3">
        <f>IF(ROUND(Wapato_Inventory[[#This Row],[adj_res]]*Lookups!$H$48,-2)&lt;Wapato_Inventory[[#This Row],[min_res]],Wapato_Inventory[[#This Row],[min_res]],ROUND(Wapato_Inventory[[#This Row],[adj_res]]*Lookups!$H$48,-2))</f>
        <v>178500</v>
      </c>
      <c r="CD928" s="3">
        <f>ROUND(Wapato_Inventory[[#This Row],[det_value]]*Lookups!$H$48,-2)</f>
        <v>0</v>
      </c>
      <c r="CE928" s="3">
        <f>Wapato_Inventory[[#This Row],[final_res]]+Wapato_Inventory[[#This Row],[final_det]]</f>
        <v>178500</v>
      </c>
      <c r="CF928" s="3">
        <f>Wapato_Inventory[[#This Row],[crop_value]]+Wapato_Inventory[[#This Row],[final_land]]+Wapato_Inventory[[#This Row],[final_imp]]</f>
        <v>229700</v>
      </c>
      <c r="CH928" t="str">
        <f t="shared" si="14"/>
        <v>update valuation set market_land =51200, market_bldg=178500, market_total =229700, market_mdno =405, market_date ='9/10/2023' where link_id = (select link_id from parcel where parcel_year = '2024' and parcel_id = '19111521420');</v>
      </c>
    </row>
    <row r="929" spans="1:86" x14ac:dyDescent="0.25">
      <c r="A929">
        <v>19111521421</v>
      </c>
      <c r="B929">
        <v>0.21</v>
      </c>
      <c r="C929">
        <v>9253</v>
      </c>
      <c r="D929" t="s">
        <v>144</v>
      </c>
      <c r="E929" t="s">
        <v>54</v>
      </c>
      <c r="F929" t="s">
        <v>54</v>
      </c>
      <c r="G929">
        <v>3</v>
      </c>
      <c r="H929" t="s">
        <v>55</v>
      </c>
      <c r="I929">
        <v>132000</v>
      </c>
      <c r="J929">
        <v>34300</v>
      </c>
      <c r="K929">
        <v>0.21</v>
      </c>
      <c r="L929">
        <f>IF(Wapato_Inventory[[#This Row],[parcel_acres]]-Wapato_Inventory[[#This Row],[non_valued_acres]] =0,0,LN(Wapato_Inventory[[#This Row],[parcel_acres]]-Wapato_Inventory[[#This Row],[non_valued_acres]]))</f>
        <v>-1.5606477482646683</v>
      </c>
      <c r="M929">
        <v>0</v>
      </c>
      <c r="N929">
        <v>0</v>
      </c>
      <c r="O929">
        <v>0</v>
      </c>
      <c r="P929">
        <v>27904.037</v>
      </c>
      <c r="Q929">
        <v>74398</v>
      </c>
      <c r="R929" s="3">
        <f>(Wapato_Inventory[[#This Row],[ln_acres]]*Wapato_Inventory[[#This Row],[coeff]])+Wapato_Inventory[[#This Row],[const]]</f>
        <v>30849.627488456012</v>
      </c>
      <c r="S929" t="s">
        <v>66</v>
      </c>
      <c r="T929">
        <v>1</v>
      </c>
      <c r="U929" t="s">
        <v>71</v>
      </c>
      <c r="V929" t="s">
        <v>68</v>
      </c>
      <c r="W929">
        <v>0</v>
      </c>
      <c r="X929">
        <v>0</v>
      </c>
      <c r="Y929">
        <v>50</v>
      </c>
      <c r="Z929">
        <v>73</v>
      </c>
      <c r="AA929">
        <v>80</v>
      </c>
      <c r="AB929">
        <v>1500</v>
      </c>
      <c r="AC929">
        <v>1268</v>
      </c>
      <c r="AD929">
        <v>1268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588</v>
      </c>
      <c r="AL929">
        <v>0</v>
      </c>
      <c r="AM929">
        <v>0</v>
      </c>
      <c r="AN929">
        <v>0</v>
      </c>
      <c r="AO929">
        <v>0</v>
      </c>
      <c r="AP929">
        <v>5</v>
      </c>
      <c r="AQ929">
        <v>1</v>
      </c>
      <c r="AR929">
        <v>0</v>
      </c>
      <c r="AS929" t="s">
        <v>59</v>
      </c>
      <c r="AT929">
        <v>1</v>
      </c>
      <c r="AU929" t="s">
        <v>76</v>
      </c>
      <c r="AV929" t="s">
        <v>61</v>
      </c>
      <c r="AW929">
        <v>0</v>
      </c>
      <c r="AX929">
        <v>2</v>
      </c>
      <c r="AY929">
        <v>0</v>
      </c>
      <c r="AZ929">
        <v>0</v>
      </c>
      <c r="BA929">
        <v>100</v>
      </c>
      <c r="BB929">
        <v>100</v>
      </c>
      <c r="BC929">
        <v>100</v>
      </c>
      <c r="BD929">
        <v>100</v>
      </c>
      <c r="BE929">
        <v>1</v>
      </c>
      <c r="BF929">
        <v>15000</v>
      </c>
      <c r="BG929">
        <v>1000</v>
      </c>
      <c r="BH929" s="7">
        <f>ROUND(Wapato_Inventory[[#This Row],[detatched_value]]*Lookups!$B$22*Lookups!$H$48,-2)</f>
        <v>0</v>
      </c>
      <c r="BI929" s="7">
        <f>ROUND(((Wapato_Inventory[[#This Row],[land_extract]]*Lookups!$B$3) +(Lookups!$B$2*0.5))*Lookups!$H$48,-2)</f>
        <v>54100</v>
      </c>
      <c r="BJ929" s="7">
        <f>IF(Wapato_Inventory[[#This Row],[bldg_style]]="",0,Lookups!$B$2*0.5)</f>
        <v>53765.27</v>
      </c>
      <c r="BK929" s="7">
        <f>_xlfn.IFNA(VLOOKUP(Wapato_Inventory[[#This Row],[quality]],Lookups!$H$2:$J$14,3,FALSE),0)</f>
        <v>28034</v>
      </c>
      <c r="BL929" s="7">
        <f>_xlfn.IFNA(VLOOKUP(Wapato_Inventory[[#This Row],[condition]],Lookups!$H$17:$J$24,3,FALSE),0)</f>
        <v>52231</v>
      </c>
      <c r="BM929" s="7">
        <f>Wapato_Inventory[[#This Row],[Age]]*Lookups!$B$16</f>
        <v>-27059.326100000002</v>
      </c>
      <c r="BN929" s="7">
        <f>Wapato_Inventory[[#This Row],[Main Floor]]*Lookups!$B$17</f>
        <v>53003.337052000003</v>
      </c>
      <c r="BO929" s="7">
        <f>Wapato_Inventory[[#This Row],[Upper Floor]]*Lookups!$B$18</f>
        <v>0</v>
      </c>
      <c r="BP929" s="7">
        <f>Wapato_Inventory[[#This Row],[Fin BSMT]]*Lookups!$B$19</f>
        <v>0</v>
      </c>
      <c r="BQ929" s="7">
        <f>(Wapato_Inventory[[#This Row],[att_gar]]+Wapato_Inventory[[#This Row],[blt_gar]])*Lookups!$B$20</f>
        <v>0</v>
      </c>
      <c r="BR929" s="7">
        <f>Wapato_Inventory[[#This Row],[Patio]]*Lookups!$B$21</f>
        <v>0</v>
      </c>
      <c r="BS929" s="7">
        <f>SUM(Wapato_Inventory[[#This Row],[intercept]:[patio_value]])*Wapato_Inventory[[#This Row],[res_pct]]</f>
        <v>159974.280952</v>
      </c>
      <c r="BT929" s="7">
        <f>Wapato_Inventory[[#This Row],[land_value]]</f>
        <v>54100</v>
      </c>
      <c r="BU929" s="2">
        <f>_xlfn.IFNA(VLOOKUP(Wapato_Inventory[[#This Row],[quality]],Lookups!$A$28:$C$37,3,FALSE),1)</f>
        <v>0.96265813922927435</v>
      </c>
      <c r="BV929" s="2">
        <f>_xlfn.IFNA(VLOOKUP(Wapato_Inventory[[#This Row],[condition]],Lookups!$A$41:$C$48,3,FALSE),1)</f>
        <v>0.9832333997567807</v>
      </c>
      <c r="BW929" s="2">
        <f>IF(Wapato_Inventory[[#This Row],[decade]]="",1,_xlfn.IFNA(VLOOKUP(Wapato_Inventory[[#This Row],[decade]],Lookups!$F$28:$H$45,3,FALSE),1))</f>
        <v>0.8438929209510081</v>
      </c>
      <c r="BX929" s="2">
        <f>_xlfn.IFNA(VLOOKUP(Wapato_Inventory[[#This Row],[living_area_range]],Lookups!$K$28:$M$37,3,FALSE),1)</f>
        <v>1.0061411172456287</v>
      </c>
      <c r="BY929" s="2">
        <f>AVERAGE(Wapato_Inventory[[#This Row],[qual_adj]:[range_adj]])</f>
        <v>0.94898139429567296</v>
      </c>
      <c r="BZ929" s="7">
        <f>(Wapato_Inventory[[#This Row],[sum_land]]-IF(Wapato_Inventory[[#This Row],[no_utilities]]=1,12000,0))/IF(Wapato_Inventory[[#This Row],[unbuildable]]=1,2,1)</f>
        <v>54100</v>
      </c>
      <c r="CA929" s="7">
        <f>Wapato_Inventory[[#This Row],[pre_res]]*Wapato_Inventory[[#This Row],[overall_adj]]</f>
        <v>151812.61618927668</v>
      </c>
      <c r="CB929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29" s="3">
        <f>IF(ROUND(Wapato_Inventory[[#This Row],[adj_res]]*Lookups!$H$48,-2)&lt;Wapato_Inventory[[#This Row],[min_res]],Wapato_Inventory[[#This Row],[min_res]],ROUND(Wapato_Inventory[[#This Row],[adj_res]]*Lookups!$H$48,-2))</f>
        <v>144200</v>
      </c>
      <c r="CD929" s="3">
        <f>ROUND(Wapato_Inventory[[#This Row],[det_value]]*Lookups!$H$48,-2)</f>
        <v>0</v>
      </c>
      <c r="CE929" s="3">
        <f>Wapato_Inventory[[#This Row],[final_res]]+Wapato_Inventory[[#This Row],[final_det]]</f>
        <v>144200</v>
      </c>
      <c r="CF929" s="3">
        <f>Wapato_Inventory[[#This Row],[crop_value]]+Wapato_Inventory[[#This Row],[final_land]]+Wapato_Inventory[[#This Row],[final_imp]]</f>
        <v>195600</v>
      </c>
      <c r="CH929" t="str">
        <f t="shared" si="14"/>
        <v>update valuation set market_land =51400, market_bldg=144200, market_total =195600, market_mdno =405, market_date ='9/10/2023' where link_id = (select link_id from parcel where parcel_year = '2024' and parcel_id = '19111521421');</v>
      </c>
    </row>
    <row r="930" spans="1:86" x14ac:dyDescent="0.25">
      <c r="A930">
        <v>19111521422</v>
      </c>
      <c r="B930">
        <v>0.21</v>
      </c>
      <c r="C930">
        <v>9253</v>
      </c>
      <c r="D930" t="s">
        <v>144</v>
      </c>
      <c r="E930" t="s">
        <v>54</v>
      </c>
      <c r="F930" t="s">
        <v>54</v>
      </c>
      <c r="G930">
        <v>3</v>
      </c>
      <c r="H930" t="s">
        <v>55</v>
      </c>
      <c r="I930">
        <v>216300</v>
      </c>
      <c r="J930">
        <v>34300</v>
      </c>
      <c r="K930">
        <v>0.21</v>
      </c>
      <c r="L930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0">
        <v>0</v>
      </c>
      <c r="N930">
        <v>0</v>
      </c>
      <c r="O930">
        <v>0</v>
      </c>
      <c r="P930">
        <v>27904.037</v>
      </c>
      <c r="Q930">
        <v>74398</v>
      </c>
      <c r="R930" s="3">
        <f>(Wapato_Inventory[[#This Row],[ln_acres]]*Wapato_Inventory[[#This Row],[coeff]])+Wapato_Inventory[[#This Row],[const]]</f>
        <v>30849.627488456012</v>
      </c>
      <c r="S930" t="s">
        <v>66</v>
      </c>
      <c r="T930">
        <v>1</v>
      </c>
      <c r="U930" t="s">
        <v>75</v>
      </c>
      <c r="V930" t="s">
        <v>69</v>
      </c>
      <c r="W930">
        <v>0</v>
      </c>
      <c r="X930">
        <v>0</v>
      </c>
      <c r="Y930">
        <v>50</v>
      </c>
      <c r="Z930">
        <v>73</v>
      </c>
      <c r="AA930">
        <v>80</v>
      </c>
      <c r="AB930">
        <v>2000</v>
      </c>
      <c r="AC930">
        <v>1648</v>
      </c>
      <c r="AD930">
        <v>1648</v>
      </c>
      <c r="AE930">
        <v>0</v>
      </c>
      <c r="AF930">
        <v>0</v>
      </c>
      <c r="AG930">
        <v>0</v>
      </c>
      <c r="AH930">
        <v>0</v>
      </c>
      <c r="AI930">
        <v>0</v>
      </c>
      <c r="AJ930">
        <v>0</v>
      </c>
      <c r="AK930">
        <v>616</v>
      </c>
      <c r="AL930">
        <v>0</v>
      </c>
      <c r="AM930">
        <v>412</v>
      </c>
      <c r="AN930">
        <v>0</v>
      </c>
      <c r="AO930">
        <v>412</v>
      </c>
      <c r="AP930">
        <v>5</v>
      </c>
      <c r="AQ930">
        <v>0</v>
      </c>
      <c r="AR930">
        <v>0</v>
      </c>
      <c r="AS930" t="s">
        <v>59</v>
      </c>
      <c r="AT930">
        <v>0</v>
      </c>
      <c r="AU930" t="s">
        <v>80</v>
      </c>
      <c r="AV930" t="s">
        <v>77</v>
      </c>
      <c r="AW930">
        <v>0</v>
      </c>
      <c r="AX930">
        <v>3</v>
      </c>
      <c r="AY930">
        <v>0</v>
      </c>
      <c r="AZ930">
        <v>0</v>
      </c>
      <c r="BA930">
        <v>100</v>
      </c>
      <c r="BB930">
        <v>100</v>
      </c>
      <c r="BC930">
        <v>100</v>
      </c>
      <c r="BD930">
        <v>100</v>
      </c>
      <c r="BE930">
        <v>1</v>
      </c>
      <c r="BF930">
        <v>15000</v>
      </c>
      <c r="BG930">
        <v>1000</v>
      </c>
      <c r="BH930" s="7">
        <f>ROUND(Wapato_Inventory[[#This Row],[detatched_value]]*Lookups!$B$22*Lookups!$H$48,-2)</f>
        <v>0</v>
      </c>
      <c r="BI930" s="7">
        <f>ROUND(((Wapato_Inventory[[#This Row],[land_extract]]*Lookups!$B$3) +(Lookups!$B$2*0.5))*Lookups!$H$48,-2)</f>
        <v>54100</v>
      </c>
      <c r="BJ930" s="7">
        <f>IF(Wapato_Inventory[[#This Row],[bldg_style]]="",0,Lookups!$B$2*0.5)</f>
        <v>53765.27</v>
      </c>
      <c r="BK930" s="7">
        <f>_xlfn.IFNA(VLOOKUP(Wapato_Inventory[[#This Row],[quality]],Lookups!$H$2:$J$14,3,FALSE),0)</f>
        <v>48043</v>
      </c>
      <c r="BL930" s="7">
        <f>_xlfn.IFNA(VLOOKUP(Wapato_Inventory[[#This Row],[condition]],Lookups!$H$17:$J$24,3,FALSE),0)</f>
        <v>74543</v>
      </c>
      <c r="BM930" s="7">
        <f>Wapato_Inventory[[#This Row],[Age]]*Lookups!$B$16</f>
        <v>-27059.326100000002</v>
      </c>
      <c r="BN930" s="7">
        <f>Wapato_Inventory[[#This Row],[Main Floor]]*Lookups!$B$17</f>
        <v>68887.617872000003</v>
      </c>
      <c r="BO930" s="7">
        <f>Wapato_Inventory[[#This Row],[Upper Floor]]*Lookups!$B$18</f>
        <v>0</v>
      </c>
      <c r="BP930" s="7">
        <f>Wapato_Inventory[[#This Row],[Fin BSMT]]*Lookups!$B$19</f>
        <v>0</v>
      </c>
      <c r="BQ930" s="7">
        <f>(Wapato_Inventory[[#This Row],[att_gar]]+Wapato_Inventory[[#This Row],[blt_gar]])*Lookups!$B$20</f>
        <v>0</v>
      </c>
      <c r="BR930" s="7">
        <f>Wapato_Inventory[[#This Row],[Patio]]*Lookups!$B$21</f>
        <v>17849.479348000001</v>
      </c>
      <c r="BS930" s="7">
        <f>SUM(Wapato_Inventory[[#This Row],[intercept]:[patio_value]])*Wapato_Inventory[[#This Row],[res_pct]]</f>
        <v>236029.04111999998</v>
      </c>
      <c r="BT930" s="7">
        <f>Wapato_Inventory[[#This Row],[land_value]]</f>
        <v>54100</v>
      </c>
      <c r="BU930" s="2">
        <f>_xlfn.IFNA(VLOOKUP(Wapato_Inventory[[#This Row],[quality]],Lookups!$A$28:$C$37,3,FALSE),1)</f>
        <v>0.98196844879778955</v>
      </c>
      <c r="BV930" s="2">
        <f>_xlfn.IFNA(VLOOKUP(Wapato_Inventory[[#This Row],[condition]],Lookups!$A$41:$C$48,3,FALSE),1)</f>
        <v>0.98442438223270734</v>
      </c>
      <c r="BW930" s="2">
        <f>IF(Wapato_Inventory[[#This Row],[decade]]="",1,_xlfn.IFNA(VLOOKUP(Wapato_Inventory[[#This Row],[decade]],Lookups!$F$28:$H$45,3,FALSE),1))</f>
        <v>0.8438929209510081</v>
      </c>
      <c r="BX930" s="2">
        <f>_xlfn.IFNA(VLOOKUP(Wapato_Inventory[[#This Row],[living_area_range]],Lookups!$K$28:$M$37,3,FALSE),1)</f>
        <v>0.99330894324714125</v>
      </c>
      <c r="BY930" s="2">
        <f>AVERAGE(Wapato_Inventory[[#This Row],[qual_adj]:[range_adj]])</f>
        <v>0.95089867380716153</v>
      </c>
      <c r="BZ930" s="7">
        <f>(Wapato_Inventory[[#This Row],[sum_land]]-IF(Wapato_Inventory[[#This Row],[no_utilities]]=1,12000,0))/IF(Wapato_Inventory[[#This Row],[unbuildable]]=1,2,1)</f>
        <v>54100</v>
      </c>
      <c r="CA930" s="7">
        <f>Wapato_Inventory[[#This Row],[pre_res]]*Wapato_Inventory[[#This Row],[overall_adj]]</f>
        <v>224439.70218098396</v>
      </c>
      <c r="CB930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0" s="3">
        <f>IF(ROUND(Wapato_Inventory[[#This Row],[adj_res]]*Lookups!$H$48,-2)&lt;Wapato_Inventory[[#This Row],[min_res]],Wapato_Inventory[[#This Row],[min_res]],ROUND(Wapato_Inventory[[#This Row],[adj_res]]*Lookups!$H$48,-2))</f>
        <v>213200</v>
      </c>
      <c r="CD930" s="3">
        <f>ROUND(Wapato_Inventory[[#This Row],[det_value]]*Lookups!$H$48,-2)</f>
        <v>0</v>
      </c>
      <c r="CE930" s="3">
        <f>Wapato_Inventory[[#This Row],[final_res]]+Wapato_Inventory[[#This Row],[final_det]]</f>
        <v>213200</v>
      </c>
      <c r="CF930" s="3">
        <f>Wapato_Inventory[[#This Row],[crop_value]]+Wapato_Inventory[[#This Row],[final_land]]+Wapato_Inventory[[#This Row],[final_imp]]</f>
        <v>264600</v>
      </c>
      <c r="CH930" t="str">
        <f t="shared" si="14"/>
        <v>update valuation set market_land =51400, market_bldg=213200, market_total =264600, market_mdno =405, market_date ='9/10/2023' where link_id = (select link_id from parcel where parcel_year = '2024' and parcel_id = '19111521422');</v>
      </c>
    </row>
    <row r="931" spans="1:86" x14ac:dyDescent="0.25">
      <c r="A931">
        <v>19111521423</v>
      </c>
      <c r="B931">
        <v>0.21</v>
      </c>
      <c r="C931">
        <v>9253</v>
      </c>
      <c r="D931" t="s">
        <v>144</v>
      </c>
      <c r="E931" t="s">
        <v>54</v>
      </c>
      <c r="F931" t="s">
        <v>54</v>
      </c>
      <c r="G931">
        <v>3</v>
      </c>
      <c r="H931" t="s">
        <v>55</v>
      </c>
      <c r="I931">
        <v>135700</v>
      </c>
      <c r="J931">
        <v>34300</v>
      </c>
      <c r="K931">
        <v>0.21</v>
      </c>
      <c r="L931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1">
        <v>0</v>
      </c>
      <c r="N931">
        <v>0</v>
      </c>
      <c r="O931">
        <v>0</v>
      </c>
      <c r="P931">
        <v>27904.037</v>
      </c>
      <c r="Q931">
        <v>74398</v>
      </c>
      <c r="R931" s="3">
        <f>(Wapato_Inventory[[#This Row],[ln_acres]]*Wapato_Inventory[[#This Row],[coeff]])+Wapato_Inventory[[#This Row],[const]]</f>
        <v>30849.627488456012</v>
      </c>
      <c r="S931" t="s">
        <v>66</v>
      </c>
      <c r="T931">
        <v>1</v>
      </c>
      <c r="U931" t="s">
        <v>71</v>
      </c>
      <c r="V931" t="s">
        <v>73</v>
      </c>
      <c r="W931">
        <v>0</v>
      </c>
      <c r="X931">
        <v>0</v>
      </c>
      <c r="Y931">
        <v>50</v>
      </c>
      <c r="Z931">
        <v>73</v>
      </c>
      <c r="AA931">
        <v>80</v>
      </c>
      <c r="AB931">
        <v>1500</v>
      </c>
      <c r="AC931">
        <v>1490</v>
      </c>
      <c r="AD931">
        <v>1490</v>
      </c>
      <c r="AE931">
        <v>0</v>
      </c>
      <c r="AF931">
        <v>0</v>
      </c>
      <c r="AG931">
        <v>0</v>
      </c>
      <c r="AH931">
        <v>0</v>
      </c>
      <c r="AI931">
        <v>0</v>
      </c>
      <c r="AJ931">
        <v>0</v>
      </c>
      <c r="AK931">
        <v>280</v>
      </c>
      <c r="AL931">
        <v>0</v>
      </c>
      <c r="AM931">
        <v>266</v>
      </c>
      <c r="AN931">
        <v>64</v>
      </c>
      <c r="AO931">
        <v>266</v>
      </c>
      <c r="AP931">
        <v>5</v>
      </c>
      <c r="AQ931">
        <v>1</v>
      </c>
      <c r="AR931">
        <v>0</v>
      </c>
      <c r="AS931" t="s">
        <v>59</v>
      </c>
      <c r="AT931">
        <v>1</v>
      </c>
      <c r="AU931" t="s">
        <v>72</v>
      </c>
      <c r="AV931" t="s">
        <v>61</v>
      </c>
      <c r="AW931">
        <v>0</v>
      </c>
      <c r="AX931">
        <v>3</v>
      </c>
      <c r="AY931">
        <v>0</v>
      </c>
      <c r="AZ931">
        <v>20900</v>
      </c>
      <c r="BA931">
        <v>100</v>
      </c>
      <c r="BB931">
        <v>100</v>
      </c>
      <c r="BC931">
        <v>100</v>
      </c>
      <c r="BD931">
        <v>100</v>
      </c>
      <c r="BE931">
        <v>1</v>
      </c>
      <c r="BF931">
        <v>15000</v>
      </c>
      <c r="BG931">
        <v>1000</v>
      </c>
      <c r="BH931" s="7">
        <f>ROUND(Wapato_Inventory[[#This Row],[detatched_value]]*Lookups!$B$22*Lookups!$H$48,-2)</f>
        <v>18700</v>
      </c>
      <c r="BI931" s="7">
        <f>ROUND(((Wapato_Inventory[[#This Row],[land_extract]]*Lookups!$B$3) +(Lookups!$B$2*0.5))*Lookups!$H$48,-2)</f>
        <v>54100</v>
      </c>
      <c r="BJ931" s="7">
        <f>IF(Wapato_Inventory[[#This Row],[bldg_style]]="",0,Lookups!$B$2*0.5)</f>
        <v>53765.27</v>
      </c>
      <c r="BK931" s="7">
        <f>_xlfn.IFNA(VLOOKUP(Wapato_Inventory[[#This Row],[quality]],Lookups!$H$2:$J$14,3,FALSE),0)</f>
        <v>28034</v>
      </c>
      <c r="BL931" s="7">
        <f>_xlfn.IFNA(VLOOKUP(Wapato_Inventory[[#This Row],[condition]],Lookups!$H$17:$J$24,3,FALSE),0)</f>
        <v>16276</v>
      </c>
      <c r="BM931" s="7">
        <f>Wapato_Inventory[[#This Row],[Age]]*Lookups!$B$16</f>
        <v>-27059.326100000002</v>
      </c>
      <c r="BN931" s="7">
        <f>Wapato_Inventory[[#This Row],[Main Floor]]*Lookups!$B$17</f>
        <v>62283.101110000003</v>
      </c>
      <c r="BO931" s="7">
        <f>Wapato_Inventory[[#This Row],[Upper Floor]]*Lookups!$B$18</f>
        <v>0</v>
      </c>
      <c r="BP931" s="7">
        <f>Wapato_Inventory[[#This Row],[Fin BSMT]]*Lookups!$B$19</f>
        <v>0</v>
      </c>
      <c r="BQ931" s="7">
        <f>(Wapato_Inventory[[#This Row],[att_gar]]+Wapato_Inventory[[#This Row],[blt_gar]])*Lookups!$B$20</f>
        <v>0</v>
      </c>
      <c r="BR931" s="7">
        <f>Wapato_Inventory[[#This Row],[Patio]]*Lookups!$B$21</f>
        <v>11524.178414</v>
      </c>
      <c r="BS931" s="7">
        <f>SUM(Wapato_Inventory[[#This Row],[intercept]:[patio_value]])*Wapato_Inventory[[#This Row],[res_pct]]</f>
        <v>144823.223424</v>
      </c>
      <c r="BT931" s="7">
        <f>Wapato_Inventory[[#This Row],[land_value]]</f>
        <v>54100</v>
      </c>
      <c r="BU931" s="2">
        <f>_xlfn.IFNA(VLOOKUP(Wapato_Inventory[[#This Row],[quality]],Lookups!$A$28:$C$37,3,FALSE),1)</f>
        <v>0.96265813922927435</v>
      </c>
      <c r="BV931" s="2">
        <f>_xlfn.IFNA(VLOOKUP(Wapato_Inventory[[#This Row],[condition]],Lookups!$A$41:$C$48,3,FALSE),1)</f>
        <v>0.93399385491337139</v>
      </c>
      <c r="BW931" s="2">
        <f>IF(Wapato_Inventory[[#This Row],[decade]]="",1,_xlfn.IFNA(VLOOKUP(Wapato_Inventory[[#This Row],[decade]],Lookups!$F$28:$H$45,3,FALSE),1))</f>
        <v>0.8438929209510081</v>
      </c>
      <c r="BX931" s="2">
        <f>_xlfn.IFNA(VLOOKUP(Wapato_Inventory[[#This Row],[living_area_range]],Lookups!$K$28:$M$37,3,FALSE),1)</f>
        <v>1.0061411172456287</v>
      </c>
      <c r="BY931" s="2">
        <f>AVERAGE(Wapato_Inventory[[#This Row],[qual_adj]:[range_adj]])</f>
        <v>0.93667150808482069</v>
      </c>
      <c r="BZ931" s="7">
        <f>(Wapato_Inventory[[#This Row],[sum_land]]-IF(Wapato_Inventory[[#This Row],[no_utilities]]=1,12000,0))/IF(Wapato_Inventory[[#This Row],[unbuildable]]=1,2,1)</f>
        <v>54100</v>
      </c>
      <c r="CA931" s="7">
        <f>Wapato_Inventory[[#This Row],[pre_res]]*Wapato_Inventory[[#This Row],[overall_adj]]</f>
        <v>135651.78709026301</v>
      </c>
      <c r="CB931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1" s="3">
        <f>IF(ROUND(Wapato_Inventory[[#This Row],[adj_res]]*Lookups!$H$48,-2)&lt;Wapato_Inventory[[#This Row],[min_res]],Wapato_Inventory[[#This Row],[min_res]],ROUND(Wapato_Inventory[[#This Row],[adj_res]]*Lookups!$H$48,-2))</f>
        <v>128900</v>
      </c>
      <c r="CD931" s="3">
        <f>ROUND(Wapato_Inventory[[#This Row],[det_value]]*Lookups!$H$48,-2)</f>
        <v>17800</v>
      </c>
      <c r="CE931" s="3">
        <f>Wapato_Inventory[[#This Row],[final_res]]+Wapato_Inventory[[#This Row],[final_det]]</f>
        <v>146700</v>
      </c>
      <c r="CF931" s="3">
        <f>Wapato_Inventory[[#This Row],[crop_value]]+Wapato_Inventory[[#This Row],[final_land]]+Wapato_Inventory[[#This Row],[final_imp]]</f>
        <v>198100</v>
      </c>
      <c r="CH931" t="str">
        <f t="shared" si="14"/>
        <v>update valuation set market_land =51400, market_bldg=146700, market_total =198100, market_mdno =405, market_date ='9/10/2023' where link_id = (select link_id from parcel where parcel_year = '2024' and parcel_id = '19111521423');</v>
      </c>
    </row>
    <row r="932" spans="1:86" x14ac:dyDescent="0.25">
      <c r="A932">
        <v>19111521424</v>
      </c>
      <c r="B932">
        <v>0.21</v>
      </c>
      <c r="C932">
        <v>9253</v>
      </c>
      <c r="D932" t="s">
        <v>144</v>
      </c>
      <c r="E932" t="s">
        <v>54</v>
      </c>
      <c r="F932" t="s">
        <v>54</v>
      </c>
      <c r="G932">
        <v>3</v>
      </c>
      <c r="H932" t="s">
        <v>55</v>
      </c>
      <c r="I932">
        <v>138700</v>
      </c>
      <c r="J932">
        <v>34300</v>
      </c>
      <c r="K932">
        <v>0.21</v>
      </c>
      <c r="L932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2">
        <v>0</v>
      </c>
      <c r="N932">
        <v>0</v>
      </c>
      <c r="O932">
        <v>0</v>
      </c>
      <c r="P932">
        <v>27904.037</v>
      </c>
      <c r="Q932">
        <v>74398</v>
      </c>
      <c r="R932" s="3">
        <f>(Wapato_Inventory[[#This Row],[ln_acres]]*Wapato_Inventory[[#This Row],[coeff]])+Wapato_Inventory[[#This Row],[const]]</f>
        <v>30849.627488456012</v>
      </c>
      <c r="S932" t="s">
        <v>66</v>
      </c>
      <c r="T932">
        <v>1</v>
      </c>
      <c r="U932" t="s">
        <v>75</v>
      </c>
      <c r="V932" t="s">
        <v>68</v>
      </c>
      <c r="W932">
        <v>0</v>
      </c>
      <c r="X932">
        <v>0</v>
      </c>
      <c r="Y932">
        <v>49</v>
      </c>
      <c r="Z932">
        <v>68</v>
      </c>
      <c r="AA932">
        <v>70</v>
      </c>
      <c r="AB932">
        <v>1000</v>
      </c>
      <c r="AC932">
        <v>788</v>
      </c>
      <c r="AD932">
        <v>788</v>
      </c>
      <c r="AE932">
        <v>0</v>
      </c>
      <c r="AF932">
        <v>0</v>
      </c>
      <c r="AG932">
        <v>0</v>
      </c>
      <c r="AH932">
        <v>0</v>
      </c>
      <c r="AI932">
        <v>0</v>
      </c>
      <c r="AJ932">
        <v>0</v>
      </c>
      <c r="AK932">
        <v>143</v>
      </c>
      <c r="AL932">
        <v>0</v>
      </c>
      <c r="AM932">
        <v>401</v>
      </c>
      <c r="AN932">
        <v>0</v>
      </c>
      <c r="AO932">
        <v>401</v>
      </c>
      <c r="AP932">
        <v>5</v>
      </c>
      <c r="AQ932">
        <v>0</v>
      </c>
      <c r="AR932">
        <v>1</v>
      </c>
      <c r="AS932" t="s">
        <v>59</v>
      </c>
      <c r="AT932">
        <v>1</v>
      </c>
      <c r="AU932" t="s">
        <v>76</v>
      </c>
      <c r="AV932" t="s">
        <v>61</v>
      </c>
      <c r="AW932">
        <v>0</v>
      </c>
      <c r="AX932">
        <v>2</v>
      </c>
      <c r="AY932">
        <v>0</v>
      </c>
      <c r="AZ932">
        <v>5400</v>
      </c>
      <c r="BA932">
        <v>100</v>
      </c>
      <c r="BB932">
        <v>100</v>
      </c>
      <c r="BC932">
        <v>100</v>
      </c>
      <c r="BD932">
        <v>100</v>
      </c>
      <c r="BE932">
        <v>1</v>
      </c>
      <c r="BF932">
        <v>15000</v>
      </c>
      <c r="BG932">
        <v>1000</v>
      </c>
      <c r="BH932" s="7">
        <f>ROUND(Wapato_Inventory[[#This Row],[detatched_value]]*Lookups!$B$22*Lookups!$H$48,-2)</f>
        <v>4800</v>
      </c>
      <c r="BI932" s="7">
        <f>ROUND(((Wapato_Inventory[[#This Row],[land_extract]]*Lookups!$B$3) +(Lookups!$B$2*0.5))*Lookups!$H$48,-2)</f>
        <v>54100</v>
      </c>
      <c r="BJ932" s="7">
        <f>IF(Wapato_Inventory[[#This Row],[bldg_style]]="",0,Lookups!$B$2*0.5)</f>
        <v>53765.27</v>
      </c>
      <c r="BK932" s="7">
        <f>_xlfn.IFNA(VLOOKUP(Wapato_Inventory[[#This Row],[quality]],Lookups!$H$2:$J$14,3,FALSE),0)</f>
        <v>48043</v>
      </c>
      <c r="BL932" s="7">
        <f>_xlfn.IFNA(VLOOKUP(Wapato_Inventory[[#This Row],[condition]],Lookups!$H$17:$J$24,3,FALSE),0)</f>
        <v>52231</v>
      </c>
      <c r="BM932" s="7">
        <f>Wapato_Inventory[[#This Row],[Age]]*Lookups!$B$16</f>
        <v>-25205.9476</v>
      </c>
      <c r="BN932" s="7">
        <f>Wapato_Inventory[[#This Row],[Main Floor]]*Lookups!$B$17</f>
        <v>32938.982332</v>
      </c>
      <c r="BO932" s="7">
        <f>Wapato_Inventory[[#This Row],[Upper Floor]]*Lookups!$B$18</f>
        <v>0</v>
      </c>
      <c r="BP932" s="7">
        <f>Wapato_Inventory[[#This Row],[Fin BSMT]]*Lookups!$B$19</f>
        <v>0</v>
      </c>
      <c r="BQ932" s="7">
        <f>(Wapato_Inventory[[#This Row],[att_gar]]+Wapato_Inventory[[#This Row],[blt_gar]])*Lookups!$B$20</f>
        <v>0</v>
      </c>
      <c r="BR932" s="7">
        <f>Wapato_Inventory[[#This Row],[Patio]]*Lookups!$B$21</f>
        <v>17372.915579</v>
      </c>
      <c r="BS932" s="7">
        <f>SUM(Wapato_Inventory[[#This Row],[intercept]:[patio_value]])*Wapato_Inventory[[#This Row],[res_pct]]</f>
        <v>179145.22031099998</v>
      </c>
      <c r="BT932" s="7">
        <f>Wapato_Inventory[[#This Row],[land_value]]</f>
        <v>54100</v>
      </c>
      <c r="BU932" s="2">
        <f>_xlfn.IFNA(VLOOKUP(Wapato_Inventory[[#This Row],[quality]],Lookups!$A$28:$C$37,3,FALSE),1)</f>
        <v>0.98196844879778955</v>
      </c>
      <c r="BV932" s="2">
        <f>_xlfn.IFNA(VLOOKUP(Wapato_Inventory[[#This Row],[condition]],Lookups!$A$41:$C$48,3,FALSE),1)</f>
        <v>0.9832333997567807</v>
      </c>
      <c r="BW932" s="2">
        <f>IF(Wapato_Inventory[[#This Row],[decade]]="",1,_xlfn.IFNA(VLOOKUP(Wapato_Inventory[[#This Row],[decade]],Lookups!$F$28:$H$45,3,FALSE),1))</f>
        <v>1.0012715221492001</v>
      </c>
      <c r="BX932" s="2">
        <f>_xlfn.IFNA(VLOOKUP(Wapato_Inventory[[#This Row],[living_area_range]],Lookups!$K$28:$M$37,3,FALSE),1)</f>
        <v>0.99022994770196116</v>
      </c>
      <c r="BY932" s="2">
        <f>AVERAGE(Wapato_Inventory[[#This Row],[qual_adj]:[range_adj]])</f>
        <v>0.98917582960143291</v>
      </c>
      <c r="BZ932" s="7">
        <f>(Wapato_Inventory[[#This Row],[sum_land]]-IF(Wapato_Inventory[[#This Row],[no_utilities]]=1,12000,0))/IF(Wapato_Inventory[[#This Row],[unbuildable]]=1,2,1)</f>
        <v>54100</v>
      </c>
      <c r="CA932" s="7">
        <f>Wapato_Inventory[[#This Row],[pre_res]]*Wapato_Inventory[[#This Row],[overall_adj]]</f>
        <v>177206.12192026488</v>
      </c>
      <c r="CB932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2" s="3">
        <f>IF(ROUND(Wapato_Inventory[[#This Row],[adj_res]]*Lookups!$H$48,-2)&lt;Wapato_Inventory[[#This Row],[min_res]],Wapato_Inventory[[#This Row],[min_res]],ROUND(Wapato_Inventory[[#This Row],[adj_res]]*Lookups!$H$48,-2))</f>
        <v>168300</v>
      </c>
      <c r="CD932" s="3">
        <f>ROUND(Wapato_Inventory[[#This Row],[det_value]]*Lookups!$H$48,-2)</f>
        <v>4600</v>
      </c>
      <c r="CE932" s="3">
        <f>Wapato_Inventory[[#This Row],[final_res]]+Wapato_Inventory[[#This Row],[final_det]]</f>
        <v>172900</v>
      </c>
      <c r="CF932" s="3">
        <f>Wapato_Inventory[[#This Row],[crop_value]]+Wapato_Inventory[[#This Row],[final_land]]+Wapato_Inventory[[#This Row],[final_imp]]</f>
        <v>224300</v>
      </c>
      <c r="CH932" t="str">
        <f t="shared" si="14"/>
        <v>update valuation set market_land =51400, market_bldg=172900, market_total =224300, market_mdno =405, market_date ='9/10/2023' where link_id = (select link_id from parcel where parcel_year = '2024' and parcel_id = '19111521424');</v>
      </c>
    </row>
    <row r="933" spans="1:86" x14ac:dyDescent="0.25">
      <c r="A933">
        <v>19111521425</v>
      </c>
      <c r="B933">
        <v>0.21</v>
      </c>
      <c r="C933">
        <v>9253</v>
      </c>
      <c r="D933" t="s">
        <v>144</v>
      </c>
      <c r="E933" t="s">
        <v>54</v>
      </c>
      <c r="F933" t="s">
        <v>54</v>
      </c>
      <c r="G933">
        <v>3</v>
      </c>
      <c r="H933" t="s">
        <v>55</v>
      </c>
      <c r="I933">
        <v>194900</v>
      </c>
      <c r="J933">
        <v>34300</v>
      </c>
      <c r="K933">
        <v>0.21</v>
      </c>
      <c r="L933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3">
        <v>0</v>
      </c>
      <c r="N933">
        <v>0</v>
      </c>
      <c r="O933">
        <v>0</v>
      </c>
      <c r="P933">
        <v>27904.037</v>
      </c>
      <c r="Q933">
        <v>74398</v>
      </c>
      <c r="R933" s="3">
        <f>(Wapato_Inventory[[#This Row],[ln_acres]]*Wapato_Inventory[[#This Row],[coeff]])+Wapato_Inventory[[#This Row],[const]]</f>
        <v>30849.627488456012</v>
      </c>
      <c r="S933" t="s">
        <v>66</v>
      </c>
      <c r="T933">
        <v>1</v>
      </c>
      <c r="U933" t="s">
        <v>75</v>
      </c>
      <c r="V933" t="s">
        <v>68</v>
      </c>
      <c r="W933">
        <v>0</v>
      </c>
      <c r="X933">
        <v>0</v>
      </c>
      <c r="Y933">
        <v>50</v>
      </c>
      <c r="Z933">
        <v>73</v>
      </c>
      <c r="AA933">
        <v>80</v>
      </c>
      <c r="AB933">
        <v>2000</v>
      </c>
      <c r="AC933">
        <v>1648</v>
      </c>
      <c r="AD933">
        <v>1648</v>
      </c>
      <c r="AE933">
        <v>0</v>
      </c>
      <c r="AF933">
        <v>0</v>
      </c>
      <c r="AG933">
        <v>0</v>
      </c>
      <c r="AH933">
        <v>0</v>
      </c>
      <c r="AI933">
        <v>352</v>
      </c>
      <c r="AJ933">
        <v>0</v>
      </c>
      <c r="AK933">
        <v>0</v>
      </c>
      <c r="AL933">
        <v>0</v>
      </c>
      <c r="AM933">
        <v>128</v>
      </c>
      <c r="AN933">
        <v>0</v>
      </c>
      <c r="AO933">
        <v>0</v>
      </c>
      <c r="AP933">
        <v>7</v>
      </c>
      <c r="AQ933">
        <v>0</v>
      </c>
      <c r="AR933">
        <v>0</v>
      </c>
      <c r="AS933" t="s">
        <v>59</v>
      </c>
      <c r="AT933">
        <v>0</v>
      </c>
      <c r="AU933" t="s">
        <v>80</v>
      </c>
      <c r="AV933" t="s">
        <v>65</v>
      </c>
      <c r="AW933">
        <v>0</v>
      </c>
      <c r="AX933">
        <v>4</v>
      </c>
      <c r="AY933">
        <v>0</v>
      </c>
      <c r="AZ933">
        <v>0</v>
      </c>
      <c r="BA933">
        <v>100</v>
      </c>
      <c r="BB933">
        <v>100</v>
      </c>
      <c r="BC933">
        <v>100</v>
      </c>
      <c r="BD933">
        <v>100</v>
      </c>
      <c r="BE933">
        <v>1</v>
      </c>
      <c r="BF933">
        <v>15000</v>
      </c>
      <c r="BG933">
        <v>1000</v>
      </c>
      <c r="BH933" s="7">
        <f>ROUND(Wapato_Inventory[[#This Row],[detatched_value]]*Lookups!$B$22*Lookups!$H$48,-2)</f>
        <v>0</v>
      </c>
      <c r="BI933" s="7">
        <f>ROUND(((Wapato_Inventory[[#This Row],[land_extract]]*Lookups!$B$3) +(Lookups!$B$2*0.5))*Lookups!$H$48,-2)</f>
        <v>54100</v>
      </c>
      <c r="BJ933" s="7">
        <f>IF(Wapato_Inventory[[#This Row],[bldg_style]]="",0,Lookups!$B$2*0.5)</f>
        <v>53765.27</v>
      </c>
      <c r="BK933" s="7">
        <f>_xlfn.IFNA(VLOOKUP(Wapato_Inventory[[#This Row],[quality]],Lookups!$H$2:$J$14,3,FALSE),0)</f>
        <v>48043</v>
      </c>
      <c r="BL933" s="7">
        <f>_xlfn.IFNA(VLOOKUP(Wapato_Inventory[[#This Row],[condition]],Lookups!$H$17:$J$24,3,FALSE),0)</f>
        <v>52231</v>
      </c>
      <c r="BM933" s="7">
        <f>Wapato_Inventory[[#This Row],[Age]]*Lookups!$B$16</f>
        <v>-27059.326100000002</v>
      </c>
      <c r="BN933" s="7">
        <f>Wapato_Inventory[[#This Row],[Main Floor]]*Lookups!$B$17</f>
        <v>68887.617872000003</v>
      </c>
      <c r="BO933" s="7">
        <f>Wapato_Inventory[[#This Row],[Upper Floor]]*Lookups!$B$18</f>
        <v>0</v>
      </c>
      <c r="BP933" s="7">
        <f>Wapato_Inventory[[#This Row],[Fin BSMT]]*Lookups!$B$19</f>
        <v>0</v>
      </c>
      <c r="BQ933" s="7">
        <f>(Wapato_Inventory[[#This Row],[att_gar]]+Wapato_Inventory[[#This Row],[blt_gar]])*Lookups!$B$20</f>
        <v>13027.080704</v>
      </c>
      <c r="BR933" s="7">
        <f>Wapato_Inventory[[#This Row],[Patio]]*Lookups!$B$21</f>
        <v>5545.4693120000002</v>
      </c>
      <c r="BS933" s="7">
        <f>SUM(Wapato_Inventory[[#This Row],[intercept]:[patio_value]])*Wapato_Inventory[[#This Row],[res_pct]]</f>
        <v>214440.11178799998</v>
      </c>
      <c r="BT933" s="7">
        <f>Wapato_Inventory[[#This Row],[land_value]]</f>
        <v>54100</v>
      </c>
      <c r="BU933" s="2">
        <f>_xlfn.IFNA(VLOOKUP(Wapato_Inventory[[#This Row],[quality]],Lookups!$A$28:$C$37,3,FALSE),1)</f>
        <v>0.98196844879778955</v>
      </c>
      <c r="BV933" s="2">
        <f>_xlfn.IFNA(VLOOKUP(Wapato_Inventory[[#This Row],[condition]],Lookups!$A$41:$C$48,3,FALSE),1)</f>
        <v>0.9832333997567807</v>
      </c>
      <c r="BW933" s="2">
        <f>IF(Wapato_Inventory[[#This Row],[decade]]="",1,_xlfn.IFNA(VLOOKUP(Wapato_Inventory[[#This Row],[decade]],Lookups!$F$28:$H$45,3,FALSE),1))</f>
        <v>0.8438929209510081</v>
      </c>
      <c r="BX933" s="2">
        <f>_xlfn.IFNA(VLOOKUP(Wapato_Inventory[[#This Row],[living_area_range]],Lookups!$K$28:$M$37,3,FALSE),1)</f>
        <v>0.99330894324714125</v>
      </c>
      <c r="BY933" s="2">
        <f>AVERAGE(Wapato_Inventory[[#This Row],[qual_adj]:[range_adj]])</f>
        <v>0.95060092818817987</v>
      </c>
      <c r="BZ933" s="7">
        <f>(Wapato_Inventory[[#This Row],[sum_land]]-IF(Wapato_Inventory[[#This Row],[no_utilities]]=1,12000,0))/IF(Wapato_Inventory[[#This Row],[unbuildable]]=1,2,1)</f>
        <v>54100</v>
      </c>
      <c r="CA933" s="7">
        <f>Wapato_Inventory[[#This Row],[pre_res]]*Wapato_Inventory[[#This Row],[overall_adj]]</f>
        <v>203846.96930644984</v>
      </c>
      <c r="CB933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3" s="3">
        <f>IF(ROUND(Wapato_Inventory[[#This Row],[adj_res]]*Lookups!$H$48,-2)&lt;Wapato_Inventory[[#This Row],[min_res]],Wapato_Inventory[[#This Row],[min_res]],ROUND(Wapato_Inventory[[#This Row],[adj_res]]*Lookups!$H$48,-2))</f>
        <v>193700</v>
      </c>
      <c r="CD933" s="3">
        <f>ROUND(Wapato_Inventory[[#This Row],[det_value]]*Lookups!$H$48,-2)</f>
        <v>0</v>
      </c>
      <c r="CE933" s="3">
        <f>Wapato_Inventory[[#This Row],[final_res]]+Wapato_Inventory[[#This Row],[final_det]]</f>
        <v>193700</v>
      </c>
      <c r="CF933" s="3">
        <f>Wapato_Inventory[[#This Row],[crop_value]]+Wapato_Inventory[[#This Row],[final_land]]+Wapato_Inventory[[#This Row],[final_imp]]</f>
        <v>245100</v>
      </c>
      <c r="CH933" t="str">
        <f t="shared" si="14"/>
        <v>update valuation set market_land =51400, market_bldg=193700, market_total =245100, market_mdno =405, market_date ='9/10/2023' where link_id = (select link_id from parcel where parcel_year = '2024' and parcel_id = '19111521425');</v>
      </c>
    </row>
    <row r="934" spans="1:86" x14ac:dyDescent="0.25">
      <c r="A934">
        <v>19111521426</v>
      </c>
      <c r="B934">
        <v>0.21</v>
      </c>
      <c r="C934">
        <v>9253</v>
      </c>
      <c r="D934" t="s">
        <v>144</v>
      </c>
      <c r="E934" t="s">
        <v>54</v>
      </c>
      <c r="F934" t="s">
        <v>54</v>
      </c>
      <c r="G934">
        <v>3</v>
      </c>
      <c r="H934" t="s">
        <v>55</v>
      </c>
      <c r="I934">
        <v>298000</v>
      </c>
      <c r="J934">
        <v>34300</v>
      </c>
      <c r="K934">
        <v>0.21</v>
      </c>
      <c r="L934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4">
        <v>0</v>
      </c>
      <c r="N934">
        <v>0</v>
      </c>
      <c r="O934">
        <v>0</v>
      </c>
      <c r="P934">
        <v>27904.037</v>
      </c>
      <c r="Q934">
        <v>74398</v>
      </c>
      <c r="R934" s="3">
        <f>(Wapato_Inventory[[#This Row],[ln_acres]]*Wapato_Inventory[[#This Row],[coeff]])+Wapato_Inventory[[#This Row],[const]]</f>
        <v>30849.627488456012</v>
      </c>
      <c r="S934" t="s">
        <v>56</v>
      </c>
      <c r="T934">
        <v>2</v>
      </c>
      <c r="U934" t="s">
        <v>63</v>
      </c>
      <c r="V934" t="s">
        <v>69</v>
      </c>
      <c r="W934">
        <v>0</v>
      </c>
      <c r="X934">
        <v>0</v>
      </c>
      <c r="Y934">
        <v>33</v>
      </c>
      <c r="Z934">
        <v>73</v>
      </c>
      <c r="AA934">
        <v>80</v>
      </c>
      <c r="AB934">
        <v>3500</v>
      </c>
      <c r="AC934">
        <v>3114</v>
      </c>
      <c r="AD934">
        <v>2112</v>
      </c>
      <c r="AE934">
        <v>1002</v>
      </c>
      <c r="AF934">
        <v>0</v>
      </c>
      <c r="AG934">
        <v>0</v>
      </c>
      <c r="AH934">
        <v>0</v>
      </c>
      <c r="AI934">
        <v>0</v>
      </c>
      <c r="AJ934">
        <v>0</v>
      </c>
      <c r="AK934">
        <v>0</v>
      </c>
      <c r="AL934">
        <v>0</v>
      </c>
      <c r="AM934">
        <v>0</v>
      </c>
      <c r="AN934">
        <v>330</v>
      </c>
      <c r="AO934">
        <v>0</v>
      </c>
      <c r="AP934">
        <v>10</v>
      </c>
      <c r="AQ934">
        <v>0</v>
      </c>
      <c r="AR934">
        <v>0</v>
      </c>
      <c r="AS934" t="s">
        <v>59</v>
      </c>
      <c r="AT934">
        <v>1</v>
      </c>
      <c r="AU934" t="s">
        <v>64</v>
      </c>
      <c r="AV934" t="s">
        <v>61</v>
      </c>
      <c r="AW934">
        <v>1</v>
      </c>
      <c r="AX934">
        <v>6</v>
      </c>
      <c r="AY934">
        <v>0</v>
      </c>
      <c r="AZ934">
        <v>6500</v>
      </c>
      <c r="BA934">
        <v>100</v>
      </c>
      <c r="BB934">
        <v>100</v>
      </c>
      <c r="BC934">
        <v>100</v>
      </c>
      <c r="BD934">
        <v>100</v>
      </c>
      <c r="BE934">
        <v>1</v>
      </c>
      <c r="BF934">
        <v>15000</v>
      </c>
      <c r="BG934">
        <v>1000</v>
      </c>
      <c r="BH934" s="7">
        <f>ROUND(Wapato_Inventory[[#This Row],[detatched_value]]*Lookups!$B$22*Lookups!$H$48,-2)</f>
        <v>5800</v>
      </c>
      <c r="BI934" s="7">
        <f>ROUND(((Wapato_Inventory[[#This Row],[land_extract]]*Lookups!$B$3) +(Lookups!$B$2*0.5))*Lookups!$H$48,-2)</f>
        <v>54100</v>
      </c>
      <c r="BJ934" s="7">
        <f>IF(Wapato_Inventory[[#This Row],[bldg_style]]="",0,Lookups!$B$2*0.5)</f>
        <v>53765.27</v>
      </c>
      <c r="BK934" s="7">
        <f>_xlfn.IFNA(VLOOKUP(Wapato_Inventory[[#This Row],[quality]],Lookups!$H$2:$J$14,3,FALSE),0)</f>
        <v>50594</v>
      </c>
      <c r="BL934" s="7">
        <f>_xlfn.IFNA(VLOOKUP(Wapato_Inventory[[#This Row],[condition]],Lookups!$H$17:$J$24,3,FALSE),0)</f>
        <v>74543</v>
      </c>
      <c r="BM934" s="7">
        <f>Wapato_Inventory[[#This Row],[Age]]*Lookups!$B$16</f>
        <v>-27059.326100000002</v>
      </c>
      <c r="BN934" s="7">
        <f>Wapato_Inventory[[#This Row],[Main Floor]]*Lookups!$B$17</f>
        <v>88283.160768000002</v>
      </c>
      <c r="BO934" s="7">
        <f>Wapato_Inventory[[#This Row],[Upper Floor]]*Lookups!$B$18</f>
        <v>49700.341278</v>
      </c>
      <c r="BP934" s="7">
        <f>Wapato_Inventory[[#This Row],[Fin BSMT]]*Lookups!$B$19</f>
        <v>0</v>
      </c>
      <c r="BQ934" s="7">
        <f>(Wapato_Inventory[[#This Row],[att_gar]]+Wapato_Inventory[[#This Row],[blt_gar]])*Lookups!$B$20</f>
        <v>0</v>
      </c>
      <c r="BR934" s="7">
        <f>Wapato_Inventory[[#This Row],[Patio]]*Lookups!$B$21</f>
        <v>0</v>
      </c>
      <c r="BS934" s="7">
        <f>SUM(Wapato_Inventory[[#This Row],[intercept]:[patio_value]])*Wapato_Inventory[[#This Row],[res_pct]]</f>
        <v>289826.44594599999</v>
      </c>
      <c r="BT934" s="7">
        <f>Wapato_Inventory[[#This Row],[land_value]]</f>
        <v>54100</v>
      </c>
      <c r="BU934" s="2">
        <f>_xlfn.IFNA(VLOOKUP(Wapato_Inventory[[#This Row],[quality]],Lookups!$A$28:$C$37,3,FALSE),1)</f>
        <v>0.99197423394367223</v>
      </c>
      <c r="BV934" s="2">
        <f>_xlfn.IFNA(VLOOKUP(Wapato_Inventory[[#This Row],[condition]],Lookups!$A$41:$C$48,3,FALSE),1)</f>
        <v>0.98442438223270734</v>
      </c>
      <c r="BW934" s="2">
        <f>IF(Wapato_Inventory[[#This Row],[decade]]="",1,_xlfn.IFNA(VLOOKUP(Wapato_Inventory[[#This Row],[decade]],Lookups!$F$28:$H$45,3,FALSE),1))</f>
        <v>0.8438929209510081</v>
      </c>
      <c r="BX934" s="2">
        <f>_xlfn.IFNA(VLOOKUP(Wapato_Inventory[[#This Row],[living_area_range]],Lookups!$K$28:$M$37,3,FALSE),1)</f>
        <v>1.0155869662067822</v>
      </c>
      <c r="BY934" s="2">
        <f>AVERAGE(Wapato_Inventory[[#This Row],[qual_adj]:[range_adj]])</f>
        <v>0.9589696258335425</v>
      </c>
      <c r="BZ934" s="7">
        <f>(Wapato_Inventory[[#This Row],[sum_land]]-IF(Wapato_Inventory[[#This Row],[no_utilities]]=1,12000,0))/IF(Wapato_Inventory[[#This Row],[unbuildable]]=1,2,1)</f>
        <v>54100</v>
      </c>
      <c r="CA934" s="7">
        <f>Wapato_Inventory[[#This Row],[pre_res]]*Wapato_Inventory[[#This Row],[overall_adj]]</f>
        <v>277934.75842550106</v>
      </c>
      <c r="CB934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4" s="3">
        <f>IF(ROUND(Wapato_Inventory[[#This Row],[adj_res]]*Lookups!$H$48,-2)&lt;Wapato_Inventory[[#This Row],[min_res]],Wapato_Inventory[[#This Row],[min_res]],ROUND(Wapato_Inventory[[#This Row],[adj_res]]*Lookups!$H$48,-2))</f>
        <v>264000</v>
      </c>
      <c r="CD934" s="3">
        <f>ROUND(Wapato_Inventory[[#This Row],[det_value]]*Lookups!$H$48,-2)</f>
        <v>5500</v>
      </c>
      <c r="CE934" s="3">
        <f>Wapato_Inventory[[#This Row],[final_res]]+Wapato_Inventory[[#This Row],[final_det]]</f>
        <v>269500</v>
      </c>
      <c r="CF934" s="3">
        <f>Wapato_Inventory[[#This Row],[crop_value]]+Wapato_Inventory[[#This Row],[final_land]]+Wapato_Inventory[[#This Row],[final_imp]]</f>
        <v>320900</v>
      </c>
      <c r="CH934" t="str">
        <f t="shared" si="14"/>
        <v>update valuation set market_land =51400, market_bldg=269500, market_total =320900, market_mdno =405, market_date ='9/10/2023' where link_id = (select link_id from parcel where parcel_year = '2024' and parcel_id = '19111521426');</v>
      </c>
    </row>
    <row r="935" spans="1:86" x14ac:dyDescent="0.25">
      <c r="A935">
        <v>19111521427</v>
      </c>
      <c r="B935">
        <v>0.21</v>
      </c>
      <c r="C935">
        <v>9253</v>
      </c>
      <c r="D935" t="s">
        <v>144</v>
      </c>
      <c r="E935" t="s">
        <v>54</v>
      </c>
      <c r="F935" t="s">
        <v>54</v>
      </c>
      <c r="G935">
        <v>3</v>
      </c>
      <c r="H935" t="s">
        <v>55</v>
      </c>
      <c r="I935">
        <v>220900</v>
      </c>
      <c r="J935">
        <v>34300</v>
      </c>
      <c r="K935">
        <v>0.21</v>
      </c>
      <c r="L935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5">
        <v>0</v>
      </c>
      <c r="N935">
        <v>0</v>
      </c>
      <c r="O935">
        <v>0</v>
      </c>
      <c r="P935">
        <v>27904.037</v>
      </c>
      <c r="Q935">
        <v>74398</v>
      </c>
      <c r="R935" s="3">
        <f>(Wapato_Inventory[[#This Row],[ln_acres]]*Wapato_Inventory[[#This Row],[coeff]])+Wapato_Inventory[[#This Row],[const]]</f>
        <v>30849.627488456012</v>
      </c>
      <c r="S935" t="s">
        <v>66</v>
      </c>
      <c r="T935">
        <v>1</v>
      </c>
      <c r="U935" t="s">
        <v>67</v>
      </c>
      <c r="V935" t="s">
        <v>69</v>
      </c>
      <c r="W935">
        <v>0</v>
      </c>
      <c r="X935">
        <v>0</v>
      </c>
      <c r="Y935">
        <v>49</v>
      </c>
      <c r="Z935">
        <v>68</v>
      </c>
      <c r="AA935">
        <v>70</v>
      </c>
      <c r="AB935">
        <v>1500</v>
      </c>
      <c r="AC935">
        <v>1255</v>
      </c>
      <c r="AD935">
        <v>1255</v>
      </c>
      <c r="AE935">
        <v>0</v>
      </c>
      <c r="AF935">
        <v>0</v>
      </c>
      <c r="AG935">
        <v>0</v>
      </c>
      <c r="AH935">
        <v>0</v>
      </c>
      <c r="AI935">
        <v>0</v>
      </c>
      <c r="AJ935">
        <v>0</v>
      </c>
      <c r="AK935">
        <v>627</v>
      </c>
      <c r="AL935">
        <v>0</v>
      </c>
      <c r="AM935">
        <v>0</v>
      </c>
      <c r="AN935">
        <v>0</v>
      </c>
      <c r="AO935">
        <v>230</v>
      </c>
      <c r="AP935">
        <v>8</v>
      </c>
      <c r="AQ935">
        <v>0</v>
      </c>
      <c r="AR935">
        <v>0</v>
      </c>
      <c r="AS935" t="s">
        <v>59</v>
      </c>
      <c r="AT935">
        <v>1</v>
      </c>
      <c r="AU935" t="s">
        <v>60</v>
      </c>
      <c r="AV935" t="s">
        <v>61</v>
      </c>
      <c r="AW935">
        <v>1</v>
      </c>
      <c r="AX935">
        <v>3</v>
      </c>
      <c r="AY935">
        <v>0</v>
      </c>
      <c r="AZ935">
        <v>0</v>
      </c>
      <c r="BA935">
        <v>100</v>
      </c>
      <c r="BB935">
        <v>100</v>
      </c>
      <c r="BC935">
        <v>100</v>
      </c>
      <c r="BD935">
        <v>100</v>
      </c>
      <c r="BE935">
        <v>1</v>
      </c>
      <c r="BF935">
        <v>15000</v>
      </c>
      <c r="BG935">
        <v>1000</v>
      </c>
      <c r="BH935" s="7">
        <f>ROUND(Wapato_Inventory[[#This Row],[detatched_value]]*Lookups!$B$22*Lookups!$H$48,-2)</f>
        <v>0</v>
      </c>
      <c r="BI935" s="7">
        <f>ROUND(((Wapato_Inventory[[#This Row],[land_extract]]*Lookups!$B$3) +(Lookups!$B$2*0.5))*Lookups!$H$48,-2)</f>
        <v>54100</v>
      </c>
      <c r="BJ935" s="7">
        <f>IF(Wapato_Inventory[[#This Row],[bldg_style]]="",0,Lookups!$B$2*0.5)</f>
        <v>53765.27</v>
      </c>
      <c r="BK935" s="7">
        <f>_xlfn.IFNA(VLOOKUP(Wapato_Inventory[[#This Row],[quality]],Lookups!$H$2:$J$14,3,FALSE),0)</f>
        <v>50405</v>
      </c>
      <c r="BL935" s="7">
        <f>_xlfn.IFNA(VLOOKUP(Wapato_Inventory[[#This Row],[condition]],Lookups!$H$17:$J$24,3,FALSE),0)</f>
        <v>74543</v>
      </c>
      <c r="BM935" s="7">
        <f>Wapato_Inventory[[#This Row],[Age]]*Lookups!$B$16</f>
        <v>-25205.9476</v>
      </c>
      <c r="BN935" s="7">
        <f>Wapato_Inventory[[#This Row],[Main Floor]]*Lookups!$B$17</f>
        <v>52459.927445000001</v>
      </c>
      <c r="BO935" s="7">
        <f>Wapato_Inventory[[#This Row],[Upper Floor]]*Lookups!$B$18</f>
        <v>0</v>
      </c>
      <c r="BP935" s="7">
        <f>Wapato_Inventory[[#This Row],[Fin BSMT]]*Lookups!$B$19</f>
        <v>0</v>
      </c>
      <c r="BQ935" s="7">
        <f>(Wapato_Inventory[[#This Row],[att_gar]]+Wapato_Inventory[[#This Row],[blt_gar]])*Lookups!$B$20</f>
        <v>0</v>
      </c>
      <c r="BR935" s="7">
        <f>Wapato_Inventory[[#This Row],[Patio]]*Lookups!$B$21</f>
        <v>0</v>
      </c>
      <c r="BS935" s="7">
        <f>SUM(Wapato_Inventory[[#This Row],[intercept]:[patio_value]])*Wapato_Inventory[[#This Row],[res_pct]]</f>
        <v>205967.24984500001</v>
      </c>
      <c r="BT935" s="7">
        <f>Wapato_Inventory[[#This Row],[land_value]]</f>
        <v>54100</v>
      </c>
      <c r="BU935" s="2">
        <f>_xlfn.IFNA(VLOOKUP(Wapato_Inventory[[#This Row],[quality]],Lookups!$A$28:$C$37,3,FALSE),1)</f>
        <v>0.97993206410140754</v>
      </c>
      <c r="BV935" s="2">
        <f>_xlfn.IFNA(VLOOKUP(Wapato_Inventory[[#This Row],[condition]],Lookups!$A$41:$C$48,3,FALSE),1)</f>
        <v>0.98442438223270734</v>
      </c>
      <c r="BW935" s="2">
        <f>IF(Wapato_Inventory[[#This Row],[decade]]="",1,_xlfn.IFNA(VLOOKUP(Wapato_Inventory[[#This Row],[decade]],Lookups!$F$28:$H$45,3,FALSE),1))</f>
        <v>1.0012715221492001</v>
      </c>
      <c r="BX935" s="2">
        <f>_xlfn.IFNA(VLOOKUP(Wapato_Inventory[[#This Row],[living_area_range]],Lookups!$K$28:$M$37,3,FALSE),1)</f>
        <v>1.0061411172456287</v>
      </c>
      <c r="BY935" s="2">
        <f>AVERAGE(Wapato_Inventory[[#This Row],[qual_adj]:[range_adj]])</f>
        <v>0.99294227143223601</v>
      </c>
      <c r="BZ935" s="7">
        <f>(Wapato_Inventory[[#This Row],[sum_land]]-IF(Wapato_Inventory[[#This Row],[no_utilities]]=1,12000,0))/IF(Wapato_Inventory[[#This Row],[unbuildable]]=1,2,1)</f>
        <v>54100</v>
      </c>
      <c r="CA935" s="7">
        <f>Wapato_Inventory[[#This Row],[pre_res]]*Wapato_Inventory[[#This Row],[overall_adj]]</f>
        <v>204513.58890174518</v>
      </c>
      <c r="CB935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5" s="3">
        <f>IF(ROUND(Wapato_Inventory[[#This Row],[adj_res]]*Lookups!$H$48,-2)&lt;Wapato_Inventory[[#This Row],[min_res]],Wapato_Inventory[[#This Row],[min_res]],ROUND(Wapato_Inventory[[#This Row],[adj_res]]*Lookups!$H$48,-2))</f>
        <v>194300</v>
      </c>
      <c r="CD935" s="3">
        <f>ROUND(Wapato_Inventory[[#This Row],[det_value]]*Lookups!$H$48,-2)</f>
        <v>0</v>
      </c>
      <c r="CE935" s="3">
        <f>Wapato_Inventory[[#This Row],[final_res]]+Wapato_Inventory[[#This Row],[final_det]]</f>
        <v>194300</v>
      </c>
      <c r="CF935" s="3">
        <f>Wapato_Inventory[[#This Row],[crop_value]]+Wapato_Inventory[[#This Row],[final_land]]+Wapato_Inventory[[#This Row],[final_imp]]</f>
        <v>245700</v>
      </c>
      <c r="CH935" t="str">
        <f t="shared" si="14"/>
        <v>update valuation set market_land =51400, market_bldg=194300, market_total =245700, market_mdno =405, market_date ='9/10/2023' where link_id = (select link_id from parcel where parcel_year = '2024' and parcel_id = '19111521427');</v>
      </c>
    </row>
    <row r="936" spans="1:86" x14ac:dyDescent="0.25">
      <c r="A936">
        <v>19111521428</v>
      </c>
      <c r="B936">
        <v>0.21</v>
      </c>
      <c r="C936">
        <v>9253</v>
      </c>
      <c r="D936" t="s">
        <v>144</v>
      </c>
      <c r="E936" t="s">
        <v>54</v>
      </c>
      <c r="F936" t="s">
        <v>54</v>
      </c>
      <c r="G936">
        <v>3</v>
      </c>
      <c r="H936" t="s">
        <v>55</v>
      </c>
      <c r="I936">
        <v>199600</v>
      </c>
      <c r="J936">
        <v>34300</v>
      </c>
      <c r="K936">
        <v>0.21</v>
      </c>
      <c r="L936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6">
        <v>0</v>
      </c>
      <c r="N936">
        <v>0</v>
      </c>
      <c r="O936">
        <v>0</v>
      </c>
      <c r="P936">
        <v>27904.037</v>
      </c>
      <c r="Q936">
        <v>74398</v>
      </c>
      <c r="R936" s="3">
        <f>(Wapato_Inventory[[#This Row],[ln_acres]]*Wapato_Inventory[[#This Row],[coeff]])+Wapato_Inventory[[#This Row],[const]]</f>
        <v>30849.627488456012</v>
      </c>
      <c r="S936" t="s">
        <v>66</v>
      </c>
      <c r="T936">
        <v>1</v>
      </c>
      <c r="U936" t="s">
        <v>75</v>
      </c>
      <c r="V936" t="s">
        <v>69</v>
      </c>
      <c r="W936">
        <v>0</v>
      </c>
      <c r="X936">
        <v>0</v>
      </c>
      <c r="Y936">
        <v>50</v>
      </c>
      <c r="Z936">
        <v>73</v>
      </c>
      <c r="AA936">
        <v>80</v>
      </c>
      <c r="AB936">
        <v>1500</v>
      </c>
      <c r="AC936">
        <v>1096</v>
      </c>
      <c r="AD936">
        <v>1096</v>
      </c>
      <c r="AE936">
        <v>0</v>
      </c>
      <c r="AF936">
        <v>0</v>
      </c>
      <c r="AG936">
        <v>0</v>
      </c>
      <c r="AH936">
        <v>0</v>
      </c>
      <c r="AI936">
        <v>0</v>
      </c>
      <c r="AJ936">
        <v>0</v>
      </c>
      <c r="AK936">
        <v>0</v>
      </c>
      <c r="AL936">
        <v>0</v>
      </c>
      <c r="AM936">
        <v>271</v>
      </c>
      <c r="AN936">
        <v>0</v>
      </c>
      <c r="AO936">
        <v>271</v>
      </c>
      <c r="AP936">
        <v>5</v>
      </c>
      <c r="AQ936">
        <v>0</v>
      </c>
      <c r="AR936">
        <v>0</v>
      </c>
      <c r="AS936" t="s">
        <v>59</v>
      </c>
      <c r="AT936">
        <v>1</v>
      </c>
      <c r="AU936" t="s">
        <v>64</v>
      </c>
      <c r="AV936" t="s">
        <v>61</v>
      </c>
      <c r="AW936">
        <v>1</v>
      </c>
      <c r="AX936">
        <v>3</v>
      </c>
      <c r="AY936">
        <v>0</v>
      </c>
      <c r="AZ936">
        <v>5800</v>
      </c>
      <c r="BA936">
        <v>100</v>
      </c>
      <c r="BB936">
        <v>100</v>
      </c>
      <c r="BC936">
        <v>100</v>
      </c>
      <c r="BD936">
        <v>100</v>
      </c>
      <c r="BE936">
        <v>1</v>
      </c>
      <c r="BF936">
        <v>15000</v>
      </c>
      <c r="BG936">
        <v>1000</v>
      </c>
      <c r="BH936" s="7">
        <f>ROUND(Wapato_Inventory[[#This Row],[detatched_value]]*Lookups!$B$22*Lookups!$H$48,-2)</f>
        <v>5200</v>
      </c>
      <c r="BI936" s="7">
        <f>ROUND(((Wapato_Inventory[[#This Row],[land_extract]]*Lookups!$B$3) +(Lookups!$B$2*0.5))*Lookups!$H$48,-2)</f>
        <v>54100</v>
      </c>
      <c r="BJ936" s="7">
        <f>IF(Wapato_Inventory[[#This Row],[bldg_style]]="",0,Lookups!$B$2*0.5)</f>
        <v>53765.27</v>
      </c>
      <c r="BK936" s="7">
        <f>_xlfn.IFNA(VLOOKUP(Wapato_Inventory[[#This Row],[quality]],Lookups!$H$2:$J$14,3,FALSE),0)</f>
        <v>48043</v>
      </c>
      <c r="BL936" s="7">
        <f>_xlfn.IFNA(VLOOKUP(Wapato_Inventory[[#This Row],[condition]],Lookups!$H$17:$J$24,3,FALSE),0)</f>
        <v>74543</v>
      </c>
      <c r="BM936" s="7">
        <f>Wapato_Inventory[[#This Row],[Age]]*Lookups!$B$16</f>
        <v>-27059.326100000002</v>
      </c>
      <c r="BN936" s="7">
        <f>Wapato_Inventory[[#This Row],[Main Floor]]*Lookups!$B$17</f>
        <v>45813.609944000003</v>
      </c>
      <c r="BO936" s="7">
        <f>Wapato_Inventory[[#This Row],[Upper Floor]]*Lookups!$B$18</f>
        <v>0</v>
      </c>
      <c r="BP936" s="7">
        <f>Wapato_Inventory[[#This Row],[Fin BSMT]]*Lookups!$B$19</f>
        <v>0</v>
      </c>
      <c r="BQ936" s="7">
        <f>(Wapato_Inventory[[#This Row],[att_gar]]+Wapato_Inventory[[#This Row],[blt_gar]])*Lookups!$B$20</f>
        <v>0</v>
      </c>
      <c r="BR936" s="7">
        <f>Wapato_Inventory[[#This Row],[Patio]]*Lookups!$B$21</f>
        <v>11740.798309</v>
      </c>
      <c r="BS936" s="7">
        <f>SUM(Wapato_Inventory[[#This Row],[intercept]:[patio_value]])*Wapato_Inventory[[#This Row],[res_pct]]</f>
        <v>206846.35215299999</v>
      </c>
      <c r="BT936" s="7">
        <f>Wapato_Inventory[[#This Row],[land_value]]</f>
        <v>54100</v>
      </c>
      <c r="BU936" s="2">
        <f>_xlfn.IFNA(VLOOKUP(Wapato_Inventory[[#This Row],[quality]],Lookups!$A$28:$C$37,3,FALSE),1)</f>
        <v>0.98196844879778955</v>
      </c>
      <c r="BV936" s="2">
        <f>_xlfn.IFNA(VLOOKUP(Wapato_Inventory[[#This Row],[condition]],Lookups!$A$41:$C$48,3,FALSE),1)</f>
        <v>0.98442438223270734</v>
      </c>
      <c r="BW936" s="2">
        <f>IF(Wapato_Inventory[[#This Row],[decade]]="",1,_xlfn.IFNA(VLOOKUP(Wapato_Inventory[[#This Row],[decade]],Lookups!$F$28:$H$45,3,FALSE),1))</f>
        <v>0.8438929209510081</v>
      </c>
      <c r="BX936" s="2">
        <f>_xlfn.IFNA(VLOOKUP(Wapato_Inventory[[#This Row],[living_area_range]],Lookups!$K$28:$M$37,3,FALSE),1)</f>
        <v>1.0061411172456287</v>
      </c>
      <c r="BY936" s="2">
        <f>AVERAGE(Wapato_Inventory[[#This Row],[qual_adj]:[range_adj]])</f>
        <v>0.95410671730678343</v>
      </c>
      <c r="BZ936" s="7">
        <f>(Wapato_Inventory[[#This Row],[sum_land]]-IF(Wapato_Inventory[[#This Row],[no_utilities]]=1,12000,0))/IF(Wapato_Inventory[[#This Row],[unbuildable]]=1,2,1)</f>
        <v>54100</v>
      </c>
      <c r="CA936" s="7">
        <f>Wapato_Inventory[[#This Row],[pre_res]]*Wapato_Inventory[[#This Row],[overall_adj]]</f>
        <v>197353.49403958174</v>
      </c>
      <c r="CB936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6" s="3">
        <f>IF(ROUND(Wapato_Inventory[[#This Row],[adj_res]]*Lookups!$H$48,-2)&lt;Wapato_Inventory[[#This Row],[min_res]],Wapato_Inventory[[#This Row],[min_res]],ROUND(Wapato_Inventory[[#This Row],[adj_res]]*Lookups!$H$48,-2))</f>
        <v>187500</v>
      </c>
      <c r="CD936" s="3">
        <f>ROUND(Wapato_Inventory[[#This Row],[det_value]]*Lookups!$H$48,-2)</f>
        <v>4900</v>
      </c>
      <c r="CE936" s="3">
        <f>Wapato_Inventory[[#This Row],[final_res]]+Wapato_Inventory[[#This Row],[final_det]]</f>
        <v>192400</v>
      </c>
      <c r="CF936" s="3">
        <f>Wapato_Inventory[[#This Row],[crop_value]]+Wapato_Inventory[[#This Row],[final_land]]+Wapato_Inventory[[#This Row],[final_imp]]</f>
        <v>243800</v>
      </c>
      <c r="CH936" t="str">
        <f t="shared" si="14"/>
        <v>update valuation set market_land =51400, market_bldg=192400, market_total =243800, market_mdno =405, market_date ='9/10/2023' where link_id = (select link_id from parcel where parcel_year = '2024' and parcel_id = '19111521428');</v>
      </c>
    </row>
    <row r="937" spans="1:86" x14ac:dyDescent="0.25">
      <c r="A937">
        <v>19111521429</v>
      </c>
      <c r="B937">
        <v>0.21</v>
      </c>
      <c r="C937">
        <v>9253</v>
      </c>
      <c r="D937" t="s">
        <v>144</v>
      </c>
      <c r="E937" t="s">
        <v>54</v>
      </c>
      <c r="F937" t="s">
        <v>54</v>
      </c>
      <c r="G937">
        <v>3</v>
      </c>
      <c r="H937" t="s">
        <v>55</v>
      </c>
      <c r="I937">
        <v>189900</v>
      </c>
      <c r="J937">
        <v>34300</v>
      </c>
      <c r="K937">
        <v>0.21</v>
      </c>
      <c r="L937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7">
        <v>0</v>
      </c>
      <c r="N937">
        <v>0</v>
      </c>
      <c r="O937">
        <v>0</v>
      </c>
      <c r="P937">
        <v>27904.037</v>
      </c>
      <c r="Q937">
        <v>74398</v>
      </c>
      <c r="R937" s="3">
        <f>(Wapato_Inventory[[#This Row],[ln_acres]]*Wapato_Inventory[[#This Row],[coeff]])+Wapato_Inventory[[#This Row],[const]]</f>
        <v>30849.627488456012</v>
      </c>
      <c r="S937" t="s">
        <v>66</v>
      </c>
      <c r="T937">
        <v>1</v>
      </c>
      <c r="U937" t="s">
        <v>75</v>
      </c>
      <c r="V937" t="s">
        <v>68</v>
      </c>
      <c r="W937">
        <v>0</v>
      </c>
      <c r="X937">
        <v>0</v>
      </c>
      <c r="Y937">
        <v>50</v>
      </c>
      <c r="Z937">
        <v>72</v>
      </c>
      <c r="AA937">
        <v>80</v>
      </c>
      <c r="AB937">
        <v>2000</v>
      </c>
      <c r="AC937">
        <v>1776</v>
      </c>
      <c r="AD937">
        <v>1776</v>
      </c>
      <c r="AE937">
        <v>0</v>
      </c>
      <c r="AF937">
        <v>0</v>
      </c>
      <c r="AG937">
        <v>0</v>
      </c>
      <c r="AH937">
        <v>0</v>
      </c>
      <c r="AI937">
        <v>0</v>
      </c>
      <c r="AJ937">
        <v>0</v>
      </c>
      <c r="AK937">
        <v>480</v>
      </c>
      <c r="AL937">
        <v>0</v>
      </c>
      <c r="AM937">
        <v>560</v>
      </c>
      <c r="AN937">
        <v>0</v>
      </c>
      <c r="AO937">
        <v>560</v>
      </c>
      <c r="AP937">
        <v>7</v>
      </c>
      <c r="AQ937">
        <v>0</v>
      </c>
      <c r="AR937">
        <v>0</v>
      </c>
      <c r="AS937" t="s">
        <v>59</v>
      </c>
      <c r="AT937">
        <v>1</v>
      </c>
      <c r="AU937" t="s">
        <v>64</v>
      </c>
      <c r="AV937" t="s">
        <v>65</v>
      </c>
      <c r="AW937">
        <v>1</v>
      </c>
      <c r="AX937">
        <v>3</v>
      </c>
      <c r="AY937">
        <v>0</v>
      </c>
      <c r="AZ937">
        <v>5000</v>
      </c>
      <c r="BA937">
        <v>100</v>
      </c>
      <c r="BB937">
        <v>100</v>
      </c>
      <c r="BC937">
        <v>100</v>
      </c>
      <c r="BD937">
        <v>100</v>
      </c>
      <c r="BE937">
        <v>1</v>
      </c>
      <c r="BF937">
        <v>15000</v>
      </c>
      <c r="BG937">
        <v>1000</v>
      </c>
      <c r="BH937" s="7">
        <f>ROUND(Wapato_Inventory[[#This Row],[detatched_value]]*Lookups!$B$22*Lookups!$H$48,-2)</f>
        <v>4500</v>
      </c>
      <c r="BI937" s="7">
        <f>ROUND(((Wapato_Inventory[[#This Row],[land_extract]]*Lookups!$B$3) +(Lookups!$B$2*0.5))*Lookups!$H$48,-2)</f>
        <v>54100</v>
      </c>
      <c r="BJ937" s="7">
        <f>IF(Wapato_Inventory[[#This Row],[bldg_style]]="",0,Lookups!$B$2*0.5)</f>
        <v>53765.27</v>
      </c>
      <c r="BK937" s="7">
        <f>_xlfn.IFNA(VLOOKUP(Wapato_Inventory[[#This Row],[quality]],Lookups!$H$2:$J$14,3,FALSE),0)</f>
        <v>48043</v>
      </c>
      <c r="BL937" s="7">
        <f>_xlfn.IFNA(VLOOKUP(Wapato_Inventory[[#This Row],[condition]],Lookups!$H$17:$J$24,3,FALSE),0)</f>
        <v>52231</v>
      </c>
      <c r="BM937" s="7">
        <f>Wapato_Inventory[[#This Row],[Age]]*Lookups!$B$16</f>
        <v>-26688.650399999999</v>
      </c>
      <c r="BN937" s="7">
        <f>Wapato_Inventory[[#This Row],[Main Floor]]*Lookups!$B$17</f>
        <v>74238.112464000005</v>
      </c>
      <c r="BO937" s="7">
        <f>Wapato_Inventory[[#This Row],[Upper Floor]]*Lookups!$B$18</f>
        <v>0</v>
      </c>
      <c r="BP937" s="7">
        <f>Wapato_Inventory[[#This Row],[Fin BSMT]]*Lookups!$B$19</f>
        <v>0</v>
      </c>
      <c r="BQ937" s="7">
        <f>(Wapato_Inventory[[#This Row],[att_gar]]+Wapato_Inventory[[#This Row],[blt_gar]])*Lookups!$B$20</f>
        <v>0</v>
      </c>
      <c r="BR937" s="7">
        <f>Wapato_Inventory[[#This Row],[Patio]]*Lookups!$B$21</f>
        <v>24261.428240000001</v>
      </c>
      <c r="BS937" s="7">
        <f>SUM(Wapato_Inventory[[#This Row],[intercept]:[patio_value]])*Wapato_Inventory[[#This Row],[res_pct]]</f>
        <v>225850.16030399999</v>
      </c>
      <c r="BT937" s="7">
        <f>Wapato_Inventory[[#This Row],[land_value]]</f>
        <v>54100</v>
      </c>
      <c r="BU937" s="2">
        <f>_xlfn.IFNA(VLOOKUP(Wapato_Inventory[[#This Row],[quality]],Lookups!$A$28:$C$37,3,FALSE),1)</f>
        <v>0.98196844879778955</v>
      </c>
      <c r="BV937" s="2">
        <f>_xlfn.IFNA(VLOOKUP(Wapato_Inventory[[#This Row],[condition]],Lookups!$A$41:$C$48,3,FALSE),1)</f>
        <v>0.9832333997567807</v>
      </c>
      <c r="BW937" s="2">
        <f>IF(Wapato_Inventory[[#This Row],[decade]]="",1,_xlfn.IFNA(VLOOKUP(Wapato_Inventory[[#This Row],[decade]],Lookups!$F$28:$H$45,3,FALSE),1))</f>
        <v>0.8438929209510081</v>
      </c>
      <c r="BX937" s="2">
        <f>_xlfn.IFNA(VLOOKUP(Wapato_Inventory[[#This Row],[living_area_range]],Lookups!$K$28:$M$37,3,FALSE),1)</f>
        <v>0.99330894324714125</v>
      </c>
      <c r="BY937" s="2">
        <f>AVERAGE(Wapato_Inventory[[#This Row],[qual_adj]:[range_adj]])</f>
        <v>0.95060092818817987</v>
      </c>
      <c r="BZ937" s="7">
        <f>(Wapato_Inventory[[#This Row],[sum_land]]-IF(Wapato_Inventory[[#This Row],[no_utilities]]=1,12000,0))/IF(Wapato_Inventory[[#This Row],[unbuildable]]=1,2,1)</f>
        <v>54100</v>
      </c>
      <c r="CA937" s="7">
        <f>Wapato_Inventory[[#This Row],[pre_res]]*Wapato_Inventory[[#This Row],[overall_adj]]</f>
        <v>214693.37201643162</v>
      </c>
      <c r="CB937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7" s="3">
        <f>IF(ROUND(Wapato_Inventory[[#This Row],[adj_res]]*Lookups!$H$48,-2)&lt;Wapato_Inventory[[#This Row],[min_res]],Wapato_Inventory[[#This Row],[min_res]],ROUND(Wapato_Inventory[[#This Row],[adj_res]]*Lookups!$H$48,-2))</f>
        <v>204000</v>
      </c>
      <c r="CD937" s="3">
        <f>ROUND(Wapato_Inventory[[#This Row],[det_value]]*Lookups!$H$48,-2)</f>
        <v>4300</v>
      </c>
      <c r="CE937" s="3">
        <f>Wapato_Inventory[[#This Row],[final_res]]+Wapato_Inventory[[#This Row],[final_det]]</f>
        <v>208300</v>
      </c>
      <c r="CF937" s="3">
        <f>Wapato_Inventory[[#This Row],[crop_value]]+Wapato_Inventory[[#This Row],[final_land]]+Wapato_Inventory[[#This Row],[final_imp]]</f>
        <v>259700</v>
      </c>
      <c r="CH937" t="str">
        <f t="shared" si="14"/>
        <v>update valuation set market_land =51400, market_bldg=208300, market_total =259700, market_mdno =405, market_date ='9/10/2023' where link_id = (select link_id from parcel where parcel_year = '2024' and parcel_id = '19111521429');</v>
      </c>
    </row>
    <row r="938" spans="1:86" x14ac:dyDescent="0.25">
      <c r="A938">
        <v>19111521430</v>
      </c>
      <c r="B938">
        <v>0.21</v>
      </c>
      <c r="C938">
        <v>9253</v>
      </c>
      <c r="D938" t="s">
        <v>144</v>
      </c>
      <c r="E938" t="s">
        <v>54</v>
      </c>
      <c r="F938" t="s">
        <v>54</v>
      </c>
      <c r="G938">
        <v>3</v>
      </c>
      <c r="H938" t="s">
        <v>55</v>
      </c>
      <c r="I938">
        <v>191700</v>
      </c>
      <c r="J938">
        <v>34300</v>
      </c>
      <c r="K938">
        <v>0.21</v>
      </c>
      <c r="L938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8">
        <v>0</v>
      </c>
      <c r="N938">
        <v>0</v>
      </c>
      <c r="O938">
        <v>0</v>
      </c>
      <c r="P938">
        <v>27904.037</v>
      </c>
      <c r="Q938">
        <v>74398</v>
      </c>
      <c r="R938" s="3">
        <f>(Wapato_Inventory[[#This Row],[ln_acres]]*Wapato_Inventory[[#This Row],[coeff]])+Wapato_Inventory[[#This Row],[const]]</f>
        <v>30849.627488456012</v>
      </c>
      <c r="S938" t="s">
        <v>66</v>
      </c>
      <c r="T938">
        <v>1</v>
      </c>
      <c r="U938" t="s">
        <v>75</v>
      </c>
      <c r="V938" t="s">
        <v>68</v>
      </c>
      <c r="W938">
        <v>0</v>
      </c>
      <c r="X938">
        <v>0</v>
      </c>
      <c r="Y938">
        <v>49</v>
      </c>
      <c r="Z938">
        <v>68</v>
      </c>
      <c r="AA938">
        <v>70</v>
      </c>
      <c r="AB938">
        <v>2000</v>
      </c>
      <c r="AC938">
        <v>1716</v>
      </c>
      <c r="AD938">
        <v>1716</v>
      </c>
      <c r="AE938">
        <v>0</v>
      </c>
      <c r="AF938">
        <v>0</v>
      </c>
      <c r="AG938">
        <v>0</v>
      </c>
      <c r="AH938">
        <v>0</v>
      </c>
      <c r="AI938">
        <v>0</v>
      </c>
      <c r="AJ938">
        <v>0</v>
      </c>
      <c r="AK938">
        <v>422</v>
      </c>
      <c r="AL938">
        <v>0</v>
      </c>
      <c r="AM938">
        <v>85</v>
      </c>
      <c r="AN938">
        <v>0</v>
      </c>
      <c r="AO938">
        <v>85</v>
      </c>
      <c r="AP938">
        <v>5</v>
      </c>
      <c r="AQ938">
        <v>0</v>
      </c>
      <c r="AR938">
        <v>1</v>
      </c>
      <c r="AS938" t="s">
        <v>59</v>
      </c>
      <c r="AT938">
        <v>1</v>
      </c>
      <c r="AU938" t="s">
        <v>64</v>
      </c>
      <c r="AV938" t="s">
        <v>65</v>
      </c>
      <c r="AW938">
        <v>0</v>
      </c>
      <c r="AX938">
        <v>3</v>
      </c>
      <c r="AY938">
        <v>0</v>
      </c>
      <c r="AZ938">
        <v>0</v>
      </c>
      <c r="BA938">
        <v>100</v>
      </c>
      <c r="BB938">
        <v>100</v>
      </c>
      <c r="BC938">
        <v>100</v>
      </c>
      <c r="BD938">
        <v>100</v>
      </c>
      <c r="BE938">
        <v>1</v>
      </c>
      <c r="BF938">
        <v>15000</v>
      </c>
      <c r="BG938">
        <v>1000</v>
      </c>
      <c r="BH938" s="7">
        <f>ROUND(Wapato_Inventory[[#This Row],[detatched_value]]*Lookups!$B$22*Lookups!$H$48,-2)</f>
        <v>0</v>
      </c>
      <c r="BI938" s="7">
        <f>ROUND(((Wapato_Inventory[[#This Row],[land_extract]]*Lookups!$B$3) +(Lookups!$B$2*0.5))*Lookups!$H$48,-2)</f>
        <v>54100</v>
      </c>
      <c r="BJ938" s="7">
        <f>IF(Wapato_Inventory[[#This Row],[bldg_style]]="",0,Lookups!$B$2*0.5)</f>
        <v>53765.27</v>
      </c>
      <c r="BK938" s="7">
        <f>_xlfn.IFNA(VLOOKUP(Wapato_Inventory[[#This Row],[quality]],Lookups!$H$2:$J$14,3,FALSE),0)</f>
        <v>48043</v>
      </c>
      <c r="BL938" s="7">
        <f>_xlfn.IFNA(VLOOKUP(Wapato_Inventory[[#This Row],[condition]],Lookups!$H$17:$J$24,3,FALSE),0)</f>
        <v>52231</v>
      </c>
      <c r="BM938" s="7">
        <f>Wapato_Inventory[[#This Row],[Age]]*Lookups!$B$16</f>
        <v>-25205.9476</v>
      </c>
      <c r="BN938" s="7">
        <f>Wapato_Inventory[[#This Row],[Main Floor]]*Lookups!$B$17</f>
        <v>71730.068123999998</v>
      </c>
      <c r="BO938" s="7">
        <f>Wapato_Inventory[[#This Row],[Upper Floor]]*Lookups!$B$18</f>
        <v>0</v>
      </c>
      <c r="BP938" s="7">
        <f>Wapato_Inventory[[#This Row],[Fin BSMT]]*Lookups!$B$19</f>
        <v>0</v>
      </c>
      <c r="BQ938" s="7">
        <f>(Wapato_Inventory[[#This Row],[att_gar]]+Wapato_Inventory[[#This Row],[blt_gar]])*Lookups!$B$20</f>
        <v>0</v>
      </c>
      <c r="BR938" s="7">
        <f>Wapato_Inventory[[#This Row],[Patio]]*Lookups!$B$21</f>
        <v>3682.538215</v>
      </c>
      <c r="BS938" s="7">
        <f>SUM(Wapato_Inventory[[#This Row],[intercept]:[patio_value]])*Wapato_Inventory[[#This Row],[res_pct]]</f>
        <v>204245.928739</v>
      </c>
      <c r="BT938" s="7">
        <f>Wapato_Inventory[[#This Row],[land_value]]</f>
        <v>54100</v>
      </c>
      <c r="BU938" s="2">
        <f>_xlfn.IFNA(VLOOKUP(Wapato_Inventory[[#This Row],[quality]],Lookups!$A$28:$C$37,3,FALSE),1)</f>
        <v>0.98196844879778955</v>
      </c>
      <c r="BV938" s="2">
        <f>_xlfn.IFNA(VLOOKUP(Wapato_Inventory[[#This Row],[condition]],Lookups!$A$41:$C$48,3,FALSE),1)</f>
        <v>0.9832333997567807</v>
      </c>
      <c r="BW938" s="2">
        <f>IF(Wapato_Inventory[[#This Row],[decade]]="",1,_xlfn.IFNA(VLOOKUP(Wapato_Inventory[[#This Row],[decade]],Lookups!$F$28:$H$45,3,FALSE),1))</f>
        <v>1.0012715221492001</v>
      </c>
      <c r="BX938" s="2">
        <f>_xlfn.IFNA(VLOOKUP(Wapato_Inventory[[#This Row],[living_area_range]],Lookups!$K$28:$M$37,3,FALSE),1)</f>
        <v>0.99330894324714125</v>
      </c>
      <c r="BY938" s="2">
        <f>AVERAGE(Wapato_Inventory[[#This Row],[qual_adj]:[range_adj]])</f>
        <v>0.98994557848772791</v>
      </c>
      <c r="BZ938" s="7">
        <f>(Wapato_Inventory[[#This Row],[sum_land]]-IF(Wapato_Inventory[[#This Row],[no_utilities]]=1,12000,0))/IF(Wapato_Inventory[[#This Row],[unbuildable]]=1,2,1)</f>
        <v>54100</v>
      </c>
      <c r="CA938" s="7">
        <f>Wapato_Inventory[[#This Row],[pre_res]]*Wapato_Inventory[[#This Row],[overall_adj]]</f>
        <v>202192.35407929259</v>
      </c>
      <c r="CB938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8" s="3">
        <f>IF(ROUND(Wapato_Inventory[[#This Row],[adj_res]]*Lookups!$H$48,-2)&lt;Wapato_Inventory[[#This Row],[min_res]],Wapato_Inventory[[#This Row],[min_res]],ROUND(Wapato_Inventory[[#This Row],[adj_res]]*Lookups!$H$48,-2))</f>
        <v>192100</v>
      </c>
      <c r="CD938" s="3">
        <f>ROUND(Wapato_Inventory[[#This Row],[det_value]]*Lookups!$H$48,-2)</f>
        <v>0</v>
      </c>
      <c r="CE938" s="3">
        <f>Wapato_Inventory[[#This Row],[final_res]]+Wapato_Inventory[[#This Row],[final_det]]</f>
        <v>192100</v>
      </c>
      <c r="CF938" s="3">
        <f>Wapato_Inventory[[#This Row],[crop_value]]+Wapato_Inventory[[#This Row],[final_land]]+Wapato_Inventory[[#This Row],[final_imp]]</f>
        <v>243500</v>
      </c>
      <c r="CH938" t="str">
        <f t="shared" si="14"/>
        <v>update valuation set market_land =51400, market_bldg=192100, market_total =243500, market_mdno =405, market_date ='9/10/2023' where link_id = (select link_id from parcel where parcel_year = '2024' and parcel_id = '19111521430');</v>
      </c>
    </row>
    <row r="939" spans="1:86" x14ac:dyDescent="0.25">
      <c r="A939">
        <v>19111521431</v>
      </c>
      <c r="B939">
        <v>0.21</v>
      </c>
      <c r="C939">
        <v>9253</v>
      </c>
      <c r="D939" t="s">
        <v>144</v>
      </c>
      <c r="E939" t="s">
        <v>54</v>
      </c>
      <c r="F939" t="s">
        <v>54</v>
      </c>
      <c r="G939">
        <v>3</v>
      </c>
      <c r="H939" t="s">
        <v>55</v>
      </c>
      <c r="I939">
        <v>208100</v>
      </c>
      <c r="J939">
        <v>34300</v>
      </c>
      <c r="K939">
        <v>0.21</v>
      </c>
      <c r="L939">
        <f>IF(Wapato_Inventory[[#This Row],[parcel_acres]]-Wapato_Inventory[[#This Row],[non_valued_acres]] =0,0,LN(Wapato_Inventory[[#This Row],[parcel_acres]]-Wapato_Inventory[[#This Row],[non_valued_acres]]))</f>
        <v>-1.5606477482646683</v>
      </c>
      <c r="M939">
        <v>0</v>
      </c>
      <c r="N939">
        <v>0</v>
      </c>
      <c r="O939">
        <v>0</v>
      </c>
      <c r="P939">
        <v>27904.037</v>
      </c>
      <c r="Q939">
        <v>74398</v>
      </c>
      <c r="R939" s="3">
        <f>(Wapato_Inventory[[#This Row],[ln_acres]]*Wapato_Inventory[[#This Row],[coeff]])+Wapato_Inventory[[#This Row],[const]]</f>
        <v>30849.627488456012</v>
      </c>
      <c r="S939" t="s">
        <v>66</v>
      </c>
      <c r="T939">
        <v>1</v>
      </c>
      <c r="U939" t="s">
        <v>75</v>
      </c>
      <c r="V939" t="s">
        <v>68</v>
      </c>
      <c r="W939">
        <v>0</v>
      </c>
      <c r="X939">
        <v>0</v>
      </c>
      <c r="Y939">
        <v>50</v>
      </c>
      <c r="Z939">
        <v>73</v>
      </c>
      <c r="AA939">
        <v>80</v>
      </c>
      <c r="AB939">
        <v>2000</v>
      </c>
      <c r="AC939">
        <v>1686</v>
      </c>
      <c r="AD939">
        <v>1686</v>
      </c>
      <c r="AE939">
        <v>0</v>
      </c>
      <c r="AF939">
        <v>0</v>
      </c>
      <c r="AG939">
        <v>0</v>
      </c>
      <c r="AH939">
        <v>0</v>
      </c>
      <c r="AI939">
        <v>374</v>
      </c>
      <c r="AJ939">
        <v>0</v>
      </c>
      <c r="AK939">
        <v>0</v>
      </c>
      <c r="AL939">
        <v>0</v>
      </c>
      <c r="AM939">
        <v>0</v>
      </c>
      <c r="AN939">
        <v>0</v>
      </c>
      <c r="AO939">
        <v>0</v>
      </c>
      <c r="AP939">
        <v>9</v>
      </c>
      <c r="AQ939">
        <v>0</v>
      </c>
      <c r="AR939">
        <v>1</v>
      </c>
      <c r="AS939" t="s">
        <v>59</v>
      </c>
      <c r="AT939">
        <v>1</v>
      </c>
      <c r="AU939" t="s">
        <v>72</v>
      </c>
      <c r="AV939" t="s">
        <v>61</v>
      </c>
      <c r="AW939">
        <v>0</v>
      </c>
      <c r="AX939">
        <v>3</v>
      </c>
      <c r="AY939">
        <v>0</v>
      </c>
      <c r="AZ939">
        <v>0</v>
      </c>
      <c r="BA939">
        <v>100</v>
      </c>
      <c r="BB939">
        <v>100</v>
      </c>
      <c r="BC939">
        <v>100</v>
      </c>
      <c r="BD939">
        <v>100</v>
      </c>
      <c r="BE939">
        <v>1</v>
      </c>
      <c r="BF939">
        <v>15000</v>
      </c>
      <c r="BG939">
        <v>1000</v>
      </c>
      <c r="BH939" s="7">
        <f>ROUND(Wapato_Inventory[[#This Row],[detatched_value]]*Lookups!$B$22*Lookups!$H$48,-2)</f>
        <v>0</v>
      </c>
      <c r="BI939" s="7">
        <f>ROUND(((Wapato_Inventory[[#This Row],[land_extract]]*Lookups!$B$3) +(Lookups!$B$2*0.5))*Lookups!$H$48,-2)</f>
        <v>54100</v>
      </c>
      <c r="BJ939" s="7">
        <f>IF(Wapato_Inventory[[#This Row],[bldg_style]]="",0,Lookups!$B$2*0.5)</f>
        <v>53765.27</v>
      </c>
      <c r="BK939" s="7">
        <f>_xlfn.IFNA(VLOOKUP(Wapato_Inventory[[#This Row],[quality]],Lookups!$H$2:$J$14,3,FALSE),0)</f>
        <v>48043</v>
      </c>
      <c r="BL939" s="7">
        <f>_xlfn.IFNA(VLOOKUP(Wapato_Inventory[[#This Row],[condition]],Lookups!$H$17:$J$24,3,FALSE),0)</f>
        <v>52231</v>
      </c>
      <c r="BM939" s="7">
        <f>Wapato_Inventory[[#This Row],[Age]]*Lookups!$B$16</f>
        <v>-27059.326100000002</v>
      </c>
      <c r="BN939" s="7">
        <f>Wapato_Inventory[[#This Row],[Main Floor]]*Lookups!$B$17</f>
        <v>70476.045954000001</v>
      </c>
      <c r="BO939" s="7">
        <f>Wapato_Inventory[[#This Row],[Upper Floor]]*Lookups!$B$18</f>
        <v>0</v>
      </c>
      <c r="BP939" s="7">
        <f>Wapato_Inventory[[#This Row],[Fin BSMT]]*Lookups!$B$19</f>
        <v>0</v>
      </c>
      <c r="BQ939" s="7">
        <f>(Wapato_Inventory[[#This Row],[att_gar]]+Wapato_Inventory[[#This Row],[blt_gar]])*Lookups!$B$20</f>
        <v>13841.273248000001</v>
      </c>
      <c r="BR939" s="7">
        <f>Wapato_Inventory[[#This Row],[Patio]]*Lookups!$B$21</f>
        <v>0</v>
      </c>
      <c r="BS939" s="7">
        <f>SUM(Wapato_Inventory[[#This Row],[intercept]:[patio_value]])*Wapato_Inventory[[#This Row],[res_pct]]</f>
        <v>211297.263102</v>
      </c>
      <c r="BT939" s="7">
        <f>Wapato_Inventory[[#This Row],[land_value]]</f>
        <v>54100</v>
      </c>
      <c r="BU939" s="2">
        <f>_xlfn.IFNA(VLOOKUP(Wapato_Inventory[[#This Row],[quality]],Lookups!$A$28:$C$37,3,FALSE),1)</f>
        <v>0.98196844879778955</v>
      </c>
      <c r="BV939" s="2">
        <f>_xlfn.IFNA(VLOOKUP(Wapato_Inventory[[#This Row],[condition]],Lookups!$A$41:$C$48,3,FALSE),1)</f>
        <v>0.9832333997567807</v>
      </c>
      <c r="BW939" s="2">
        <f>IF(Wapato_Inventory[[#This Row],[decade]]="",1,_xlfn.IFNA(VLOOKUP(Wapato_Inventory[[#This Row],[decade]],Lookups!$F$28:$H$45,3,FALSE),1))</f>
        <v>0.8438929209510081</v>
      </c>
      <c r="BX939" s="2">
        <f>_xlfn.IFNA(VLOOKUP(Wapato_Inventory[[#This Row],[living_area_range]],Lookups!$K$28:$M$37,3,FALSE),1)</f>
        <v>0.99330894324714125</v>
      </c>
      <c r="BY939" s="2">
        <f>AVERAGE(Wapato_Inventory[[#This Row],[qual_adj]:[range_adj]])</f>
        <v>0.95060092818817987</v>
      </c>
      <c r="BZ939" s="7">
        <f>(Wapato_Inventory[[#This Row],[sum_land]]-IF(Wapato_Inventory[[#This Row],[no_utilities]]=1,12000,0))/IF(Wapato_Inventory[[#This Row],[unbuildable]]=1,2,1)</f>
        <v>54100</v>
      </c>
      <c r="CA939" s="7">
        <f>Wapato_Inventory[[#This Row],[pre_res]]*Wapato_Inventory[[#This Row],[overall_adj]]</f>
        <v>200859.37442838325</v>
      </c>
      <c r="CB939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39" s="3">
        <f>IF(ROUND(Wapato_Inventory[[#This Row],[adj_res]]*Lookups!$H$48,-2)&lt;Wapato_Inventory[[#This Row],[min_res]],Wapato_Inventory[[#This Row],[min_res]],ROUND(Wapato_Inventory[[#This Row],[adj_res]]*Lookups!$H$48,-2))</f>
        <v>190800</v>
      </c>
      <c r="CD939" s="3">
        <f>ROUND(Wapato_Inventory[[#This Row],[det_value]]*Lookups!$H$48,-2)</f>
        <v>0</v>
      </c>
      <c r="CE939" s="3">
        <f>Wapato_Inventory[[#This Row],[final_res]]+Wapato_Inventory[[#This Row],[final_det]]</f>
        <v>190800</v>
      </c>
      <c r="CF939" s="3">
        <f>Wapato_Inventory[[#This Row],[crop_value]]+Wapato_Inventory[[#This Row],[final_land]]+Wapato_Inventory[[#This Row],[final_imp]]</f>
        <v>242200</v>
      </c>
      <c r="CH939" t="str">
        <f t="shared" si="14"/>
        <v>update valuation set market_land =51400, market_bldg=190800, market_total =242200, market_mdno =405, market_date ='9/10/2023' where link_id = (select link_id from parcel where parcel_year = '2024' and parcel_id = '19111521431');</v>
      </c>
    </row>
    <row r="940" spans="1:86" x14ac:dyDescent="0.25">
      <c r="A940">
        <v>19111521432</v>
      </c>
      <c r="B940">
        <v>0.21</v>
      </c>
      <c r="C940">
        <v>9253</v>
      </c>
      <c r="D940" t="s">
        <v>144</v>
      </c>
      <c r="E940" t="s">
        <v>54</v>
      </c>
      <c r="F940" t="s">
        <v>54</v>
      </c>
      <c r="G940">
        <v>3</v>
      </c>
      <c r="H940" t="s">
        <v>55</v>
      </c>
      <c r="I940">
        <v>131400</v>
      </c>
      <c r="J940">
        <v>34300</v>
      </c>
      <c r="K940">
        <v>0.21</v>
      </c>
      <c r="L940">
        <f>IF(Wapato_Inventory[[#This Row],[parcel_acres]]-Wapato_Inventory[[#This Row],[non_valued_acres]] =0,0,LN(Wapato_Inventory[[#This Row],[parcel_acres]]-Wapato_Inventory[[#This Row],[non_valued_acres]]))</f>
        <v>-1.5606477482646683</v>
      </c>
      <c r="M940">
        <v>0</v>
      </c>
      <c r="N940">
        <v>0</v>
      </c>
      <c r="O940">
        <v>0</v>
      </c>
      <c r="P940">
        <v>27904.037</v>
      </c>
      <c r="Q940">
        <v>74398</v>
      </c>
      <c r="R940" s="3">
        <f>(Wapato_Inventory[[#This Row],[ln_acres]]*Wapato_Inventory[[#This Row],[coeff]])+Wapato_Inventory[[#This Row],[const]]</f>
        <v>30849.627488456012</v>
      </c>
      <c r="S940" t="s">
        <v>66</v>
      </c>
      <c r="T940">
        <v>1</v>
      </c>
      <c r="U940" t="s">
        <v>75</v>
      </c>
      <c r="V940" t="s">
        <v>68</v>
      </c>
      <c r="W940">
        <v>0</v>
      </c>
      <c r="X940">
        <v>0</v>
      </c>
      <c r="Y940">
        <v>50</v>
      </c>
      <c r="Z940">
        <v>73</v>
      </c>
      <c r="AA940">
        <v>80</v>
      </c>
      <c r="AB940">
        <v>1000</v>
      </c>
      <c r="AC940">
        <v>788</v>
      </c>
      <c r="AD940">
        <v>788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736</v>
      </c>
      <c r="AL940">
        <v>0</v>
      </c>
      <c r="AM940">
        <v>352</v>
      </c>
      <c r="AN940">
        <v>0</v>
      </c>
      <c r="AO940">
        <v>352</v>
      </c>
      <c r="AP940">
        <v>7</v>
      </c>
      <c r="AQ940">
        <v>0</v>
      </c>
      <c r="AR940">
        <v>0</v>
      </c>
      <c r="AS940" t="s">
        <v>59</v>
      </c>
      <c r="AT940">
        <v>0</v>
      </c>
      <c r="AU940" t="s">
        <v>80</v>
      </c>
      <c r="AV940" t="s">
        <v>65</v>
      </c>
      <c r="AW940">
        <v>0</v>
      </c>
      <c r="AX940">
        <v>2</v>
      </c>
      <c r="AY940">
        <v>0</v>
      </c>
      <c r="AZ940">
        <v>5300</v>
      </c>
      <c r="BA940">
        <v>100</v>
      </c>
      <c r="BB940">
        <v>100</v>
      </c>
      <c r="BC940">
        <v>100</v>
      </c>
      <c r="BD940">
        <v>100</v>
      </c>
      <c r="BE940">
        <v>1</v>
      </c>
      <c r="BF940">
        <v>15000</v>
      </c>
      <c r="BG940">
        <v>1000</v>
      </c>
      <c r="BH940" s="7">
        <f>ROUND(Wapato_Inventory[[#This Row],[detatched_value]]*Lookups!$B$22*Lookups!$H$48,-2)</f>
        <v>4700</v>
      </c>
      <c r="BI940" s="7">
        <f>ROUND(((Wapato_Inventory[[#This Row],[land_extract]]*Lookups!$B$3) +(Lookups!$B$2*0.5))*Lookups!$H$48,-2)</f>
        <v>54100</v>
      </c>
      <c r="BJ940" s="7">
        <f>IF(Wapato_Inventory[[#This Row],[bldg_style]]="",0,Lookups!$B$2*0.5)</f>
        <v>53765.27</v>
      </c>
      <c r="BK940" s="7">
        <f>_xlfn.IFNA(VLOOKUP(Wapato_Inventory[[#This Row],[quality]],Lookups!$H$2:$J$14,3,FALSE),0)</f>
        <v>48043</v>
      </c>
      <c r="BL940" s="7">
        <f>_xlfn.IFNA(VLOOKUP(Wapato_Inventory[[#This Row],[condition]],Lookups!$H$17:$J$24,3,FALSE),0)</f>
        <v>52231</v>
      </c>
      <c r="BM940" s="7">
        <f>Wapato_Inventory[[#This Row],[Age]]*Lookups!$B$16</f>
        <v>-27059.326100000002</v>
      </c>
      <c r="BN940" s="7">
        <f>Wapato_Inventory[[#This Row],[Main Floor]]*Lookups!$B$17</f>
        <v>32938.982332</v>
      </c>
      <c r="BO940" s="7">
        <f>Wapato_Inventory[[#This Row],[Upper Floor]]*Lookups!$B$18</f>
        <v>0</v>
      </c>
      <c r="BP940" s="7">
        <f>Wapato_Inventory[[#This Row],[Fin BSMT]]*Lookups!$B$19</f>
        <v>0</v>
      </c>
      <c r="BQ940" s="7">
        <f>(Wapato_Inventory[[#This Row],[att_gar]]+Wapato_Inventory[[#This Row],[blt_gar]])*Lookups!$B$20</f>
        <v>0</v>
      </c>
      <c r="BR940" s="7">
        <f>Wapato_Inventory[[#This Row],[Patio]]*Lookups!$B$21</f>
        <v>15250.040608000001</v>
      </c>
      <c r="BS940" s="7">
        <f>SUM(Wapato_Inventory[[#This Row],[intercept]:[patio_value]])*Wapato_Inventory[[#This Row],[res_pct]]</f>
        <v>175168.96684000001</v>
      </c>
      <c r="BT940" s="7">
        <f>Wapato_Inventory[[#This Row],[land_value]]</f>
        <v>54100</v>
      </c>
      <c r="BU940" s="2">
        <f>_xlfn.IFNA(VLOOKUP(Wapato_Inventory[[#This Row],[quality]],Lookups!$A$28:$C$37,3,FALSE),1)</f>
        <v>0.98196844879778955</v>
      </c>
      <c r="BV940" s="2">
        <f>_xlfn.IFNA(VLOOKUP(Wapato_Inventory[[#This Row],[condition]],Lookups!$A$41:$C$48,3,FALSE),1)</f>
        <v>0.9832333997567807</v>
      </c>
      <c r="BW940" s="2">
        <f>IF(Wapato_Inventory[[#This Row],[decade]]="",1,_xlfn.IFNA(VLOOKUP(Wapato_Inventory[[#This Row],[decade]],Lookups!$F$28:$H$45,3,FALSE),1))</f>
        <v>0.8438929209510081</v>
      </c>
      <c r="BX940" s="2">
        <f>_xlfn.IFNA(VLOOKUP(Wapato_Inventory[[#This Row],[living_area_range]],Lookups!$K$28:$M$37,3,FALSE),1)</f>
        <v>0.99022994770196116</v>
      </c>
      <c r="BY940" s="2">
        <f>AVERAGE(Wapato_Inventory[[#This Row],[qual_adj]:[range_adj]])</f>
        <v>0.94983117930188488</v>
      </c>
      <c r="BZ940" s="7">
        <f>(Wapato_Inventory[[#This Row],[sum_land]]-IF(Wapato_Inventory[[#This Row],[no_utilities]]=1,12000,0))/IF(Wapato_Inventory[[#This Row],[unbuildable]]=1,2,1)</f>
        <v>54100</v>
      </c>
      <c r="CA940" s="7">
        <f>Wapato_Inventory[[#This Row],[pre_res]]*Wapato_Inventory[[#This Row],[overall_adj]]</f>
        <v>166380.94635072997</v>
      </c>
      <c r="CB940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940" s="3">
        <f>IF(ROUND(Wapato_Inventory[[#This Row],[adj_res]]*Lookups!$H$48,-2)&lt;Wapato_Inventory[[#This Row],[min_res]],Wapato_Inventory[[#This Row],[min_res]],ROUND(Wapato_Inventory[[#This Row],[adj_res]]*Lookups!$H$48,-2))</f>
        <v>158100</v>
      </c>
      <c r="CD940" s="3">
        <f>ROUND(Wapato_Inventory[[#This Row],[det_value]]*Lookups!$H$48,-2)</f>
        <v>4500</v>
      </c>
      <c r="CE940" s="3">
        <f>Wapato_Inventory[[#This Row],[final_res]]+Wapato_Inventory[[#This Row],[final_det]]</f>
        <v>162600</v>
      </c>
      <c r="CF940" s="3">
        <f>Wapato_Inventory[[#This Row],[crop_value]]+Wapato_Inventory[[#This Row],[final_land]]+Wapato_Inventory[[#This Row],[final_imp]]</f>
        <v>214000</v>
      </c>
      <c r="CH940" t="str">
        <f t="shared" si="14"/>
        <v>update valuation set market_land =51400, market_bldg=162600, market_total =214000, market_mdno =405, market_date ='9/10/2023' where link_id = (select link_id from parcel where parcel_year = '2024' and parcel_id = '19111521432');</v>
      </c>
    </row>
    <row r="941" spans="1:86" x14ac:dyDescent="0.25">
      <c r="A941">
        <v>19111521433</v>
      </c>
      <c r="B941">
        <v>0.27</v>
      </c>
      <c r="C941">
        <v>11862</v>
      </c>
      <c r="D941" t="s">
        <v>144</v>
      </c>
      <c r="E941" t="s">
        <v>54</v>
      </c>
      <c r="F941" t="s">
        <v>54</v>
      </c>
      <c r="G941">
        <v>3</v>
      </c>
      <c r="H941" t="s">
        <v>55</v>
      </c>
      <c r="I941">
        <v>164900</v>
      </c>
      <c r="J941">
        <v>36000</v>
      </c>
      <c r="K941">
        <v>0.27</v>
      </c>
      <c r="L941">
        <f>IF(Wapato_Inventory[[#This Row],[parcel_acres]]-Wapato_Inventory[[#This Row],[non_valued_acres]] =0,0,LN(Wapato_Inventory[[#This Row],[parcel_acres]]-Wapato_Inventory[[#This Row],[non_valued_acres]]))</f>
        <v>-1.3093333199837622</v>
      </c>
      <c r="M941">
        <v>0</v>
      </c>
      <c r="N941">
        <v>0</v>
      </c>
      <c r="O941">
        <v>0</v>
      </c>
      <c r="P941">
        <v>27904.037</v>
      </c>
      <c r="Q941">
        <v>74398</v>
      </c>
      <c r="R941" s="3">
        <f>(Wapato_Inventory[[#This Row],[ln_acres]]*Wapato_Inventory[[#This Row],[coeff]])+Wapato_Inventory[[#This Row],[const]]</f>
        <v>37862.314593840259</v>
      </c>
      <c r="S941" t="s">
        <v>66</v>
      </c>
      <c r="T941">
        <v>1</v>
      </c>
      <c r="U941" t="s">
        <v>67</v>
      </c>
      <c r="V941" t="s">
        <v>68</v>
      </c>
      <c r="W941">
        <v>0</v>
      </c>
      <c r="X941">
        <v>0</v>
      </c>
      <c r="Y941">
        <v>50</v>
      </c>
      <c r="Z941">
        <v>73</v>
      </c>
      <c r="AA941">
        <v>80</v>
      </c>
      <c r="AB941">
        <v>1500</v>
      </c>
      <c r="AC941">
        <v>1412</v>
      </c>
      <c r="AD941">
        <v>1412</v>
      </c>
      <c r="AE941">
        <v>0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288</v>
      </c>
      <c r="AN941">
        <v>36</v>
      </c>
      <c r="AO941">
        <v>288</v>
      </c>
      <c r="AP941">
        <v>7</v>
      </c>
      <c r="AQ941">
        <v>0</v>
      </c>
      <c r="AR941">
        <v>0</v>
      </c>
      <c r="AS941" t="s">
        <v>59</v>
      </c>
      <c r="AT941">
        <v>1</v>
      </c>
      <c r="AU941" t="s">
        <v>64</v>
      </c>
      <c r="AV941" t="s">
        <v>65</v>
      </c>
      <c r="AW941">
        <v>1</v>
      </c>
      <c r="AX941">
        <v>3</v>
      </c>
      <c r="AY941">
        <v>0</v>
      </c>
      <c r="AZ941">
        <v>9300</v>
      </c>
      <c r="BA941">
        <v>100</v>
      </c>
      <c r="BB941">
        <v>100</v>
      </c>
      <c r="BC941">
        <v>100</v>
      </c>
      <c r="BD941">
        <v>100</v>
      </c>
      <c r="BE941">
        <v>1</v>
      </c>
      <c r="BF941">
        <v>15000</v>
      </c>
      <c r="BG941">
        <v>1000</v>
      </c>
      <c r="BH941" s="7">
        <f>ROUND(Wapato_Inventory[[#This Row],[detatched_value]]*Lookups!$B$22*Lookups!$H$48,-2)</f>
        <v>8300</v>
      </c>
      <c r="BI941" s="7">
        <f>ROUND(((Wapato_Inventory[[#This Row],[land_extract]]*Lookups!$B$3) +(Lookups!$B$2*0.5))*Lookups!$H$48,-2)</f>
        <v>54700</v>
      </c>
      <c r="BJ941" s="7">
        <f>IF(Wapato_Inventory[[#This Row],[bldg_style]]="",0,Lookups!$B$2*0.5)</f>
        <v>53765.27</v>
      </c>
      <c r="BK941" s="7">
        <f>_xlfn.IFNA(VLOOKUP(Wapato_Inventory[[#This Row],[quality]],Lookups!$H$2:$J$14,3,FALSE),0)</f>
        <v>50405</v>
      </c>
      <c r="BL941" s="7">
        <f>_xlfn.IFNA(VLOOKUP(Wapato_Inventory[[#This Row],[condition]],Lookups!$H$17:$J$24,3,FALSE),0)</f>
        <v>52231</v>
      </c>
      <c r="BM941" s="7">
        <f>Wapato_Inventory[[#This Row],[Age]]*Lookups!$B$16</f>
        <v>-27059.326100000002</v>
      </c>
      <c r="BN941" s="7">
        <f>Wapato_Inventory[[#This Row],[Main Floor]]*Lookups!$B$17</f>
        <v>59022.643468000002</v>
      </c>
      <c r="BO941" s="7">
        <f>Wapato_Inventory[[#This Row],[Upper Floor]]*Lookups!$B$18</f>
        <v>0</v>
      </c>
      <c r="BP941" s="7">
        <f>Wapato_Inventory[[#This Row],[Fin BSMT]]*Lookups!$B$19</f>
        <v>0</v>
      </c>
      <c r="BQ941" s="7">
        <f>(Wapato_Inventory[[#This Row],[att_gar]]+Wapato_Inventory[[#This Row],[blt_gar]])*Lookups!$B$20</f>
        <v>0</v>
      </c>
      <c r="BR941" s="7">
        <f>Wapato_Inventory[[#This Row],[Patio]]*Lookups!$B$21</f>
        <v>12477.305952000001</v>
      </c>
      <c r="BS941" s="7">
        <f>SUM(Wapato_Inventory[[#This Row],[intercept]:[patio_value]])*Wapato_Inventory[[#This Row],[res_pct]]</f>
        <v>200841.89331999997</v>
      </c>
      <c r="BT941" s="7">
        <f>Wapato_Inventory[[#This Row],[land_value]]</f>
        <v>54700</v>
      </c>
      <c r="BU941" s="2">
        <f>_xlfn.IFNA(VLOOKUP(Wapato_Inventory[[#This Row],[quality]],Lookups!$A$28:$C$37,3,FALSE),1)</f>
        <v>0.97993206410140754</v>
      </c>
      <c r="BV941" s="2">
        <f>_xlfn.IFNA(VLOOKUP(Wapato_Inventory[[#This Row],[condition]],Lookups!$A$41:$C$48,3,FALSE),1)</f>
        <v>0.9832333997567807</v>
      </c>
      <c r="BW941" s="2">
        <f>IF(Wapato_Inventory[[#This Row],[decade]]="",1,_xlfn.IFNA(VLOOKUP(Wapato_Inventory[[#This Row],[decade]],Lookups!$F$28:$H$45,3,FALSE),1))</f>
        <v>0.8438929209510081</v>
      </c>
      <c r="BX941" s="2">
        <f>_xlfn.IFNA(VLOOKUP(Wapato_Inventory[[#This Row],[living_area_range]],Lookups!$K$28:$M$37,3,FALSE),1)</f>
        <v>1.0061411172456287</v>
      </c>
      <c r="BY941" s="2">
        <f>AVERAGE(Wapato_Inventory[[#This Row],[qual_adj]:[range_adj]])</f>
        <v>0.95329987551370632</v>
      </c>
      <c r="BZ941" s="7">
        <f>(Wapato_Inventory[[#This Row],[sum_land]]-IF(Wapato_Inventory[[#This Row],[no_utilities]]=1,12000,0))/IF(Wapato_Inventory[[#This Row],[unbuildable]]=1,2,1)</f>
        <v>54700</v>
      </c>
      <c r="CA941" s="7">
        <f>Wapato_Inventory[[#This Row],[pre_res]]*Wapato_Inventory[[#This Row],[overall_adj]]</f>
        <v>191462.55189989306</v>
      </c>
      <c r="CB941" s="3">
        <f>IF(ROUND(Wapato_Inventory[[#This Row],[adj_land]]*Lookups!$H$48,-2)&lt;Wapato_Inventory[[#This Row],[min_land]],Wapato_Inventory[[#This Row],[min_land]],ROUND(Wapato_Inventory[[#This Row],[adj_land]]*Lookups!$H$48,-2))</f>
        <v>52000</v>
      </c>
      <c r="CC941" s="3">
        <f>IF(ROUND(Wapato_Inventory[[#This Row],[adj_res]]*Lookups!$H$48,-2)&lt;Wapato_Inventory[[#This Row],[min_res]],Wapato_Inventory[[#This Row],[min_res]],ROUND(Wapato_Inventory[[#This Row],[adj_res]]*Lookups!$H$48,-2))</f>
        <v>181900</v>
      </c>
      <c r="CD941" s="3">
        <f>ROUND(Wapato_Inventory[[#This Row],[det_value]]*Lookups!$H$48,-2)</f>
        <v>7900</v>
      </c>
      <c r="CE941" s="3">
        <f>Wapato_Inventory[[#This Row],[final_res]]+Wapato_Inventory[[#This Row],[final_det]]</f>
        <v>189800</v>
      </c>
      <c r="CF941" s="3">
        <f>Wapato_Inventory[[#This Row],[crop_value]]+Wapato_Inventory[[#This Row],[final_land]]+Wapato_Inventory[[#This Row],[final_imp]]</f>
        <v>241800</v>
      </c>
      <c r="CH941" t="str">
        <f t="shared" si="14"/>
        <v>update valuation set market_land =52000, market_bldg=189800, market_total =241800, market_mdno =405, market_date ='9/10/2023' where link_id = (select link_id from parcel where parcel_year = '2024' and parcel_id = '19111521433');</v>
      </c>
    </row>
    <row r="942" spans="1:86" x14ac:dyDescent="0.25">
      <c r="A942">
        <v>19111521434</v>
      </c>
      <c r="B942">
        <v>0.36</v>
      </c>
      <c r="C942">
        <v>15671</v>
      </c>
      <c r="D942" t="s">
        <v>144</v>
      </c>
      <c r="E942" t="s">
        <v>54</v>
      </c>
      <c r="F942" t="s">
        <v>54</v>
      </c>
      <c r="G942">
        <v>3</v>
      </c>
      <c r="H942" t="s">
        <v>55</v>
      </c>
      <c r="I942">
        <v>136000</v>
      </c>
      <c r="J942">
        <v>38100</v>
      </c>
      <c r="K942">
        <v>0.36</v>
      </c>
      <c r="L942">
        <f>IF(Wapato_Inventory[[#This Row],[parcel_acres]]-Wapato_Inventory[[#This Row],[non_valued_acres]] =0,0,LN(Wapato_Inventory[[#This Row],[parcel_acres]]-Wapato_Inventory[[#This Row],[non_valued_acres]]))</f>
        <v>-1.0216512475319814</v>
      </c>
      <c r="M942">
        <v>0</v>
      </c>
      <c r="N942">
        <v>0</v>
      </c>
      <c r="O942">
        <v>0</v>
      </c>
      <c r="P942">
        <v>27904.037</v>
      </c>
      <c r="Q942">
        <v>74398</v>
      </c>
      <c r="R942" s="3">
        <f>(Wapato_Inventory[[#This Row],[ln_acres]]*Wapato_Inventory[[#This Row],[coeff]])+Wapato_Inventory[[#This Row],[const]]</f>
        <v>45889.805787771431</v>
      </c>
      <c r="S942" t="s">
        <v>66</v>
      </c>
      <c r="T942">
        <v>1</v>
      </c>
      <c r="U942" t="s">
        <v>67</v>
      </c>
      <c r="V942" t="s">
        <v>68</v>
      </c>
      <c r="W942">
        <v>0</v>
      </c>
      <c r="X942">
        <v>0</v>
      </c>
      <c r="Y942">
        <v>50</v>
      </c>
      <c r="Z942">
        <v>73</v>
      </c>
      <c r="AA942">
        <v>80</v>
      </c>
      <c r="AB942">
        <v>1500</v>
      </c>
      <c r="AC942">
        <v>1010</v>
      </c>
      <c r="AD942">
        <v>1010</v>
      </c>
      <c r="AE942">
        <v>0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280</v>
      </c>
      <c r="AL942">
        <v>132</v>
      </c>
      <c r="AM942">
        <v>280</v>
      </c>
      <c r="AN942">
        <v>0</v>
      </c>
      <c r="AO942">
        <v>132</v>
      </c>
      <c r="AP942">
        <v>5</v>
      </c>
      <c r="AQ942">
        <v>0</v>
      </c>
      <c r="AR942">
        <v>0</v>
      </c>
      <c r="AS942" t="s">
        <v>59</v>
      </c>
      <c r="AT942">
        <v>1</v>
      </c>
      <c r="AU942" t="s">
        <v>64</v>
      </c>
      <c r="AV942" t="s">
        <v>77</v>
      </c>
      <c r="AW942">
        <v>1</v>
      </c>
      <c r="AX942">
        <v>3</v>
      </c>
      <c r="AY942">
        <v>0</v>
      </c>
      <c r="AZ942">
        <v>0</v>
      </c>
      <c r="BA942">
        <v>100</v>
      </c>
      <c r="BB942">
        <v>100</v>
      </c>
      <c r="BC942">
        <v>100</v>
      </c>
      <c r="BD942">
        <v>100</v>
      </c>
      <c r="BE942">
        <v>1</v>
      </c>
      <c r="BF942">
        <v>15000</v>
      </c>
      <c r="BG942">
        <v>1000</v>
      </c>
      <c r="BH942" s="7">
        <f>ROUND(Wapato_Inventory[[#This Row],[detatched_value]]*Lookups!$B$22*Lookups!$H$48,-2)</f>
        <v>0</v>
      </c>
      <c r="BI942" s="7">
        <f>ROUND(((Wapato_Inventory[[#This Row],[land_extract]]*Lookups!$B$3) +(Lookups!$B$2*0.5))*Lookups!$H$48,-2)</f>
        <v>55500</v>
      </c>
      <c r="BJ942" s="7">
        <f>IF(Wapato_Inventory[[#This Row],[bldg_style]]="",0,Lookups!$B$2*0.5)</f>
        <v>53765.27</v>
      </c>
      <c r="BK942" s="7">
        <f>_xlfn.IFNA(VLOOKUP(Wapato_Inventory[[#This Row],[quality]],Lookups!$H$2:$J$14,3,FALSE),0)</f>
        <v>50405</v>
      </c>
      <c r="BL942" s="7">
        <f>_xlfn.IFNA(VLOOKUP(Wapato_Inventory[[#This Row],[condition]],Lookups!$H$17:$J$24,3,FALSE),0)</f>
        <v>52231</v>
      </c>
      <c r="BM942" s="7">
        <f>Wapato_Inventory[[#This Row],[Age]]*Lookups!$B$16</f>
        <v>-27059.326100000002</v>
      </c>
      <c r="BN942" s="7">
        <f>Wapato_Inventory[[#This Row],[Main Floor]]*Lookups!$B$17</f>
        <v>42218.74639</v>
      </c>
      <c r="BO942" s="7">
        <f>Wapato_Inventory[[#This Row],[Upper Floor]]*Lookups!$B$18</f>
        <v>0</v>
      </c>
      <c r="BP942" s="7">
        <f>Wapato_Inventory[[#This Row],[Fin BSMT]]*Lookups!$B$19</f>
        <v>0</v>
      </c>
      <c r="BQ942" s="7">
        <f>(Wapato_Inventory[[#This Row],[att_gar]]+Wapato_Inventory[[#This Row],[blt_gar]])*Lookups!$B$20</f>
        <v>0</v>
      </c>
      <c r="BR942" s="7">
        <f>Wapato_Inventory[[#This Row],[Patio]]*Lookups!$B$21</f>
        <v>12130.714120000001</v>
      </c>
      <c r="BS942" s="7">
        <f>SUM(Wapato_Inventory[[#This Row],[intercept]:[patio_value]])*Wapato_Inventory[[#This Row],[res_pct]]</f>
        <v>183691.40440999999</v>
      </c>
      <c r="BT942" s="7">
        <f>Wapato_Inventory[[#This Row],[land_value]]</f>
        <v>55500</v>
      </c>
      <c r="BU942" s="2">
        <f>_xlfn.IFNA(VLOOKUP(Wapato_Inventory[[#This Row],[quality]],Lookups!$A$28:$C$37,3,FALSE),1)</f>
        <v>0.97993206410140754</v>
      </c>
      <c r="BV942" s="2">
        <f>_xlfn.IFNA(VLOOKUP(Wapato_Inventory[[#This Row],[condition]],Lookups!$A$41:$C$48,3,FALSE),1)</f>
        <v>0.9832333997567807</v>
      </c>
      <c r="BW942" s="2">
        <f>IF(Wapato_Inventory[[#This Row],[decade]]="",1,_xlfn.IFNA(VLOOKUP(Wapato_Inventory[[#This Row],[decade]],Lookups!$F$28:$H$45,3,FALSE),1))</f>
        <v>0.8438929209510081</v>
      </c>
      <c r="BX942" s="2">
        <f>_xlfn.IFNA(VLOOKUP(Wapato_Inventory[[#This Row],[living_area_range]],Lookups!$K$28:$M$37,3,FALSE),1)</f>
        <v>1.0061411172456287</v>
      </c>
      <c r="BY942" s="2">
        <f>AVERAGE(Wapato_Inventory[[#This Row],[qual_adj]:[range_adj]])</f>
        <v>0.95329987551370632</v>
      </c>
      <c r="BZ942" s="7">
        <f>(Wapato_Inventory[[#This Row],[sum_land]]-IF(Wapato_Inventory[[#This Row],[no_utilities]]=1,12000,0))/IF(Wapato_Inventory[[#This Row],[unbuildable]]=1,2,1)</f>
        <v>55500</v>
      </c>
      <c r="CA942" s="7">
        <f>Wapato_Inventory[[#This Row],[pre_res]]*Wapato_Inventory[[#This Row],[overall_adj]]</f>
        <v>175112.99295699087</v>
      </c>
      <c r="CB942" s="3">
        <f>IF(ROUND(Wapato_Inventory[[#This Row],[adj_land]]*Lookups!$H$48,-2)&lt;Wapato_Inventory[[#This Row],[min_land]],Wapato_Inventory[[#This Row],[min_land]],ROUND(Wapato_Inventory[[#This Row],[adj_land]]*Lookups!$H$48,-2))</f>
        <v>52700</v>
      </c>
      <c r="CC942" s="3">
        <f>IF(ROUND(Wapato_Inventory[[#This Row],[adj_res]]*Lookups!$H$48,-2)&lt;Wapato_Inventory[[#This Row],[min_res]],Wapato_Inventory[[#This Row],[min_res]],ROUND(Wapato_Inventory[[#This Row],[adj_res]]*Lookups!$H$48,-2))</f>
        <v>166400</v>
      </c>
      <c r="CD942" s="3">
        <f>ROUND(Wapato_Inventory[[#This Row],[det_value]]*Lookups!$H$48,-2)</f>
        <v>0</v>
      </c>
      <c r="CE942" s="3">
        <f>Wapato_Inventory[[#This Row],[final_res]]+Wapato_Inventory[[#This Row],[final_det]]</f>
        <v>166400</v>
      </c>
      <c r="CF942" s="3">
        <f>Wapato_Inventory[[#This Row],[crop_value]]+Wapato_Inventory[[#This Row],[final_land]]+Wapato_Inventory[[#This Row],[final_imp]]</f>
        <v>219100</v>
      </c>
      <c r="CH942" t="str">
        <f t="shared" si="14"/>
        <v>update valuation set market_land =52700, market_bldg=166400, market_total =219100, market_mdno =405, market_date ='9/10/2023' where link_id = (select link_id from parcel where parcel_year = '2024' and parcel_id = '19111521434');</v>
      </c>
    </row>
    <row r="943" spans="1:86" x14ac:dyDescent="0.25">
      <c r="A943">
        <v>19111521435</v>
      </c>
      <c r="B943">
        <v>0.28000000000000003</v>
      </c>
      <c r="C943">
        <v>12405</v>
      </c>
      <c r="D943" t="s">
        <v>144</v>
      </c>
      <c r="E943" t="s">
        <v>54</v>
      </c>
      <c r="F943" t="s">
        <v>54</v>
      </c>
      <c r="G943">
        <v>3</v>
      </c>
      <c r="H943" t="s">
        <v>55</v>
      </c>
      <c r="I943">
        <v>141300</v>
      </c>
      <c r="J943">
        <v>36300</v>
      </c>
      <c r="K943">
        <v>0.28000000000000003</v>
      </c>
      <c r="L943">
        <f>IF(Wapato_Inventory[[#This Row],[parcel_acres]]-Wapato_Inventory[[#This Row],[non_valued_acres]] =0,0,LN(Wapato_Inventory[[#This Row],[parcel_acres]]-Wapato_Inventory[[#This Row],[non_valued_acres]]))</f>
        <v>-1.2729656758128873</v>
      </c>
      <c r="M943">
        <v>0</v>
      </c>
      <c r="N943">
        <v>0</v>
      </c>
      <c r="O943">
        <v>0</v>
      </c>
      <c r="P943">
        <v>27904.037</v>
      </c>
      <c r="Q943">
        <v>74398</v>
      </c>
      <c r="R943" s="3">
        <f>(Wapato_Inventory[[#This Row],[ln_acres]]*Wapato_Inventory[[#This Row],[coeff]])+Wapato_Inventory[[#This Row],[const]]</f>
        <v>38877.118682387183</v>
      </c>
      <c r="S943" t="s">
        <v>66</v>
      </c>
      <c r="T943">
        <v>1</v>
      </c>
      <c r="U943" t="s">
        <v>75</v>
      </c>
      <c r="V943" t="s">
        <v>68</v>
      </c>
      <c r="W943">
        <v>0</v>
      </c>
      <c r="X943">
        <v>0</v>
      </c>
      <c r="Y943">
        <v>49</v>
      </c>
      <c r="Z943">
        <v>68</v>
      </c>
      <c r="AA943">
        <v>70</v>
      </c>
      <c r="AB943">
        <v>1000</v>
      </c>
      <c r="AC943">
        <v>996</v>
      </c>
      <c r="AD943">
        <v>996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0</v>
      </c>
      <c r="AL943">
        <v>0</v>
      </c>
      <c r="AM943">
        <v>176</v>
      </c>
      <c r="AN943">
        <v>30</v>
      </c>
      <c r="AO943">
        <v>176</v>
      </c>
      <c r="AP943">
        <v>5</v>
      </c>
      <c r="AQ943">
        <v>0</v>
      </c>
      <c r="AR943">
        <v>0</v>
      </c>
      <c r="AS943" t="s">
        <v>59</v>
      </c>
      <c r="AT943">
        <v>0</v>
      </c>
      <c r="AU943" t="s">
        <v>80</v>
      </c>
      <c r="AV943" t="s">
        <v>65</v>
      </c>
      <c r="AW943">
        <v>0</v>
      </c>
      <c r="AX943">
        <v>3</v>
      </c>
      <c r="AY943">
        <v>0</v>
      </c>
      <c r="AZ943">
        <v>0</v>
      </c>
      <c r="BA943">
        <v>100</v>
      </c>
      <c r="BB943">
        <v>100</v>
      </c>
      <c r="BC943">
        <v>100</v>
      </c>
      <c r="BD943">
        <v>100</v>
      </c>
      <c r="BE943">
        <v>1</v>
      </c>
      <c r="BF943">
        <v>15000</v>
      </c>
      <c r="BG943">
        <v>1000</v>
      </c>
      <c r="BH943" s="7">
        <f>ROUND(Wapato_Inventory[[#This Row],[detatched_value]]*Lookups!$B$22*Lookups!$H$48,-2)</f>
        <v>0</v>
      </c>
      <c r="BI943" s="7">
        <f>ROUND(((Wapato_Inventory[[#This Row],[land_extract]]*Lookups!$B$3) +(Lookups!$B$2*0.5))*Lookups!$H$48,-2)</f>
        <v>54800</v>
      </c>
      <c r="BJ943" s="7">
        <f>IF(Wapato_Inventory[[#This Row],[bldg_style]]="",0,Lookups!$B$2*0.5)</f>
        <v>53765.27</v>
      </c>
      <c r="BK943" s="7">
        <f>_xlfn.IFNA(VLOOKUP(Wapato_Inventory[[#This Row],[quality]],Lookups!$H$2:$J$14,3,FALSE),0)</f>
        <v>48043</v>
      </c>
      <c r="BL943" s="7">
        <f>_xlfn.IFNA(VLOOKUP(Wapato_Inventory[[#This Row],[condition]],Lookups!$H$17:$J$24,3,FALSE),0)</f>
        <v>52231</v>
      </c>
      <c r="BM943" s="7">
        <f>Wapato_Inventory[[#This Row],[Age]]*Lookups!$B$16</f>
        <v>-25205.9476</v>
      </c>
      <c r="BN943" s="7">
        <f>Wapato_Inventory[[#This Row],[Main Floor]]*Lookups!$B$17</f>
        <v>41633.536044</v>
      </c>
      <c r="BO943" s="7">
        <f>Wapato_Inventory[[#This Row],[Upper Floor]]*Lookups!$B$18</f>
        <v>0</v>
      </c>
      <c r="BP943" s="7">
        <f>Wapato_Inventory[[#This Row],[Fin BSMT]]*Lookups!$B$19</f>
        <v>0</v>
      </c>
      <c r="BQ943" s="7">
        <f>(Wapato_Inventory[[#This Row],[att_gar]]+Wapato_Inventory[[#This Row],[blt_gar]])*Lookups!$B$20</f>
        <v>0</v>
      </c>
      <c r="BR943" s="7">
        <f>Wapato_Inventory[[#This Row],[Patio]]*Lookups!$B$21</f>
        <v>7625.0203040000006</v>
      </c>
      <c r="BS943" s="7">
        <f>SUM(Wapato_Inventory[[#This Row],[intercept]:[patio_value]])*Wapato_Inventory[[#This Row],[res_pct]]</f>
        <v>178091.87874799999</v>
      </c>
      <c r="BT943" s="7">
        <f>Wapato_Inventory[[#This Row],[land_value]]</f>
        <v>54800</v>
      </c>
      <c r="BU943" s="2">
        <f>_xlfn.IFNA(VLOOKUP(Wapato_Inventory[[#This Row],[quality]],Lookups!$A$28:$C$37,3,FALSE),1)</f>
        <v>0.98196844879778955</v>
      </c>
      <c r="BV943" s="2">
        <f>_xlfn.IFNA(VLOOKUP(Wapato_Inventory[[#This Row],[condition]],Lookups!$A$41:$C$48,3,FALSE),1)</f>
        <v>0.9832333997567807</v>
      </c>
      <c r="BW943" s="2">
        <f>IF(Wapato_Inventory[[#This Row],[decade]]="",1,_xlfn.IFNA(VLOOKUP(Wapato_Inventory[[#This Row],[decade]],Lookups!$F$28:$H$45,3,FALSE),1))</f>
        <v>1.0012715221492001</v>
      </c>
      <c r="BX943" s="2">
        <f>_xlfn.IFNA(VLOOKUP(Wapato_Inventory[[#This Row],[living_area_range]],Lookups!$K$28:$M$37,3,FALSE),1)</f>
        <v>0.99022994770196116</v>
      </c>
      <c r="BY943" s="2">
        <f>AVERAGE(Wapato_Inventory[[#This Row],[qual_adj]:[range_adj]])</f>
        <v>0.98917582960143291</v>
      </c>
      <c r="BZ943" s="7">
        <f>(Wapato_Inventory[[#This Row],[sum_land]]-IF(Wapato_Inventory[[#This Row],[no_utilities]]=1,12000,0))/IF(Wapato_Inventory[[#This Row],[unbuildable]]=1,2,1)</f>
        <v>54800</v>
      </c>
      <c r="CA943" s="7">
        <f>Wapato_Inventory[[#This Row],[pre_res]]*Wapato_Inventory[[#This Row],[overall_adj]]</f>
        <v>176164.18190583069</v>
      </c>
      <c r="CB943" s="3">
        <f>IF(ROUND(Wapato_Inventory[[#This Row],[adj_land]]*Lookups!$H$48,-2)&lt;Wapato_Inventory[[#This Row],[min_land]],Wapato_Inventory[[#This Row],[min_land]],ROUND(Wapato_Inventory[[#This Row],[adj_land]]*Lookups!$H$48,-2))</f>
        <v>52100</v>
      </c>
      <c r="CC943" s="3">
        <f>IF(ROUND(Wapato_Inventory[[#This Row],[adj_res]]*Lookups!$H$48,-2)&lt;Wapato_Inventory[[#This Row],[min_res]],Wapato_Inventory[[#This Row],[min_res]],ROUND(Wapato_Inventory[[#This Row],[adj_res]]*Lookups!$H$48,-2))</f>
        <v>167400</v>
      </c>
      <c r="CD943" s="3">
        <f>ROUND(Wapato_Inventory[[#This Row],[det_value]]*Lookups!$H$48,-2)</f>
        <v>0</v>
      </c>
      <c r="CE943" s="3">
        <f>Wapato_Inventory[[#This Row],[final_res]]+Wapato_Inventory[[#This Row],[final_det]]</f>
        <v>167400</v>
      </c>
      <c r="CF943" s="3">
        <f>Wapato_Inventory[[#This Row],[crop_value]]+Wapato_Inventory[[#This Row],[final_land]]+Wapato_Inventory[[#This Row],[final_imp]]</f>
        <v>219500</v>
      </c>
      <c r="CH943" t="str">
        <f t="shared" si="14"/>
        <v>update valuation set market_land =52100, market_bldg=167400, market_total =219500, market_mdno =405, market_date ='9/10/2023' where link_id = (select link_id from parcel where parcel_year = '2024' and parcel_id = '19111521435');</v>
      </c>
    </row>
    <row r="944" spans="1:86" x14ac:dyDescent="0.25">
      <c r="A944">
        <v>19111521436</v>
      </c>
      <c r="B944">
        <v>0.19</v>
      </c>
      <c r="C944">
        <v>8400</v>
      </c>
      <c r="D944" t="s">
        <v>144</v>
      </c>
      <c r="E944" t="s">
        <v>54</v>
      </c>
      <c r="F944" t="s">
        <v>54</v>
      </c>
      <c r="G944">
        <v>3</v>
      </c>
      <c r="H944" t="s">
        <v>55</v>
      </c>
      <c r="I944">
        <v>166500</v>
      </c>
      <c r="J944">
        <v>33600</v>
      </c>
      <c r="K944">
        <v>0.19</v>
      </c>
      <c r="L944">
        <f>IF(Wapato_Inventory[[#This Row],[parcel_acres]]-Wapato_Inventory[[#This Row],[non_valued_acres]] =0,0,LN(Wapato_Inventory[[#This Row],[parcel_acres]]-Wapato_Inventory[[#This Row],[non_valued_acres]]))</f>
        <v>-1.6607312068216509</v>
      </c>
      <c r="M944">
        <v>0</v>
      </c>
      <c r="N944">
        <v>0</v>
      </c>
      <c r="O944">
        <v>0</v>
      </c>
      <c r="P944">
        <v>27904.037</v>
      </c>
      <c r="Q944">
        <v>74398</v>
      </c>
      <c r="R944" s="3">
        <f>(Wapato_Inventory[[#This Row],[ln_acres]]*Wapato_Inventory[[#This Row],[coeff]])+Wapato_Inventory[[#This Row],[const]]</f>
        <v>28056.894957794</v>
      </c>
      <c r="S944" t="s">
        <v>66</v>
      </c>
      <c r="T944">
        <v>1</v>
      </c>
      <c r="U944" t="s">
        <v>63</v>
      </c>
      <c r="V944" t="s">
        <v>68</v>
      </c>
      <c r="W944">
        <v>0</v>
      </c>
      <c r="X944">
        <v>0</v>
      </c>
      <c r="Y944">
        <v>50</v>
      </c>
      <c r="Z944">
        <v>73</v>
      </c>
      <c r="AA944">
        <v>80</v>
      </c>
      <c r="AB944">
        <v>2000</v>
      </c>
      <c r="AC944">
        <v>1501</v>
      </c>
      <c r="AD944">
        <v>1501</v>
      </c>
      <c r="AE944">
        <v>0</v>
      </c>
      <c r="AF944">
        <v>0</v>
      </c>
      <c r="AG944">
        <v>0</v>
      </c>
      <c r="AH944">
        <v>0</v>
      </c>
      <c r="AI944">
        <v>0</v>
      </c>
      <c r="AJ944">
        <v>0</v>
      </c>
      <c r="AK944">
        <v>0</v>
      </c>
      <c r="AL944">
        <v>0</v>
      </c>
      <c r="AM944">
        <v>340</v>
      </c>
      <c r="AN944">
        <v>0</v>
      </c>
      <c r="AO944">
        <v>340</v>
      </c>
      <c r="AP944">
        <v>8</v>
      </c>
      <c r="AQ944">
        <v>0</v>
      </c>
      <c r="AR944">
        <v>1</v>
      </c>
      <c r="AS944" t="s">
        <v>59</v>
      </c>
      <c r="AT944">
        <v>1</v>
      </c>
      <c r="AU944" t="s">
        <v>64</v>
      </c>
      <c r="AV944" t="s">
        <v>65</v>
      </c>
      <c r="AW944">
        <v>1</v>
      </c>
      <c r="AX944">
        <v>3</v>
      </c>
      <c r="AY944">
        <v>0</v>
      </c>
      <c r="AZ944">
        <v>0</v>
      </c>
      <c r="BA944">
        <v>100</v>
      </c>
      <c r="BB944">
        <v>100</v>
      </c>
      <c r="BC944">
        <v>100</v>
      </c>
      <c r="BD944">
        <v>100</v>
      </c>
      <c r="BE944">
        <v>1</v>
      </c>
      <c r="BF944">
        <v>15000</v>
      </c>
      <c r="BG944">
        <v>1000</v>
      </c>
      <c r="BH944" s="7">
        <f>ROUND(Wapato_Inventory[[#This Row],[detatched_value]]*Lookups!$B$22*Lookups!$H$48,-2)</f>
        <v>0</v>
      </c>
      <c r="BI944" s="7">
        <f>ROUND(((Wapato_Inventory[[#This Row],[land_extract]]*Lookups!$B$3) +(Lookups!$B$2*0.5))*Lookups!$H$48,-2)</f>
        <v>53800</v>
      </c>
      <c r="BJ944" s="7">
        <f>IF(Wapato_Inventory[[#This Row],[bldg_style]]="",0,Lookups!$B$2*0.5)</f>
        <v>53765.27</v>
      </c>
      <c r="BK944" s="7">
        <f>_xlfn.IFNA(VLOOKUP(Wapato_Inventory[[#This Row],[quality]],Lookups!$H$2:$J$14,3,FALSE),0)</f>
        <v>50594</v>
      </c>
      <c r="BL944" s="7">
        <f>_xlfn.IFNA(VLOOKUP(Wapato_Inventory[[#This Row],[condition]],Lookups!$H$17:$J$24,3,FALSE),0)</f>
        <v>52231</v>
      </c>
      <c r="BM944" s="7">
        <f>Wapato_Inventory[[#This Row],[Age]]*Lookups!$B$16</f>
        <v>-27059.326100000002</v>
      </c>
      <c r="BN944" s="7">
        <f>Wapato_Inventory[[#This Row],[Main Floor]]*Lookups!$B$17</f>
        <v>62742.909239000001</v>
      </c>
      <c r="BO944" s="7">
        <f>Wapato_Inventory[[#This Row],[Upper Floor]]*Lookups!$B$18</f>
        <v>0</v>
      </c>
      <c r="BP944" s="7">
        <f>Wapato_Inventory[[#This Row],[Fin BSMT]]*Lookups!$B$19</f>
        <v>0</v>
      </c>
      <c r="BQ944" s="7">
        <f>(Wapato_Inventory[[#This Row],[att_gar]]+Wapato_Inventory[[#This Row],[blt_gar]])*Lookups!$B$20</f>
        <v>0</v>
      </c>
      <c r="BR944" s="7">
        <f>Wapato_Inventory[[#This Row],[Patio]]*Lookups!$B$21</f>
        <v>14730.15286</v>
      </c>
      <c r="BS944" s="7">
        <f>SUM(Wapato_Inventory[[#This Row],[intercept]:[patio_value]])*Wapato_Inventory[[#This Row],[res_pct]]</f>
        <v>207004.00599899999</v>
      </c>
      <c r="BT944" s="7">
        <f>Wapato_Inventory[[#This Row],[land_value]]</f>
        <v>53800</v>
      </c>
      <c r="BU944" s="2">
        <f>_xlfn.IFNA(VLOOKUP(Wapato_Inventory[[#This Row],[quality]],Lookups!$A$28:$C$37,3,FALSE),1)</f>
        <v>0.99197423394367223</v>
      </c>
      <c r="BV944" s="2">
        <f>_xlfn.IFNA(VLOOKUP(Wapato_Inventory[[#This Row],[condition]],Lookups!$A$41:$C$48,3,FALSE),1)</f>
        <v>0.9832333997567807</v>
      </c>
      <c r="BW944" s="2">
        <f>IF(Wapato_Inventory[[#This Row],[decade]]="",1,_xlfn.IFNA(VLOOKUP(Wapato_Inventory[[#This Row],[decade]],Lookups!$F$28:$H$45,3,FALSE),1))</f>
        <v>0.8438929209510081</v>
      </c>
      <c r="BX944" s="2">
        <f>_xlfn.IFNA(VLOOKUP(Wapato_Inventory[[#This Row],[living_area_range]],Lookups!$K$28:$M$37,3,FALSE),1)</f>
        <v>0.99330894324714125</v>
      </c>
      <c r="BY944" s="2">
        <f>AVERAGE(Wapato_Inventory[[#This Row],[qual_adj]:[range_adj]])</f>
        <v>0.95310237447465052</v>
      </c>
      <c r="BZ944" s="7">
        <f>(Wapato_Inventory[[#This Row],[sum_land]]-IF(Wapato_Inventory[[#This Row],[no_utilities]]=1,12000,0))/IF(Wapato_Inventory[[#This Row],[unbuildable]]=1,2,1)</f>
        <v>53800</v>
      </c>
      <c r="CA944" s="7">
        <f>Wapato_Inventory[[#This Row],[pre_res]]*Wapato_Inventory[[#This Row],[overall_adj]]</f>
        <v>197296.0096434117</v>
      </c>
      <c r="CB944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44" s="3">
        <f>IF(ROUND(Wapato_Inventory[[#This Row],[adj_res]]*Lookups!$H$48,-2)&lt;Wapato_Inventory[[#This Row],[min_res]],Wapato_Inventory[[#This Row],[min_res]],ROUND(Wapato_Inventory[[#This Row],[adj_res]]*Lookups!$H$48,-2))</f>
        <v>187400</v>
      </c>
      <c r="CD944" s="3">
        <f>ROUND(Wapato_Inventory[[#This Row],[det_value]]*Lookups!$H$48,-2)</f>
        <v>0</v>
      </c>
      <c r="CE944" s="3">
        <f>Wapato_Inventory[[#This Row],[final_res]]+Wapato_Inventory[[#This Row],[final_det]]</f>
        <v>187400</v>
      </c>
      <c r="CF944" s="3">
        <f>Wapato_Inventory[[#This Row],[crop_value]]+Wapato_Inventory[[#This Row],[final_land]]+Wapato_Inventory[[#This Row],[final_imp]]</f>
        <v>238500</v>
      </c>
      <c r="CH944" t="str">
        <f t="shared" si="14"/>
        <v>update valuation set market_land =51100, market_bldg=187400, market_total =238500, market_mdno =405, market_date ='9/10/2023' where link_id = (select link_id from parcel where parcel_year = '2024' and parcel_id = '19111521436');</v>
      </c>
    </row>
    <row r="945" spans="1:86" x14ac:dyDescent="0.25">
      <c r="A945">
        <v>19111521437</v>
      </c>
      <c r="B945">
        <v>0.22</v>
      </c>
      <c r="C945">
        <v>9713</v>
      </c>
      <c r="D945" t="s">
        <v>144</v>
      </c>
      <c r="E945" t="s">
        <v>54</v>
      </c>
      <c r="F945" t="s">
        <v>54</v>
      </c>
      <c r="G945">
        <v>3</v>
      </c>
      <c r="H945" t="s">
        <v>55</v>
      </c>
      <c r="I945">
        <v>142800</v>
      </c>
      <c r="J945">
        <v>34600</v>
      </c>
      <c r="K945">
        <v>0.22</v>
      </c>
      <c r="L945">
        <f>IF(Wapato_Inventory[[#This Row],[parcel_acres]]-Wapato_Inventory[[#This Row],[non_valued_acres]] =0,0,LN(Wapato_Inventory[[#This Row],[parcel_acres]]-Wapato_Inventory[[#This Row],[non_valued_acres]]))</f>
        <v>-1.5141277326297755</v>
      </c>
      <c r="M945">
        <v>0</v>
      </c>
      <c r="N945">
        <v>0</v>
      </c>
      <c r="O945">
        <v>0</v>
      </c>
      <c r="P945">
        <v>27904.037</v>
      </c>
      <c r="Q945">
        <v>74398</v>
      </c>
      <c r="R945" s="3">
        <f>(Wapato_Inventory[[#This Row],[ln_acres]]*Wapato_Inventory[[#This Row],[coeff]])+Wapato_Inventory[[#This Row],[const]]</f>
        <v>32147.723725972639</v>
      </c>
      <c r="S945" t="s">
        <v>66</v>
      </c>
      <c r="T945">
        <v>1</v>
      </c>
      <c r="U945" t="s">
        <v>71</v>
      </c>
      <c r="V945" t="s">
        <v>68</v>
      </c>
      <c r="W945">
        <v>0</v>
      </c>
      <c r="X945">
        <v>0</v>
      </c>
      <c r="Y945">
        <v>50</v>
      </c>
      <c r="Z945">
        <v>73</v>
      </c>
      <c r="AA945">
        <v>80</v>
      </c>
      <c r="AB945">
        <v>1500</v>
      </c>
      <c r="AC945">
        <v>1284</v>
      </c>
      <c r="AD945">
        <v>1284</v>
      </c>
      <c r="AE945">
        <v>0</v>
      </c>
      <c r="AF945">
        <v>0</v>
      </c>
      <c r="AG945">
        <v>0</v>
      </c>
      <c r="AH945">
        <v>0</v>
      </c>
      <c r="AI945">
        <v>0</v>
      </c>
      <c r="AJ945">
        <v>0</v>
      </c>
      <c r="AK945">
        <v>0</v>
      </c>
      <c r="AL945">
        <v>0</v>
      </c>
      <c r="AM945">
        <v>144</v>
      </c>
      <c r="AN945">
        <v>24</v>
      </c>
      <c r="AO945">
        <v>0</v>
      </c>
      <c r="AP945">
        <v>5</v>
      </c>
      <c r="AQ945">
        <v>1</v>
      </c>
      <c r="AR945">
        <v>0</v>
      </c>
      <c r="AS945" t="s">
        <v>59</v>
      </c>
      <c r="AT945">
        <v>1</v>
      </c>
      <c r="AU945" t="s">
        <v>72</v>
      </c>
      <c r="AV945" t="s">
        <v>61</v>
      </c>
      <c r="AW945">
        <v>0</v>
      </c>
      <c r="AX945">
        <v>3</v>
      </c>
      <c r="AY945">
        <v>0</v>
      </c>
      <c r="AZ945">
        <v>6200</v>
      </c>
      <c r="BA945">
        <v>100</v>
      </c>
      <c r="BB945">
        <v>100</v>
      </c>
      <c r="BC945">
        <v>100</v>
      </c>
      <c r="BD945">
        <v>100</v>
      </c>
      <c r="BE945">
        <v>1</v>
      </c>
      <c r="BF945">
        <v>15000</v>
      </c>
      <c r="BG945">
        <v>1000</v>
      </c>
      <c r="BH945" s="7">
        <f>ROUND(Wapato_Inventory[[#This Row],[detatched_value]]*Lookups!$B$22*Lookups!$H$48,-2)</f>
        <v>5500</v>
      </c>
      <c r="BI945" s="7">
        <f>ROUND(((Wapato_Inventory[[#This Row],[land_extract]]*Lookups!$B$3) +(Lookups!$B$2*0.5))*Lookups!$H$48,-2)</f>
        <v>54200</v>
      </c>
      <c r="BJ945" s="7">
        <f>IF(Wapato_Inventory[[#This Row],[bldg_style]]="",0,Lookups!$B$2*0.5)</f>
        <v>53765.27</v>
      </c>
      <c r="BK945" s="7">
        <f>_xlfn.IFNA(VLOOKUP(Wapato_Inventory[[#This Row],[quality]],Lookups!$H$2:$J$14,3,FALSE),0)</f>
        <v>28034</v>
      </c>
      <c r="BL945" s="7">
        <f>_xlfn.IFNA(VLOOKUP(Wapato_Inventory[[#This Row],[condition]],Lookups!$H$17:$J$24,3,FALSE),0)</f>
        <v>52231</v>
      </c>
      <c r="BM945" s="7">
        <f>Wapato_Inventory[[#This Row],[Age]]*Lookups!$B$16</f>
        <v>-27059.326100000002</v>
      </c>
      <c r="BN945" s="7">
        <f>Wapato_Inventory[[#This Row],[Main Floor]]*Lookups!$B$17</f>
        <v>53672.148875999999</v>
      </c>
      <c r="BO945" s="7">
        <f>Wapato_Inventory[[#This Row],[Upper Floor]]*Lookups!$B$18</f>
        <v>0</v>
      </c>
      <c r="BP945" s="7">
        <f>Wapato_Inventory[[#This Row],[Fin BSMT]]*Lookups!$B$19</f>
        <v>0</v>
      </c>
      <c r="BQ945" s="7">
        <f>(Wapato_Inventory[[#This Row],[att_gar]]+Wapato_Inventory[[#This Row],[blt_gar]])*Lookups!$B$20</f>
        <v>0</v>
      </c>
      <c r="BR945" s="7">
        <f>Wapato_Inventory[[#This Row],[Patio]]*Lookups!$B$21</f>
        <v>6238.6529760000003</v>
      </c>
      <c r="BS945" s="7">
        <f>SUM(Wapato_Inventory[[#This Row],[intercept]:[patio_value]])*Wapato_Inventory[[#This Row],[res_pct]]</f>
        <v>166881.74575199999</v>
      </c>
      <c r="BT945" s="7">
        <f>Wapato_Inventory[[#This Row],[land_value]]</f>
        <v>54200</v>
      </c>
      <c r="BU945" s="2">
        <f>_xlfn.IFNA(VLOOKUP(Wapato_Inventory[[#This Row],[quality]],Lookups!$A$28:$C$37,3,FALSE),1)</f>
        <v>0.96265813922927435</v>
      </c>
      <c r="BV945" s="2">
        <f>_xlfn.IFNA(VLOOKUP(Wapato_Inventory[[#This Row],[condition]],Lookups!$A$41:$C$48,3,FALSE),1)</f>
        <v>0.9832333997567807</v>
      </c>
      <c r="BW945" s="2">
        <f>IF(Wapato_Inventory[[#This Row],[decade]]="",1,_xlfn.IFNA(VLOOKUP(Wapato_Inventory[[#This Row],[decade]],Lookups!$F$28:$H$45,3,FALSE),1))</f>
        <v>0.8438929209510081</v>
      </c>
      <c r="BX945" s="2">
        <f>_xlfn.IFNA(VLOOKUP(Wapato_Inventory[[#This Row],[living_area_range]],Lookups!$K$28:$M$37,3,FALSE),1)</f>
        <v>1.0061411172456287</v>
      </c>
      <c r="BY945" s="2">
        <f>AVERAGE(Wapato_Inventory[[#This Row],[qual_adj]:[range_adj]])</f>
        <v>0.94898139429567296</v>
      </c>
      <c r="BZ945" s="7">
        <f>(Wapato_Inventory[[#This Row],[sum_land]]-IF(Wapato_Inventory[[#This Row],[no_utilities]]=1,12000,0))/IF(Wapato_Inventory[[#This Row],[unbuildable]]=1,2,1)</f>
        <v>54200</v>
      </c>
      <c r="CA945" s="7">
        <f>Wapato_Inventory[[#This Row],[pre_res]]*Wapato_Inventory[[#This Row],[overall_adj]]</f>
        <v>158367.67176622894</v>
      </c>
      <c r="CB945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945" s="3">
        <f>IF(ROUND(Wapato_Inventory[[#This Row],[adj_res]]*Lookups!$H$48,-2)&lt;Wapato_Inventory[[#This Row],[min_res]],Wapato_Inventory[[#This Row],[min_res]],ROUND(Wapato_Inventory[[#This Row],[adj_res]]*Lookups!$H$48,-2))</f>
        <v>150400</v>
      </c>
      <c r="CD945" s="3">
        <f>ROUND(Wapato_Inventory[[#This Row],[det_value]]*Lookups!$H$48,-2)</f>
        <v>5200</v>
      </c>
      <c r="CE945" s="3">
        <f>Wapato_Inventory[[#This Row],[final_res]]+Wapato_Inventory[[#This Row],[final_det]]</f>
        <v>155600</v>
      </c>
      <c r="CF945" s="3">
        <f>Wapato_Inventory[[#This Row],[crop_value]]+Wapato_Inventory[[#This Row],[final_land]]+Wapato_Inventory[[#This Row],[final_imp]]</f>
        <v>207100</v>
      </c>
      <c r="CH945" t="str">
        <f t="shared" si="14"/>
        <v>update valuation set market_land =51500, market_bldg=155600, market_total =207100, market_mdno =405, market_date ='9/10/2023' where link_id = (select link_id from parcel where parcel_year = '2024' and parcel_id = '19111521437');</v>
      </c>
    </row>
    <row r="946" spans="1:86" x14ac:dyDescent="0.25">
      <c r="A946">
        <v>19111522001</v>
      </c>
      <c r="B946">
        <v>3.58</v>
      </c>
      <c r="C946">
        <v>156000</v>
      </c>
      <c r="D946" t="s">
        <v>144</v>
      </c>
      <c r="E946" t="s">
        <v>54</v>
      </c>
      <c r="F946" t="s">
        <v>54</v>
      </c>
      <c r="G946">
        <v>3</v>
      </c>
      <c r="H946" t="s">
        <v>55</v>
      </c>
      <c r="I946">
        <v>315300</v>
      </c>
      <c r="J946">
        <v>55000</v>
      </c>
      <c r="K946">
        <v>3.58</v>
      </c>
      <c r="L946">
        <f>IF(Wapato_Inventory[[#This Row],[parcel_acres]]-Wapato_Inventory[[#This Row],[non_valued_acres]] =0,0,LN(Wapato_Inventory[[#This Row],[parcel_acres]]-Wapato_Inventory[[#This Row],[non_valued_acres]]))</f>
        <v>1.275362800412609</v>
      </c>
      <c r="M946">
        <v>0</v>
      </c>
      <c r="N946">
        <v>0</v>
      </c>
      <c r="O946">
        <v>0</v>
      </c>
      <c r="P946">
        <v>27904.037</v>
      </c>
      <c r="Q946">
        <v>74398</v>
      </c>
      <c r="R946" s="3">
        <f>(Wapato_Inventory[[#This Row],[ln_acres]]*Wapato_Inventory[[#This Row],[coeff]])+Wapato_Inventory[[#This Row],[const]]</f>
        <v>109985.77077113706</v>
      </c>
      <c r="S946" t="s">
        <v>56</v>
      </c>
      <c r="T946">
        <v>2</v>
      </c>
      <c r="U946" t="s">
        <v>63</v>
      </c>
      <c r="V946" t="s">
        <v>58</v>
      </c>
      <c r="W946">
        <v>0</v>
      </c>
      <c r="X946">
        <v>0</v>
      </c>
      <c r="Y946">
        <v>14</v>
      </c>
      <c r="Z946">
        <v>14</v>
      </c>
      <c r="AA946">
        <v>20</v>
      </c>
      <c r="AB946">
        <v>2000</v>
      </c>
      <c r="AC946">
        <v>1768</v>
      </c>
      <c r="AD946">
        <v>884</v>
      </c>
      <c r="AE946">
        <v>884</v>
      </c>
      <c r="AF946">
        <v>0</v>
      </c>
      <c r="AG946">
        <v>0</v>
      </c>
      <c r="AH946">
        <v>0</v>
      </c>
      <c r="AI946">
        <v>729</v>
      </c>
      <c r="AJ946">
        <v>0</v>
      </c>
      <c r="AK946">
        <v>0</v>
      </c>
      <c r="AL946">
        <v>0</v>
      </c>
      <c r="AM946">
        <v>0</v>
      </c>
      <c r="AN946">
        <v>204</v>
      </c>
      <c r="AO946">
        <v>0</v>
      </c>
      <c r="AP946">
        <v>10</v>
      </c>
      <c r="AQ946">
        <v>0</v>
      </c>
      <c r="AR946">
        <v>0</v>
      </c>
      <c r="AS946" t="s">
        <v>59</v>
      </c>
      <c r="AT946">
        <v>1</v>
      </c>
      <c r="AU946" t="s">
        <v>60</v>
      </c>
      <c r="AV946" t="s">
        <v>61</v>
      </c>
      <c r="AW946">
        <v>1</v>
      </c>
      <c r="AX946">
        <v>3</v>
      </c>
      <c r="AY946">
        <v>0</v>
      </c>
      <c r="AZ946">
        <v>0</v>
      </c>
      <c r="BA946">
        <v>100</v>
      </c>
      <c r="BB946">
        <v>100</v>
      </c>
      <c r="BC946">
        <v>100</v>
      </c>
      <c r="BD946">
        <v>100</v>
      </c>
      <c r="BE946">
        <v>1</v>
      </c>
      <c r="BF946">
        <v>15000</v>
      </c>
      <c r="BG946">
        <v>1000</v>
      </c>
      <c r="BH946" s="7">
        <f>ROUND(Wapato_Inventory[[#This Row],[detatched_value]]*Lookups!$B$22*Lookups!$H$48,-2)</f>
        <v>0</v>
      </c>
      <c r="BI946" s="7">
        <f>ROUND(((Wapato_Inventory[[#This Row],[land_extract]]*Lookups!$B$3) +(Lookups!$B$2*0.5))*Lookups!$H$48,-2)</f>
        <v>61700</v>
      </c>
      <c r="BJ946" s="7">
        <f>IF(Wapato_Inventory[[#This Row],[bldg_style]]="",0,Lookups!$B$2*0.5)</f>
        <v>53765.27</v>
      </c>
      <c r="BK946" s="7">
        <f>_xlfn.IFNA(VLOOKUP(Wapato_Inventory[[#This Row],[quality]],Lookups!$H$2:$J$14,3,FALSE),0)</f>
        <v>50594</v>
      </c>
      <c r="BL946" s="7">
        <f>_xlfn.IFNA(VLOOKUP(Wapato_Inventory[[#This Row],[condition]],Lookups!$H$17:$J$24,3,FALSE),0)</f>
        <v>122095</v>
      </c>
      <c r="BM946" s="7">
        <f>Wapato_Inventory[[#This Row],[Age]]*Lookups!$B$16</f>
        <v>-5189.4598000000005</v>
      </c>
      <c r="BN946" s="7">
        <f>Wapato_Inventory[[#This Row],[Main Floor]]*Lookups!$B$17</f>
        <v>36951.853276000002</v>
      </c>
      <c r="BO946" s="7">
        <f>Wapato_Inventory[[#This Row],[Upper Floor]]*Lookups!$B$18</f>
        <v>43847.406876000001</v>
      </c>
      <c r="BP946" s="7">
        <f>Wapato_Inventory[[#This Row],[Fin BSMT]]*Lookups!$B$19</f>
        <v>0</v>
      </c>
      <c r="BQ946" s="7">
        <f>(Wapato_Inventory[[#This Row],[att_gar]]+Wapato_Inventory[[#This Row],[blt_gar]])*Lookups!$B$20</f>
        <v>26979.380208000002</v>
      </c>
      <c r="BR946" s="7">
        <f>Wapato_Inventory[[#This Row],[Patio]]*Lookups!$B$21</f>
        <v>0</v>
      </c>
      <c r="BS946" s="7">
        <f>SUM(Wapato_Inventory[[#This Row],[intercept]:[patio_value]])*Wapato_Inventory[[#This Row],[res_pct]]</f>
        <v>329043.45056000003</v>
      </c>
      <c r="BT946" s="7">
        <f>Wapato_Inventory[[#This Row],[land_value]]</f>
        <v>61700</v>
      </c>
      <c r="BU946" s="2">
        <f>_xlfn.IFNA(VLOOKUP(Wapato_Inventory[[#This Row],[quality]],Lookups!$A$28:$C$37,3,FALSE),1)</f>
        <v>0.99197423394367223</v>
      </c>
      <c r="BV946" s="2">
        <f>_xlfn.IFNA(VLOOKUP(Wapato_Inventory[[#This Row],[condition]],Lookups!$A$41:$C$48,3,FALSE),1)</f>
        <v>1.00041560026225</v>
      </c>
      <c r="BW946" s="2">
        <f>IF(Wapato_Inventory[[#This Row],[decade]]="",1,_xlfn.IFNA(VLOOKUP(Wapato_Inventory[[#This Row],[decade]],Lookups!$F$28:$H$45,3,FALSE),1))</f>
        <v>1.0658609603367226</v>
      </c>
      <c r="BX946" s="2">
        <f>_xlfn.IFNA(VLOOKUP(Wapato_Inventory[[#This Row],[living_area_range]],Lookups!$K$28:$M$37,3,FALSE),1)</f>
        <v>0.99330894324714125</v>
      </c>
      <c r="BY946" s="2">
        <f>AVERAGE(Wapato_Inventory[[#This Row],[qual_adj]:[range_adj]])</f>
        <v>1.0128899344474467</v>
      </c>
      <c r="BZ946" s="7">
        <f>(Wapato_Inventory[[#This Row],[sum_land]]-IF(Wapato_Inventory[[#This Row],[no_utilities]]=1,12000,0))/IF(Wapato_Inventory[[#This Row],[unbuildable]]=1,2,1)</f>
        <v>61700</v>
      </c>
      <c r="CA946" s="7">
        <f>Wapato_Inventory[[#This Row],[pre_res]]*Wapato_Inventory[[#This Row],[overall_adj]]</f>
        <v>333284.79906808009</v>
      </c>
      <c r="CB946" s="3">
        <f>IF(ROUND(Wapato_Inventory[[#This Row],[adj_land]]*Lookups!$H$48,-2)&lt;Wapato_Inventory[[#This Row],[min_land]],Wapato_Inventory[[#This Row],[min_land]],ROUND(Wapato_Inventory[[#This Row],[adj_land]]*Lookups!$H$48,-2))</f>
        <v>58600</v>
      </c>
      <c r="CC946" s="3">
        <f>IF(ROUND(Wapato_Inventory[[#This Row],[adj_res]]*Lookups!$H$48,-2)&lt;Wapato_Inventory[[#This Row],[min_res]],Wapato_Inventory[[#This Row],[min_res]],ROUND(Wapato_Inventory[[#This Row],[adj_res]]*Lookups!$H$48,-2))</f>
        <v>316600</v>
      </c>
      <c r="CD946" s="3">
        <f>ROUND(Wapato_Inventory[[#This Row],[det_value]]*Lookups!$H$48,-2)</f>
        <v>0</v>
      </c>
      <c r="CE946" s="3">
        <f>Wapato_Inventory[[#This Row],[final_res]]+Wapato_Inventory[[#This Row],[final_det]]</f>
        <v>316600</v>
      </c>
      <c r="CF946" s="3">
        <f>Wapato_Inventory[[#This Row],[crop_value]]+Wapato_Inventory[[#This Row],[final_land]]+Wapato_Inventory[[#This Row],[final_imp]]</f>
        <v>375200</v>
      </c>
      <c r="CH946" t="str">
        <f t="shared" si="14"/>
        <v>update valuation set market_land =58600, market_bldg=316600, market_total =375200, market_mdno =405, market_date ='9/10/2023' where link_id = (select link_id from parcel where parcel_year = '2024' and parcel_id = '19111522001');</v>
      </c>
    </row>
    <row r="947" spans="1:86" x14ac:dyDescent="0.25">
      <c r="A947">
        <v>19111522002</v>
      </c>
      <c r="B947">
        <v>0.42</v>
      </c>
      <c r="C947">
        <v>18094</v>
      </c>
      <c r="D947" t="s">
        <v>144</v>
      </c>
      <c r="E947" t="s">
        <v>54</v>
      </c>
      <c r="F947" t="s">
        <v>54</v>
      </c>
      <c r="G947">
        <v>3</v>
      </c>
      <c r="H947" t="s">
        <v>55</v>
      </c>
      <c r="I947">
        <v>163700</v>
      </c>
      <c r="J947">
        <v>39700</v>
      </c>
      <c r="K947">
        <v>0.42</v>
      </c>
      <c r="L947">
        <f>IF(Wapato_Inventory[[#This Row],[parcel_acres]]-Wapato_Inventory[[#This Row],[non_valued_acres]] =0,0,LN(Wapato_Inventory[[#This Row],[parcel_acres]]-Wapato_Inventory[[#This Row],[non_valued_acres]]))</f>
        <v>-0.86750056770472306</v>
      </c>
      <c r="M947">
        <v>0</v>
      </c>
      <c r="N947">
        <v>0</v>
      </c>
      <c r="O947">
        <v>0</v>
      </c>
      <c r="P947">
        <v>27904.037</v>
      </c>
      <c r="Q947">
        <v>74398</v>
      </c>
      <c r="R947" s="3">
        <f>(Wapato_Inventory[[#This Row],[ln_acres]]*Wapato_Inventory[[#This Row],[coeff]])+Wapato_Inventory[[#This Row],[const]]</f>
        <v>50191.232061246403</v>
      </c>
      <c r="S947" t="s">
        <v>66</v>
      </c>
      <c r="T947">
        <v>1</v>
      </c>
      <c r="U947" t="s">
        <v>75</v>
      </c>
      <c r="V947" t="s">
        <v>68</v>
      </c>
      <c r="W947">
        <v>0</v>
      </c>
      <c r="X947">
        <v>0</v>
      </c>
      <c r="Y947">
        <v>49</v>
      </c>
      <c r="Z947">
        <v>67</v>
      </c>
      <c r="AA947">
        <v>70</v>
      </c>
      <c r="AB947">
        <v>1000</v>
      </c>
      <c r="AC947">
        <v>993</v>
      </c>
      <c r="AD947">
        <v>993</v>
      </c>
      <c r="AE947">
        <v>0</v>
      </c>
      <c r="AF947">
        <v>0</v>
      </c>
      <c r="AG947">
        <v>0</v>
      </c>
      <c r="AH947">
        <v>0</v>
      </c>
      <c r="AI947">
        <v>0</v>
      </c>
      <c r="AJ947">
        <v>0</v>
      </c>
      <c r="AK947">
        <v>0</v>
      </c>
      <c r="AL947">
        <v>0</v>
      </c>
      <c r="AM947">
        <v>0</v>
      </c>
      <c r="AN947">
        <v>35</v>
      </c>
      <c r="AO947">
        <v>0</v>
      </c>
      <c r="AP947">
        <v>5</v>
      </c>
      <c r="AQ947">
        <v>0</v>
      </c>
      <c r="AR947">
        <v>0</v>
      </c>
      <c r="AS947" t="s">
        <v>59</v>
      </c>
      <c r="AT947">
        <v>1</v>
      </c>
      <c r="AU947" t="s">
        <v>64</v>
      </c>
      <c r="AV947" t="s">
        <v>61</v>
      </c>
      <c r="AW947">
        <v>0</v>
      </c>
      <c r="AX947">
        <v>3</v>
      </c>
      <c r="AY947">
        <v>0</v>
      </c>
      <c r="AZ947">
        <v>9400</v>
      </c>
      <c r="BA947">
        <v>100</v>
      </c>
      <c r="BB947">
        <v>100</v>
      </c>
      <c r="BC947">
        <v>100</v>
      </c>
      <c r="BD947">
        <v>100</v>
      </c>
      <c r="BE947">
        <v>1</v>
      </c>
      <c r="BF947">
        <v>15000</v>
      </c>
      <c r="BG947">
        <v>1000</v>
      </c>
      <c r="BH947" s="7">
        <f>ROUND(Wapato_Inventory[[#This Row],[detatched_value]]*Lookups!$B$22*Lookups!$H$48,-2)</f>
        <v>8400</v>
      </c>
      <c r="BI947" s="7">
        <f>ROUND(((Wapato_Inventory[[#This Row],[land_extract]]*Lookups!$B$3) +(Lookups!$B$2*0.5))*Lookups!$H$48,-2)</f>
        <v>55900</v>
      </c>
      <c r="BJ947" s="7">
        <f>IF(Wapato_Inventory[[#This Row],[bldg_style]]="",0,Lookups!$B$2*0.5)</f>
        <v>53765.27</v>
      </c>
      <c r="BK947" s="7">
        <f>_xlfn.IFNA(VLOOKUP(Wapato_Inventory[[#This Row],[quality]],Lookups!$H$2:$J$14,3,FALSE),0)</f>
        <v>48043</v>
      </c>
      <c r="BL947" s="7">
        <f>_xlfn.IFNA(VLOOKUP(Wapato_Inventory[[#This Row],[condition]],Lookups!$H$17:$J$24,3,FALSE),0)</f>
        <v>52231</v>
      </c>
      <c r="BM947" s="7">
        <f>Wapato_Inventory[[#This Row],[Age]]*Lookups!$B$16</f>
        <v>-24835.2719</v>
      </c>
      <c r="BN947" s="7">
        <f>Wapato_Inventory[[#This Row],[Main Floor]]*Lookups!$B$17</f>
        <v>41508.133826999998</v>
      </c>
      <c r="BO947" s="7">
        <f>Wapato_Inventory[[#This Row],[Upper Floor]]*Lookups!$B$18</f>
        <v>0</v>
      </c>
      <c r="BP947" s="7">
        <f>Wapato_Inventory[[#This Row],[Fin BSMT]]*Lookups!$B$19</f>
        <v>0</v>
      </c>
      <c r="BQ947" s="7">
        <f>(Wapato_Inventory[[#This Row],[att_gar]]+Wapato_Inventory[[#This Row],[blt_gar]])*Lookups!$B$20</f>
        <v>0</v>
      </c>
      <c r="BR947" s="7">
        <f>Wapato_Inventory[[#This Row],[Patio]]*Lookups!$B$21</f>
        <v>0</v>
      </c>
      <c r="BS947" s="7">
        <f>SUM(Wapato_Inventory[[#This Row],[intercept]:[patio_value]])*Wapato_Inventory[[#This Row],[res_pct]]</f>
        <v>170712.13192700001</v>
      </c>
      <c r="BT947" s="7">
        <f>Wapato_Inventory[[#This Row],[land_value]]</f>
        <v>55900</v>
      </c>
      <c r="BU947" s="2">
        <f>_xlfn.IFNA(VLOOKUP(Wapato_Inventory[[#This Row],[quality]],Lookups!$A$28:$C$37,3,FALSE),1)</f>
        <v>0.98196844879778955</v>
      </c>
      <c r="BV947" s="2">
        <f>_xlfn.IFNA(VLOOKUP(Wapato_Inventory[[#This Row],[condition]],Lookups!$A$41:$C$48,3,FALSE),1)</f>
        <v>0.9832333997567807</v>
      </c>
      <c r="BW947" s="2">
        <f>IF(Wapato_Inventory[[#This Row],[decade]]="",1,_xlfn.IFNA(VLOOKUP(Wapato_Inventory[[#This Row],[decade]],Lookups!$F$28:$H$45,3,FALSE),1))</f>
        <v>1.0012715221492001</v>
      </c>
      <c r="BX947" s="2">
        <f>_xlfn.IFNA(VLOOKUP(Wapato_Inventory[[#This Row],[living_area_range]],Lookups!$K$28:$M$37,3,FALSE),1)</f>
        <v>0.99022994770196116</v>
      </c>
      <c r="BY947" s="2">
        <f>AVERAGE(Wapato_Inventory[[#This Row],[qual_adj]:[range_adj]])</f>
        <v>0.98917582960143291</v>
      </c>
      <c r="BZ947" s="7">
        <f>(Wapato_Inventory[[#This Row],[sum_land]]-IF(Wapato_Inventory[[#This Row],[no_utilities]]=1,12000,0))/IF(Wapato_Inventory[[#This Row],[unbuildable]]=1,2,1)</f>
        <v>55900</v>
      </c>
      <c r="CA947" s="7">
        <f>Wapato_Inventory[[#This Row],[pre_res]]*Wapato_Inventory[[#This Row],[overall_adj]]</f>
        <v>168864.31472191951</v>
      </c>
      <c r="CB947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947" s="3">
        <f>IF(ROUND(Wapato_Inventory[[#This Row],[adj_res]]*Lookups!$H$48,-2)&lt;Wapato_Inventory[[#This Row],[min_res]],Wapato_Inventory[[#This Row],[min_res]],ROUND(Wapato_Inventory[[#This Row],[adj_res]]*Lookups!$H$48,-2))</f>
        <v>160400</v>
      </c>
      <c r="CD947" s="3">
        <f>ROUND(Wapato_Inventory[[#This Row],[det_value]]*Lookups!$H$48,-2)</f>
        <v>8000</v>
      </c>
      <c r="CE947" s="3">
        <f>Wapato_Inventory[[#This Row],[final_res]]+Wapato_Inventory[[#This Row],[final_det]]</f>
        <v>168400</v>
      </c>
      <c r="CF947" s="3">
        <f>Wapato_Inventory[[#This Row],[crop_value]]+Wapato_Inventory[[#This Row],[final_land]]+Wapato_Inventory[[#This Row],[final_imp]]</f>
        <v>221500</v>
      </c>
      <c r="CH947" t="str">
        <f t="shared" si="14"/>
        <v>update valuation set market_land =53100, market_bldg=168400, market_total =221500, market_mdno =405, market_date ='9/10/2023' where link_id = (select link_id from parcel where parcel_year = '2024' and parcel_id = '19111522002');</v>
      </c>
    </row>
    <row r="948" spans="1:86" x14ac:dyDescent="0.25">
      <c r="A948">
        <v>19111522005</v>
      </c>
      <c r="B948">
        <v>0.38</v>
      </c>
      <c r="C948">
        <v>16500</v>
      </c>
      <c r="D948" t="s">
        <v>144</v>
      </c>
      <c r="E948" t="s">
        <v>54</v>
      </c>
      <c r="F948" t="s">
        <v>54</v>
      </c>
      <c r="G948">
        <v>3</v>
      </c>
      <c r="H948" t="s">
        <v>55</v>
      </c>
      <c r="I948">
        <v>176000</v>
      </c>
      <c r="J948">
        <v>39000</v>
      </c>
      <c r="K948">
        <v>0.38</v>
      </c>
      <c r="L948">
        <f>IF(Wapato_Inventory[[#This Row],[parcel_acres]]-Wapato_Inventory[[#This Row],[non_valued_acres]] =0,0,LN(Wapato_Inventory[[#This Row],[parcel_acres]]-Wapato_Inventory[[#This Row],[non_valued_acres]]))</f>
        <v>-0.96758402626170559</v>
      </c>
      <c r="M948">
        <v>0</v>
      </c>
      <c r="N948">
        <v>0</v>
      </c>
      <c r="O948">
        <v>0</v>
      </c>
      <c r="P948">
        <v>27904.037</v>
      </c>
      <c r="Q948">
        <v>74398</v>
      </c>
      <c r="R948" s="3">
        <f>(Wapato_Inventory[[#This Row],[ln_acres]]*Wapato_Inventory[[#This Row],[coeff]])+Wapato_Inventory[[#This Row],[const]]</f>
        <v>47398.499530584391</v>
      </c>
      <c r="S948" t="s">
        <v>66</v>
      </c>
      <c r="T948">
        <v>1</v>
      </c>
      <c r="U948" t="s">
        <v>75</v>
      </c>
      <c r="V948" t="s">
        <v>68</v>
      </c>
      <c r="W948">
        <v>0</v>
      </c>
      <c r="X948">
        <v>0</v>
      </c>
      <c r="Y948">
        <v>51</v>
      </c>
      <c r="Z948">
        <v>83</v>
      </c>
      <c r="AA948">
        <v>90</v>
      </c>
      <c r="AB948">
        <v>1500</v>
      </c>
      <c r="AC948">
        <v>1476</v>
      </c>
      <c r="AD948">
        <v>1476</v>
      </c>
      <c r="AE948">
        <v>0</v>
      </c>
      <c r="AF948">
        <v>0</v>
      </c>
      <c r="AG948">
        <v>0</v>
      </c>
      <c r="AH948">
        <v>738</v>
      </c>
      <c r="AI948">
        <v>0</v>
      </c>
      <c r="AJ948">
        <v>0</v>
      </c>
      <c r="AK948">
        <v>0</v>
      </c>
      <c r="AL948">
        <v>0</v>
      </c>
      <c r="AM948">
        <v>70</v>
      </c>
      <c r="AN948">
        <v>0</v>
      </c>
      <c r="AO948">
        <v>70</v>
      </c>
      <c r="AP948">
        <v>5</v>
      </c>
      <c r="AQ948">
        <v>0</v>
      </c>
      <c r="AR948">
        <v>1</v>
      </c>
      <c r="AS948" t="s">
        <v>59</v>
      </c>
      <c r="AT948">
        <v>1</v>
      </c>
      <c r="AU948" t="s">
        <v>64</v>
      </c>
      <c r="AV948" t="s">
        <v>77</v>
      </c>
      <c r="AW948">
        <v>0</v>
      </c>
      <c r="AX948">
        <v>2</v>
      </c>
      <c r="AY948">
        <v>0</v>
      </c>
      <c r="AZ948">
        <v>0</v>
      </c>
      <c r="BA948">
        <v>100</v>
      </c>
      <c r="BB948">
        <v>100</v>
      </c>
      <c r="BC948">
        <v>100</v>
      </c>
      <c r="BD948">
        <v>100</v>
      </c>
      <c r="BE948">
        <v>1</v>
      </c>
      <c r="BF948">
        <v>15000</v>
      </c>
      <c r="BG948">
        <v>1000</v>
      </c>
      <c r="BH948" s="7">
        <f>ROUND(Wapato_Inventory[[#This Row],[detatched_value]]*Lookups!$B$22*Lookups!$H$48,-2)</f>
        <v>0</v>
      </c>
      <c r="BI948" s="7">
        <f>ROUND(((Wapato_Inventory[[#This Row],[land_extract]]*Lookups!$B$3) +(Lookups!$B$2*0.5))*Lookups!$H$48,-2)</f>
        <v>55700</v>
      </c>
      <c r="BJ948" s="7">
        <f>IF(Wapato_Inventory[[#This Row],[bldg_style]]="",0,Lookups!$B$2*0.5)</f>
        <v>53765.27</v>
      </c>
      <c r="BK948" s="7">
        <f>_xlfn.IFNA(VLOOKUP(Wapato_Inventory[[#This Row],[quality]],Lookups!$H$2:$J$14,3,FALSE),0)</f>
        <v>48043</v>
      </c>
      <c r="BL948" s="7">
        <f>_xlfn.IFNA(VLOOKUP(Wapato_Inventory[[#This Row],[condition]],Lookups!$H$17:$J$24,3,FALSE),0)</f>
        <v>52231</v>
      </c>
      <c r="BM948" s="7">
        <f>Wapato_Inventory[[#This Row],[Age]]*Lookups!$B$16</f>
        <v>-30766.0831</v>
      </c>
      <c r="BN948" s="7">
        <f>Wapato_Inventory[[#This Row],[Main Floor]]*Lookups!$B$17</f>
        <v>61697.890764000003</v>
      </c>
      <c r="BO948" s="7">
        <f>Wapato_Inventory[[#This Row],[Upper Floor]]*Lookups!$B$18</f>
        <v>0</v>
      </c>
      <c r="BP948" s="7">
        <f>Wapato_Inventory[[#This Row],[Fin BSMT]]*Lookups!$B$19</f>
        <v>0</v>
      </c>
      <c r="BQ948" s="7">
        <f>(Wapato_Inventory[[#This Row],[att_gar]]+Wapato_Inventory[[#This Row],[blt_gar]])*Lookups!$B$20</f>
        <v>0</v>
      </c>
      <c r="BR948" s="7">
        <f>Wapato_Inventory[[#This Row],[Patio]]*Lookups!$B$21</f>
        <v>3032.6785300000001</v>
      </c>
      <c r="BS948" s="7">
        <f>SUM(Wapato_Inventory[[#This Row],[intercept]:[patio_value]])*Wapato_Inventory[[#This Row],[res_pct]]</f>
        <v>188003.75619399999</v>
      </c>
      <c r="BT948" s="7">
        <f>Wapato_Inventory[[#This Row],[land_value]]</f>
        <v>55700</v>
      </c>
      <c r="BU948" s="2">
        <f>_xlfn.IFNA(VLOOKUP(Wapato_Inventory[[#This Row],[quality]],Lookups!$A$28:$C$37,3,FALSE),1)</f>
        <v>0.98196844879778955</v>
      </c>
      <c r="BV948" s="2">
        <f>_xlfn.IFNA(VLOOKUP(Wapato_Inventory[[#This Row],[condition]],Lookups!$A$41:$C$48,3,FALSE),1)</f>
        <v>0.9832333997567807</v>
      </c>
      <c r="BW948" s="2">
        <f>IF(Wapato_Inventory[[#This Row],[decade]]="",1,_xlfn.IFNA(VLOOKUP(Wapato_Inventory[[#This Row],[decade]],Lookups!$F$28:$H$45,3,FALSE),1))</f>
        <v>0.94742695999815718</v>
      </c>
      <c r="BX948" s="2">
        <f>_xlfn.IFNA(VLOOKUP(Wapato_Inventory[[#This Row],[living_area_range]],Lookups!$K$28:$M$37,3,FALSE),1)</f>
        <v>1.0061411172456287</v>
      </c>
      <c r="BY948" s="2">
        <f>AVERAGE(Wapato_Inventory[[#This Row],[qual_adj]:[range_adj]])</f>
        <v>0.97969248144958898</v>
      </c>
      <c r="BZ948" s="7">
        <f>(Wapato_Inventory[[#This Row],[sum_land]]-IF(Wapato_Inventory[[#This Row],[no_utilities]]=1,12000,0))/IF(Wapato_Inventory[[#This Row],[unbuildable]]=1,2,1)</f>
        <v>55700</v>
      </c>
      <c r="CA948" s="7">
        <f>Wapato_Inventory[[#This Row],[pre_res]]*Wapato_Inventory[[#This Row],[overall_adj]]</f>
        <v>184185.86642754337</v>
      </c>
      <c r="CB948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948" s="3">
        <f>IF(ROUND(Wapato_Inventory[[#This Row],[adj_res]]*Lookups!$H$48,-2)&lt;Wapato_Inventory[[#This Row],[min_res]],Wapato_Inventory[[#This Row],[min_res]],ROUND(Wapato_Inventory[[#This Row],[adj_res]]*Lookups!$H$48,-2))</f>
        <v>175000</v>
      </c>
      <c r="CD948" s="3">
        <f>ROUND(Wapato_Inventory[[#This Row],[det_value]]*Lookups!$H$48,-2)</f>
        <v>0</v>
      </c>
      <c r="CE948" s="3">
        <f>Wapato_Inventory[[#This Row],[final_res]]+Wapato_Inventory[[#This Row],[final_det]]</f>
        <v>175000</v>
      </c>
      <c r="CF948" s="3">
        <f>Wapato_Inventory[[#This Row],[crop_value]]+Wapato_Inventory[[#This Row],[final_land]]+Wapato_Inventory[[#This Row],[final_imp]]</f>
        <v>227900</v>
      </c>
      <c r="CH948" t="str">
        <f t="shared" si="14"/>
        <v>update valuation set market_land =52900, market_bldg=175000, market_total =227900, market_mdno =405, market_date ='9/10/2023' where link_id = (select link_id from parcel where parcel_year = '2024' and parcel_id = '19111522005');</v>
      </c>
    </row>
    <row r="949" spans="1:86" x14ac:dyDescent="0.25">
      <c r="A949">
        <v>19111522006</v>
      </c>
      <c r="B949">
        <v>0.24</v>
      </c>
      <c r="C949">
        <v>10426</v>
      </c>
      <c r="D949" t="s">
        <v>144</v>
      </c>
      <c r="E949" t="s">
        <v>54</v>
      </c>
      <c r="F949" t="s">
        <v>54</v>
      </c>
      <c r="G949">
        <v>3</v>
      </c>
      <c r="H949" t="s">
        <v>55</v>
      </c>
      <c r="I949">
        <v>112900</v>
      </c>
      <c r="J949">
        <v>35700</v>
      </c>
      <c r="K949">
        <v>0.24</v>
      </c>
      <c r="L949">
        <f>IF(Wapato_Inventory[[#This Row],[parcel_acres]]-Wapato_Inventory[[#This Row],[non_valued_acres]] =0,0,LN(Wapato_Inventory[[#This Row],[parcel_acres]]-Wapato_Inventory[[#This Row],[non_valued_acres]]))</f>
        <v>-1.4271163556401458</v>
      </c>
      <c r="M949">
        <v>0</v>
      </c>
      <c r="N949">
        <v>0</v>
      </c>
      <c r="O949">
        <v>0</v>
      </c>
      <c r="P949">
        <v>27904.037</v>
      </c>
      <c r="Q949">
        <v>74398</v>
      </c>
      <c r="R949" s="3">
        <f>(Wapato_Inventory[[#This Row],[ln_acres]]*Wapato_Inventory[[#This Row],[coeff]])+Wapato_Inventory[[#This Row],[const]]</f>
        <v>34575.692408912211</v>
      </c>
      <c r="S949" t="s">
        <v>66</v>
      </c>
      <c r="T949">
        <v>1</v>
      </c>
      <c r="U949" t="s">
        <v>71</v>
      </c>
      <c r="V949" t="s">
        <v>68</v>
      </c>
      <c r="W949">
        <v>0</v>
      </c>
      <c r="X949">
        <v>0</v>
      </c>
      <c r="Y949">
        <v>51</v>
      </c>
      <c r="Z949">
        <v>78</v>
      </c>
      <c r="AA949">
        <v>80</v>
      </c>
      <c r="AB949">
        <v>1000</v>
      </c>
      <c r="AC949">
        <v>893</v>
      </c>
      <c r="AD949">
        <v>893</v>
      </c>
      <c r="AE949">
        <v>0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400</v>
      </c>
      <c r="AL949">
        <v>0</v>
      </c>
      <c r="AM949">
        <v>0</v>
      </c>
      <c r="AN949">
        <v>18</v>
      </c>
      <c r="AO949">
        <v>0</v>
      </c>
      <c r="AP949">
        <v>5</v>
      </c>
      <c r="AQ949">
        <v>0</v>
      </c>
      <c r="AR949">
        <v>0</v>
      </c>
      <c r="AS949" t="s">
        <v>59</v>
      </c>
      <c r="AT949">
        <v>1</v>
      </c>
      <c r="AU949" t="s">
        <v>76</v>
      </c>
      <c r="AV949" t="s">
        <v>61</v>
      </c>
      <c r="AW949">
        <v>0</v>
      </c>
      <c r="AX949">
        <v>2</v>
      </c>
      <c r="AY949">
        <v>0</v>
      </c>
      <c r="AZ949">
        <v>9300</v>
      </c>
      <c r="BA949">
        <v>100</v>
      </c>
      <c r="BB949">
        <v>100</v>
      </c>
      <c r="BC949">
        <v>100</v>
      </c>
      <c r="BD949">
        <v>100</v>
      </c>
      <c r="BE949">
        <v>1</v>
      </c>
      <c r="BF949">
        <v>15000</v>
      </c>
      <c r="BG949">
        <v>1000</v>
      </c>
      <c r="BH949" s="7">
        <f>ROUND(Wapato_Inventory[[#This Row],[detatched_value]]*Lookups!$B$22*Lookups!$H$48,-2)</f>
        <v>8300</v>
      </c>
      <c r="BI949" s="7">
        <f>ROUND(((Wapato_Inventory[[#This Row],[land_extract]]*Lookups!$B$3) +(Lookups!$B$2*0.5))*Lookups!$H$48,-2)</f>
        <v>54400</v>
      </c>
      <c r="BJ949" s="7">
        <f>IF(Wapato_Inventory[[#This Row],[bldg_style]]="",0,Lookups!$B$2*0.5)</f>
        <v>53765.27</v>
      </c>
      <c r="BK949" s="7">
        <f>_xlfn.IFNA(VLOOKUP(Wapato_Inventory[[#This Row],[quality]],Lookups!$H$2:$J$14,3,FALSE),0)</f>
        <v>28034</v>
      </c>
      <c r="BL949" s="7">
        <f>_xlfn.IFNA(VLOOKUP(Wapato_Inventory[[#This Row],[condition]],Lookups!$H$17:$J$24,3,FALSE),0)</f>
        <v>52231</v>
      </c>
      <c r="BM949" s="7">
        <f>Wapato_Inventory[[#This Row],[Age]]*Lookups!$B$16</f>
        <v>-28912.704600000001</v>
      </c>
      <c r="BN949" s="7">
        <f>Wapato_Inventory[[#This Row],[Main Floor]]*Lookups!$B$17</f>
        <v>37328.059927000002</v>
      </c>
      <c r="BO949" s="7">
        <f>Wapato_Inventory[[#This Row],[Upper Floor]]*Lookups!$B$18</f>
        <v>0</v>
      </c>
      <c r="BP949" s="7">
        <f>Wapato_Inventory[[#This Row],[Fin BSMT]]*Lookups!$B$19</f>
        <v>0</v>
      </c>
      <c r="BQ949" s="7">
        <f>(Wapato_Inventory[[#This Row],[att_gar]]+Wapato_Inventory[[#This Row],[blt_gar]])*Lookups!$B$20</f>
        <v>0</v>
      </c>
      <c r="BR949" s="7">
        <f>Wapato_Inventory[[#This Row],[Patio]]*Lookups!$B$21</f>
        <v>0</v>
      </c>
      <c r="BS949" s="7">
        <f>SUM(Wapato_Inventory[[#This Row],[intercept]:[patio_value]])*Wapato_Inventory[[#This Row],[res_pct]]</f>
        <v>142445.62532699999</v>
      </c>
      <c r="BT949" s="7">
        <f>Wapato_Inventory[[#This Row],[land_value]]</f>
        <v>54400</v>
      </c>
      <c r="BU949" s="2">
        <f>_xlfn.IFNA(VLOOKUP(Wapato_Inventory[[#This Row],[quality]],Lookups!$A$28:$C$37,3,FALSE),1)</f>
        <v>0.96265813922927435</v>
      </c>
      <c r="BV949" s="2">
        <f>_xlfn.IFNA(VLOOKUP(Wapato_Inventory[[#This Row],[condition]],Lookups!$A$41:$C$48,3,FALSE),1)</f>
        <v>0.9832333997567807</v>
      </c>
      <c r="BW949" s="2">
        <f>IF(Wapato_Inventory[[#This Row],[decade]]="",1,_xlfn.IFNA(VLOOKUP(Wapato_Inventory[[#This Row],[decade]],Lookups!$F$28:$H$45,3,FALSE),1))</f>
        <v>0.8438929209510081</v>
      </c>
      <c r="BX949" s="2">
        <f>_xlfn.IFNA(VLOOKUP(Wapato_Inventory[[#This Row],[living_area_range]],Lookups!$K$28:$M$37,3,FALSE),1)</f>
        <v>0.99022994770196116</v>
      </c>
      <c r="BY949" s="2">
        <f>AVERAGE(Wapato_Inventory[[#This Row],[qual_adj]:[range_adj]])</f>
        <v>0.94500360190975607</v>
      </c>
      <c r="BZ949" s="7">
        <f>(Wapato_Inventory[[#This Row],[sum_land]]-IF(Wapato_Inventory[[#This Row],[no_utilities]]=1,12000,0))/IF(Wapato_Inventory[[#This Row],[unbuildable]]=1,2,1)</f>
        <v>54400</v>
      </c>
      <c r="CA949" s="7">
        <f>Wapato_Inventory[[#This Row],[pre_res]]*Wapato_Inventory[[#This Row],[overall_adj]]</f>
        <v>134611.62901030257</v>
      </c>
      <c r="CB949" s="3">
        <f>IF(ROUND(Wapato_Inventory[[#This Row],[adj_land]]*Lookups!$H$48,-2)&lt;Wapato_Inventory[[#This Row],[min_land]],Wapato_Inventory[[#This Row],[min_land]],ROUND(Wapato_Inventory[[#This Row],[adj_land]]*Lookups!$H$48,-2))</f>
        <v>51700</v>
      </c>
      <c r="CC949" s="3">
        <f>IF(ROUND(Wapato_Inventory[[#This Row],[adj_res]]*Lookups!$H$48,-2)&lt;Wapato_Inventory[[#This Row],[min_res]],Wapato_Inventory[[#This Row],[min_res]],ROUND(Wapato_Inventory[[#This Row],[adj_res]]*Lookups!$H$48,-2))</f>
        <v>127900</v>
      </c>
      <c r="CD949" s="3">
        <f>ROUND(Wapato_Inventory[[#This Row],[det_value]]*Lookups!$H$48,-2)</f>
        <v>7900</v>
      </c>
      <c r="CE949" s="3">
        <f>Wapato_Inventory[[#This Row],[final_res]]+Wapato_Inventory[[#This Row],[final_det]]</f>
        <v>135800</v>
      </c>
      <c r="CF949" s="3">
        <f>Wapato_Inventory[[#This Row],[crop_value]]+Wapato_Inventory[[#This Row],[final_land]]+Wapato_Inventory[[#This Row],[final_imp]]</f>
        <v>187500</v>
      </c>
      <c r="CH949" t="str">
        <f t="shared" si="14"/>
        <v>update valuation set market_land =51700, market_bldg=135800, market_total =187500, market_mdno =405, market_date ='9/10/2023' where link_id = (select link_id from parcel where parcel_year = '2024' and parcel_id = '19111522006');</v>
      </c>
    </row>
    <row r="950" spans="1:86" x14ac:dyDescent="0.25">
      <c r="A950">
        <v>19111522007</v>
      </c>
      <c r="B950">
        <v>0.27</v>
      </c>
      <c r="C950">
        <v>11971</v>
      </c>
      <c r="D950" t="s">
        <v>144</v>
      </c>
      <c r="E950" t="s">
        <v>54</v>
      </c>
      <c r="F950" t="s">
        <v>54</v>
      </c>
      <c r="G950">
        <v>3</v>
      </c>
      <c r="H950" t="s">
        <v>55</v>
      </c>
      <c r="I950">
        <v>138100</v>
      </c>
      <c r="J950">
        <v>36500</v>
      </c>
      <c r="K950">
        <v>0.27</v>
      </c>
      <c r="L950">
        <f>IF(Wapato_Inventory[[#This Row],[parcel_acres]]-Wapato_Inventory[[#This Row],[non_valued_acres]] =0,0,LN(Wapato_Inventory[[#This Row],[parcel_acres]]-Wapato_Inventory[[#This Row],[non_valued_acres]]))</f>
        <v>-1.3093333199837622</v>
      </c>
      <c r="M950">
        <v>0</v>
      </c>
      <c r="N950">
        <v>0</v>
      </c>
      <c r="O950">
        <v>0</v>
      </c>
      <c r="P950">
        <v>27904.037</v>
      </c>
      <c r="Q950">
        <v>74398</v>
      </c>
      <c r="R950" s="3">
        <f>(Wapato_Inventory[[#This Row],[ln_acres]]*Wapato_Inventory[[#This Row],[coeff]])+Wapato_Inventory[[#This Row],[const]]</f>
        <v>37862.314593840259</v>
      </c>
      <c r="S950" t="s">
        <v>66</v>
      </c>
      <c r="T950">
        <v>1</v>
      </c>
      <c r="U950" t="s">
        <v>75</v>
      </c>
      <c r="V950" t="s">
        <v>68</v>
      </c>
      <c r="W950">
        <v>0</v>
      </c>
      <c r="X950">
        <v>0</v>
      </c>
      <c r="Y950">
        <v>54</v>
      </c>
      <c r="Z950">
        <v>96</v>
      </c>
      <c r="AA950">
        <v>100</v>
      </c>
      <c r="AB950">
        <v>1500</v>
      </c>
      <c r="AC950">
        <v>1116</v>
      </c>
      <c r="AD950">
        <v>1116</v>
      </c>
      <c r="AE950">
        <v>0</v>
      </c>
      <c r="AF950">
        <v>0</v>
      </c>
      <c r="AG950">
        <v>0</v>
      </c>
      <c r="AH950">
        <v>0</v>
      </c>
      <c r="AI950">
        <v>0</v>
      </c>
      <c r="AJ950">
        <v>0</v>
      </c>
      <c r="AK950">
        <v>0</v>
      </c>
      <c r="AL950">
        <v>0</v>
      </c>
      <c r="AM950">
        <v>0</v>
      </c>
      <c r="AN950">
        <v>160</v>
      </c>
      <c r="AO950">
        <v>0</v>
      </c>
      <c r="AP950">
        <v>5</v>
      </c>
      <c r="AQ950">
        <v>0</v>
      </c>
      <c r="AR950">
        <v>0</v>
      </c>
      <c r="AS950" t="s">
        <v>59</v>
      </c>
      <c r="AT950">
        <v>1</v>
      </c>
      <c r="AU950" t="s">
        <v>64</v>
      </c>
      <c r="AV950" t="s">
        <v>77</v>
      </c>
      <c r="AW950">
        <v>0</v>
      </c>
      <c r="AX950">
        <v>3</v>
      </c>
      <c r="AY950">
        <v>0</v>
      </c>
      <c r="AZ950">
        <v>0</v>
      </c>
      <c r="BA950">
        <v>100</v>
      </c>
      <c r="BB950">
        <v>100</v>
      </c>
      <c r="BC950">
        <v>100</v>
      </c>
      <c r="BD950">
        <v>100</v>
      </c>
      <c r="BE950">
        <v>1</v>
      </c>
      <c r="BF950">
        <v>15000</v>
      </c>
      <c r="BG950">
        <v>1000</v>
      </c>
      <c r="BH950" s="7">
        <f>ROUND(Wapato_Inventory[[#This Row],[detatched_value]]*Lookups!$B$22*Lookups!$H$48,-2)</f>
        <v>0</v>
      </c>
      <c r="BI950" s="7">
        <f>ROUND(((Wapato_Inventory[[#This Row],[land_extract]]*Lookups!$B$3) +(Lookups!$B$2*0.5))*Lookups!$H$48,-2)</f>
        <v>54700</v>
      </c>
      <c r="BJ950" s="7">
        <f>IF(Wapato_Inventory[[#This Row],[bldg_style]]="",0,Lookups!$B$2*0.5)</f>
        <v>53765.27</v>
      </c>
      <c r="BK950" s="7">
        <f>_xlfn.IFNA(VLOOKUP(Wapato_Inventory[[#This Row],[quality]],Lookups!$H$2:$J$14,3,FALSE),0)</f>
        <v>48043</v>
      </c>
      <c r="BL950" s="7">
        <f>_xlfn.IFNA(VLOOKUP(Wapato_Inventory[[#This Row],[condition]],Lookups!$H$17:$J$24,3,FALSE),0)</f>
        <v>52231</v>
      </c>
      <c r="BM950" s="7">
        <f>Wapato_Inventory[[#This Row],[Age]]*Lookups!$B$16</f>
        <v>-35584.867200000001</v>
      </c>
      <c r="BN950" s="7">
        <f>Wapato_Inventory[[#This Row],[Main Floor]]*Lookups!$B$17</f>
        <v>46649.624724000001</v>
      </c>
      <c r="BO950" s="7">
        <f>Wapato_Inventory[[#This Row],[Upper Floor]]*Lookups!$B$18</f>
        <v>0</v>
      </c>
      <c r="BP950" s="7">
        <f>Wapato_Inventory[[#This Row],[Fin BSMT]]*Lookups!$B$19</f>
        <v>0</v>
      </c>
      <c r="BQ950" s="7">
        <f>(Wapato_Inventory[[#This Row],[att_gar]]+Wapato_Inventory[[#This Row],[blt_gar]])*Lookups!$B$20</f>
        <v>0</v>
      </c>
      <c r="BR950" s="7">
        <f>Wapato_Inventory[[#This Row],[Patio]]*Lookups!$B$21</f>
        <v>0</v>
      </c>
      <c r="BS950" s="7">
        <f>SUM(Wapato_Inventory[[#This Row],[intercept]:[patio_value]])*Wapato_Inventory[[#This Row],[res_pct]]</f>
        <v>165104.02752399998</v>
      </c>
      <c r="BT950" s="7">
        <f>Wapato_Inventory[[#This Row],[land_value]]</f>
        <v>54700</v>
      </c>
      <c r="BU950" s="2">
        <f>_xlfn.IFNA(VLOOKUP(Wapato_Inventory[[#This Row],[quality]],Lookups!$A$28:$C$37,3,FALSE),1)</f>
        <v>0.98196844879778955</v>
      </c>
      <c r="BV950" s="2">
        <f>_xlfn.IFNA(VLOOKUP(Wapato_Inventory[[#This Row],[condition]],Lookups!$A$41:$C$48,3,FALSE),1)</f>
        <v>0.9832333997567807</v>
      </c>
      <c r="BW950" s="2">
        <f>IF(Wapato_Inventory[[#This Row],[decade]]="",1,_xlfn.IFNA(VLOOKUP(Wapato_Inventory[[#This Row],[decade]],Lookups!$F$28:$H$45,3,FALSE),1))</f>
        <v>1.0114203040664467</v>
      </c>
      <c r="BX950" s="2">
        <f>_xlfn.IFNA(VLOOKUP(Wapato_Inventory[[#This Row],[living_area_range]],Lookups!$K$28:$M$37,3,FALSE),1)</f>
        <v>1.0061411172456287</v>
      </c>
      <c r="BY950" s="2">
        <f>AVERAGE(Wapato_Inventory[[#This Row],[qual_adj]:[range_adj]])</f>
        <v>0.99569081746666144</v>
      </c>
      <c r="BZ950" s="7">
        <f>(Wapato_Inventory[[#This Row],[sum_land]]-IF(Wapato_Inventory[[#This Row],[no_utilities]]=1,12000,0))/IF(Wapato_Inventory[[#This Row],[unbuildable]]=1,2,1)</f>
        <v>54700</v>
      </c>
      <c r="CA950" s="7">
        <f>Wapato_Inventory[[#This Row],[pre_res]]*Wapato_Inventory[[#This Row],[overall_adj]]</f>
        <v>164392.56413240969</v>
      </c>
      <c r="CB950" s="3">
        <f>IF(ROUND(Wapato_Inventory[[#This Row],[adj_land]]*Lookups!$H$48,-2)&lt;Wapato_Inventory[[#This Row],[min_land]],Wapato_Inventory[[#This Row],[min_land]],ROUND(Wapato_Inventory[[#This Row],[adj_land]]*Lookups!$H$48,-2))</f>
        <v>52000</v>
      </c>
      <c r="CC950" s="3">
        <f>IF(ROUND(Wapato_Inventory[[#This Row],[adj_res]]*Lookups!$H$48,-2)&lt;Wapato_Inventory[[#This Row],[min_res]],Wapato_Inventory[[#This Row],[min_res]],ROUND(Wapato_Inventory[[#This Row],[adj_res]]*Lookups!$H$48,-2))</f>
        <v>156200</v>
      </c>
      <c r="CD950" s="3">
        <f>ROUND(Wapato_Inventory[[#This Row],[det_value]]*Lookups!$H$48,-2)</f>
        <v>0</v>
      </c>
      <c r="CE950" s="3">
        <f>Wapato_Inventory[[#This Row],[final_res]]+Wapato_Inventory[[#This Row],[final_det]]</f>
        <v>156200</v>
      </c>
      <c r="CF950" s="3">
        <f>Wapato_Inventory[[#This Row],[crop_value]]+Wapato_Inventory[[#This Row],[final_land]]+Wapato_Inventory[[#This Row],[final_imp]]</f>
        <v>208200</v>
      </c>
      <c r="CH950" t="str">
        <f t="shared" si="14"/>
        <v>update valuation set market_land =52000, market_bldg=156200, market_total =208200, market_mdno =405, market_date ='9/10/2023' where link_id = (select link_id from parcel where parcel_year = '2024' and parcel_id = '19111522007');</v>
      </c>
    </row>
    <row r="951" spans="1:86" x14ac:dyDescent="0.25">
      <c r="A951">
        <v>19111522009</v>
      </c>
      <c r="B951">
        <v>4.5999999999999996</v>
      </c>
      <c r="C951">
        <v>200542</v>
      </c>
      <c r="D951" t="s">
        <v>144</v>
      </c>
      <c r="E951" t="s">
        <v>54</v>
      </c>
      <c r="F951" t="s">
        <v>54</v>
      </c>
      <c r="G951">
        <v>3</v>
      </c>
      <c r="H951" t="s">
        <v>55</v>
      </c>
      <c r="I951">
        <v>411800</v>
      </c>
      <c r="J951">
        <v>56800</v>
      </c>
      <c r="K951">
        <v>4.5999999999999996</v>
      </c>
      <c r="L951">
        <f>IF(Wapato_Inventory[[#This Row],[parcel_acres]]-Wapato_Inventory[[#This Row],[non_valued_acres]] =0,0,LN(Wapato_Inventory[[#This Row],[parcel_acres]]-Wapato_Inventory[[#This Row],[non_valued_acres]]))</f>
        <v>1.5260563034950492</v>
      </c>
      <c r="M951">
        <v>0</v>
      </c>
      <c r="N951">
        <v>0</v>
      </c>
      <c r="O951">
        <v>0</v>
      </c>
      <c r="P951">
        <v>27904.037</v>
      </c>
      <c r="Q951">
        <v>74398</v>
      </c>
      <c r="R951" s="3">
        <f>(Wapato_Inventory[[#This Row],[ln_acres]]*Wapato_Inventory[[#This Row],[coeff]])+Wapato_Inventory[[#This Row],[const]]</f>
        <v>116981.13155680908</v>
      </c>
      <c r="S951" t="s">
        <v>62</v>
      </c>
      <c r="T951">
        <v>1</v>
      </c>
      <c r="U951" t="s">
        <v>65</v>
      </c>
      <c r="V951" t="s">
        <v>68</v>
      </c>
      <c r="W951">
        <v>0</v>
      </c>
      <c r="X951">
        <v>0</v>
      </c>
      <c r="Y951">
        <v>48</v>
      </c>
      <c r="Z951">
        <v>63</v>
      </c>
      <c r="AA951">
        <v>70</v>
      </c>
      <c r="AB951">
        <v>2500</v>
      </c>
      <c r="AC951">
        <v>2256</v>
      </c>
      <c r="AD951">
        <v>2256</v>
      </c>
      <c r="AE951">
        <v>0</v>
      </c>
      <c r="AF951">
        <v>0</v>
      </c>
      <c r="AG951">
        <v>0</v>
      </c>
      <c r="AH951">
        <v>0</v>
      </c>
      <c r="AI951">
        <v>625</v>
      </c>
      <c r="AJ951"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8</v>
      </c>
      <c r="AQ951">
        <v>0</v>
      </c>
      <c r="AR951">
        <v>2</v>
      </c>
      <c r="AS951" t="s">
        <v>79</v>
      </c>
      <c r="AT951">
        <v>1</v>
      </c>
      <c r="AU951" t="s">
        <v>60</v>
      </c>
      <c r="AV951" t="s">
        <v>61</v>
      </c>
      <c r="AW951">
        <v>1</v>
      </c>
      <c r="AX951">
        <v>3</v>
      </c>
      <c r="AY951">
        <v>0</v>
      </c>
      <c r="AZ951">
        <v>58600</v>
      </c>
      <c r="BA951">
        <v>100</v>
      </c>
      <c r="BB951">
        <v>100</v>
      </c>
      <c r="BC951">
        <v>100</v>
      </c>
      <c r="BD951">
        <v>100</v>
      </c>
      <c r="BE951">
        <v>1</v>
      </c>
      <c r="BF951">
        <v>15000</v>
      </c>
      <c r="BG951">
        <v>1000</v>
      </c>
      <c r="BH951" s="7">
        <f>ROUND(Wapato_Inventory[[#This Row],[detatched_value]]*Lookups!$B$22*Lookups!$H$48,-2)</f>
        <v>52300</v>
      </c>
      <c r="BI951" s="7">
        <f>ROUND(((Wapato_Inventory[[#This Row],[land_extract]]*Lookups!$B$3) +(Lookups!$B$2*0.5))*Lookups!$H$48,-2)</f>
        <v>62400</v>
      </c>
      <c r="BJ951" s="7">
        <f>IF(Wapato_Inventory[[#This Row],[bldg_style]]="",0,Lookups!$B$2*0.5)</f>
        <v>53765.27</v>
      </c>
      <c r="BK951" s="7">
        <f>_xlfn.IFNA(VLOOKUP(Wapato_Inventory[[#This Row],[quality]],Lookups!$H$2:$J$14,3,FALSE),0)</f>
        <v>92307</v>
      </c>
      <c r="BL951" s="7">
        <f>_xlfn.IFNA(VLOOKUP(Wapato_Inventory[[#This Row],[condition]],Lookups!$H$17:$J$24,3,FALSE),0)</f>
        <v>52231</v>
      </c>
      <c r="BM951" s="7">
        <f>Wapato_Inventory[[#This Row],[Age]]*Lookups!$B$16</f>
        <v>-23352.569100000001</v>
      </c>
      <c r="BN951" s="7">
        <f>Wapato_Inventory[[#This Row],[Main Floor]]*Lookups!$B$17</f>
        <v>94302.467183999994</v>
      </c>
      <c r="BO951" s="7">
        <f>Wapato_Inventory[[#This Row],[Upper Floor]]*Lookups!$B$18</f>
        <v>0</v>
      </c>
      <c r="BP951" s="7">
        <f>Wapato_Inventory[[#This Row],[Fin BSMT]]*Lookups!$B$19</f>
        <v>0</v>
      </c>
      <c r="BQ951" s="7">
        <f>(Wapato_Inventory[[#This Row],[att_gar]]+Wapato_Inventory[[#This Row],[blt_gar]])*Lookups!$B$20</f>
        <v>23130.47</v>
      </c>
      <c r="BR951" s="7">
        <f>Wapato_Inventory[[#This Row],[Patio]]*Lookups!$B$21</f>
        <v>0</v>
      </c>
      <c r="BS951" s="7">
        <f>SUM(Wapato_Inventory[[#This Row],[intercept]:[patio_value]])*Wapato_Inventory[[#This Row],[res_pct]]</f>
        <v>292383.63808399998</v>
      </c>
      <c r="BT951" s="7">
        <f>Wapato_Inventory[[#This Row],[land_value]]</f>
        <v>62400</v>
      </c>
      <c r="BU951" s="2">
        <f>_xlfn.IFNA(VLOOKUP(Wapato_Inventory[[#This Row],[quality]],Lookups!$A$28:$C$37,3,FALSE),1)</f>
        <v>1.0013727718490204</v>
      </c>
      <c r="BV951" s="2">
        <f>_xlfn.IFNA(VLOOKUP(Wapato_Inventory[[#This Row],[condition]],Lookups!$A$41:$C$48,3,FALSE),1)</f>
        <v>0.9832333997567807</v>
      </c>
      <c r="BW951" s="2">
        <f>IF(Wapato_Inventory[[#This Row],[decade]]="",1,_xlfn.IFNA(VLOOKUP(Wapato_Inventory[[#This Row],[decade]],Lookups!$F$28:$H$45,3,FALSE),1))</f>
        <v>1.0012715221492001</v>
      </c>
      <c r="BX951" s="2">
        <f>_xlfn.IFNA(VLOOKUP(Wapato_Inventory[[#This Row],[living_area_range]],Lookups!$K$28:$M$37,3,FALSE),1)</f>
        <v>0.90813907160181651</v>
      </c>
      <c r="BY951" s="2">
        <f>AVERAGE(Wapato_Inventory[[#This Row],[qual_adj]:[range_adj]])</f>
        <v>0.97350419133920441</v>
      </c>
      <c r="BZ951" s="7">
        <f>(Wapato_Inventory[[#This Row],[sum_land]]-IF(Wapato_Inventory[[#This Row],[no_utilities]]=1,12000,0))/IF(Wapato_Inventory[[#This Row],[unbuildable]]=1,2,1)</f>
        <v>62400</v>
      </c>
      <c r="CA951" s="7">
        <f>Wapato_Inventory[[#This Row],[pre_res]]*Wapato_Inventory[[#This Row],[overall_adj]]</f>
        <v>284636.69715377898</v>
      </c>
      <c r="CB951" s="3">
        <f>IF(ROUND(Wapato_Inventory[[#This Row],[adj_land]]*Lookups!$H$48,-2)&lt;Wapato_Inventory[[#This Row],[min_land]],Wapato_Inventory[[#This Row],[min_land]],ROUND(Wapato_Inventory[[#This Row],[adj_land]]*Lookups!$H$48,-2))</f>
        <v>59300</v>
      </c>
      <c r="CC951" s="3">
        <f>IF(ROUND(Wapato_Inventory[[#This Row],[adj_res]]*Lookups!$H$48,-2)&lt;Wapato_Inventory[[#This Row],[min_res]],Wapato_Inventory[[#This Row],[min_res]],ROUND(Wapato_Inventory[[#This Row],[adj_res]]*Lookups!$H$48,-2))</f>
        <v>270400</v>
      </c>
      <c r="CD951" s="3">
        <f>ROUND(Wapato_Inventory[[#This Row],[det_value]]*Lookups!$H$48,-2)</f>
        <v>49700</v>
      </c>
      <c r="CE951" s="3">
        <f>Wapato_Inventory[[#This Row],[final_res]]+Wapato_Inventory[[#This Row],[final_det]]</f>
        <v>320100</v>
      </c>
      <c r="CF951" s="3">
        <f>Wapato_Inventory[[#This Row],[crop_value]]+Wapato_Inventory[[#This Row],[final_land]]+Wapato_Inventory[[#This Row],[final_imp]]</f>
        <v>379400</v>
      </c>
      <c r="CH951" t="str">
        <f t="shared" si="14"/>
        <v>update valuation set market_land =59300, market_bldg=320100, market_total =379400, market_mdno =405, market_date ='9/10/2023' where link_id = (select link_id from parcel where parcel_year = '2024' and parcel_id = '19111522009');</v>
      </c>
    </row>
    <row r="952" spans="1:86" x14ac:dyDescent="0.25">
      <c r="A952">
        <v>19111522010</v>
      </c>
      <c r="B952">
        <v>4.7</v>
      </c>
      <c r="C952">
        <v>204820</v>
      </c>
      <c r="D952" t="s">
        <v>144</v>
      </c>
      <c r="E952" t="s">
        <v>54</v>
      </c>
      <c r="F952" t="s">
        <v>54</v>
      </c>
      <c r="G952">
        <v>3</v>
      </c>
      <c r="H952" t="s">
        <v>55</v>
      </c>
      <c r="I952">
        <v>489600</v>
      </c>
      <c r="J952">
        <v>56900</v>
      </c>
      <c r="K952">
        <v>4.7</v>
      </c>
      <c r="L952">
        <f>IF(Wapato_Inventory[[#This Row],[parcel_acres]]-Wapato_Inventory[[#This Row],[non_valued_acres]] =0,0,LN(Wapato_Inventory[[#This Row],[parcel_acres]]-Wapato_Inventory[[#This Row],[non_valued_acres]]))</f>
        <v>1.547562508716013</v>
      </c>
      <c r="M952">
        <v>0</v>
      </c>
      <c r="N952">
        <v>0</v>
      </c>
      <c r="O952">
        <v>0</v>
      </c>
      <c r="P952">
        <v>27904.037</v>
      </c>
      <c r="Q952">
        <v>74398</v>
      </c>
      <c r="R952" s="3">
        <f>(Wapato_Inventory[[#This Row],[ln_acres]]*Wapato_Inventory[[#This Row],[coeff]])+Wapato_Inventory[[#This Row],[const]]</f>
        <v>117581.24150302444</v>
      </c>
      <c r="S952" t="s">
        <v>59</v>
      </c>
      <c r="T952">
        <v>2</v>
      </c>
      <c r="U952" t="s">
        <v>65</v>
      </c>
      <c r="V952" t="s">
        <v>70</v>
      </c>
      <c r="W952">
        <v>0</v>
      </c>
      <c r="X952">
        <v>0</v>
      </c>
      <c r="Y952">
        <v>19</v>
      </c>
      <c r="Z952">
        <v>19</v>
      </c>
      <c r="AA952">
        <v>20</v>
      </c>
      <c r="AB952">
        <v>3000</v>
      </c>
      <c r="AC952">
        <v>2588</v>
      </c>
      <c r="AD952">
        <v>1734</v>
      </c>
      <c r="AE952">
        <v>854</v>
      </c>
      <c r="AF952">
        <v>0</v>
      </c>
      <c r="AG952">
        <v>0</v>
      </c>
      <c r="AH952">
        <v>0</v>
      </c>
      <c r="AI952">
        <v>836</v>
      </c>
      <c r="AJ952">
        <v>0</v>
      </c>
      <c r="AK952">
        <v>0</v>
      </c>
      <c r="AL952">
        <v>0</v>
      </c>
      <c r="AM952">
        <v>454</v>
      </c>
      <c r="AN952">
        <v>60</v>
      </c>
      <c r="AO952">
        <v>0</v>
      </c>
      <c r="AP952">
        <v>14</v>
      </c>
      <c r="AQ952">
        <v>0</v>
      </c>
      <c r="AR952">
        <v>0</v>
      </c>
      <c r="AS952" t="s">
        <v>59</v>
      </c>
      <c r="AT952">
        <v>1</v>
      </c>
      <c r="AU952" t="s">
        <v>60</v>
      </c>
      <c r="AV952" t="s">
        <v>61</v>
      </c>
      <c r="AW952">
        <v>1</v>
      </c>
      <c r="AX952">
        <v>4</v>
      </c>
      <c r="AY952">
        <v>0</v>
      </c>
      <c r="AZ952">
        <v>81100</v>
      </c>
      <c r="BA952">
        <v>100</v>
      </c>
      <c r="BB952">
        <v>100</v>
      </c>
      <c r="BC952">
        <v>100</v>
      </c>
      <c r="BD952">
        <v>100</v>
      </c>
      <c r="BE952">
        <v>1</v>
      </c>
      <c r="BF952">
        <v>15000</v>
      </c>
      <c r="BG952">
        <v>1000</v>
      </c>
      <c r="BH952" s="7">
        <f>ROUND(Wapato_Inventory[[#This Row],[detatched_value]]*Lookups!$B$22*Lookups!$H$48,-2)</f>
        <v>72400</v>
      </c>
      <c r="BI952" s="7">
        <f>ROUND(((Wapato_Inventory[[#This Row],[land_extract]]*Lookups!$B$3) +(Lookups!$B$2*0.5))*Lookups!$H$48,-2)</f>
        <v>62400</v>
      </c>
      <c r="BJ952" s="7">
        <f>IF(Wapato_Inventory[[#This Row],[bldg_style]]="",0,Lookups!$B$2*0.5)</f>
        <v>53765.27</v>
      </c>
      <c r="BK952" s="7">
        <f>_xlfn.IFNA(VLOOKUP(Wapato_Inventory[[#This Row],[quality]],Lookups!$H$2:$J$14,3,FALSE),0)</f>
        <v>92307</v>
      </c>
      <c r="BL952" s="7">
        <f>_xlfn.IFNA(VLOOKUP(Wapato_Inventory[[#This Row],[condition]],Lookups!$H$17:$J$24,3,FALSE),0)</f>
        <v>84338</v>
      </c>
      <c r="BM952" s="7">
        <f>Wapato_Inventory[[#This Row],[Age]]*Lookups!$B$16</f>
        <v>-7042.8383000000003</v>
      </c>
      <c r="BN952" s="7">
        <f>Wapato_Inventory[[#This Row],[Main Floor]]*Lookups!$B$17</f>
        <v>72482.481425999998</v>
      </c>
      <c r="BO952" s="7">
        <f>Wapato_Inventory[[#This Row],[Upper Floor]]*Lookups!$B$18</f>
        <v>42359.372706000002</v>
      </c>
      <c r="BP952" s="7">
        <f>Wapato_Inventory[[#This Row],[Fin BSMT]]*Lookups!$B$19</f>
        <v>0</v>
      </c>
      <c r="BQ952" s="7">
        <f>(Wapato_Inventory[[#This Row],[att_gar]]+Wapato_Inventory[[#This Row],[blt_gar]])*Lookups!$B$20</f>
        <v>30939.316672000001</v>
      </c>
      <c r="BR952" s="7">
        <f>Wapato_Inventory[[#This Row],[Patio]]*Lookups!$B$21</f>
        <v>19669.086466000001</v>
      </c>
      <c r="BS952" s="7">
        <f>SUM(Wapato_Inventory[[#This Row],[intercept]:[patio_value]])*Wapato_Inventory[[#This Row],[res_pct]]</f>
        <v>388817.68896999996</v>
      </c>
      <c r="BT952" s="7">
        <f>Wapato_Inventory[[#This Row],[land_value]]</f>
        <v>62400</v>
      </c>
      <c r="BU952" s="2">
        <f>_xlfn.IFNA(VLOOKUP(Wapato_Inventory[[#This Row],[quality]],Lookups!$A$28:$C$37,3,FALSE),1)</f>
        <v>1.0013727718490204</v>
      </c>
      <c r="BV952" s="2">
        <f>_xlfn.IFNA(VLOOKUP(Wapato_Inventory[[#This Row],[condition]],Lookups!$A$41:$C$48,3,FALSE),1)</f>
        <v>0.99478075210508476</v>
      </c>
      <c r="BW952" s="2">
        <f>IF(Wapato_Inventory[[#This Row],[decade]]="",1,_xlfn.IFNA(VLOOKUP(Wapato_Inventory[[#This Row],[decade]],Lookups!$F$28:$H$45,3,FALSE),1))</f>
        <v>1.0658609603367226</v>
      </c>
      <c r="BX952" s="2">
        <f>_xlfn.IFNA(VLOOKUP(Wapato_Inventory[[#This Row],[living_area_range]],Lookups!$K$28:$M$37,3,FALSE),1)</f>
        <v>1.0155869662067822</v>
      </c>
      <c r="BY952" s="2">
        <f>AVERAGE(Wapato_Inventory[[#This Row],[qual_adj]:[range_adj]])</f>
        <v>1.0194003626244024</v>
      </c>
      <c r="BZ952" s="7">
        <f>(Wapato_Inventory[[#This Row],[sum_land]]-IF(Wapato_Inventory[[#This Row],[no_utilities]]=1,12000,0))/IF(Wapato_Inventory[[#This Row],[unbuildable]]=1,2,1)</f>
        <v>62400</v>
      </c>
      <c r="CA952" s="7">
        <f>Wapato_Inventory[[#This Row],[pre_res]]*Wapato_Inventory[[#This Row],[overall_adj]]</f>
        <v>396360.89313080005</v>
      </c>
      <c r="CB952" s="3">
        <f>IF(ROUND(Wapato_Inventory[[#This Row],[adj_land]]*Lookups!$H$48,-2)&lt;Wapato_Inventory[[#This Row],[min_land]],Wapato_Inventory[[#This Row],[min_land]],ROUND(Wapato_Inventory[[#This Row],[adj_land]]*Lookups!$H$48,-2))</f>
        <v>59300</v>
      </c>
      <c r="CC952" s="3">
        <f>IF(ROUND(Wapato_Inventory[[#This Row],[adj_res]]*Lookups!$H$48,-2)&lt;Wapato_Inventory[[#This Row],[min_res]],Wapato_Inventory[[#This Row],[min_res]],ROUND(Wapato_Inventory[[#This Row],[adj_res]]*Lookups!$H$48,-2))</f>
        <v>376500</v>
      </c>
      <c r="CD952" s="3">
        <f>ROUND(Wapato_Inventory[[#This Row],[det_value]]*Lookups!$H$48,-2)</f>
        <v>68800</v>
      </c>
      <c r="CE952" s="3">
        <f>Wapato_Inventory[[#This Row],[final_res]]+Wapato_Inventory[[#This Row],[final_det]]</f>
        <v>445300</v>
      </c>
      <c r="CF952" s="3">
        <f>Wapato_Inventory[[#This Row],[crop_value]]+Wapato_Inventory[[#This Row],[final_land]]+Wapato_Inventory[[#This Row],[final_imp]]</f>
        <v>504600</v>
      </c>
      <c r="CH952" t="str">
        <f t="shared" si="14"/>
        <v>update valuation set market_land =59300, market_bldg=445300, market_total =504600, market_mdno =405, market_date ='9/10/2023' where link_id = (select link_id from parcel where parcel_year = '2024' and parcel_id = '19111522010');</v>
      </c>
    </row>
    <row r="953" spans="1:86" x14ac:dyDescent="0.25">
      <c r="A953">
        <v>19111522012</v>
      </c>
      <c r="B953">
        <v>1.23</v>
      </c>
      <c r="C953">
        <v>53424</v>
      </c>
      <c r="D953" t="s">
        <v>144</v>
      </c>
      <c r="E953" t="s">
        <v>54</v>
      </c>
      <c r="F953" t="s">
        <v>54</v>
      </c>
      <c r="G953">
        <v>3</v>
      </c>
      <c r="H953" t="s">
        <v>55</v>
      </c>
      <c r="I953">
        <v>192300</v>
      </c>
      <c r="J953">
        <v>47400</v>
      </c>
      <c r="K953">
        <v>1.23</v>
      </c>
      <c r="L953">
        <f>IF(Wapato_Inventory[[#This Row],[parcel_acres]]-Wapato_Inventory[[#This Row],[non_valued_acres]] =0,0,LN(Wapato_Inventory[[#This Row],[parcel_acres]]-Wapato_Inventory[[#This Row],[non_valued_acres]]))</f>
        <v>0.20701416938432612</v>
      </c>
      <c r="M953">
        <v>0</v>
      </c>
      <c r="N953">
        <v>0</v>
      </c>
      <c r="O953">
        <v>0</v>
      </c>
      <c r="P953">
        <v>27904.037</v>
      </c>
      <c r="Q953">
        <v>74398</v>
      </c>
      <c r="R953" s="3">
        <f>(Wapato_Inventory[[#This Row],[ln_acres]]*Wapato_Inventory[[#This Row],[coeff]])+Wapato_Inventory[[#This Row],[const]]</f>
        <v>80174.531042024508</v>
      </c>
      <c r="S953" t="s">
        <v>154</v>
      </c>
      <c r="T953">
        <v>2</v>
      </c>
      <c r="U953" t="s">
        <v>75</v>
      </c>
      <c r="V953" t="s">
        <v>68</v>
      </c>
      <c r="W953">
        <v>0</v>
      </c>
      <c r="X953">
        <v>0</v>
      </c>
      <c r="Y953">
        <v>55</v>
      </c>
      <c r="Z953">
        <v>98</v>
      </c>
      <c r="AA953">
        <v>100</v>
      </c>
      <c r="AB953">
        <v>2500</v>
      </c>
      <c r="AC953">
        <v>2051</v>
      </c>
      <c r="AD953">
        <v>1451</v>
      </c>
      <c r="AE953">
        <v>600</v>
      </c>
      <c r="AF953">
        <v>0</v>
      </c>
      <c r="AG953">
        <v>0</v>
      </c>
      <c r="AH953">
        <v>870</v>
      </c>
      <c r="AI953">
        <v>0</v>
      </c>
      <c r="AJ953">
        <v>0</v>
      </c>
      <c r="AK953">
        <v>0</v>
      </c>
      <c r="AL953">
        <v>0</v>
      </c>
      <c r="AM953">
        <v>0</v>
      </c>
      <c r="AN953">
        <v>434</v>
      </c>
      <c r="AO953">
        <v>0</v>
      </c>
      <c r="AP953">
        <v>8</v>
      </c>
      <c r="AQ953">
        <v>0</v>
      </c>
      <c r="AR953">
        <v>0</v>
      </c>
      <c r="AS953" t="s">
        <v>59</v>
      </c>
      <c r="AT953">
        <v>1</v>
      </c>
      <c r="AU953" t="s">
        <v>76</v>
      </c>
      <c r="AV953" t="s">
        <v>61</v>
      </c>
      <c r="AW953">
        <v>0</v>
      </c>
      <c r="AX953">
        <v>4</v>
      </c>
      <c r="AY953">
        <v>0</v>
      </c>
      <c r="AZ953">
        <v>7400</v>
      </c>
      <c r="BA953">
        <v>100</v>
      </c>
      <c r="BB953">
        <v>100</v>
      </c>
      <c r="BC953">
        <v>100</v>
      </c>
      <c r="BD953">
        <v>100</v>
      </c>
      <c r="BE953">
        <v>1</v>
      </c>
      <c r="BF953">
        <v>15000</v>
      </c>
      <c r="BG953">
        <v>1000</v>
      </c>
      <c r="BH953" s="7">
        <f>ROUND(Wapato_Inventory[[#This Row],[detatched_value]]*Lookups!$B$22*Lookups!$H$48,-2)</f>
        <v>6600</v>
      </c>
      <c r="BI953" s="7">
        <f>ROUND(((Wapato_Inventory[[#This Row],[land_extract]]*Lookups!$B$3) +(Lookups!$B$2*0.5))*Lookups!$H$48,-2)</f>
        <v>58800</v>
      </c>
      <c r="BJ953" s="7">
        <f>IF(Wapato_Inventory[[#This Row],[bldg_style]]="",0,Lookups!$B$2*0.5)</f>
        <v>53765.27</v>
      </c>
      <c r="BK953" s="7">
        <f>_xlfn.IFNA(VLOOKUP(Wapato_Inventory[[#This Row],[quality]],Lookups!$H$2:$J$14,3,FALSE),0)</f>
        <v>48043</v>
      </c>
      <c r="BL953" s="7">
        <f>_xlfn.IFNA(VLOOKUP(Wapato_Inventory[[#This Row],[condition]],Lookups!$H$17:$J$24,3,FALSE),0)</f>
        <v>52231</v>
      </c>
      <c r="BM953" s="7">
        <f>Wapato_Inventory[[#This Row],[Age]]*Lookups!$B$16</f>
        <v>-36326.2186</v>
      </c>
      <c r="BN953" s="7">
        <f>Wapato_Inventory[[#This Row],[Main Floor]]*Lookups!$B$17</f>
        <v>60652.872288999999</v>
      </c>
      <c r="BO953" s="7">
        <f>Wapato_Inventory[[#This Row],[Upper Floor]]*Lookups!$B$18</f>
        <v>29760.683400000002</v>
      </c>
      <c r="BP953" s="7">
        <f>Wapato_Inventory[[#This Row],[Fin BSMT]]*Lookups!$B$19</f>
        <v>0</v>
      </c>
      <c r="BQ953" s="7">
        <f>(Wapato_Inventory[[#This Row],[att_gar]]+Wapato_Inventory[[#This Row],[blt_gar]])*Lookups!$B$20</f>
        <v>0</v>
      </c>
      <c r="BR953" s="7">
        <f>Wapato_Inventory[[#This Row],[Patio]]*Lookups!$B$21</f>
        <v>0</v>
      </c>
      <c r="BS953" s="7">
        <f>SUM(Wapato_Inventory[[#This Row],[intercept]:[patio_value]])*Wapato_Inventory[[#This Row],[res_pct]]</f>
        <v>208126.607089</v>
      </c>
      <c r="BT953" s="7">
        <f>Wapato_Inventory[[#This Row],[land_value]]</f>
        <v>58800</v>
      </c>
      <c r="BU953" s="2">
        <f>_xlfn.IFNA(VLOOKUP(Wapato_Inventory[[#This Row],[quality]],Lookups!$A$28:$C$37,3,FALSE),1)</f>
        <v>0.98196844879778955</v>
      </c>
      <c r="BV953" s="2">
        <f>_xlfn.IFNA(VLOOKUP(Wapato_Inventory[[#This Row],[condition]],Lookups!$A$41:$C$48,3,FALSE),1)</f>
        <v>0.9832333997567807</v>
      </c>
      <c r="BW953" s="2">
        <f>IF(Wapato_Inventory[[#This Row],[decade]]="",1,_xlfn.IFNA(VLOOKUP(Wapato_Inventory[[#This Row],[decade]],Lookups!$F$28:$H$45,3,FALSE),1))</f>
        <v>1.0114203040664467</v>
      </c>
      <c r="BX953" s="2">
        <f>_xlfn.IFNA(VLOOKUP(Wapato_Inventory[[#This Row],[living_area_range]],Lookups!$K$28:$M$37,3,FALSE),1)</f>
        <v>0.90813907160181651</v>
      </c>
      <c r="BY953" s="2">
        <f>AVERAGE(Wapato_Inventory[[#This Row],[qual_adj]:[range_adj]])</f>
        <v>0.97119030605570833</v>
      </c>
      <c r="BZ953" s="7">
        <f>(Wapato_Inventory[[#This Row],[sum_land]]-IF(Wapato_Inventory[[#This Row],[no_utilities]]=1,12000,0))/IF(Wapato_Inventory[[#This Row],[unbuildable]]=1,2,1)</f>
        <v>58800</v>
      </c>
      <c r="CA953" s="7">
        <f>Wapato_Inventory[[#This Row],[pre_res]]*Wapato_Inventory[[#This Row],[overall_adj]]</f>
        <v>202130.54323710207</v>
      </c>
      <c r="CB953" s="3">
        <f>IF(ROUND(Wapato_Inventory[[#This Row],[adj_land]]*Lookups!$H$48,-2)&lt;Wapato_Inventory[[#This Row],[min_land]],Wapato_Inventory[[#This Row],[min_land]],ROUND(Wapato_Inventory[[#This Row],[adj_land]]*Lookups!$H$48,-2))</f>
        <v>55900</v>
      </c>
      <c r="CC953" s="3">
        <f>IF(ROUND(Wapato_Inventory[[#This Row],[adj_res]]*Lookups!$H$48,-2)&lt;Wapato_Inventory[[#This Row],[min_res]],Wapato_Inventory[[#This Row],[min_res]],ROUND(Wapato_Inventory[[#This Row],[adj_res]]*Lookups!$H$48,-2))</f>
        <v>192000</v>
      </c>
      <c r="CD953" s="3">
        <f>ROUND(Wapato_Inventory[[#This Row],[det_value]]*Lookups!$H$48,-2)</f>
        <v>6300</v>
      </c>
      <c r="CE953" s="3">
        <f>Wapato_Inventory[[#This Row],[final_res]]+Wapato_Inventory[[#This Row],[final_det]]</f>
        <v>198300</v>
      </c>
      <c r="CF953" s="3">
        <f>Wapato_Inventory[[#This Row],[crop_value]]+Wapato_Inventory[[#This Row],[final_land]]+Wapato_Inventory[[#This Row],[final_imp]]</f>
        <v>254200</v>
      </c>
      <c r="CH953" t="str">
        <f t="shared" si="14"/>
        <v>update valuation set market_land =55900, market_bldg=198300, market_total =254200, market_mdno =405, market_date ='9/10/2023' where link_id = (select link_id from parcel where parcel_year = '2024' and parcel_id = '19111522012');</v>
      </c>
    </row>
    <row r="954" spans="1:86" x14ac:dyDescent="0.25">
      <c r="A954">
        <v>19111522014</v>
      </c>
      <c r="B954">
        <v>1.96</v>
      </c>
      <c r="C954">
        <v>85587</v>
      </c>
      <c r="D954" t="s">
        <v>144</v>
      </c>
      <c r="E954" t="s">
        <v>54</v>
      </c>
      <c r="F954" t="s">
        <v>54</v>
      </c>
      <c r="G954">
        <v>3</v>
      </c>
      <c r="H954" t="s">
        <v>55</v>
      </c>
      <c r="I954">
        <v>164600</v>
      </c>
      <c r="J954">
        <v>50700</v>
      </c>
      <c r="K954">
        <v>1.96</v>
      </c>
      <c r="L954">
        <f>IF(Wapato_Inventory[[#This Row],[parcel_acres]]-Wapato_Inventory[[#This Row],[non_valued_acres]] =0,0,LN(Wapato_Inventory[[#This Row],[parcel_acres]]-Wapato_Inventory[[#This Row],[non_valued_acres]]))</f>
        <v>0.67294447324242579</v>
      </c>
      <c r="M954">
        <v>0</v>
      </c>
      <c r="N954">
        <v>0</v>
      </c>
      <c r="O954">
        <v>0</v>
      </c>
      <c r="P954">
        <v>27904.037</v>
      </c>
      <c r="Q954">
        <v>74398</v>
      </c>
      <c r="R954" s="3">
        <f>(Wapato_Inventory[[#This Row],[ln_acres]]*Wapato_Inventory[[#This Row],[coeff]])+Wapato_Inventory[[#This Row],[const]]</f>
        <v>93175.867480302157</v>
      </c>
      <c r="S954" t="s">
        <v>66</v>
      </c>
      <c r="T954">
        <v>1</v>
      </c>
      <c r="U954" t="s">
        <v>67</v>
      </c>
      <c r="V954" t="s">
        <v>68</v>
      </c>
      <c r="W954">
        <v>0</v>
      </c>
      <c r="X954">
        <v>0</v>
      </c>
      <c r="Y954">
        <v>57</v>
      </c>
      <c r="Z954">
        <v>103</v>
      </c>
      <c r="AA954">
        <v>110</v>
      </c>
      <c r="AB954">
        <v>1500</v>
      </c>
      <c r="AC954">
        <v>1400</v>
      </c>
      <c r="AD954">
        <v>1400</v>
      </c>
      <c r="AE954">
        <v>0</v>
      </c>
      <c r="AF954">
        <v>0</v>
      </c>
      <c r="AG954">
        <v>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9</v>
      </c>
      <c r="AQ954">
        <v>0</v>
      </c>
      <c r="AR954">
        <v>1</v>
      </c>
      <c r="AS954" t="s">
        <v>59</v>
      </c>
      <c r="AT954">
        <v>1</v>
      </c>
      <c r="AU954" t="s">
        <v>76</v>
      </c>
      <c r="AV954" t="s">
        <v>61</v>
      </c>
      <c r="AW954">
        <v>0</v>
      </c>
      <c r="AX954">
        <v>2</v>
      </c>
      <c r="AY954">
        <v>0</v>
      </c>
      <c r="AZ954">
        <v>15200</v>
      </c>
      <c r="BA954">
        <v>100</v>
      </c>
      <c r="BB954">
        <v>100</v>
      </c>
      <c r="BC954">
        <v>100</v>
      </c>
      <c r="BD954">
        <v>100</v>
      </c>
      <c r="BE954">
        <v>1</v>
      </c>
      <c r="BF954">
        <v>15000</v>
      </c>
      <c r="BG954">
        <v>1000</v>
      </c>
      <c r="BH954" s="7">
        <f>ROUND(Wapato_Inventory[[#This Row],[detatched_value]]*Lookups!$B$22*Lookups!$H$48,-2)</f>
        <v>13600</v>
      </c>
      <c r="BI954" s="7">
        <f>ROUND(((Wapato_Inventory[[#This Row],[land_extract]]*Lookups!$B$3) +(Lookups!$B$2*0.5))*Lookups!$H$48,-2)</f>
        <v>60100</v>
      </c>
      <c r="BJ954" s="7">
        <f>IF(Wapato_Inventory[[#This Row],[bldg_style]]="",0,Lookups!$B$2*0.5)</f>
        <v>53765.27</v>
      </c>
      <c r="BK954" s="7">
        <f>_xlfn.IFNA(VLOOKUP(Wapato_Inventory[[#This Row],[quality]],Lookups!$H$2:$J$14,3,FALSE),0)</f>
        <v>50405</v>
      </c>
      <c r="BL954" s="7">
        <f>_xlfn.IFNA(VLOOKUP(Wapato_Inventory[[#This Row],[condition]],Lookups!$H$17:$J$24,3,FALSE),0)</f>
        <v>52231</v>
      </c>
      <c r="BM954" s="7">
        <f>Wapato_Inventory[[#This Row],[Age]]*Lookups!$B$16</f>
        <v>-38179.597099999999</v>
      </c>
      <c r="BN954" s="7">
        <f>Wapato_Inventory[[#This Row],[Main Floor]]*Lookups!$B$17</f>
        <v>58521.034599999999</v>
      </c>
      <c r="BO954" s="7">
        <f>Wapato_Inventory[[#This Row],[Upper Floor]]*Lookups!$B$18</f>
        <v>0</v>
      </c>
      <c r="BP954" s="7">
        <f>Wapato_Inventory[[#This Row],[Fin BSMT]]*Lookups!$B$19</f>
        <v>0</v>
      </c>
      <c r="BQ954" s="7">
        <f>(Wapato_Inventory[[#This Row],[att_gar]]+Wapato_Inventory[[#This Row],[blt_gar]])*Lookups!$B$20</f>
        <v>0</v>
      </c>
      <c r="BR954" s="7">
        <f>Wapato_Inventory[[#This Row],[Patio]]*Lookups!$B$21</f>
        <v>0</v>
      </c>
      <c r="BS954" s="7">
        <f>SUM(Wapato_Inventory[[#This Row],[intercept]:[patio_value]])*Wapato_Inventory[[#This Row],[res_pct]]</f>
        <v>176742.70749999999</v>
      </c>
      <c r="BT954" s="7">
        <f>Wapato_Inventory[[#This Row],[land_value]]</f>
        <v>60100</v>
      </c>
      <c r="BU954" s="2">
        <f>_xlfn.IFNA(VLOOKUP(Wapato_Inventory[[#This Row],[quality]],Lookups!$A$28:$C$37,3,FALSE),1)</f>
        <v>0.97993206410140754</v>
      </c>
      <c r="BV954" s="2">
        <f>_xlfn.IFNA(VLOOKUP(Wapato_Inventory[[#This Row],[condition]],Lookups!$A$41:$C$48,3,FALSE),1)</f>
        <v>0.9832333997567807</v>
      </c>
      <c r="BW954" s="2">
        <f>IF(Wapato_Inventory[[#This Row],[decade]]="",1,_xlfn.IFNA(VLOOKUP(Wapato_Inventory[[#This Row],[decade]],Lookups!$F$28:$H$45,3,FALSE),1))</f>
        <v>0.93664589651353292</v>
      </c>
      <c r="BX954" s="2">
        <f>_xlfn.IFNA(VLOOKUP(Wapato_Inventory[[#This Row],[living_area_range]],Lookups!$K$28:$M$37,3,FALSE),1)</f>
        <v>1.0061411172456287</v>
      </c>
      <c r="BY954" s="2">
        <f>AVERAGE(Wapato_Inventory[[#This Row],[qual_adj]:[range_adj]])</f>
        <v>0.97648811940433755</v>
      </c>
      <c r="BZ954" s="7">
        <f>(Wapato_Inventory[[#This Row],[sum_land]]-IF(Wapato_Inventory[[#This Row],[no_utilities]]=1,12000,0))/IF(Wapato_Inventory[[#This Row],[unbuildable]]=1,2,1)</f>
        <v>60100</v>
      </c>
      <c r="CA954" s="7">
        <f>Wapato_Inventory[[#This Row],[pre_res]]*Wapato_Inventory[[#This Row],[overall_adj]]</f>
        <v>172587.15406510589</v>
      </c>
      <c r="CB954" s="3">
        <f>IF(ROUND(Wapato_Inventory[[#This Row],[adj_land]]*Lookups!$H$48,-2)&lt;Wapato_Inventory[[#This Row],[min_land]],Wapato_Inventory[[#This Row],[min_land]],ROUND(Wapato_Inventory[[#This Row],[adj_land]]*Lookups!$H$48,-2))</f>
        <v>57100</v>
      </c>
      <c r="CC954" s="3">
        <f>IF(ROUND(Wapato_Inventory[[#This Row],[adj_res]]*Lookups!$H$48,-2)&lt;Wapato_Inventory[[#This Row],[min_res]],Wapato_Inventory[[#This Row],[min_res]],ROUND(Wapato_Inventory[[#This Row],[adj_res]]*Lookups!$H$48,-2))</f>
        <v>164000</v>
      </c>
      <c r="CD954" s="3">
        <f>ROUND(Wapato_Inventory[[#This Row],[det_value]]*Lookups!$H$48,-2)</f>
        <v>12900</v>
      </c>
      <c r="CE954" s="3">
        <f>Wapato_Inventory[[#This Row],[final_res]]+Wapato_Inventory[[#This Row],[final_det]]</f>
        <v>176900</v>
      </c>
      <c r="CF954" s="3">
        <f>Wapato_Inventory[[#This Row],[crop_value]]+Wapato_Inventory[[#This Row],[final_land]]+Wapato_Inventory[[#This Row],[final_imp]]</f>
        <v>234000</v>
      </c>
      <c r="CH954" t="str">
        <f t="shared" si="14"/>
        <v>update valuation set market_land =57100, market_bldg=176900, market_total =234000, market_mdno =405, market_date ='9/10/2023' where link_id = (select link_id from parcel where parcel_year = '2024' and parcel_id = '19111522014');</v>
      </c>
    </row>
    <row r="955" spans="1:86" x14ac:dyDescent="0.25">
      <c r="A955">
        <v>19111522406</v>
      </c>
      <c r="B955">
        <v>0.19</v>
      </c>
      <c r="C955">
        <v>8125</v>
      </c>
      <c r="D955" t="s">
        <v>144</v>
      </c>
      <c r="E955" t="s">
        <v>54</v>
      </c>
      <c r="F955" t="s">
        <v>54</v>
      </c>
      <c r="G955">
        <v>3</v>
      </c>
      <c r="H955" t="s">
        <v>55</v>
      </c>
      <c r="I955">
        <v>106100</v>
      </c>
      <c r="J955">
        <v>34100</v>
      </c>
      <c r="K955">
        <v>0.19</v>
      </c>
      <c r="L955">
        <f>IF(Wapato_Inventory[[#This Row],[parcel_acres]]-Wapato_Inventory[[#This Row],[non_valued_acres]] =0,0,LN(Wapato_Inventory[[#This Row],[parcel_acres]]-Wapato_Inventory[[#This Row],[non_valued_acres]]))</f>
        <v>-1.6607312068216509</v>
      </c>
      <c r="M955">
        <v>0</v>
      </c>
      <c r="N955">
        <v>0</v>
      </c>
      <c r="O955">
        <v>0</v>
      </c>
      <c r="P955">
        <v>27904.037</v>
      </c>
      <c r="Q955">
        <v>74398</v>
      </c>
      <c r="R955" s="3">
        <f>(Wapato_Inventory[[#This Row],[ln_acres]]*Wapato_Inventory[[#This Row],[coeff]])+Wapato_Inventory[[#This Row],[const]]</f>
        <v>28056.894957794</v>
      </c>
      <c r="S955" t="s">
        <v>66</v>
      </c>
      <c r="T955">
        <v>1</v>
      </c>
      <c r="U955" t="s">
        <v>71</v>
      </c>
      <c r="V955" t="s">
        <v>68</v>
      </c>
      <c r="W955">
        <v>0</v>
      </c>
      <c r="X955">
        <v>0</v>
      </c>
      <c r="Y955">
        <v>51</v>
      </c>
      <c r="Z955">
        <v>78</v>
      </c>
      <c r="AA955">
        <v>80</v>
      </c>
      <c r="AB955">
        <v>1000</v>
      </c>
      <c r="AC955">
        <v>832</v>
      </c>
      <c r="AD955">
        <v>832</v>
      </c>
      <c r="AE955">
        <v>0</v>
      </c>
      <c r="AF955">
        <v>0</v>
      </c>
      <c r="AG955">
        <v>0</v>
      </c>
      <c r="AH955">
        <v>0</v>
      </c>
      <c r="AI955">
        <v>0</v>
      </c>
      <c r="AJ955">
        <v>0</v>
      </c>
      <c r="AK955">
        <v>0</v>
      </c>
      <c r="AL955">
        <v>0</v>
      </c>
      <c r="AM955">
        <v>0</v>
      </c>
      <c r="AN955">
        <v>0</v>
      </c>
      <c r="AO955">
        <v>0</v>
      </c>
      <c r="AP955">
        <v>5</v>
      </c>
      <c r="AQ955">
        <v>0</v>
      </c>
      <c r="AR955">
        <v>0</v>
      </c>
      <c r="AS955" t="s">
        <v>59</v>
      </c>
      <c r="AT955">
        <v>1</v>
      </c>
      <c r="AU955" t="s">
        <v>72</v>
      </c>
      <c r="AV955" t="s">
        <v>61</v>
      </c>
      <c r="AW955">
        <v>0</v>
      </c>
      <c r="AX955">
        <v>2</v>
      </c>
      <c r="AY955">
        <v>0</v>
      </c>
      <c r="AZ955">
        <v>0</v>
      </c>
      <c r="BA955">
        <v>100</v>
      </c>
      <c r="BB955">
        <v>100</v>
      </c>
      <c r="BC955">
        <v>100</v>
      </c>
      <c r="BD955">
        <v>100</v>
      </c>
      <c r="BE955">
        <v>1</v>
      </c>
      <c r="BF955">
        <v>15000</v>
      </c>
      <c r="BG955">
        <v>1000</v>
      </c>
      <c r="BH955" s="7">
        <f>ROUND(Wapato_Inventory[[#This Row],[detatched_value]]*Lookups!$B$22*Lookups!$H$48,-2)</f>
        <v>0</v>
      </c>
      <c r="BI955" s="7">
        <f>ROUND(((Wapato_Inventory[[#This Row],[land_extract]]*Lookups!$B$3) +(Lookups!$B$2*0.5))*Lookups!$H$48,-2)</f>
        <v>53800</v>
      </c>
      <c r="BJ955" s="7">
        <f>IF(Wapato_Inventory[[#This Row],[bldg_style]]="",0,Lookups!$B$2*0.5)</f>
        <v>53765.27</v>
      </c>
      <c r="BK955" s="7">
        <f>_xlfn.IFNA(VLOOKUP(Wapato_Inventory[[#This Row],[quality]],Lookups!$H$2:$J$14,3,FALSE),0)</f>
        <v>28034</v>
      </c>
      <c r="BL955" s="7">
        <f>_xlfn.IFNA(VLOOKUP(Wapato_Inventory[[#This Row],[condition]],Lookups!$H$17:$J$24,3,FALSE),0)</f>
        <v>52231</v>
      </c>
      <c r="BM955" s="7">
        <f>Wapato_Inventory[[#This Row],[Age]]*Lookups!$B$16</f>
        <v>-28912.704600000001</v>
      </c>
      <c r="BN955" s="7">
        <f>Wapato_Inventory[[#This Row],[Main Floor]]*Lookups!$B$17</f>
        <v>34778.214848000003</v>
      </c>
      <c r="BO955" s="7">
        <f>Wapato_Inventory[[#This Row],[Upper Floor]]*Lookups!$B$18</f>
        <v>0</v>
      </c>
      <c r="BP955" s="7">
        <f>Wapato_Inventory[[#This Row],[Fin BSMT]]*Lookups!$B$19</f>
        <v>0</v>
      </c>
      <c r="BQ955" s="7">
        <f>(Wapato_Inventory[[#This Row],[att_gar]]+Wapato_Inventory[[#This Row],[blt_gar]])*Lookups!$B$20</f>
        <v>0</v>
      </c>
      <c r="BR955" s="7">
        <f>Wapato_Inventory[[#This Row],[Patio]]*Lookups!$B$21</f>
        <v>0</v>
      </c>
      <c r="BS955" s="7">
        <f>SUM(Wapato_Inventory[[#This Row],[intercept]:[patio_value]])*Wapato_Inventory[[#This Row],[res_pct]]</f>
        <v>139895.780248</v>
      </c>
      <c r="BT955" s="7">
        <f>Wapato_Inventory[[#This Row],[land_value]]</f>
        <v>53800</v>
      </c>
      <c r="BU955" s="2">
        <f>_xlfn.IFNA(VLOOKUP(Wapato_Inventory[[#This Row],[quality]],Lookups!$A$28:$C$37,3,FALSE),1)</f>
        <v>0.96265813922927435</v>
      </c>
      <c r="BV955" s="2">
        <f>_xlfn.IFNA(VLOOKUP(Wapato_Inventory[[#This Row],[condition]],Lookups!$A$41:$C$48,3,FALSE),1)</f>
        <v>0.9832333997567807</v>
      </c>
      <c r="BW955" s="2">
        <f>IF(Wapato_Inventory[[#This Row],[decade]]="",1,_xlfn.IFNA(VLOOKUP(Wapato_Inventory[[#This Row],[decade]],Lookups!$F$28:$H$45,3,FALSE),1))</f>
        <v>0.8438929209510081</v>
      </c>
      <c r="BX955" s="2">
        <f>_xlfn.IFNA(VLOOKUP(Wapato_Inventory[[#This Row],[living_area_range]],Lookups!$K$28:$M$37,3,FALSE),1)</f>
        <v>0.99022994770196116</v>
      </c>
      <c r="BY955" s="2">
        <f>AVERAGE(Wapato_Inventory[[#This Row],[qual_adj]:[range_adj]])</f>
        <v>0.94500360190975607</v>
      </c>
      <c r="BZ955" s="7">
        <f>(Wapato_Inventory[[#This Row],[sum_land]]-IF(Wapato_Inventory[[#This Row],[no_utilities]]=1,12000,0))/IF(Wapato_Inventory[[#This Row],[unbuildable]]=1,2,1)</f>
        <v>53800</v>
      </c>
      <c r="CA955" s="7">
        <f>Wapato_Inventory[[#This Row],[pre_res]]*Wapato_Inventory[[#This Row],[overall_adj]]</f>
        <v>132202.01622633569</v>
      </c>
      <c r="CB955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55" s="3">
        <f>IF(ROUND(Wapato_Inventory[[#This Row],[adj_res]]*Lookups!$H$48,-2)&lt;Wapato_Inventory[[#This Row],[min_res]],Wapato_Inventory[[#This Row],[min_res]],ROUND(Wapato_Inventory[[#This Row],[adj_res]]*Lookups!$H$48,-2))</f>
        <v>125600</v>
      </c>
      <c r="CD955" s="3">
        <f>ROUND(Wapato_Inventory[[#This Row],[det_value]]*Lookups!$H$48,-2)</f>
        <v>0</v>
      </c>
      <c r="CE955" s="3">
        <f>Wapato_Inventory[[#This Row],[final_res]]+Wapato_Inventory[[#This Row],[final_det]]</f>
        <v>125600</v>
      </c>
      <c r="CF955" s="3">
        <f>Wapato_Inventory[[#This Row],[crop_value]]+Wapato_Inventory[[#This Row],[final_land]]+Wapato_Inventory[[#This Row],[final_imp]]</f>
        <v>176700</v>
      </c>
      <c r="CH955" t="str">
        <f t="shared" si="14"/>
        <v>update valuation set market_land =51100, market_bldg=125600, market_total =176700, market_mdno =405, market_date ='9/10/2023' where link_id = (select link_id from parcel where parcel_year = '2024' and parcel_id = '19111522406');</v>
      </c>
    </row>
    <row r="956" spans="1:86" x14ac:dyDescent="0.25">
      <c r="A956">
        <v>19111522407</v>
      </c>
      <c r="B956">
        <v>0.19</v>
      </c>
      <c r="C956">
        <v>8125</v>
      </c>
      <c r="D956" t="s">
        <v>144</v>
      </c>
      <c r="E956" t="s">
        <v>54</v>
      </c>
      <c r="F956" t="s">
        <v>54</v>
      </c>
      <c r="G956">
        <v>3</v>
      </c>
      <c r="H956" t="s">
        <v>55</v>
      </c>
      <c r="I956">
        <v>101000</v>
      </c>
      <c r="J956">
        <v>34100</v>
      </c>
      <c r="K956">
        <v>0.19</v>
      </c>
      <c r="L956">
        <f>IF(Wapato_Inventory[[#This Row],[parcel_acres]]-Wapato_Inventory[[#This Row],[non_valued_acres]] =0,0,LN(Wapato_Inventory[[#This Row],[parcel_acres]]-Wapato_Inventory[[#This Row],[non_valued_acres]]))</f>
        <v>-1.6607312068216509</v>
      </c>
      <c r="M956">
        <v>0</v>
      </c>
      <c r="N956">
        <v>0</v>
      </c>
      <c r="O956">
        <v>0</v>
      </c>
      <c r="P956">
        <v>27904.037</v>
      </c>
      <c r="Q956">
        <v>74398</v>
      </c>
      <c r="R956" s="3">
        <f>(Wapato_Inventory[[#This Row],[ln_acres]]*Wapato_Inventory[[#This Row],[coeff]])+Wapato_Inventory[[#This Row],[const]]</f>
        <v>28056.894957794</v>
      </c>
      <c r="S956" t="s">
        <v>66</v>
      </c>
      <c r="T956">
        <v>1</v>
      </c>
      <c r="U956" t="s">
        <v>71</v>
      </c>
      <c r="V956" t="s">
        <v>68</v>
      </c>
      <c r="W956">
        <v>0</v>
      </c>
      <c r="X956">
        <v>0</v>
      </c>
      <c r="Y956">
        <v>55</v>
      </c>
      <c r="Z956">
        <v>98</v>
      </c>
      <c r="AA956">
        <v>100</v>
      </c>
      <c r="AB956">
        <v>1000</v>
      </c>
      <c r="AC956">
        <v>924</v>
      </c>
      <c r="AD956">
        <v>924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44</v>
      </c>
      <c r="AN956">
        <v>0</v>
      </c>
      <c r="AO956">
        <v>24</v>
      </c>
      <c r="AP956">
        <v>5</v>
      </c>
      <c r="AQ956">
        <v>0</v>
      </c>
      <c r="AR956">
        <v>0</v>
      </c>
      <c r="AS956" t="s">
        <v>59</v>
      </c>
      <c r="AT956">
        <v>0</v>
      </c>
      <c r="AU956" t="s">
        <v>80</v>
      </c>
      <c r="AV956" t="s">
        <v>77</v>
      </c>
      <c r="AW956">
        <v>0</v>
      </c>
      <c r="AX956">
        <v>2</v>
      </c>
      <c r="AY956">
        <v>0</v>
      </c>
      <c r="AZ956">
        <v>0</v>
      </c>
      <c r="BA956">
        <v>100</v>
      </c>
      <c r="BB956">
        <v>100</v>
      </c>
      <c r="BC956">
        <v>100</v>
      </c>
      <c r="BD956">
        <v>100</v>
      </c>
      <c r="BE956">
        <v>1</v>
      </c>
      <c r="BF956">
        <v>15000</v>
      </c>
      <c r="BG956">
        <v>1000</v>
      </c>
      <c r="BH956" s="7">
        <f>ROUND(Wapato_Inventory[[#This Row],[detatched_value]]*Lookups!$B$22*Lookups!$H$48,-2)</f>
        <v>0</v>
      </c>
      <c r="BI956" s="7">
        <f>ROUND(((Wapato_Inventory[[#This Row],[land_extract]]*Lookups!$B$3) +(Lookups!$B$2*0.5))*Lookups!$H$48,-2)</f>
        <v>53800</v>
      </c>
      <c r="BJ956" s="7">
        <f>IF(Wapato_Inventory[[#This Row],[bldg_style]]="",0,Lookups!$B$2*0.5)</f>
        <v>53765.27</v>
      </c>
      <c r="BK956" s="7">
        <f>_xlfn.IFNA(VLOOKUP(Wapato_Inventory[[#This Row],[quality]],Lookups!$H$2:$J$14,3,FALSE),0)</f>
        <v>28034</v>
      </c>
      <c r="BL956" s="7">
        <f>_xlfn.IFNA(VLOOKUP(Wapato_Inventory[[#This Row],[condition]],Lookups!$H$17:$J$24,3,FALSE),0)</f>
        <v>52231</v>
      </c>
      <c r="BM956" s="7">
        <f>Wapato_Inventory[[#This Row],[Age]]*Lookups!$B$16</f>
        <v>-36326.2186</v>
      </c>
      <c r="BN956" s="7">
        <f>Wapato_Inventory[[#This Row],[Main Floor]]*Lookups!$B$17</f>
        <v>38623.882835999997</v>
      </c>
      <c r="BO956" s="7">
        <f>Wapato_Inventory[[#This Row],[Upper Floor]]*Lookups!$B$18</f>
        <v>0</v>
      </c>
      <c r="BP956" s="7">
        <f>Wapato_Inventory[[#This Row],[Fin BSMT]]*Lookups!$B$19</f>
        <v>0</v>
      </c>
      <c r="BQ956" s="7">
        <f>(Wapato_Inventory[[#This Row],[att_gar]]+Wapato_Inventory[[#This Row],[blt_gar]])*Lookups!$B$20</f>
        <v>0</v>
      </c>
      <c r="BR956" s="7">
        <f>Wapato_Inventory[[#This Row],[Patio]]*Lookups!$B$21</f>
        <v>1906.2550760000001</v>
      </c>
      <c r="BS956" s="7">
        <f>SUM(Wapato_Inventory[[#This Row],[intercept]:[patio_value]])*Wapato_Inventory[[#This Row],[res_pct]]</f>
        <v>138234.189312</v>
      </c>
      <c r="BT956" s="7">
        <f>Wapato_Inventory[[#This Row],[land_value]]</f>
        <v>53800</v>
      </c>
      <c r="BU956" s="2">
        <f>_xlfn.IFNA(VLOOKUP(Wapato_Inventory[[#This Row],[quality]],Lookups!$A$28:$C$37,3,FALSE),1)</f>
        <v>0.96265813922927435</v>
      </c>
      <c r="BV956" s="2">
        <f>_xlfn.IFNA(VLOOKUP(Wapato_Inventory[[#This Row],[condition]],Lookups!$A$41:$C$48,3,FALSE),1)</f>
        <v>0.9832333997567807</v>
      </c>
      <c r="BW956" s="2">
        <f>IF(Wapato_Inventory[[#This Row],[decade]]="",1,_xlfn.IFNA(VLOOKUP(Wapato_Inventory[[#This Row],[decade]],Lookups!$F$28:$H$45,3,FALSE),1))</f>
        <v>1.0114203040664467</v>
      </c>
      <c r="BX956" s="2">
        <f>_xlfn.IFNA(VLOOKUP(Wapato_Inventory[[#This Row],[living_area_range]],Lookups!$K$28:$M$37,3,FALSE),1)</f>
        <v>0.99022994770196116</v>
      </c>
      <c r="BY956" s="2">
        <f>AVERAGE(Wapato_Inventory[[#This Row],[qual_adj]:[range_adj]])</f>
        <v>0.98688544768861564</v>
      </c>
      <c r="BZ956" s="7">
        <f>(Wapato_Inventory[[#This Row],[sum_land]]-IF(Wapato_Inventory[[#This Row],[no_utilities]]=1,12000,0))/IF(Wapato_Inventory[[#This Row],[unbuildable]]=1,2,1)</f>
        <v>53800</v>
      </c>
      <c r="CA956" s="7">
        <f>Wapato_Inventory[[#This Row],[pre_res]]*Wapato_Inventory[[#This Row],[overall_adj]]</f>
        <v>136421.30980504598</v>
      </c>
      <c r="CB956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56" s="3">
        <f>IF(ROUND(Wapato_Inventory[[#This Row],[adj_res]]*Lookups!$H$48,-2)&lt;Wapato_Inventory[[#This Row],[min_res]],Wapato_Inventory[[#This Row],[min_res]],ROUND(Wapato_Inventory[[#This Row],[adj_res]]*Lookups!$H$48,-2))</f>
        <v>129600</v>
      </c>
      <c r="CD956" s="3">
        <f>ROUND(Wapato_Inventory[[#This Row],[det_value]]*Lookups!$H$48,-2)</f>
        <v>0</v>
      </c>
      <c r="CE956" s="3">
        <f>Wapato_Inventory[[#This Row],[final_res]]+Wapato_Inventory[[#This Row],[final_det]]</f>
        <v>129600</v>
      </c>
      <c r="CF956" s="3">
        <f>Wapato_Inventory[[#This Row],[crop_value]]+Wapato_Inventory[[#This Row],[final_land]]+Wapato_Inventory[[#This Row],[final_imp]]</f>
        <v>180700</v>
      </c>
      <c r="CH956" t="str">
        <f t="shared" si="14"/>
        <v>update valuation set market_land =51100, market_bldg=129600, market_total =180700, market_mdno =405, market_date ='9/10/2023' where link_id = (select link_id from parcel where parcel_year = '2024' and parcel_id = '19111522407');</v>
      </c>
    </row>
    <row r="957" spans="1:86" x14ac:dyDescent="0.25">
      <c r="A957">
        <v>19111522408</v>
      </c>
      <c r="B957">
        <v>0.19</v>
      </c>
      <c r="C957">
        <v>8125</v>
      </c>
      <c r="D957" t="s">
        <v>144</v>
      </c>
      <c r="E957" t="s">
        <v>54</v>
      </c>
      <c r="F957" t="s">
        <v>54</v>
      </c>
      <c r="G957">
        <v>3</v>
      </c>
      <c r="H957" t="s">
        <v>55</v>
      </c>
      <c r="I957">
        <v>140800</v>
      </c>
      <c r="J957">
        <v>34100</v>
      </c>
      <c r="K957">
        <v>0.19</v>
      </c>
      <c r="L957">
        <f>IF(Wapato_Inventory[[#This Row],[parcel_acres]]-Wapato_Inventory[[#This Row],[non_valued_acres]] =0,0,LN(Wapato_Inventory[[#This Row],[parcel_acres]]-Wapato_Inventory[[#This Row],[non_valued_acres]]))</f>
        <v>-1.6607312068216509</v>
      </c>
      <c r="M957">
        <v>0</v>
      </c>
      <c r="N957">
        <v>0</v>
      </c>
      <c r="O957">
        <v>0</v>
      </c>
      <c r="P957">
        <v>27904.037</v>
      </c>
      <c r="Q957">
        <v>74398</v>
      </c>
      <c r="R957" s="3">
        <f>(Wapato_Inventory[[#This Row],[ln_acres]]*Wapato_Inventory[[#This Row],[coeff]])+Wapato_Inventory[[#This Row],[const]]</f>
        <v>28056.894957794</v>
      </c>
      <c r="S957" t="s">
        <v>66</v>
      </c>
      <c r="T957">
        <v>1</v>
      </c>
      <c r="U957" t="s">
        <v>71</v>
      </c>
      <c r="V957" t="s">
        <v>68</v>
      </c>
      <c r="W957">
        <v>0</v>
      </c>
      <c r="X957">
        <v>0</v>
      </c>
      <c r="Y957">
        <v>50</v>
      </c>
      <c r="Z957">
        <v>73</v>
      </c>
      <c r="AA957">
        <v>80</v>
      </c>
      <c r="AB957">
        <v>1500</v>
      </c>
      <c r="AC957">
        <v>1288</v>
      </c>
      <c r="AD957">
        <v>1288</v>
      </c>
      <c r="AE957">
        <v>0</v>
      </c>
      <c r="AF957">
        <v>0</v>
      </c>
      <c r="AG957">
        <v>0</v>
      </c>
      <c r="AH957">
        <v>0</v>
      </c>
      <c r="AI957">
        <v>0</v>
      </c>
      <c r="AJ957">
        <v>0</v>
      </c>
      <c r="AK957">
        <v>512</v>
      </c>
      <c r="AL957">
        <v>160</v>
      </c>
      <c r="AM957">
        <v>0</v>
      </c>
      <c r="AN957">
        <v>120</v>
      </c>
      <c r="AO957">
        <v>160</v>
      </c>
      <c r="AP957">
        <v>7</v>
      </c>
      <c r="AQ957">
        <v>1</v>
      </c>
      <c r="AR957">
        <v>0</v>
      </c>
      <c r="AS957" t="s">
        <v>59</v>
      </c>
      <c r="AT957">
        <v>1</v>
      </c>
      <c r="AU957" t="s">
        <v>64</v>
      </c>
      <c r="AV957" t="s">
        <v>77</v>
      </c>
      <c r="AW957">
        <v>0</v>
      </c>
      <c r="AX957">
        <v>3</v>
      </c>
      <c r="AY957">
        <v>0</v>
      </c>
      <c r="AZ957">
        <v>0</v>
      </c>
      <c r="BA957">
        <v>100</v>
      </c>
      <c r="BB957">
        <v>100</v>
      </c>
      <c r="BC957">
        <v>100</v>
      </c>
      <c r="BD957">
        <v>100</v>
      </c>
      <c r="BE957">
        <v>1</v>
      </c>
      <c r="BF957">
        <v>15000</v>
      </c>
      <c r="BG957">
        <v>1000</v>
      </c>
      <c r="BH957" s="7">
        <f>ROUND(Wapato_Inventory[[#This Row],[detatched_value]]*Lookups!$B$22*Lookups!$H$48,-2)</f>
        <v>0</v>
      </c>
      <c r="BI957" s="7">
        <f>ROUND(((Wapato_Inventory[[#This Row],[land_extract]]*Lookups!$B$3) +(Lookups!$B$2*0.5))*Lookups!$H$48,-2)</f>
        <v>53800</v>
      </c>
      <c r="BJ957" s="7">
        <f>IF(Wapato_Inventory[[#This Row],[bldg_style]]="",0,Lookups!$B$2*0.5)</f>
        <v>53765.27</v>
      </c>
      <c r="BK957" s="7">
        <f>_xlfn.IFNA(VLOOKUP(Wapato_Inventory[[#This Row],[quality]],Lookups!$H$2:$J$14,3,FALSE),0)</f>
        <v>28034</v>
      </c>
      <c r="BL957" s="7">
        <f>_xlfn.IFNA(VLOOKUP(Wapato_Inventory[[#This Row],[condition]],Lookups!$H$17:$J$24,3,FALSE),0)</f>
        <v>52231</v>
      </c>
      <c r="BM957" s="7">
        <f>Wapato_Inventory[[#This Row],[Age]]*Lookups!$B$16</f>
        <v>-27059.326100000002</v>
      </c>
      <c r="BN957" s="7">
        <f>Wapato_Inventory[[#This Row],[Main Floor]]*Lookups!$B$17</f>
        <v>53839.351832</v>
      </c>
      <c r="BO957" s="7">
        <f>Wapato_Inventory[[#This Row],[Upper Floor]]*Lookups!$B$18</f>
        <v>0</v>
      </c>
      <c r="BP957" s="7">
        <f>Wapato_Inventory[[#This Row],[Fin BSMT]]*Lookups!$B$19</f>
        <v>0</v>
      </c>
      <c r="BQ957" s="7">
        <f>(Wapato_Inventory[[#This Row],[att_gar]]+Wapato_Inventory[[#This Row],[blt_gar]])*Lookups!$B$20</f>
        <v>0</v>
      </c>
      <c r="BR957" s="7">
        <f>Wapato_Inventory[[#This Row],[Patio]]*Lookups!$B$21</f>
        <v>0</v>
      </c>
      <c r="BS957" s="7">
        <f>SUM(Wapato_Inventory[[#This Row],[intercept]:[patio_value]])*Wapato_Inventory[[#This Row],[res_pct]]</f>
        <v>160810.29573199997</v>
      </c>
      <c r="BT957" s="7">
        <f>Wapato_Inventory[[#This Row],[land_value]]</f>
        <v>53800</v>
      </c>
      <c r="BU957" s="2">
        <f>_xlfn.IFNA(VLOOKUP(Wapato_Inventory[[#This Row],[quality]],Lookups!$A$28:$C$37,3,FALSE),1)</f>
        <v>0.96265813922927435</v>
      </c>
      <c r="BV957" s="2">
        <f>_xlfn.IFNA(VLOOKUP(Wapato_Inventory[[#This Row],[condition]],Lookups!$A$41:$C$48,3,FALSE),1)</f>
        <v>0.9832333997567807</v>
      </c>
      <c r="BW957" s="2">
        <f>IF(Wapato_Inventory[[#This Row],[decade]]="",1,_xlfn.IFNA(VLOOKUP(Wapato_Inventory[[#This Row],[decade]],Lookups!$F$28:$H$45,3,FALSE),1))</f>
        <v>0.8438929209510081</v>
      </c>
      <c r="BX957" s="2">
        <f>_xlfn.IFNA(VLOOKUP(Wapato_Inventory[[#This Row],[living_area_range]],Lookups!$K$28:$M$37,3,FALSE),1)</f>
        <v>1.0061411172456287</v>
      </c>
      <c r="BY957" s="2">
        <f>AVERAGE(Wapato_Inventory[[#This Row],[qual_adj]:[range_adj]])</f>
        <v>0.94898139429567296</v>
      </c>
      <c r="BZ957" s="7">
        <f>(Wapato_Inventory[[#This Row],[sum_land]]-IF(Wapato_Inventory[[#This Row],[no_utilities]]=1,12000,0))/IF(Wapato_Inventory[[#This Row],[unbuildable]]=1,2,1)</f>
        <v>53800</v>
      </c>
      <c r="CA957" s="7">
        <f>Wapato_Inventory[[#This Row],[pre_res]]*Wapato_Inventory[[#This Row],[overall_adj]]</f>
        <v>152605.97866085285</v>
      </c>
      <c r="CB957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57" s="3">
        <f>IF(ROUND(Wapato_Inventory[[#This Row],[adj_res]]*Lookups!$H$48,-2)&lt;Wapato_Inventory[[#This Row],[min_res]],Wapato_Inventory[[#This Row],[min_res]],ROUND(Wapato_Inventory[[#This Row],[adj_res]]*Lookups!$H$48,-2))</f>
        <v>145000</v>
      </c>
      <c r="CD957" s="3">
        <f>ROUND(Wapato_Inventory[[#This Row],[det_value]]*Lookups!$H$48,-2)</f>
        <v>0</v>
      </c>
      <c r="CE957" s="3">
        <f>Wapato_Inventory[[#This Row],[final_res]]+Wapato_Inventory[[#This Row],[final_det]]</f>
        <v>145000</v>
      </c>
      <c r="CF957" s="3">
        <f>Wapato_Inventory[[#This Row],[crop_value]]+Wapato_Inventory[[#This Row],[final_land]]+Wapato_Inventory[[#This Row],[final_imp]]</f>
        <v>196100</v>
      </c>
      <c r="CH957" t="str">
        <f t="shared" si="14"/>
        <v>update valuation set market_land =51100, market_bldg=145000, market_total =196100, market_mdno =405, market_date ='9/10/2023' where link_id = (select link_id from parcel where parcel_year = '2024' and parcel_id = '19111522408');</v>
      </c>
    </row>
    <row r="958" spans="1:86" x14ac:dyDescent="0.25">
      <c r="A958">
        <v>19111522409</v>
      </c>
      <c r="B958">
        <v>0.19</v>
      </c>
      <c r="C958">
        <v>8125</v>
      </c>
      <c r="D958" t="s">
        <v>144</v>
      </c>
      <c r="E958" t="s">
        <v>54</v>
      </c>
      <c r="F958" t="s">
        <v>54</v>
      </c>
      <c r="G958">
        <v>3</v>
      </c>
      <c r="H958" t="s">
        <v>55</v>
      </c>
      <c r="I958">
        <v>78600</v>
      </c>
      <c r="J958">
        <v>34100</v>
      </c>
      <c r="K958">
        <v>0.19</v>
      </c>
      <c r="L958">
        <f>IF(Wapato_Inventory[[#This Row],[parcel_acres]]-Wapato_Inventory[[#This Row],[non_valued_acres]] =0,0,LN(Wapato_Inventory[[#This Row],[parcel_acres]]-Wapato_Inventory[[#This Row],[non_valued_acres]]))</f>
        <v>-1.6607312068216509</v>
      </c>
      <c r="M958">
        <v>0</v>
      </c>
      <c r="N958">
        <v>0</v>
      </c>
      <c r="O958">
        <v>0</v>
      </c>
      <c r="P958">
        <v>27904.037</v>
      </c>
      <c r="Q958">
        <v>74398</v>
      </c>
      <c r="R958" s="3">
        <f>(Wapato_Inventory[[#This Row],[ln_acres]]*Wapato_Inventory[[#This Row],[coeff]])+Wapato_Inventory[[#This Row],[const]]</f>
        <v>28056.894957794</v>
      </c>
      <c r="S958" t="s">
        <v>66</v>
      </c>
      <c r="T958">
        <v>1</v>
      </c>
      <c r="U958" t="s">
        <v>71</v>
      </c>
      <c r="V958" t="s">
        <v>68</v>
      </c>
      <c r="W958">
        <v>0</v>
      </c>
      <c r="X958">
        <v>0</v>
      </c>
      <c r="Y958">
        <v>53</v>
      </c>
      <c r="Z958">
        <v>93</v>
      </c>
      <c r="AA958">
        <v>100</v>
      </c>
      <c r="AB958">
        <v>500</v>
      </c>
      <c r="AC958">
        <v>496</v>
      </c>
      <c r="AD958">
        <v>496</v>
      </c>
      <c r="AE958">
        <v>0</v>
      </c>
      <c r="AF958">
        <v>0</v>
      </c>
      <c r="AG958">
        <v>0</v>
      </c>
      <c r="AH958">
        <v>0</v>
      </c>
      <c r="AI958">
        <v>0</v>
      </c>
      <c r="AJ958">
        <v>0</v>
      </c>
      <c r="AK958">
        <v>252</v>
      </c>
      <c r="AL958">
        <v>0</v>
      </c>
      <c r="AM958">
        <v>0</v>
      </c>
      <c r="AN958">
        <v>0</v>
      </c>
      <c r="AO958">
        <v>80</v>
      </c>
      <c r="AP958">
        <v>5</v>
      </c>
      <c r="AQ958">
        <v>0</v>
      </c>
      <c r="AR958">
        <v>0</v>
      </c>
      <c r="AS958" t="s">
        <v>59</v>
      </c>
      <c r="AT958">
        <v>0</v>
      </c>
      <c r="AU958" t="s">
        <v>80</v>
      </c>
      <c r="AV958" t="s">
        <v>65</v>
      </c>
      <c r="AW958">
        <v>0</v>
      </c>
      <c r="AX958">
        <v>1</v>
      </c>
      <c r="AY958">
        <v>0</v>
      </c>
      <c r="AZ958">
        <v>0</v>
      </c>
      <c r="BA958">
        <v>100</v>
      </c>
      <c r="BB958">
        <v>100</v>
      </c>
      <c r="BC958">
        <v>100</v>
      </c>
      <c r="BD958">
        <v>100</v>
      </c>
      <c r="BE958">
        <v>1</v>
      </c>
      <c r="BF958">
        <v>15000</v>
      </c>
      <c r="BG958">
        <v>1000</v>
      </c>
      <c r="BH958" s="7">
        <f>ROUND(Wapato_Inventory[[#This Row],[detatched_value]]*Lookups!$B$22*Lookups!$H$48,-2)</f>
        <v>0</v>
      </c>
      <c r="BI958" s="7">
        <f>ROUND(((Wapato_Inventory[[#This Row],[land_extract]]*Lookups!$B$3) +(Lookups!$B$2*0.5))*Lookups!$H$48,-2)</f>
        <v>53800</v>
      </c>
      <c r="BJ958" s="7">
        <f>IF(Wapato_Inventory[[#This Row],[bldg_style]]="",0,Lookups!$B$2*0.5)</f>
        <v>53765.27</v>
      </c>
      <c r="BK958" s="7">
        <f>_xlfn.IFNA(VLOOKUP(Wapato_Inventory[[#This Row],[quality]],Lookups!$H$2:$J$14,3,FALSE),0)</f>
        <v>28034</v>
      </c>
      <c r="BL958" s="7">
        <f>_xlfn.IFNA(VLOOKUP(Wapato_Inventory[[#This Row],[condition]],Lookups!$H$17:$J$24,3,FALSE),0)</f>
        <v>52231</v>
      </c>
      <c r="BM958" s="7">
        <f>Wapato_Inventory[[#This Row],[Age]]*Lookups!$B$16</f>
        <v>-34472.840100000001</v>
      </c>
      <c r="BN958" s="7">
        <f>Wapato_Inventory[[#This Row],[Main Floor]]*Lookups!$B$17</f>
        <v>20733.166544</v>
      </c>
      <c r="BO958" s="7">
        <f>Wapato_Inventory[[#This Row],[Upper Floor]]*Lookups!$B$18</f>
        <v>0</v>
      </c>
      <c r="BP958" s="7">
        <f>Wapato_Inventory[[#This Row],[Fin BSMT]]*Lookups!$B$19</f>
        <v>0</v>
      </c>
      <c r="BQ958" s="7">
        <f>(Wapato_Inventory[[#This Row],[att_gar]]+Wapato_Inventory[[#This Row],[blt_gar]])*Lookups!$B$20</f>
        <v>0</v>
      </c>
      <c r="BR958" s="7">
        <f>Wapato_Inventory[[#This Row],[Patio]]*Lookups!$B$21</f>
        <v>0</v>
      </c>
      <c r="BS958" s="7">
        <f>SUM(Wapato_Inventory[[#This Row],[intercept]:[patio_value]])*Wapato_Inventory[[#This Row],[res_pct]]</f>
        <v>120290.596444</v>
      </c>
      <c r="BT958" s="7">
        <f>Wapato_Inventory[[#This Row],[land_value]]</f>
        <v>53800</v>
      </c>
      <c r="BU958" s="2">
        <f>_xlfn.IFNA(VLOOKUP(Wapato_Inventory[[#This Row],[quality]],Lookups!$A$28:$C$37,3,FALSE),1)</f>
        <v>0.96265813922927435</v>
      </c>
      <c r="BV958" s="2">
        <f>_xlfn.IFNA(VLOOKUP(Wapato_Inventory[[#This Row],[condition]],Lookups!$A$41:$C$48,3,FALSE),1)</f>
        <v>0.9832333997567807</v>
      </c>
      <c r="BW958" s="2">
        <f>IF(Wapato_Inventory[[#This Row],[decade]]="",1,_xlfn.IFNA(VLOOKUP(Wapato_Inventory[[#This Row],[decade]],Lookups!$F$28:$H$45,3,FALSE),1))</f>
        <v>1.0114203040664467</v>
      </c>
      <c r="BX958" s="2">
        <f>_xlfn.IFNA(VLOOKUP(Wapato_Inventory[[#This Row],[living_area_range]],Lookups!$K$28:$M$37,3,FALSE),1)</f>
        <v>0.62984720518148585</v>
      </c>
      <c r="BY958" s="2">
        <f>AVERAGE(Wapato_Inventory[[#This Row],[qual_adj]:[range_adj]])</f>
        <v>0.89678976205849681</v>
      </c>
      <c r="BZ958" s="7">
        <f>(Wapato_Inventory[[#This Row],[sum_land]]-IF(Wapato_Inventory[[#This Row],[no_utilities]]=1,12000,0))/IF(Wapato_Inventory[[#This Row],[unbuildable]]=1,2,1)</f>
        <v>53800</v>
      </c>
      <c r="CA958" s="7">
        <f>Wapato_Inventory[[#This Row],[pre_res]]*Wapato_Inventory[[#This Row],[overall_adj]]</f>
        <v>107875.37536288942</v>
      </c>
      <c r="CB958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58" s="3">
        <f>IF(ROUND(Wapato_Inventory[[#This Row],[adj_res]]*Lookups!$H$48,-2)&lt;Wapato_Inventory[[#This Row],[min_res]],Wapato_Inventory[[#This Row],[min_res]],ROUND(Wapato_Inventory[[#This Row],[adj_res]]*Lookups!$H$48,-2))</f>
        <v>102500</v>
      </c>
      <c r="CD958" s="3">
        <f>ROUND(Wapato_Inventory[[#This Row],[det_value]]*Lookups!$H$48,-2)</f>
        <v>0</v>
      </c>
      <c r="CE958" s="3">
        <f>Wapato_Inventory[[#This Row],[final_res]]+Wapato_Inventory[[#This Row],[final_det]]</f>
        <v>102500</v>
      </c>
      <c r="CF958" s="3">
        <f>Wapato_Inventory[[#This Row],[crop_value]]+Wapato_Inventory[[#This Row],[final_land]]+Wapato_Inventory[[#This Row],[final_imp]]</f>
        <v>153600</v>
      </c>
      <c r="CH958" t="str">
        <f t="shared" si="14"/>
        <v>update valuation set market_land =51100, market_bldg=102500, market_total =153600, market_mdno =405, market_date ='9/10/2023' where link_id = (select link_id from parcel where parcel_year = '2024' and parcel_id = '19111522409');</v>
      </c>
    </row>
    <row r="959" spans="1:86" x14ac:dyDescent="0.25">
      <c r="A959">
        <v>19111522410</v>
      </c>
      <c r="B959">
        <v>0.37</v>
      </c>
      <c r="C959">
        <v>16250</v>
      </c>
      <c r="D959" t="s">
        <v>144</v>
      </c>
      <c r="E959" t="s">
        <v>54</v>
      </c>
      <c r="F959" t="s">
        <v>54</v>
      </c>
      <c r="G959">
        <v>3</v>
      </c>
      <c r="H959" t="s">
        <v>55</v>
      </c>
      <c r="I959">
        <v>127100</v>
      </c>
      <c r="J959">
        <v>38800</v>
      </c>
      <c r="K959">
        <v>0.37</v>
      </c>
      <c r="L959">
        <f>IF(Wapato_Inventory[[#This Row],[parcel_acres]]-Wapato_Inventory[[#This Row],[non_valued_acres]] =0,0,LN(Wapato_Inventory[[#This Row],[parcel_acres]]-Wapato_Inventory[[#This Row],[non_valued_acres]]))</f>
        <v>-0.9942522733438669</v>
      </c>
      <c r="M959">
        <v>0</v>
      </c>
      <c r="N959">
        <v>0</v>
      </c>
      <c r="O959">
        <v>0</v>
      </c>
      <c r="P959">
        <v>27904.037</v>
      </c>
      <c r="Q959">
        <v>74398</v>
      </c>
      <c r="R959" s="3">
        <f>(Wapato_Inventory[[#This Row],[ln_acres]]*Wapato_Inventory[[#This Row],[coeff]])+Wapato_Inventory[[#This Row],[const]]</f>
        <v>46654.347777278628</v>
      </c>
      <c r="S959" t="s">
        <v>66</v>
      </c>
      <c r="T959">
        <v>1</v>
      </c>
      <c r="U959" t="s">
        <v>71</v>
      </c>
      <c r="V959" t="s">
        <v>73</v>
      </c>
      <c r="W959">
        <v>0</v>
      </c>
      <c r="X959">
        <v>0</v>
      </c>
      <c r="Y959">
        <v>51</v>
      </c>
      <c r="Z959">
        <v>83</v>
      </c>
      <c r="AA959">
        <v>90</v>
      </c>
      <c r="AB959">
        <v>1000</v>
      </c>
      <c r="AC959">
        <v>960</v>
      </c>
      <c r="AD959">
        <v>960</v>
      </c>
      <c r="AE959">
        <v>0</v>
      </c>
      <c r="AF959">
        <v>0</v>
      </c>
      <c r="AG959">
        <v>0</v>
      </c>
      <c r="AH959">
        <v>0</v>
      </c>
      <c r="AI959">
        <v>0</v>
      </c>
      <c r="AJ959">
        <v>0</v>
      </c>
      <c r="AK959">
        <v>0</v>
      </c>
      <c r="AL959">
        <v>0</v>
      </c>
      <c r="AM959">
        <v>0</v>
      </c>
      <c r="AN959">
        <v>0</v>
      </c>
      <c r="AO959">
        <v>0</v>
      </c>
      <c r="AP959">
        <v>5</v>
      </c>
      <c r="AQ959">
        <v>0</v>
      </c>
      <c r="AR959">
        <v>0</v>
      </c>
      <c r="AS959" t="s">
        <v>59</v>
      </c>
      <c r="AT959">
        <v>0</v>
      </c>
      <c r="AU959" t="s">
        <v>80</v>
      </c>
      <c r="AV959" t="s">
        <v>77</v>
      </c>
      <c r="AW959">
        <v>0</v>
      </c>
      <c r="AX959">
        <v>3</v>
      </c>
      <c r="AY959">
        <v>0</v>
      </c>
      <c r="AZ959">
        <v>51300</v>
      </c>
      <c r="BA959">
        <v>100</v>
      </c>
      <c r="BB959">
        <v>100</v>
      </c>
      <c r="BC959">
        <v>100</v>
      </c>
      <c r="BD959">
        <v>100</v>
      </c>
      <c r="BE959">
        <v>1</v>
      </c>
      <c r="BF959">
        <v>15000</v>
      </c>
      <c r="BG959">
        <v>1000</v>
      </c>
      <c r="BH959" s="7">
        <f>ROUND(Wapato_Inventory[[#This Row],[detatched_value]]*Lookups!$B$22*Lookups!$H$48,-2)</f>
        <v>45800</v>
      </c>
      <c r="BI959" s="7">
        <f>ROUND(((Wapato_Inventory[[#This Row],[land_extract]]*Lookups!$B$3) +(Lookups!$B$2*0.5))*Lookups!$H$48,-2)</f>
        <v>55600</v>
      </c>
      <c r="BJ959" s="7">
        <f>IF(Wapato_Inventory[[#This Row],[bldg_style]]="",0,Lookups!$B$2*0.5)</f>
        <v>53765.27</v>
      </c>
      <c r="BK959" s="7">
        <f>_xlfn.IFNA(VLOOKUP(Wapato_Inventory[[#This Row],[quality]],Lookups!$H$2:$J$14,3,FALSE),0)</f>
        <v>28034</v>
      </c>
      <c r="BL959" s="7">
        <f>_xlfn.IFNA(VLOOKUP(Wapato_Inventory[[#This Row],[condition]],Lookups!$H$17:$J$24,3,FALSE),0)</f>
        <v>16276</v>
      </c>
      <c r="BM959" s="7">
        <f>Wapato_Inventory[[#This Row],[Age]]*Lookups!$B$16</f>
        <v>-30766.0831</v>
      </c>
      <c r="BN959" s="7">
        <f>Wapato_Inventory[[#This Row],[Main Floor]]*Lookups!$B$17</f>
        <v>40128.709439999999</v>
      </c>
      <c r="BO959" s="7">
        <f>Wapato_Inventory[[#This Row],[Upper Floor]]*Lookups!$B$18</f>
        <v>0</v>
      </c>
      <c r="BP959" s="7">
        <f>Wapato_Inventory[[#This Row],[Fin BSMT]]*Lookups!$B$19</f>
        <v>0</v>
      </c>
      <c r="BQ959" s="7">
        <f>(Wapato_Inventory[[#This Row],[att_gar]]+Wapato_Inventory[[#This Row],[blt_gar]])*Lookups!$B$20</f>
        <v>0</v>
      </c>
      <c r="BR959" s="7">
        <f>Wapato_Inventory[[#This Row],[Patio]]*Lookups!$B$21</f>
        <v>0</v>
      </c>
      <c r="BS959" s="7">
        <f>SUM(Wapato_Inventory[[#This Row],[intercept]:[patio_value]])*Wapato_Inventory[[#This Row],[res_pct]]</f>
        <v>107437.89633999998</v>
      </c>
      <c r="BT959" s="7">
        <f>Wapato_Inventory[[#This Row],[land_value]]</f>
        <v>55600</v>
      </c>
      <c r="BU959" s="2">
        <f>_xlfn.IFNA(VLOOKUP(Wapato_Inventory[[#This Row],[quality]],Lookups!$A$28:$C$37,3,FALSE),1)</f>
        <v>0.96265813922927435</v>
      </c>
      <c r="BV959" s="2">
        <f>_xlfn.IFNA(VLOOKUP(Wapato_Inventory[[#This Row],[condition]],Lookups!$A$41:$C$48,3,FALSE),1)</f>
        <v>0.93399385491337139</v>
      </c>
      <c r="BW959" s="2">
        <f>IF(Wapato_Inventory[[#This Row],[decade]]="",1,_xlfn.IFNA(VLOOKUP(Wapato_Inventory[[#This Row],[decade]],Lookups!$F$28:$H$45,3,FALSE),1))</f>
        <v>0.94742695999815718</v>
      </c>
      <c r="BX959" s="2">
        <f>_xlfn.IFNA(VLOOKUP(Wapato_Inventory[[#This Row],[living_area_range]],Lookups!$K$28:$M$37,3,FALSE),1)</f>
        <v>0.99022994770196116</v>
      </c>
      <c r="BY959" s="2">
        <f>AVERAGE(Wapato_Inventory[[#This Row],[qual_adj]:[range_adj]])</f>
        <v>0.95857722546069102</v>
      </c>
      <c r="BZ959" s="7">
        <f>(Wapato_Inventory[[#This Row],[sum_land]]-IF(Wapato_Inventory[[#This Row],[no_utilities]]=1,12000,0))/IF(Wapato_Inventory[[#This Row],[unbuildable]]=1,2,1)</f>
        <v>55600</v>
      </c>
      <c r="CA959" s="7">
        <f>Wapato_Inventory[[#This Row],[pre_res]]*Wapato_Inventory[[#This Row],[overall_adj]]</f>
        <v>102987.52058293051</v>
      </c>
      <c r="CB959" s="3">
        <f>IF(ROUND(Wapato_Inventory[[#This Row],[adj_land]]*Lookups!$H$48,-2)&lt;Wapato_Inventory[[#This Row],[min_land]],Wapato_Inventory[[#This Row],[min_land]],ROUND(Wapato_Inventory[[#This Row],[adj_land]]*Lookups!$H$48,-2))</f>
        <v>52800</v>
      </c>
      <c r="CC959" s="3">
        <f>IF(ROUND(Wapato_Inventory[[#This Row],[adj_res]]*Lookups!$H$48,-2)&lt;Wapato_Inventory[[#This Row],[min_res]],Wapato_Inventory[[#This Row],[min_res]],ROUND(Wapato_Inventory[[#This Row],[adj_res]]*Lookups!$H$48,-2))</f>
        <v>97800</v>
      </c>
      <c r="CD959" s="3">
        <f>ROUND(Wapato_Inventory[[#This Row],[det_value]]*Lookups!$H$48,-2)</f>
        <v>43500</v>
      </c>
      <c r="CE959" s="3">
        <f>Wapato_Inventory[[#This Row],[final_res]]+Wapato_Inventory[[#This Row],[final_det]]</f>
        <v>141300</v>
      </c>
      <c r="CF959" s="3">
        <f>Wapato_Inventory[[#This Row],[crop_value]]+Wapato_Inventory[[#This Row],[final_land]]+Wapato_Inventory[[#This Row],[final_imp]]</f>
        <v>194100</v>
      </c>
      <c r="CH959" t="str">
        <f t="shared" si="14"/>
        <v>update valuation set market_land =52800, market_bldg=141300, market_total =194100, market_mdno =405, market_date ='9/10/2023' where link_id = (select link_id from parcel where parcel_year = '2024' and parcel_id = '19111522410');</v>
      </c>
    </row>
    <row r="960" spans="1:86" x14ac:dyDescent="0.25">
      <c r="A960">
        <v>19111522414</v>
      </c>
      <c r="B960">
        <v>0.19</v>
      </c>
      <c r="C960">
        <v>8125</v>
      </c>
      <c r="D960" t="s">
        <v>144</v>
      </c>
      <c r="E960" t="s">
        <v>54</v>
      </c>
      <c r="F960" t="s">
        <v>54</v>
      </c>
      <c r="G960">
        <v>3</v>
      </c>
      <c r="H960" t="s">
        <v>55</v>
      </c>
      <c r="I960">
        <v>127500</v>
      </c>
      <c r="J960">
        <v>34100</v>
      </c>
      <c r="K960">
        <v>0.19</v>
      </c>
      <c r="L960">
        <f>IF(Wapato_Inventory[[#This Row],[parcel_acres]]-Wapato_Inventory[[#This Row],[non_valued_acres]] =0,0,LN(Wapato_Inventory[[#This Row],[parcel_acres]]-Wapato_Inventory[[#This Row],[non_valued_acres]]))</f>
        <v>-1.6607312068216509</v>
      </c>
      <c r="M960">
        <v>0</v>
      </c>
      <c r="N960">
        <v>0</v>
      </c>
      <c r="O960">
        <v>0</v>
      </c>
      <c r="P960">
        <v>27904.037</v>
      </c>
      <c r="Q960">
        <v>74398</v>
      </c>
      <c r="R960" s="3">
        <f>(Wapato_Inventory[[#This Row],[ln_acres]]*Wapato_Inventory[[#This Row],[coeff]])+Wapato_Inventory[[#This Row],[const]]</f>
        <v>28056.894957794</v>
      </c>
      <c r="S960" t="s">
        <v>66</v>
      </c>
      <c r="T960">
        <v>1</v>
      </c>
      <c r="U960" t="s">
        <v>71</v>
      </c>
      <c r="V960" t="s">
        <v>68</v>
      </c>
      <c r="W960">
        <v>0</v>
      </c>
      <c r="X960">
        <v>0</v>
      </c>
      <c r="Y960">
        <v>42</v>
      </c>
      <c r="Z960">
        <v>88</v>
      </c>
      <c r="AA960">
        <v>90</v>
      </c>
      <c r="AB960">
        <v>1500</v>
      </c>
      <c r="AC960">
        <v>1018</v>
      </c>
      <c r="AD960">
        <v>1018</v>
      </c>
      <c r="AE960">
        <v>0</v>
      </c>
      <c r="AF960">
        <v>0</v>
      </c>
      <c r="AG960">
        <v>0</v>
      </c>
      <c r="AH960">
        <v>0</v>
      </c>
      <c r="AI960">
        <v>312</v>
      </c>
      <c r="AJ960">
        <v>0</v>
      </c>
      <c r="AK960">
        <v>0</v>
      </c>
      <c r="AL960">
        <v>0</v>
      </c>
      <c r="AM960">
        <v>144</v>
      </c>
      <c r="AN960">
        <v>0</v>
      </c>
      <c r="AO960">
        <v>144</v>
      </c>
      <c r="AP960">
        <v>5</v>
      </c>
      <c r="AQ960">
        <v>0</v>
      </c>
      <c r="AR960">
        <v>0</v>
      </c>
      <c r="AS960" t="s">
        <v>59</v>
      </c>
      <c r="AT960">
        <v>1</v>
      </c>
      <c r="AU960" t="s">
        <v>72</v>
      </c>
      <c r="AV960" t="s">
        <v>61</v>
      </c>
      <c r="AW960">
        <v>0</v>
      </c>
      <c r="AX960">
        <v>2</v>
      </c>
      <c r="AY960">
        <v>0</v>
      </c>
      <c r="AZ960">
        <v>0</v>
      </c>
      <c r="BA960">
        <v>100</v>
      </c>
      <c r="BB960">
        <v>100</v>
      </c>
      <c r="BC960">
        <v>100</v>
      </c>
      <c r="BD960">
        <v>100</v>
      </c>
      <c r="BE960">
        <v>1</v>
      </c>
      <c r="BF960">
        <v>15000</v>
      </c>
      <c r="BG960">
        <v>1000</v>
      </c>
      <c r="BH960" s="7">
        <f>ROUND(Wapato_Inventory[[#This Row],[detatched_value]]*Lookups!$B$22*Lookups!$H$48,-2)</f>
        <v>0</v>
      </c>
      <c r="BI960" s="7">
        <f>ROUND(((Wapato_Inventory[[#This Row],[land_extract]]*Lookups!$B$3) +(Lookups!$B$2*0.5))*Lookups!$H$48,-2)</f>
        <v>53800</v>
      </c>
      <c r="BJ960" s="7">
        <f>IF(Wapato_Inventory[[#This Row],[bldg_style]]="",0,Lookups!$B$2*0.5)</f>
        <v>53765.27</v>
      </c>
      <c r="BK960" s="7">
        <f>_xlfn.IFNA(VLOOKUP(Wapato_Inventory[[#This Row],[quality]],Lookups!$H$2:$J$14,3,FALSE),0)</f>
        <v>28034</v>
      </c>
      <c r="BL960" s="7">
        <f>_xlfn.IFNA(VLOOKUP(Wapato_Inventory[[#This Row],[condition]],Lookups!$H$17:$J$24,3,FALSE),0)</f>
        <v>52231</v>
      </c>
      <c r="BM960" s="7">
        <f>Wapato_Inventory[[#This Row],[Age]]*Lookups!$B$16</f>
        <v>-32619.461600000002</v>
      </c>
      <c r="BN960" s="7">
        <f>Wapato_Inventory[[#This Row],[Main Floor]]*Lookups!$B$17</f>
        <v>42553.152302000002</v>
      </c>
      <c r="BO960" s="7">
        <f>Wapato_Inventory[[#This Row],[Upper Floor]]*Lookups!$B$18</f>
        <v>0</v>
      </c>
      <c r="BP960" s="7">
        <f>Wapato_Inventory[[#This Row],[Fin BSMT]]*Lookups!$B$19</f>
        <v>0</v>
      </c>
      <c r="BQ960" s="7">
        <f>(Wapato_Inventory[[#This Row],[att_gar]]+Wapato_Inventory[[#This Row],[blt_gar]])*Lookups!$B$20</f>
        <v>11546.730624</v>
      </c>
      <c r="BR960" s="7">
        <f>Wapato_Inventory[[#This Row],[Patio]]*Lookups!$B$21</f>
        <v>6238.6529760000003</v>
      </c>
      <c r="BS960" s="7">
        <f>SUM(Wapato_Inventory[[#This Row],[intercept]:[patio_value]])*Wapato_Inventory[[#This Row],[res_pct]]</f>
        <v>161749.34430199998</v>
      </c>
      <c r="BT960" s="7">
        <f>Wapato_Inventory[[#This Row],[land_value]]</f>
        <v>53800</v>
      </c>
      <c r="BU960" s="2">
        <f>_xlfn.IFNA(VLOOKUP(Wapato_Inventory[[#This Row],[quality]],Lookups!$A$28:$C$37,3,FALSE),1)</f>
        <v>0.96265813922927435</v>
      </c>
      <c r="BV960" s="2">
        <f>_xlfn.IFNA(VLOOKUP(Wapato_Inventory[[#This Row],[condition]],Lookups!$A$41:$C$48,3,FALSE),1)</f>
        <v>0.9832333997567807</v>
      </c>
      <c r="BW960" s="2">
        <f>IF(Wapato_Inventory[[#This Row],[decade]]="",1,_xlfn.IFNA(VLOOKUP(Wapato_Inventory[[#This Row],[decade]],Lookups!$F$28:$H$45,3,FALSE),1))</f>
        <v>0.94742695999815718</v>
      </c>
      <c r="BX960" s="2">
        <f>_xlfn.IFNA(VLOOKUP(Wapato_Inventory[[#This Row],[living_area_range]],Lookups!$K$28:$M$37,3,FALSE),1)</f>
        <v>1.0061411172456287</v>
      </c>
      <c r="BY960" s="2">
        <f>AVERAGE(Wapato_Inventory[[#This Row],[qual_adj]:[range_adj]])</f>
        <v>0.97486490405746018</v>
      </c>
      <c r="BZ960" s="7">
        <f>(Wapato_Inventory[[#This Row],[sum_land]]-IF(Wapato_Inventory[[#This Row],[no_utilities]]=1,12000,0))/IF(Wapato_Inventory[[#This Row],[unbuildable]]=1,2,1)</f>
        <v>53800</v>
      </c>
      <c r="CA960" s="7">
        <f>Wapato_Inventory[[#This Row],[pre_res]]*Wapato_Inventory[[#This Row],[overall_adj]]</f>
        <v>157683.75901432629</v>
      </c>
      <c r="CB960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60" s="3">
        <f>IF(ROUND(Wapato_Inventory[[#This Row],[adj_res]]*Lookups!$H$48,-2)&lt;Wapato_Inventory[[#This Row],[min_res]],Wapato_Inventory[[#This Row],[min_res]],ROUND(Wapato_Inventory[[#This Row],[adj_res]]*Lookups!$H$48,-2))</f>
        <v>149800</v>
      </c>
      <c r="CD960" s="3">
        <f>ROUND(Wapato_Inventory[[#This Row],[det_value]]*Lookups!$H$48,-2)</f>
        <v>0</v>
      </c>
      <c r="CE960" s="3">
        <f>Wapato_Inventory[[#This Row],[final_res]]+Wapato_Inventory[[#This Row],[final_det]]</f>
        <v>149800</v>
      </c>
      <c r="CF960" s="3">
        <f>Wapato_Inventory[[#This Row],[crop_value]]+Wapato_Inventory[[#This Row],[final_land]]+Wapato_Inventory[[#This Row],[final_imp]]</f>
        <v>200900</v>
      </c>
      <c r="CH960" t="str">
        <f t="shared" si="14"/>
        <v>update valuation set market_land =51100, market_bldg=149800, market_total =200900, market_mdno =405, market_date ='9/10/2023' where link_id = (select link_id from parcel where parcel_year = '2024' and parcel_id = '19111522414');</v>
      </c>
    </row>
    <row r="961" spans="1:86" x14ac:dyDescent="0.25">
      <c r="A961">
        <v>19111522418</v>
      </c>
      <c r="B961">
        <v>0.56999999999999995</v>
      </c>
      <c r="C961">
        <v>24862</v>
      </c>
      <c r="D961" t="s">
        <v>144</v>
      </c>
      <c r="E961" t="s">
        <v>54</v>
      </c>
      <c r="F961" t="s">
        <v>54</v>
      </c>
      <c r="G961">
        <v>3</v>
      </c>
      <c r="H961" t="s">
        <v>55</v>
      </c>
      <c r="I961">
        <v>110200</v>
      </c>
      <c r="J961">
        <v>41900</v>
      </c>
      <c r="K961">
        <v>0.56999999999999995</v>
      </c>
      <c r="L961">
        <f>IF(Wapato_Inventory[[#This Row],[parcel_acres]]-Wapato_Inventory[[#This Row],[non_valued_acres]] =0,0,LN(Wapato_Inventory[[#This Row],[parcel_acres]]-Wapato_Inventory[[#This Row],[non_valued_acres]]))</f>
        <v>-0.56211891815354131</v>
      </c>
      <c r="M961">
        <v>0</v>
      </c>
      <c r="N961">
        <v>0</v>
      </c>
      <c r="O961">
        <v>0</v>
      </c>
      <c r="P961">
        <v>27904.037</v>
      </c>
      <c r="Q961">
        <v>74398</v>
      </c>
      <c r="R961" s="3">
        <f>(Wapato_Inventory[[#This Row],[ln_acres]]*Wapato_Inventory[[#This Row],[coeff]])+Wapato_Inventory[[#This Row],[const]]</f>
        <v>58712.612909443611</v>
      </c>
      <c r="S961" t="s">
        <v>154</v>
      </c>
      <c r="T961">
        <v>2</v>
      </c>
      <c r="U961" t="s">
        <v>71</v>
      </c>
      <c r="V961" t="s">
        <v>73</v>
      </c>
      <c r="W961">
        <v>0</v>
      </c>
      <c r="X961">
        <v>0</v>
      </c>
      <c r="Y961">
        <v>51</v>
      </c>
      <c r="Z961">
        <v>83</v>
      </c>
      <c r="AA961">
        <v>90</v>
      </c>
      <c r="AB961">
        <v>1500</v>
      </c>
      <c r="AC961">
        <v>1092</v>
      </c>
      <c r="AD961">
        <v>660</v>
      </c>
      <c r="AE961">
        <v>432</v>
      </c>
      <c r="AF961">
        <v>0</v>
      </c>
      <c r="AG961">
        <v>0</v>
      </c>
      <c r="AH961">
        <v>528</v>
      </c>
      <c r="AI961">
        <v>0</v>
      </c>
      <c r="AJ961">
        <v>0</v>
      </c>
      <c r="AK961">
        <v>0</v>
      </c>
      <c r="AL961">
        <v>0</v>
      </c>
      <c r="AM961">
        <v>0</v>
      </c>
      <c r="AN961">
        <v>40</v>
      </c>
      <c r="AO961">
        <v>266</v>
      </c>
      <c r="AP961">
        <v>5</v>
      </c>
      <c r="AQ961">
        <v>0</v>
      </c>
      <c r="AR961">
        <v>0</v>
      </c>
      <c r="AS961" t="s">
        <v>59</v>
      </c>
      <c r="AT961">
        <v>0</v>
      </c>
      <c r="AU961" t="s">
        <v>80</v>
      </c>
      <c r="AV961" t="s">
        <v>147</v>
      </c>
      <c r="AW961">
        <v>0</v>
      </c>
      <c r="AX961">
        <v>3</v>
      </c>
      <c r="AY961">
        <v>0</v>
      </c>
      <c r="AZ961">
        <v>12300</v>
      </c>
      <c r="BA961">
        <v>100</v>
      </c>
      <c r="BB961">
        <v>100</v>
      </c>
      <c r="BC961">
        <v>100</v>
      </c>
      <c r="BD961">
        <v>100</v>
      </c>
      <c r="BE961">
        <v>1</v>
      </c>
      <c r="BF961">
        <v>15000</v>
      </c>
      <c r="BG961">
        <v>1000</v>
      </c>
      <c r="BH961" s="7">
        <f>ROUND(Wapato_Inventory[[#This Row],[detatched_value]]*Lookups!$B$22*Lookups!$H$48,-2)</f>
        <v>11000</v>
      </c>
      <c r="BI961" s="7">
        <f>ROUND(((Wapato_Inventory[[#This Row],[land_extract]]*Lookups!$B$3) +(Lookups!$B$2*0.5))*Lookups!$H$48,-2)</f>
        <v>56700</v>
      </c>
      <c r="BJ961" s="7">
        <f>IF(Wapato_Inventory[[#This Row],[bldg_style]]="",0,Lookups!$B$2*0.5)</f>
        <v>53765.27</v>
      </c>
      <c r="BK961" s="7">
        <f>_xlfn.IFNA(VLOOKUP(Wapato_Inventory[[#This Row],[quality]],Lookups!$H$2:$J$14,3,FALSE),0)</f>
        <v>28034</v>
      </c>
      <c r="BL961" s="7">
        <f>_xlfn.IFNA(VLOOKUP(Wapato_Inventory[[#This Row],[condition]],Lookups!$H$17:$J$24,3,FALSE),0)</f>
        <v>16276</v>
      </c>
      <c r="BM961" s="7">
        <f>Wapato_Inventory[[#This Row],[Age]]*Lookups!$B$16</f>
        <v>-30766.0831</v>
      </c>
      <c r="BN961" s="7">
        <f>Wapato_Inventory[[#This Row],[Main Floor]]*Lookups!$B$17</f>
        <v>27588.48774</v>
      </c>
      <c r="BO961" s="7">
        <f>Wapato_Inventory[[#This Row],[Upper Floor]]*Lookups!$B$18</f>
        <v>21427.692048000001</v>
      </c>
      <c r="BP961" s="7">
        <f>Wapato_Inventory[[#This Row],[Fin BSMT]]*Lookups!$B$19</f>
        <v>0</v>
      </c>
      <c r="BQ961" s="7">
        <f>(Wapato_Inventory[[#This Row],[att_gar]]+Wapato_Inventory[[#This Row],[blt_gar]])*Lookups!$B$20</f>
        <v>0</v>
      </c>
      <c r="BR961" s="7">
        <f>Wapato_Inventory[[#This Row],[Patio]]*Lookups!$B$21</f>
        <v>0</v>
      </c>
      <c r="BS961" s="7">
        <f>SUM(Wapato_Inventory[[#This Row],[intercept]:[patio_value]])*Wapato_Inventory[[#This Row],[res_pct]]</f>
        <v>116325.36668799998</v>
      </c>
      <c r="BT961" s="7">
        <f>Wapato_Inventory[[#This Row],[land_value]]</f>
        <v>56700</v>
      </c>
      <c r="BU961" s="2">
        <f>_xlfn.IFNA(VLOOKUP(Wapato_Inventory[[#This Row],[quality]],Lookups!$A$28:$C$37,3,FALSE),1)</f>
        <v>0.96265813922927435</v>
      </c>
      <c r="BV961" s="2">
        <f>_xlfn.IFNA(VLOOKUP(Wapato_Inventory[[#This Row],[condition]],Lookups!$A$41:$C$48,3,FALSE),1)</f>
        <v>0.93399385491337139</v>
      </c>
      <c r="BW961" s="2">
        <f>IF(Wapato_Inventory[[#This Row],[decade]]="",1,_xlfn.IFNA(VLOOKUP(Wapato_Inventory[[#This Row],[decade]],Lookups!$F$28:$H$45,3,FALSE),1))</f>
        <v>0.94742695999815718</v>
      </c>
      <c r="BX961" s="2">
        <f>_xlfn.IFNA(VLOOKUP(Wapato_Inventory[[#This Row],[living_area_range]],Lookups!$K$28:$M$37,3,FALSE),1)</f>
        <v>1.0061411172456287</v>
      </c>
      <c r="BY961" s="2">
        <f>AVERAGE(Wapato_Inventory[[#This Row],[qual_adj]:[range_adj]])</f>
        <v>0.96255501784660791</v>
      </c>
      <c r="BZ961" s="7">
        <f>(Wapato_Inventory[[#This Row],[sum_land]]-IF(Wapato_Inventory[[#This Row],[no_utilities]]=1,12000,0))/IF(Wapato_Inventory[[#This Row],[unbuildable]]=1,2,1)</f>
        <v>56700</v>
      </c>
      <c r="CA961" s="7">
        <f>Wapato_Inventory[[#This Row],[pre_res]]*Wapato_Inventory[[#This Row],[overall_adj]]</f>
        <v>111969.56540838104</v>
      </c>
      <c r="CB961" s="3">
        <f>IF(ROUND(Wapato_Inventory[[#This Row],[adj_land]]*Lookups!$H$48,-2)&lt;Wapato_Inventory[[#This Row],[min_land]],Wapato_Inventory[[#This Row],[min_land]],ROUND(Wapato_Inventory[[#This Row],[adj_land]]*Lookups!$H$48,-2))</f>
        <v>53900</v>
      </c>
      <c r="CC961" s="3">
        <f>IF(ROUND(Wapato_Inventory[[#This Row],[adj_res]]*Lookups!$H$48,-2)&lt;Wapato_Inventory[[#This Row],[min_res]],Wapato_Inventory[[#This Row],[min_res]],ROUND(Wapato_Inventory[[#This Row],[adj_res]]*Lookups!$H$48,-2))</f>
        <v>106400</v>
      </c>
      <c r="CD961" s="3">
        <f>ROUND(Wapato_Inventory[[#This Row],[det_value]]*Lookups!$H$48,-2)</f>
        <v>10500</v>
      </c>
      <c r="CE961" s="3">
        <f>Wapato_Inventory[[#This Row],[final_res]]+Wapato_Inventory[[#This Row],[final_det]]</f>
        <v>116900</v>
      </c>
      <c r="CF961" s="3">
        <f>Wapato_Inventory[[#This Row],[crop_value]]+Wapato_Inventory[[#This Row],[final_land]]+Wapato_Inventory[[#This Row],[final_imp]]</f>
        <v>170800</v>
      </c>
      <c r="CH961" t="str">
        <f t="shared" si="14"/>
        <v>update valuation set market_land =53900, market_bldg=116900, market_total =170800, market_mdno =405, market_date ='9/10/2023' where link_id = (select link_id from parcel where parcel_year = '2024' and parcel_id = '19111522418');</v>
      </c>
    </row>
    <row r="962" spans="1:86" x14ac:dyDescent="0.25">
      <c r="A962">
        <v>19111522421</v>
      </c>
      <c r="B962">
        <v>0.19</v>
      </c>
      <c r="C962">
        <v>8287</v>
      </c>
      <c r="D962" t="s">
        <v>144</v>
      </c>
      <c r="E962" t="s">
        <v>54</v>
      </c>
      <c r="F962" t="s">
        <v>54</v>
      </c>
      <c r="G962">
        <v>3</v>
      </c>
      <c r="H962" t="s">
        <v>55</v>
      </c>
      <c r="I962">
        <v>134200</v>
      </c>
      <c r="J962">
        <v>34100</v>
      </c>
      <c r="K962">
        <v>0.19</v>
      </c>
      <c r="L962">
        <f>IF(Wapato_Inventory[[#This Row],[parcel_acres]]-Wapato_Inventory[[#This Row],[non_valued_acres]] =0,0,LN(Wapato_Inventory[[#This Row],[parcel_acres]]-Wapato_Inventory[[#This Row],[non_valued_acres]]))</f>
        <v>-1.6607312068216509</v>
      </c>
      <c r="M962">
        <v>0</v>
      </c>
      <c r="N962">
        <v>0</v>
      </c>
      <c r="O962">
        <v>0</v>
      </c>
      <c r="P962">
        <v>27904.037</v>
      </c>
      <c r="Q962">
        <v>74398</v>
      </c>
      <c r="R962" s="3">
        <f>(Wapato_Inventory[[#This Row],[ln_acres]]*Wapato_Inventory[[#This Row],[coeff]])+Wapato_Inventory[[#This Row],[const]]</f>
        <v>28056.894957794</v>
      </c>
      <c r="S962" t="s">
        <v>66</v>
      </c>
      <c r="T962">
        <v>1</v>
      </c>
      <c r="U962" t="s">
        <v>71</v>
      </c>
      <c r="V962" t="s">
        <v>68</v>
      </c>
      <c r="W962">
        <v>0</v>
      </c>
      <c r="X962">
        <v>0</v>
      </c>
      <c r="Y962">
        <v>53</v>
      </c>
      <c r="Z962">
        <v>93</v>
      </c>
      <c r="AA962">
        <v>100</v>
      </c>
      <c r="AB962">
        <v>1500</v>
      </c>
      <c r="AC962">
        <v>1330</v>
      </c>
      <c r="AD962">
        <v>1330</v>
      </c>
      <c r="AE962">
        <v>0</v>
      </c>
      <c r="AF962">
        <v>0</v>
      </c>
      <c r="AG962">
        <v>0</v>
      </c>
      <c r="AH962">
        <v>0</v>
      </c>
      <c r="AI962">
        <v>0</v>
      </c>
      <c r="AJ962">
        <v>0</v>
      </c>
      <c r="AK962">
        <v>0</v>
      </c>
      <c r="AL962">
        <v>0</v>
      </c>
      <c r="AM962">
        <v>0</v>
      </c>
      <c r="AN962">
        <v>0</v>
      </c>
      <c r="AO962">
        <v>0</v>
      </c>
      <c r="AP962">
        <v>5</v>
      </c>
      <c r="AQ962">
        <v>1</v>
      </c>
      <c r="AR962">
        <v>0</v>
      </c>
      <c r="AS962" t="s">
        <v>59</v>
      </c>
      <c r="AT962">
        <v>1</v>
      </c>
      <c r="AU962" t="s">
        <v>72</v>
      </c>
      <c r="AV962" t="s">
        <v>61</v>
      </c>
      <c r="AW962">
        <v>0</v>
      </c>
      <c r="AX962">
        <v>3</v>
      </c>
      <c r="AY962">
        <v>0</v>
      </c>
      <c r="AZ962">
        <v>0</v>
      </c>
      <c r="BA962">
        <v>100</v>
      </c>
      <c r="BB962">
        <v>100</v>
      </c>
      <c r="BC962">
        <v>100</v>
      </c>
      <c r="BD962">
        <v>100</v>
      </c>
      <c r="BE962">
        <v>1</v>
      </c>
      <c r="BF962">
        <v>15000</v>
      </c>
      <c r="BG962">
        <v>1000</v>
      </c>
      <c r="BH962" s="7">
        <f>ROUND(Wapato_Inventory[[#This Row],[detatched_value]]*Lookups!$B$22*Lookups!$H$48,-2)</f>
        <v>0</v>
      </c>
      <c r="BI962" s="7">
        <f>ROUND(((Wapato_Inventory[[#This Row],[land_extract]]*Lookups!$B$3) +(Lookups!$B$2*0.5))*Lookups!$H$48,-2)</f>
        <v>53800</v>
      </c>
      <c r="BJ962" s="7">
        <f>IF(Wapato_Inventory[[#This Row],[bldg_style]]="",0,Lookups!$B$2*0.5)</f>
        <v>53765.27</v>
      </c>
      <c r="BK962" s="7">
        <f>_xlfn.IFNA(VLOOKUP(Wapato_Inventory[[#This Row],[quality]],Lookups!$H$2:$J$14,3,FALSE),0)</f>
        <v>28034</v>
      </c>
      <c r="BL962" s="7">
        <f>_xlfn.IFNA(VLOOKUP(Wapato_Inventory[[#This Row],[condition]],Lookups!$H$17:$J$24,3,FALSE),0)</f>
        <v>52231</v>
      </c>
      <c r="BM962" s="7">
        <f>Wapato_Inventory[[#This Row],[Age]]*Lookups!$B$16</f>
        <v>-34472.840100000001</v>
      </c>
      <c r="BN962" s="7">
        <f>Wapato_Inventory[[#This Row],[Main Floor]]*Lookups!$B$17</f>
        <v>55594.98287</v>
      </c>
      <c r="BO962" s="7">
        <f>Wapato_Inventory[[#This Row],[Upper Floor]]*Lookups!$B$18</f>
        <v>0</v>
      </c>
      <c r="BP962" s="7">
        <f>Wapato_Inventory[[#This Row],[Fin BSMT]]*Lookups!$B$19</f>
        <v>0</v>
      </c>
      <c r="BQ962" s="7">
        <f>(Wapato_Inventory[[#This Row],[att_gar]]+Wapato_Inventory[[#This Row],[blt_gar]])*Lookups!$B$20</f>
        <v>0</v>
      </c>
      <c r="BR962" s="7">
        <f>Wapato_Inventory[[#This Row],[Patio]]*Lookups!$B$21</f>
        <v>0</v>
      </c>
      <c r="BS962" s="7">
        <f>SUM(Wapato_Inventory[[#This Row],[intercept]:[patio_value]])*Wapato_Inventory[[#This Row],[res_pct]]</f>
        <v>155152.41277</v>
      </c>
      <c r="BT962" s="7">
        <f>Wapato_Inventory[[#This Row],[land_value]]</f>
        <v>53800</v>
      </c>
      <c r="BU962" s="2">
        <f>_xlfn.IFNA(VLOOKUP(Wapato_Inventory[[#This Row],[quality]],Lookups!$A$28:$C$37,3,FALSE),1)</f>
        <v>0.96265813922927435</v>
      </c>
      <c r="BV962" s="2">
        <f>_xlfn.IFNA(VLOOKUP(Wapato_Inventory[[#This Row],[condition]],Lookups!$A$41:$C$48,3,FALSE),1)</f>
        <v>0.9832333997567807</v>
      </c>
      <c r="BW962" s="2">
        <f>IF(Wapato_Inventory[[#This Row],[decade]]="",1,_xlfn.IFNA(VLOOKUP(Wapato_Inventory[[#This Row],[decade]],Lookups!$F$28:$H$45,3,FALSE),1))</f>
        <v>1.0114203040664467</v>
      </c>
      <c r="BX962" s="2">
        <f>_xlfn.IFNA(VLOOKUP(Wapato_Inventory[[#This Row],[living_area_range]],Lookups!$K$28:$M$37,3,FALSE),1)</f>
        <v>1.0061411172456287</v>
      </c>
      <c r="BY962" s="2">
        <f>AVERAGE(Wapato_Inventory[[#This Row],[qual_adj]:[range_adj]])</f>
        <v>0.99086324007453253</v>
      </c>
      <c r="BZ962" s="7">
        <f>(Wapato_Inventory[[#This Row],[sum_land]]-IF(Wapato_Inventory[[#This Row],[no_utilities]]=1,12000,0))/IF(Wapato_Inventory[[#This Row],[unbuildable]]=1,2,1)</f>
        <v>53800</v>
      </c>
      <c r="CA962" s="7">
        <f>Wapato_Inventory[[#This Row],[pre_res]]*Wapato_Inventory[[#This Row],[overall_adj]]</f>
        <v>153734.82242266348</v>
      </c>
      <c r="CB962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62" s="3">
        <f>IF(ROUND(Wapato_Inventory[[#This Row],[adj_res]]*Lookups!$H$48,-2)&lt;Wapato_Inventory[[#This Row],[min_res]],Wapato_Inventory[[#This Row],[min_res]],ROUND(Wapato_Inventory[[#This Row],[adj_res]]*Lookups!$H$48,-2))</f>
        <v>146000</v>
      </c>
      <c r="CD962" s="3">
        <f>ROUND(Wapato_Inventory[[#This Row],[det_value]]*Lookups!$H$48,-2)</f>
        <v>0</v>
      </c>
      <c r="CE962" s="3">
        <f>Wapato_Inventory[[#This Row],[final_res]]+Wapato_Inventory[[#This Row],[final_det]]</f>
        <v>146000</v>
      </c>
      <c r="CF962" s="3">
        <f>Wapato_Inventory[[#This Row],[crop_value]]+Wapato_Inventory[[#This Row],[final_land]]+Wapato_Inventory[[#This Row],[final_imp]]</f>
        <v>197100</v>
      </c>
      <c r="CH962" t="str">
        <f t="shared" ref="CH962:CH1025" si="15">"update valuation set market_land ="&amp;CB962&amp;", market_bldg="&amp;CE962&amp;", market_total ="&amp;CF962&amp;", market_mdno ="&amp;$CH$1&amp;", market_date ='"&amp;TEXT($CI$1,"m/d/yyyy")&amp;"' where link_id = (select link_id from parcel where parcel_year = '2024' and parcel_id = '"&amp;A962&amp;"');"</f>
        <v>update valuation set market_land =51100, market_bldg=146000, market_total =197100, market_mdno =405, market_date ='9/10/2023' where link_id = (select link_id from parcel where parcel_year = '2024' and parcel_id = '19111522421');</v>
      </c>
    </row>
    <row r="963" spans="1:86" x14ac:dyDescent="0.25">
      <c r="A963">
        <v>19111522422</v>
      </c>
      <c r="B963">
        <v>0.19</v>
      </c>
      <c r="C963">
        <v>8287</v>
      </c>
      <c r="D963" t="s">
        <v>144</v>
      </c>
      <c r="E963" t="s">
        <v>54</v>
      </c>
      <c r="F963" t="s">
        <v>54</v>
      </c>
      <c r="G963">
        <v>3</v>
      </c>
      <c r="H963" t="s">
        <v>55</v>
      </c>
      <c r="I963">
        <v>124900</v>
      </c>
      <c r="J963">
        <v>34100</v>
      </c>
      <c r="K963">
        <v>0.19</v>
      </c>
      <c r="L963">
        <f>IF(Wapato_Inventory[[#This Row],[parcel_acres]]-Wapato_Inventory[[#This Row],[non_valued_acres]] =0,0,LN(Wapato_Inventory[[#This Row],[parcel_acres]]-Wapato_Inventory[[#This Row],[non_valued_acres]]))</f>
        <v>-1.6607312068216509</v>
      </c>
      <c r="M963">
        <v>0</v>
      </c>
      <c r="N963">
        <v>0</v>
      </c>
      <c r="O963">
        <v>0</v>
      </c>
      <c r="P963">
        <v>27904.037</v>
      </c>
      <c r="Q963">
        <v>74398</v>
      </c>
      <c r="R963" s="3">
        <f>(Wapato_Inventory[[#This Row],[ln_acres]]*Wapato_Inventory[[#This Row],[coeff]])+Wapato_Inventory[[#This Row],[const]]</f>
        <v>28056.894957794</v>
      </c>
      <c r="S963" t="s">
        <v>62</v>
      </c>
      <c r="T963">
        <v>1</v>
      </c>
      <c r="U963" t="s">
        <v>71</v>
      </c>
      <c r="V963" t="s">
        <v>68</v>
      </c>
      <c r="W963">
        <v>0</v>
      </c>
      <c r="X963">
        <v>0</v>
      </c>
      <c r="Y963">
        <v>53</v>
      </c>
      <c r="Z963">
        <v>93</v>
      </c>
      <c r="AA963">
        <v>100</v>
      </c>
      <c r="AB963">
        <v>1500</v>
      </c>
      <c r="AC963">
        <v>1152</v>
      </c>
      <c r="AD963">
        <v>1152</v>
      </c>
      <c r="AE963">
        <v>0</v>
      </c>
      <c r="AF963">
        <v>0</v>
      </c>
      <c r="AG963">
        <v>0</v>
      </c>
      <c r="AH963">
        <v>0</v>
      </c>
      <c r="AI963">
        <v>0</v>
      </c>
      <c r="AJ963">
        <v>0</v>
      </c>
      <c r="AK963">
        <v>0</v>
      </c>
      <c r="AL963">
        <v>0</v>
      </c>
      <c r="AM963">
        <v>0</v>
      </c>
      <c r="AN963">
        <v>164</v>
      </c>
      <c r="AO963">
        <v>0</v>
      </c>
      <c r="AP963">
        <v>5</v>
      </c>
      <c r="AQ963">
        <v>0</v>
      </c>
      <c r="AR963">
        <v>0</v>
      </c>
      <c r="AS963" t="s">
        <v>59</v>
      </c>
      <c r="AT963">
        <v>1</v>
      </c>
      <c r="AU963" t="s">
        <v>72</v>
      </c>
      <c r="AV963" t="s">
        <v>61</v>
      </c>
      <c r="AW963">
        <v>0</v>
      </c>
      <c r="AX963">
        <v>2</v>
      </c>
      <c r="AY963">
        <v>0</v>
      </c>
      <c r="AZ963">
        <v>7000</v>
      </c>
      <c r="BA963">
        <v>100</v>
      </c>
      <c r="BB963">
        <v>100</v>
      </c>
      <c r="BC963">
        <v>100</v>
      </c>
      <c r="BD963">
        <v>100</v>
      </c>
      <c r="BE963">
        <v>1</v>
      </c>
      <c r="BF963">
        <v>15000</v>
      </c>
      <c r="BG963">
        <v>1000</v>
      </c>
      <c r="BH963" s="7">
        <f>ROUND(Wapato_Inventory[[#This Row],[detatched_value]]*Lookups!$B$22*Lookups!$H$48,-2)</f>
        <v>6300</v>
      </c>
      <c r="BI963" s="7">
        <f>ROUND(((Wapato_Inventory[[#This Row],[land_extract]]*Lookups!$B$3) +(Lookups!$B$2*0.5))*Lookups!$H$48,-2)</f>
        <v>53800</v>
      </c>
      <c r="BJ963" s="7">
        <f>IF(Wapato_Inventory[[#This Row],[bldg_style]]="",0,Lookups!$B$2*0.5)</f>
        <v>53765.27</v>
      </c>
      <c r="BK963" s="7">
        <f>_xlfn.IFNA(VLOOKUP(Wapato_Inventory[[#This Row],[quality]],Lookups!$H$2:$J$14,3,FALSE),0)</f>
        <v>28034</v>
      </c>
      <c r="BL963" s="7">
        <f>_xlfn.IFNA(VLOOKUP(Wapato_Inventory[[#This Row],[condition]],Lookups!$H$17:$J$24,3,FALSE),0)</f>
        <v>52231</v>
      </c>
      <c r="BM963" s="7">
        <f>Wapato_Inventory[[#This Row],[Age]]*Lookups!$B$16</f>
        <v>-34472.840100000001</v>
      </c>
      <c r="BN963" s="7">
        <f>Wapato_Inventory[[#This Row],[Main Floor]]*Lookups!$B$17</f>
        <v>48154.451328000003</v>
      </c>
      <c r="BO963" s="7">
        <f>Wapato_Inventory[[#This Row],[Upper Floor]]*Lookups!$B$18</f>
        <v>0</v>
      </c>
      <c r="BP963" s="7">
        <f>Wapato_Inventory[[#This Row],[Fin BSMT]]*Lookups!$B$19</f>
        <v>0</v>
      </c>
      <c r="BQ963" s="7">
        <f>(Wapato_Inventory[[#This Row],[att_gar]]+Wapato_Inventory[[#This Row],[blt_gar]])*Lookups!$B$20</f>
        <v>0</v>
      </c>
      <c r="BR963" s="7">
        <f>Wapato_Inventory[[#This Row],[Patio]]*Lookups!$B$21</f>
        <v>0</v>
      </c>
      <c r="BS963" s="7">
        <f>SUM(Wapato_Inventory[[#This Row],[intercept]:[patio_value]])*Wapato_Inventory[[#This Row],[res_pct]]</f>
        <v>147711.88122799998</v>
      </c>
      <c r="BT963" s="7">
        <f>Wapato_Inventory[[#This Row],[land_value]]</f>
        <v>53800</v>
      </c>
      <c r="BU963" s="2">
        <f>_xlfn.IFNA(VLOOKUP(Wapato_Inventory[[#This Row],[quality]],Lookups!$A$28:$C$37,3,FALSE),1)</f>
        <v>0.96265813922927435</v>
      </c>
      <c r="BV963" s="2">
        <f>_xlfn.IFNA(VLOOKUP(Wapato_Inventory[[#This Row],[condition]],Lookups!$A$41:$C$48,3,FALSE),1)</f>
        <v>0.9832333997567807</v>
      </c>
      <c r="BW963" s="2">
        <f>IF(Wapato_Inventory[[#This Row],[decade]]="",1,_xlfn.IFNA(VLOOKUP(Wapato_Inventory[[#This Row],[decade]],Lookups!$F$28:$H$45,3,FALSE),1))</f>
        <v>1.0114203040664467</v>
      </c>
      <c r="BX963" s="2">
        <f>_xlfn.IFNA(VLOOKUP(Wapato_Inventory[[#This Row],[living_area_range]],Lookups!$K$28:$M$37,3,FALSE),1)</f>
        <v>1.0061411172456287</v>
      </c>
      <c r="BY963" s="2">
        <f>AVERAGE(Wapato_Inventory[[#This Row],[qual_adj]:[range_adj]])</f>
        <v>0.99086324007453253</v>
      </c>
      <c r="BZ963" s="7">
        <f>(Wapato_Inventory[[#This Row],[sum_land]]-IF(Wapato_Inventory[[#This Row],[no_utilities]]=1,12000,0))/IF(Wapato_Inventory[[#This Row],[unbuildable]]=1,2,1)</f>
        <v>53800</v>
      </c>
      <c r="CA963" s="7">
        <f>Wapato_Inventory[[#This Row],[pre_res]]*Wapato_Inventory[[#This Row],[overall_adj]]</f>
        <v>146362.27323108059</v>
      </c>
      <c r="CB963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63" s="3">
        <f>IF(ROUND(Wapato_Inventory[[#This Row],[adj_res]]*Lookups!$H$48,-2)&lt;Wapato_Inventory[[#This Row],[min_res]],Wapato_Inventory[[#This Row],[min_res]],ROUND(Wapato_Inventory[[#This Row],[adj_res]]*Lookups!$H$48,-2))</f>
        <v>139000</v>
      </c>
      <c r="CD963" s="3">
        <f>ROUND(Wapato_Inventory[[#This Row],[det_value]]*Lookups!$H$48,-2)</f>
        <v>6000</v>
      </c>
      <c r="CE963" s="3">
        <f>Wapato_Inventory[[#This Row],[final_res]]+Wapato_Inventory[[#This Row],[final_det]]</f>
        <v>145000</v>
      </c>
      <c r="CF963" s="3">
        <f>Wapato_Inventory[[#This Row],[crop_value]]+Wapato_Inventory[[#This Row],[final_land]]+Wapato_Inventory[[#This Row],[final_imp]]</f>
        <v>196100</v>
      </c>
      <c r="CH963" t="str">
        <f t="shared" si="15"/>
        <v>update valuation set market_land =51100, market_bldg=145000, market_total =196100, market_mdno =405, market_date ='9/10/2023' where link_id = (select link_id from parcel where parcel_year = '2024' and parcel_id = '19111522422');</v>
      </c>
    </row>
    <row r="964" spans="1:86" x14ac:dyDescent="0.25">
      <c r="A964">
        <v>19111522423</v>
      </c>
      <c r="B964">
        <v>0.19</v>
      </c>
      <c r="C964">
        <v>8287</v>
      </c>
      <c r="D964" t="s">
        <v>144</v>
      </c>
      <c r="E964" t="s">
        <v>54</v>
      </c>
      <c r="F964" t="s">
        <v>54</v>
      </c>
      <c r="G964">
        <v>3</v>
      </c>
      <c r="H964" t="s">
        <v>55</v>
      </c>
      <c r="I964">
        <v>126900</v>
      </c>
      <c r="J964">
        <v>34100</v>
      </c>
      <c r="K964">
        <v>0.19</v>
      </c>
      <c r="L964">
        <f>IF(Wapato_Inventory[[#This Row],[parcel_acres]]-Wapato_Inventory[[#This Row],[non_valued_acres]] =0,0,LN(Wapato_Inventory[[#This Row],[parcel_acres]]-Wapato_Inventory[[#This Row],[non_valued_acres]]))</f>
        <v>-1.6607312068216509</v>
      </c>
      <c r="M964">
        <v>0</v>
      </c>
      <c r="N964">
        <v>0</v>
      </c>
      <c r="O964">
        <v>0</v>
      </c>
      <c r="P964">
        <v>27904.037</v>
      </c>
      <c r="Q964">
        <v>74398</v>
      </c>
      <c r="R964" s="3">
        <f>(Wapato_Inventory[[#This Row],[ln_acres]]*Wapato_Inventory[[#This Row],[coeff]])+Wapato_Inventory[[#This Row],[const]]</f>
        <v>28056.894957794</v>
      </c>
      <c r="S964" t="s">
        <v>66</v>
      </c>
      <c r="T964">
        <v>1</v>
      </c>
      <c r="U964" t="s">
        <v>71</v>
      </c>
      <c r="V964" t="s">
        <v>68</v>
      </c>
      <c r="W964">
        <v>0</v>
      </c>
      <c r="X964">
        <v>0</v>
      </c>
      <c r="Y964">
        <v>55</v>
      </c>
      <c r="Z964">
        <v>98</v>
      </c>
      <c r="AA964">
        <v>100</v>
      </c>
      <c r="AB964">
        <v>1500</v>
      </c>
      <c r="AC964">
        <v>1370</v>
      </c>
      <c r="AD964">
        <v>1370</v>
      </c>
      <c r="AE964">
        <v>0</v>
      </c>
      <c r="AF964">
        <v>0</v>
      </c>
      <c r="AG964">
        <v>0</v>
      </c>
      <c r="AH964">
        <v>0</v>
      </c>
      <c r="AI964">
        <v>0</v>
      </c>
      <c r="AJ964">
        <v>0</v>
      </c>
      <c r="AK964">
        <v>416</v>
      </c>
      <c r="AL964">
        <v>0</v>
      </c>
      <c r="AM964">
        <v>0</v>
      </c>
      <c r="AN964">
        <v>0</v>
      </c>
      <c r="AO964">
        <v>0</v>
      </c>
      <c r="AP964">
        <v>8</v>
      </c>
      <c r="AQ964">
        <v>0</v>
      </c>
      <c r="AR964">
        <v>0</v>
      </c>
      <c r="AS964" t="s">
        <v>59</v>
      </c>
      <c r="AT964">
        <v>0</v>
      </c>
      <c r="AU964" t="s">
        <v>80</v>
      </c>
      <c r="AV964" t="s">
        <v>77</v>
      </c>
      <c r="AW964">
        <v>0</v>
      </c>
      <c r="AX964">
        <v>3</v>
      </c>
      <c r="AY964">
        <v>0</v>
      </c>
      <c r="AZ964">
        <v>0</v>
      </c>
      <c r="BA964">
        <v>100</v>
      </c>
      <c r="BB964">
        <v>100</v>
      </c>
      <c r="BC964">
        <v>100</v>
      </c>
      <c r="BD964">
        <v>100</v>
      </c>
      <c r="BE964">
        <v>1</v>
      </c>
      <c r="BF964">
        <v>15000</v>
      </c>
      <c r="BG964">
        <v>1000</v>
      </c>
      <c r="BH964" s="7">
        <f>ROUND(Wapato_Inventory[[#This Row],[detatched_value]]*Lookups!$B$22*Lookups!$H$48,-2)</f>
        <v>0</v>
      </c>
      <c r="BI964" s="7">
        <f>ROUND(((Wapato_Inventory[[#This Row],[land_extract]]*Lookups!$B$3) +(Lookups!$B$2*0.5))*Lookups!$H$48,-2)</f>
        <v>53800</v>
      </c>
      <c r="BJ964" s="7">
        <f>IF(Wapato_Inventory[[#This Row],[bldg_style]]="",0,Lookups!$B$2*0.5)</f>
        <v>53765.27</v>
      </c>
      <c r="BK964" s="7">
        <f>_xlfn.IFNA(VLOOKUP(Wapato_Inventory[[#This Row],[quality]],Lookups!$H$2:$J$14,3,FALSE),0)</f>
        <v>28034</v>
      </c>
      <c r="BL964" s="7">
        <f>_xlfn.IFNA(VLOOKUP(Wapato_Inventory[[#This Row],[condition]],Lookups!$H$17:$J$24,3,FALSE),0)</f>
        <v>52231</v>
      </c>
      <c r="BM964" s="7">
        <f>Wapato_Inventory[[#This Row],[Age]]*Lookups!$B$16</f>
        <v>-36326.2186</v>
      </c>
      <c r="BN964" s="7">
        <f>Wapato_Inventory[[#This Row],[Main Floor]]*Lookups!$B$17</f>
        <v>57267.012430000002</v>
      </c>
      <c r="BO964" s="7">
        <f>Wapato_Inventory[[#This Row],[Upper Floor]]*Lookups!$B$18</f>
        <v>0</v>
      </c>
      <c r="BP964" s="7">
        <f>Wapato_Inventory[[#This Row],[Fin BSMT]]*Lookups!$B$19</f>
        <v>0</v>
      </c>
      <c r="BQ964" s="7">
        <f>(Wapato_Inventory[[#This Row],[att_gar]]+Wapato_Inventory[[#This Row],[blt_gar]])*Lookups!$B$20</f>
        <v>0</v>
      </c>
      <c r="BR964" s="7">
        <f>Wapato_Inventory[[#This Row],[Patio]]*Lookups!$B$21</f>
        <v>0</v>
      </c>
      <c r="BS964" s="7">
        <f>SUM(Wapato_Inventory[[#This Row],[intercept]:[patio_value]])*Wapato_Inventory[[#This Row],[res_pct]]</f>
        <v>154971.06383</v>
      </c>
      <c r="BT964" s="7">
        <f>Wapato_Inventory[[#This Row],[land_value]]</f>
        <v>53800</v>
      </c>
      <c r="BU964" s="2">
        <f>_xlfn.IFNA(VLOOKUP(Wapato_Inventory[[#This Row],[quality]],Lookups!$A$28:$C$37,3,FALSE),1)</f>
        <v>0.96265813922927435</v>
      </c>
      <c r="BV964" s="2">
        <f>_xlfn.IFNA(VLOOKUP(Wapato_Inventory[[#This Row],[condition]],Lookups!$A$41:$C$48,3,FALSE),1)</f>
        <v>0.9832333997567807</v>
      </c>
      <c r="BW964" s="2">
        <f>IF(Wapato_Inventory[[#This Row],[decade]]="",1,_xlfn.IFNA(VLOOKUP(Wapato_Inventory[[#This Row],[decade]],Lookups!$F$28:$H$45,3,FALSE),1))</f>
        <v>1.0114203040664467</v>
      </c>
      <c r="BX964" s="2">
        <f>_xlfn.IFNA(VLOOKUP(Wapato_Inventory[[#This Row],[living_area_range]],Lookups!$K$28:$M$37,3,FALSE),1)</f>
        <v>1.0061411172456287</v>
      </c>
      <c r="BY964" s="2">
        <f>AVERAGE(Wapato_Inventory[[#This Row],[qual_adj]:[range_adj]])</f>
        <v>0.99086324007453253</v>
      </c>
      <c r="BZ964" s="7">
        <f>(Wapato_Inventory[[#This Row],[sum_land]]-IF(Wapato_Inventory[[#This Row],[no_utilities]]=1,12000,0))/IF(Wapato_Inventory[[#This Row],[unbuildable]]=1,2,1)</f>
        <v>53800</v>
      </c>
      <c r="CA964" s="7">
        <f>Wapato_Inventory[[#This Row],[pre_res]]*Wapato_Inventory[[#This Row],[overall_adj]]</f>
        <v>153555.13042439098</v>
      </c>
      <c r="CB964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64" s="3">
        <f>IF(ROUND(Wapato_Inventory[[#This Row],[adj_res]]*Lookups!$H$48,-2)&lt;Wapato_Inventory[[#This Row],[min_res]],Wapato_Inventory[[#This Row],[min_res]],ROUND(Wapato_Inventory[[#This Row],[adj_res]]*Lookups!$H$48,-2))</f>
        <v>145900</v>
      </c>
      <c r="CD964" s="3">
        <f>ROUND(Wapato_Inventory[[#This Row],[det_value]]*Lookups!$H$48,-2)</f>
        <v>0</v>
      </c>
      <c r="CE964" s="3">
        <f>Wapato_Inventory[[#This Row],[final_res]]+Wapato_Inventory[[#This Row],[final_det]]</f>
        <v>145900</v>
      </c>
      <c r="CF964" s="3">
        <f>Wapato_Inventory[[#This Row],[crop_value]]+Wapato_Inventory[[#This Row],[final_land]]+Wapato_Inventory[[#This Row],[final_imp]]</f>
        <v>197000</v>
      </c>
      <c r="CH964" t="str">
        <f t="shared" si="15"/>
        <v>update valuation set market_land =51100, market_bldg=145900, market_total =197000, market_mdno =405, market_date ='9/10/2023' where link_id = (select link_id from parcel where parcel_year = '2024' and parcel_id = '19111522423');</v>
      </c>
    </row>
    <row r="965" spans="1:86" x14ac:dyDescent="0.25">
      <c r="A965">
        <v>19111522424</v>
      </c>
      <c r="B965">
        <v>0.19</v>
      </c>
      <c r="C965">
        <v>8287</v>
      </c>
      <c r="D965" t="s">
        <v>144</v>
      </c>
      <c r="E965" t="s">
        <v>54</v>
      </c>
      <c r="F965" t="s">
        <v>54</v>
      </c>
      <c r="G965">
        <v>3</v>
      </c>
      <c r="H965" t="s">
        <v>55</v>
      </c>
      <c r="I965">
        <v>116900</v>
      </c>
      <c r="J965">
        <v>34100</v>
      </c>
      <c r="K965">
        <v>0.19</v>
      </c>
      <c r="L965">
        <f>IF(Wapato_Inventory[[#This Row],[parcel_acres]]-Wapato_Inventory[[#This Row],[non_valued_acres]] =0,0,LN(Wapato_Inventory[[#This Row],[parcel_acres]]-Wapato_Inventory[[#This Row],[non_valued_acres]]))</f>
        <v>-1.6607312068216509</v>
      </c>
      <c r="M965">
        <v>0</v>
      </c>
      <c r="N965">
        <v>0</v>
      </c>
      <c r="O965">
        <v>0</v>
      </c>
      <c r="P965">
        <v>27904.037</v>
      </c>
      <c r="Q965">
        <v>74398</v>
      </c>
      <c r="R965" s="3">
        <f>(Wapato_Inventory[[#This Row],[ln_acres]]*Wapato_Inventory[[#This Row],[coeff]])+Wapato_Inventory[[#This Row],[const]]</f>
        <v>28056.894957794</v>
      </c>
      <c r="S965" t="s">
        <v>66</v>
      </c>
      <c r="T965">
        <v>1</v>
      </c>
      <c r="U965" t="s">
        <v>78</v>
      </c>
      <c r="V965" t="s">
        <v>68</v>
      </c>
      <c r="W965">
        <v>0</v>
      </c>
      <c r="X965">
        <v>0</v>
      </c>
      <c r="Y965">
        <v>57</v>
      </c>
      <c r="Z965">
        <v>103</v>
      </c>
      <c r="AA965">
        <v>110</v>
      </c>
      <c r="AB965">
        <v>1000</v>
      </c>
      <c r="AC965">
        <v>676</v>
      </c>
      <c r="AD965">
        <v>676</v>
      </c>
      <c r="AE965">
        <v>0</v>
      </c>
      <c r="AF965">
        <v>0</v>
      </c>
      <c r="AG965">
        <v>0</v>
      </c>
      <c r="AH965">
        <v>0</v>
      </c>
      <c r="AI965">
        <v>490</v>
      </c>
      <c r="AJ965">
        <v>0</v>
      </c>
      <c r="AK965">
        <v>0</v>
      </c>
      <c r="AL965">
        <v>0</v>
      </c>
      <c r="AM965">
        <v>0</v>
      </c>
      <c r="AN965">
        <v>0</v>
      </c>
      <c r="AO965">
        <v>0</v>
      </c>
      <c r="AP965">
        <v>5</v>
      </c>
      <c r="AQ965">
        <v>0</v>
      </c>
      <c r="AR965">
        <v>0</v>
      </c>
      <c r="AS965" t="s">
        <v>59</v>
      </c>
      <c r="AT965">
        <v>0</v>
      </c>
      <c r="AU965" t="s">
        <v>80</v>
      </c>
      <c r="AV965" t="s">
        <v>77</v>
      </c>
      <c r="AW965">
        <v>0</v>
      </c>
      <c r="AX965">
        <v>2</v>
      </c>
      <c r="AY965">
        <v>0</v>
      </c>
      <c r="AZ965">
        <v>0</v>
      </c>
      <c r="BA965">
        <v>100</v>
      </c>
      <c r="BB965">
        <v>100</v>
      </c>
      <c r="BC965">
        <v>100</v>
      </c>
      <c r="BD965">
        <v>100</v>
      </c>
      <c r="BE965">
        <v>1</v>
      </c>
      <c r="BF965">
        <v>15000</v>
      </c>
      <c r="BG965">
        <v>1000</v>
      </c>
      <c r="BH965" s="7">
        <f>ROUND(Wapato_Inventory[[#This Row],[detatched_value]]*Lookups!$B$22*Lookups!$H$48,-2)</f>
        <v>0</v>
      </c>
      <c r="BI965" s="7">
        <f>ROUND(((Wapato_Inventory[[#This Row],[land_extract]]*Lookups!$B$3) +(Lookups!$B$2*0.5))*Lookups!$H$48,-2)</f>
        <v>53800</v>
      </c>
      <c r="BJ965" s="7">
        <f>IF(Wapato_Inventory[[#This Row],[bldg_style]]="",0,Lookups!$B$2*0.5)</f>
        <v>53765.27</v>
      </c>
      <c r="BK965" s="7">
        <f>_xlfn.IFNA(VLOOKUP(Wapato_Inventory[[#This Row],[quality]],Lookups!$H$2:$J$14,3,FALSE),0)</f>
        <v>23424</v>
      </c>
      <c r="BL965" s="7">
        <f>_xlfn.IFNA(VLOOKUP(Wapato_Inventory[[#This Row],[condition]],Lookups!$H$17:$J$24,3,FALSE),0)</f>
        <v>52231</v>
      </c>
      <c r="BM965" s="7">
        <f>Wapato_Inventory[[#This Row],[Age]]*Lookups!$B$16</f>
        <v>-38179.597099999999</v>
      </c>
      <c r="BN965" s="7">
        <f>Wapato_Inventory[[#This Row],[Main Floor]]*Lookups!$B$17</f>
        <v>28257.299564000001</v>
      </c>
      <c r="BO965" s="7">
        <f>Wapato_Inventory[[#This Row],[Upper Floor]]*Lookups!$B$18</f>
        <v>0</v>
      </c>
      <c r="BP965" s="7">
        <f>Wapato_Inventory[[#This Row],[Fin BSMT]]*Lookups!$B$19</f>
        <v>0</v>
      </c>
      <c r="BQ965" s="7">
        <f>(Wapato_Inventory[[#This Row],[att_gar]]+Wapato_Inventory[[#This Row],[blt_gar]])*Lookups!$B$20</f>
        <v>18134.288479999999</v>
      </c>
      <c r="BR965" s="7">
        <f>Wapato_Inventory[[#This Row],[Patio]]*Lookups!$B$21</f>
        <v>0</v>
      </c>
      <c r="BS965" s="7">
        <f>SUM(Wapato_Inventory[[#This Row],[intercept]:[patio_value]])*Wapato_Inventory[[#This Row],[res_pct]]</f>
        <v>137632.26094399998</v>
      </c>
      <c r="BT965" s="7">
        <f>Wapato_Inventory[[#This Row],[land_value]]</f>
        <v>53800</v>
      </c>
      <c r="BU965" s="2">
        <f>_xlfn.IFNA(VLOOKUP(Wapato_Inventory[[#This Row],[quality]],Lookups!$A$28:$C$37,3,FALSE),1)</f>
        <v>1.0091195562373767</v>
      </c>
      <c r="BV965" s="2">
        <f>_xlfn.IFNA(VLOOKUP(Wapato_Inventory[[#This Row],[condition]],Lookups!$A$41:$C$48,3,FALSE),1)</f>
        <v>0.9832333997567807</v>
      </c>
      <c r="BW965" s="2">
        <f>IF(Wapato_Inventory[[#This Row],[decade]]="",1,_xlfn.IFNA(VLOOKUP(Wapato_Inventory[[#This Row],[decade]],Lookups!$F$28:$H$45,3,FALSE),1))</f>
        <v>0.93664589651353292</v>
      </c>
      <c r="BX965" s="2">
        <f>_xlfn.IFNA(VLOOKUP(Wapato_Inventory[[#This Row],[living_area_range]],Lookups!$K$28:$M$37,3,FALSE),1)</f>
        <v>0.99022994770196116</v>
      </c>
      <c r="BY965" s="2">
        <f>AVERAGE(Wapato_Inventory[[#This Row],[qual_adj]:[range_adj]])</f>
        <v>0.97980720005241284</v>
      </c>
      <c r="BZ965" s="7">
        <f>(Wapato_Inventory[[#This Row],[sum_land]]-IF(Wapato_Inventory[[#This Row],[no_utilities]]=1,12000,0))/IF(Wapato_Inventory[[#This Row],[unbuildable]]=1,2,1)</f>
        <v>53800</v>
      </c>
      <c r="CA965" s="7">
        <f>Wapato_Inventory[[#This Row],[pre_res]]*Wapato_Inventory[[#This Row],[overall_adj]]</f>
        <v>134853.08023242367</v>
      </c>
      <c r="CB965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65" s="3">
        <f>IF(ROUND(Wapato_Inventory[[#This Row],[adj_res]]*Lookups!$H$48,-2)&lt;Wapato_Inventory[[#This Row],[min_res]],Wapato_Inventory[[#This Row],[min_res]],ROUND(Wapato_Inventory[[#This Row],[adj_res]]*Lookups!$H$48,-2))</f>
        <v>128100</v>
      </c>
      <c r="CD965" s="3">
        <f>ROUND(Wapato_Inventory[[#This Row],[det_value]]*Lookups!$H$48,-2)</f>
        <v>0</v>
      </c>
      <c r="CE965" s="3">
        <f>Wapato_Inventory[[#This Row],[final_res]]+Wapato_Inventory[[#This Row],[final_det]]</f>
        <v>128100</v>
      </c>
      <c r="CF965" s="3">
        <f>Wapato_Inventory[[#This Row],[crop_value]]+Wapato_Inventory[[#This Row],[final_land]]+Wapato_Inventory[[#This Row],[final_imp]]</f>
        <v>179200</v>
      </c>
      <c r="CH965" t="str">
        <f t="shared" si="15"/>
        <v>update valuation set market_land =51100, market_bldg=128100, market_total =179200, market_mdno =405, market_date ='9/10/2023' where link_id = (select link_id from parcel where parcel_year = '2024' and parcel_id = '19111522424');</v>
      </c>
    </row>
    <row r="966" spans="1:86" x14ac:dyDescent="0.25">
      <c r="A966">
        <v>19111522425</v>
      </c>
      <c r="B966">
        <v>0.19</v>
      </c>
      <c r="C966">
        <v>8287</v>
      </c>
      <c r="D966" t="s">
        <v>144</v>
      </c>
      <c r="E966" t="s">
        <v>54</v>
      </c>
      <c r="F966" t="s">
        <v>54</v>
      </c>
      <c r="G966">
        <v>3</v>
      </c>
      <c r="H966" t="s">
        <v>55</v>
      </c>
      <c r="I966">
        <v>93700</v>
      </c>
      <c r="J966">
        <v>34100</v>
      </c>
      <c r="K966">
        <v>0.19</v>
      </c>
      <c r="L966">
        <f>IF(Wapato_Inventory[[#This Row],[parcel_acres]]-Wapato_Inventory[[#This Row],[non_valued_acres]] =0,0,LN(Wapato_Inventory[[#This Row],[parcel_acres]]-Wapato_Inventory[[#This Row],[non_valued_acres]]))</f>
        <v>-1.6607312068216509</v>
      </c>
      <c r="M966">
        <v>0</v>
      </c>
      <c r="N966">
        <v>0</v>
      </c>
      <c r="O966">
        <v>0</v>
      </c>
      <c r="P966">
        <v>27904.037</v>
      </c>
      <c r="Q966">
        <v>74398</v>
      </c>
      <c r="R966" s="3">
        <f>(Wapato_Inventory[[#This Row],[ln_acres]]*Wapato_Inventory[[#This Row],[coeff]])+Wapato_Inventory[[#This Row],[const]]</f>
        <v>28056.894957794</v>
      </c>
      <c r="S966" t="s">
        <v>66</v>
      </c>
      <c r="T966">
        <v>1</v>
      </c>
      <c r="U966" t="s">
        <v>71</v>
      </c>
      <c r="V966" t="s">
        <v>68</v>
      </c>
      <c r="W966">
        <v>0</v>
      </c>
      <c r="X966">
        <v>0</v>
      </c>
      <c r="Y966">
        <v>51</v>
      </c>
      <c r="Z966">
        <v>83</v>
      </c>
      <c r="AA966">
        <v>90</v>
      </c>
      <c r="AB966">
        <v>1000</v>
      </c>
      <c r="AC966">
        <v>644</v>
      </c>
      <c r="AD966">
        <v>644</v>
      </c>
      <c r="AE966">
        <v>0</v>
      </c>
      <c r="AF966">
        <v>0</v>
      </c>
      <c r="AG966">
        <v>0</v>
      </c>
      <c r="AH966">
        <v>0</v>
      </c>
      <c r="AI966">
        <v>0</v>
      </c>
      <c r="AJ966">
        <v>0</v>
      </c>
      <c r="AK966">
        <v>0</v>
      </c>
      <c r="AL966">
        <v>0</v>
      </c>
      <c r="AM966">
        <v>0</v>
      </c>
      <c r="AN966">
        <v>0</v>
      </c>
      <c r="AO966">
        <v>0</v>
      </c>
      <c r="AP966">
        <v>5</v>
      </c>
      <c r="AQ966">
        <v>0</v>
      </c>
      <c r="AR966">
        <v>0</v>
      </c>
      <c r="AS966" t="s">
        <v>59</v>
      </c>
      <c r="AT966">
        <v>1</v>
      </c>
      <c r="AU966" t="s">
        <v>72</v>
      </c>
      <c r="AV966" t="s">
        <v>61</v>
      </c>
      <c r="AW966">
        <v>0</v>
      </c>
      <c r="AX966">
        <v>2</v>
      </c>
      <c r="AY966">
        <v>0</v>
      </c>
      <c r="AZ966">
        <v>600</v>
      </c>
      <c r="BA966">
        <v>100</v>
      </c>
      <c r="BB966">
        <v>100</v>
      </c>
      <c r="BC966">
        <v>100</v>
      </c>
      <c r="BD966">
        <v>100</v>
      </c>
      <c r="BE966">
        <v>1</v>
      </c>
      <c r="BF966">
        <v>15000</v>
      </c>
      <c r="BG966">
        <v>1000</v>
      </c>
      <c r="BH966" s="7">
        <f>ROUND(Wapato_Inventory[[#This Row],[detatched_value]]*Lookups!$B$22*Lookups!$H$48,-2)</f>
        <v>500</v>
      </c>
      <c r="BI966" s="7">
        <f>ROUND(((Wapato_Inventory[[#This Row],[land_extract]]*Lookups!$B$3) +(Lookups!$B$2*0.5))*Lookups!$H$48,-2)</f>
        <v>53800</v>
      </c>
      <c r="BJ966" s="7">
        <f>IF(Wapato_Inventory[[#This Row],[bldg_style]]="",0,Lookups!$B$2*0.5)</f>
        <v>53765.27</v>
      </c>
      <c r="BK966" s="7">
        <f>_xlfn.IFNA(VLOOKUP(Wapato_Inventory[[#This Row],[quality]],Lookups!$H$2:$J$14,3,FALSE),0)</f>
        <v>28034</v>
      </c>
      <c r="BL966" s="7">
        <f>_xlfn.IFNA(VLOOKUP(Wapato_Inventory[[#This Row],[condition]],Lookups!$H$17:$J$24,3,FALSE),0)</f>
        <v>52231</v>
      </c>
      <c r="BM966" s="7">
        <f>Wapato_Inventory[[#This Row],[Age]]*Lookups!$B$16</f>
        <v>-30766.0831</v>
      </c>
      <c r="BN966" s="7">
        <f>Wapato_Inventory[[#This Row],[Main Floor]]*Lookups!$B$17</f>
        <v>26919.675916</v>
      </c>
      <c r="BO966" s="7">
        <f>Wapato_Inventory[[#This Row],[Upper Floor]]*Lookups!$B$18</f>
        <v>0</v>
      </c>
      <c r="BP966" s="7">
        <f>Wapato_Inventory[[#This Row],[Fin BSMT]]*Lookups!$B$19</f>
        <v>0</v>
      </c>
      <c r="BQ966" s="7">
        <f>(Wapato_Inventory[[#This Row],[att_gar]]+Wapato_Inventory[[#This Row],[blt_gar]])*Lookups!$B$20</f>
        <v>0</v>
      </c>
      <c r="BR966" s="7">
        <f>Wapato_Inventory[[#This Row],[Patio]]*Lookups!$B$21</f>
        <v>0</v>
      </c>
      <c r="BS966" s="7">
        <f>SUM(Wapato_Inventory[[#This Row],[intercept]:[patio_value]])*Wapato_Inventory[[#This Row],[res_pct]]</f>
        <v>130183.86281599998</v>
      </c>
      <c r="BT966" s="7">
        <f>Wapato_Inventory[[#This Row],[land_value]]</f>
        <v>53800</v>
      </c>
      <c r="BU966" s="2">
        <f>_xlfn.IFNA(VLOOKUP(Wapato_Inventory[[#This Row],[quality]],Lookups!$A$28:$C$37,3,FALSE),1)</f>
        <v>0.96265813922927435</v>
      </c>
      <c r="BV966" s="2">
        <f>_xlfn.IFNA(VLOOKUP(Wapato_Inventory[[#This Row],[condition]],Lookups!$A$41:$C$48,3,FALSE),1)</f>
        <v>0.9832333997567807</v>
      </c>
      <c r="BW966" s="2">
        <f>IF(Wapato_Inventory[[#This Row],[decade]]="",1,_xlfn.IFNA(VLOOKUP(Wapato_Inventory[[#This Row],[decade]],Lookups!$F$28:$H$45,3,FALSE),1))</f>
        <v>0.94742695999815718</v>
      </c>
      <c r="BX966" s="2">
        <f>_xlfn.IFNA(VLOOKUP(Wapato_Inventory[[#This Row],[living_area_range]],Lookups!$K$28:$M$37,3,FALSE),1)</f>
        <v>0.99022994770196116</v>
      </c>
      <c r="BY966" s="2">
        <f>AVERAGE(Wapato_Inventory[[#This Row],[qual_adj]:[range_adj]])</f>
        <v>0.97088711167154329</v>
      </c>
      <c r="BZ966" s="7">
        <f>(Wapato_Inventory[[#This Row],[sum_land]]-IF(Wapato_Inventory[[#This Row],[no_utilities]]=1,12000,0))/IF(Wapato_Inventory[[#This Row],[unbuildable]]=1,2,1)</f>
        <v>53800</v>
      </c>
      <c r="CA966" s="7">
        <f>Wapato_Inventory[[#This Row],[pre_res]]*Wapato_Inventory[[#This Row],[overall_adj]]</f>
        <v>126393.83455567065</v>
      </c>
      <c r="CB966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66" s="3">
        <f>IF(ROUND(Wapato_Inventory[[#This Row],[adj_res]]*Lookups!$H$48,-2)&lt;Wapato_Inventory[[#This Row],[min_res]],Wapato_Inventory[[#This Row],[min_res]],ROUND(Wapato_Inventory[[#This Row],[adj_res]]*Lookups!$H$48,-2))</f>
        <v>120100</v>
      </c>
      <c r="CD966" s="3">
        <f>ROUND(Wapato_Inventory[[#This Row],[det_value]]*Lookups!$H$48,-2)</f>
        <v>500</v>
      </c>
      <c r="CE966" s="3">
        <f>Wapato_Inventory[[#This Row],[final_res]]+Wapato_Inventory[[#This Row],[final_det]]</f>
        <v>120600</v>
      </c>
      <c r="CF966" s="3">
        <f>Wapato_Inventory[[#This Row],[crop_value]]+Wapato_Inventory[[#This Row],[final_land]]+Wapato_Inventory[[#This Row],[final_imp]]</f>
        <v>171700</v>
      </c>
      <c r="CH966" t="str">
        <f t="shared" si="15"/>
        <v>update valuation set market_land =51100, market_bldg=120600, market_total =171700, market_mdno =405, market_date ='9/10/2023' where link_id = (select link_id from parcel where parcel_year = '2024' and parcel_id = '19111522425');</v>
      </c>
    </row>
    <row r="967" spans="1:86" x14ac:dyDescent="0.25">
      <c r="A967">
        <v>19111522426</v>
      </c>
      <c r="B967">
        <v>0.19</v>
      </c>
      <c r="C967">
        <v>8287</v>
      </c>
      <c r="D967" t="s">
        <v>144</v>
      </c>
      <c r="E967" t="s">
        <v>54</v>
      </c>
      <c r="F967" t="s">
        <v>54</v>
      </c>
      <c r="G967">
        <v>3</v>
      </c>
      <c r="H967" t="s">
        <v>55</v>
      </c>
      <c r="I967">
        <v>104900</v>
      </c>
      <c r="J967">
        <v>34100</v>
      </c>
      <c r="K967">
        <v>0.19</v>
      </c>
      <c r="L967">
        <f>IF(Wapato_Inventory[[#This Row],[parcel_acres]]-Wapato_Inventory[[#This Row],[non_valued_acres]] =0,0,LN(Wapato_Inventory[[#This Row],[parcel_acres]]-Wapato_Inventory[[#This Row],[non_valued_acres]]))</f>
        <v>-1.6607312068216509</v>
      </c>
      <c r="M967">
        <v>0</v>
      </c>
      <c r="N967">
        <v>0</v>
      </c>
      <c r="O967">
        <v>0</v>
      </c>
      <c r="P967">
        <v>27904.037</v>
      </c>
      <c r="Q967">
        <v>74398</v>
      </c>
      <c r="R967" s="3">
        <f>(Wapato_Inventory[[#This Row],[ln_acres]]*Wapato_Inventory[[#This Row],[coeff]])+Wapato_Inventory[[#This Row],[const]]</f>
        <v>28056.894957794</v>
      </c>
      <c r="S967" t="s">
        <v>66</v>
      </c>
      <c r="T967">
        <v>1</v>
      </c>
      <c r="U967" t="s">
        <v>71</v>
      </c>
      <c r="V967" t="s">
        <v>68</v>
      </c>
      <c r="W967">
        <v>0</v>
      </c>
      <c r="X967">
        <v>0</v>
      </c>
      <c r="Y967">
        <v>50</v>
      </c>
      <c r="Z967">
        <v>73</v>
      </c>
      <c r="AA967">
        <v>80</v>
      </c>
      <c r="AB967">
        <v>1000</v>
      </c>
      <c r="AC967">
        <v>696</v>
      </c>
      <c r="AD967">
        <v>696</v>
      </c>
      <c r="AE967">
        <v>0</v>
      </c>
      <c r="AF967">
        <v>0</v>
      </c>
      <c r="AG967">
        <v>0</v>
      </c>
      <c r="AH967">
        <v>0</v>
      </c>
      <c r="AI967">
        <v>0</v>
      </c>
      <c r="AJ967">
        <v>0</v>
      </c>
      <c r="AK967">
        <v>0</v>
      </c>
      <c r="AL967">
        <v>0</v>
      </c>
      <c r="AM967">
        <v>45</v>
      </c>
      <c r="AN967">
        <v>0</v>
      </c>
      <c r="AO967">
        <v>0</v>
      </c>
      <c r="AP967">
        <v>5</v>
      </c>
      <c r="AQ967">
        <v>0</v>
      </c>
      <c r="AR967">
        <v>0</v>
      </c>
      <c r="AS967" t="s">
        <v>59</v>
      </c>
      <c r="AT967">
        <v>0</v>
      </c>
      <c r="AU967" t="s">
        <v>80</v>
      </c>
      <c r="AV967" t="s">
        <v>77</v>
      </c>
      <c r="AW967">
        <v>0</v>
      </c>
      <c r="AX967">
        <v>2</v>
      </c>
      <c r="AY967">
        <v>0</v>
      </c>
      <c r="AZ967">
        <v>8300</v>
      </c>
      <c r="BA967">
        <v>100</v>
      </c>
      <c r="BB967">
        <v>100</v>
      </c>
      <c r="BC967">
        <v>100</v>
      </c>
      <c r="BD967">
        <v>100</v>
      </c>
      <c r="BE967">
        <v>1</v>
      </c>
      <c r="BF967">
        <v>15000</v>
      </c>
      <c r="BG967">
        <v>1000</v>
      </c>
      <c r="BH967" s="7">
        <f>ROUND(Wapato_Inventory[[#This Row],[detatched_value]]*Lookups!$B$22*Lookups!$H$48,-2)</f>
        <v>7400</v>
      </c>
      <c r="BI967" s="7">
        <f>ROUND(((Wapato_Inventory[[#This Row],[land_extract]]*Lookups!$B$3) +(Lookups!$B$2*0.5))*Lookups!$H$48,-2)</f>
        <v>53800</v>
      </c>
      <c r="BJ967" s="7">
        <f>IF(Wapato_Inventory[[#This Row],[bldg_style]]="",0,Lookups!$B$2*0.5)</f>
        <v>53765.27</v>
      </c>
      <c r="BK967" s="7">
        <f>_xlfn.IFNA(VLOOKUP(Wapato_Inventory[[#This Row],[quality]],Lookups!$H$2:$J$14,3,FALSE),0)</f>
        <v>28034</v>
      </c>
      <c r="BL967" s="7">
        <f>_xlfn.IFNA(VLOOKUP(Wapato_Inventory[[#This Row],[condition]],Lookups!$H$17:$J$24,3,FALSE),0)</f>
        <v>52231</v>
      </c>
      <c r="BM967" s="7">
        <f>Wapato_Inventory[[#This Row],[Age]]*Lookups!$B$16</f>
        <v>-27059.326100000002</v>
      </c>
      <c r="BN967" s="7">
        <f>Wapato_Inventory[[#This Row],[Main Floor]]*Lookups!$B$17</f>
        <v>29093.314343999999</v>
      </c>
      <c r="BO967" s="7">
        <f>Wapato_Inventory[[#This Row],[Upper Floor]]*Lookups!$B$18</f>
        <v>0</v>
      </c>
      <c r="BP967" s="7">
        <f>Wapato_Inventory[[#This Row],[Fin BSMT]]*Lookups!$B$19</f>
        <v>0</v>
      </c>
      <c r="BQ967" s="7">
        <f>(Wapato_Inventory[[#This Row],[att_gar]]+Wapato_Inventory[[#This Row],[blt_gar]])*Lookups!$B$20</f>
        <v>0</v>
      </c>
      <c r="BR967" s="7">
        <f>Wapato_Inventory[[#This Row],[Patio]]*Lookups!$B$21</f>
        <v>1949.5790550000002</v>
      </c>
      <c r="BS967" s="7">
        <f>SUM(Wapato_Inventory[[#This Row],[intercept]:[patio_value]])*Wapato_Inventory[[#This Row],[res_pct]]</f>
        <v>138013.83729899998</v>
      </c>
      <c r="BT967" s="7">
        <f>Wapato_Inventory[[#This Row],[land_value]]</f>
        <v>53800</v>
      </c>
      <c r="BU967" s="2">
        <f>_xlfn.IFNA(VLOOKUP(Wapato_Inventory[[#This Row],[quality]],Lookups!$A$28:$C$37,3,FALSE),1)</f>
        <v>0.96265813922927435</v>
      </c>
      <c r="BV967" s="2">
        <f>_xlfn.IFNA(VLOOKUP(Wapato_Inventory[[#This Row],[condition]],Lookups!$A$41:$C$48,3,FALSE),1)</f>
        <v>0.9832333997567807</v>
      </c>
      <c r="BW967" s="2">
        <f>IF(Wapato_Inventory[[#This Row],[decade]]="",1,_xlfn.IFNA(VLOOKUP(Wapato_Inventory[[#This Row],[decade]],Lookups!$F$28:$H$45,3,FALSE),1))</f>
        <v>0.8438929209510081</v>
      </c>
      <c r="BX967" s="2">
        <f>_xlfn.IFNA(VLOOKUP(Wapato_Inventory[[#This Row],[living_area_range]],Lookups!$K$28:$M$37,3,FALSE),1)</f>
        <v>0.99022994770196116</v>
      </c>
      <c r="BY967" s="2">
        <f>AVERAGE(Wapato_Inventory[[#This Row],[qual_adj]:[range_adj]])</f>
        <v>0.94500360190975607</v>
      </c>
      <c r="BZ967" s="7">
        <f>(Wapato_Inventory[[#This Row],[sum_land]]-IF(Wapato_Inventory[[#This Row],[no_utilities]]=1,12000,0))/IF(Wapato_Inventory[[#This Row],[unbuildable]]=1,2,1)</f>
        <v>53800</v>
      </c>
      <c r="CA967" s="7">
        <f>Wapato_Inventory[[#This Row],[pre_res]]*Wapato_Inventory[[#This Row],[overall_adj]]</f>
        <v>130423.57336094201</v>
      </c>
      <c r="CB967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67" s="3">
        <f>IF(ROUND(Wapato_Inventory[[#This Row],[adj_res]]*Lookups!$H$48,-2)&lt;Wapato_Inventory[[#This Row],[min_res]],Wapato_Inventory[[#This Row],[min_res]],ROUND(Wapato_Inventory[[#This Row],[adj_res]]*Lookups!$H$48,-2))</f>
        <v>123900</v>
      </c>
      <c r="CD967" s="3">
        <f>ROUND(Wapato_Inventory[[#This Row],[det_value]]*Lookups!$H$48,-2)</f>
        <v>7000</v>
      </c>
      <c r="CE967" s="3">
        <f>Wapato_Inventory[[#This Row],[final_res]]+Wapato_Inventory[[#This Row],[final_det]]</f>
        <v>130900</v>
      </c>
      <c r="CF967" s="3">
        <f>Wapato_Inventory[[#This Row],[crop_value]]+Wapato_Inventory[[#This Row],[final_land]]+Wapato_Inventory[[#This Row],[final_imp]]</f>
        <v>182000</v>
      </c>
      <c r="CH967" t="str">
        <f t="shared" si="15"/>
        <v>update valuation set market_land =51100, market_bldg=130900, market_total =182000, market_mdno =405, market_date ='9/10/2023' where link_id = (select link_id from parcel where parcel_year = '2024' and parcel_id = '19111522426');</v>
      </c>
    </row>
    <row r="968" spans="1:86" x14ac:dyDescent="0.25">
      <c r="A968">
        <v>19111522427</v>
      </c>
      <c r="B968">
        <v>0.19</v>
      </c>
      <c r="C968">
        <v>8287</v>
      </c>
      <c r="D968" t="s">
        <v>144</v>
      </c>
      <c r="E968" t="s">
        <v>54</v>
      </c>
      <c r="F968" t="s">
        <v>54</v>
      </c>
      <c r="G968">
        <v>3</v>
      </c>
      <c r="H968" t="s">
        <v>55</v>
      </c>
      <c r="I968">
        <v>106600</v>
      </c>
      <c r="J968">
        <v>34100</v>
      </c>
      <c r="K968">
        <v>0.19</v>
      </c>
      <c r="L968">
        <f>IF(Wapato_Inventory[[#This Row],[parcel_acres]]-Wapato_Inventory[[#This Row],[non_valued_acres]] =0,0,LN(Wapato_Inventory[[#This Row],[parcel_acres]]-Wapato_Inventory[[#This Row],[non_valued_acres]]))</f>
        <v>-1.6607312068216509</v>
      </c>
      <c r="M968">
        <v>0</v>
      </c>
      <c r="N968">
        <v>0</v>
      </c>
      <c r="O968">
        <v>0</v>
      </c>
      <c r="P968">
        <v>27904.037</v>
      </c>
      <c r="Q968">
        <v>74398</v>
      </c>
      <c r="R968" s="3">
        <f>(Wapato_Inventory[[#This Row],[ln_acres]]*Wapato_Inventory[[#This Row],[coeff]])+Wapato_Inventory[[#This Row],[const]]</f>
        <v>28056.894957794</v>
      </c>
      <c r="S968" t="s">
        <v>66</v>
      </c>
      <c r="T968">
        <v>1</v>
      </c>
      <c r="U968" t="s">
        <v>71</v>
      </c>
      <c r="V968" t="s">
        <v>68</v>
      </c>
      <c r="W968">
        <v>0</v>
      </c>
      <c r="X968">
        <v>0</v>
      </c>
      <c r="Y968">
        <v>51</v>
      </c>
      <c r="Z968">
        <v>78</v>
      </c>
      <c r="AA968">
        <v>80</v>
      </c>
      <c r="AB968">
        <v>1000</v>
      </c>
      <c r="AC968">
        <v>832</v>
      </c>
      <c r="AD968">
        <v>832</v>
      </c>
      <c r="AE968">
        <v>0</v>
      </c>
      <c r="AF968">
        <v>0</v>
      </c>
      <c r="AG968">
        <v>0</v>
      </c>
      <c r="AH968">
        <v>0</v>
      </c>
      <c r="AI968">
        <v>0</v>
      </c>
      <c r="AJ968">
        <v>0</v>
      </c>
      <c r="AK968">
        <v>0</v>
      </c>
      <c r="AL968">
        <v>0</v>
      </c>
      <c r="AM968">
        <v>300</v>
      </c>
      <c r="AN968">
        <v>0</v>
      </c>
      <c r="AO968">
        <v>300</v>
      </c>
      <c r="AP968">
        <v>5</v>
      </c>
      <c r="AQ968">
        <v>0</v>
      </c>
      <c r="AR968">
        <v>0</v>
      </c>
      <c r="AS968" t="s">
        <v>59</v>
      </c>
      <c r="AT968">
        <v>1</v>
      </c>
      <c r="AU968" t="s">
        <v>64</v>
      </c>
      <c r="AV968" t="s">
        <v>77</v>
      </c>
      <c r="AW968">
        <v>0</v>
      </c>
      <c r="AX968">
        <v>2</v>
      </c>
      <c r="AY968">
        <v>0</v>
      </c>
      <c r="AZ968">
        <v>3800</v>
      </c>
      <c r="BA968">
        <v>100</v>
      </c>
      <c r="BB968">
        <v>100</v>
      </c>
      <c r="BC968">
        <v>100</v>
      </c>
      <c r="BD968">
        <v>100</v>
      </c>
      <c r="BE968">
        <v>1</v>
      </c>
      <c r="BF968">
        <v>15000</v>
      </c>
      <c r="BG968">
        <v>1000</v>
      </c>
      <c r="BH968" s="7">
        <f>ROUND(Wapato_Inventory[[#This Row],[detatched_value]]*Lookups!$B$22*Lookups!$H$48,-2)</f>
        <v>3400</v>
      </c>
      <c r="BI968" s="7">
        <f>ROUND(((Wapato_Inventory[[#This Row],[land_extract]]*Lookups!$B$3) +(Lookups!$B$2*0.5))*Lookups!$H$48,-2)</f>
        <v>53800</v>
      </c>
      <c r="BJ968" s="7">
        <f>IF(Wapato_Inventory[[#This Row],[bldg_style]]="",0,Lookups!$B$2*0.5)</f>
        <v>53765.27</v>
      </c>
      <c r="BK968" s="7">
        <f>_xlfn.IFNA(VLOOKUP(Wapato_Inventory[[#This Row],[quality]],Lookups!$H$2:$J$14,3,FALSE),0)</f>
        <v>28034</v>
      </c>
      <c r="BL968" s="7">
        <f>_xlfn.IFNA(VLOOKUP(Wapato_Inventory[[#This Row],[condition]],Lookups!$H$17:$J$24,3,FALSE),0)</f>
        <v>52231</v>
      </c>
      <c r="BM968" s="7">
        <f>Wapato_Inventory[[#This Row],[Age]]*Lookups!$B$16</f>
        <v>-28912.704600000001</v>
      </c>
      <c r="BN968" s="7">
        <f>Wapato_Inventory[[#This Row],[Main Floor]]*Lookups!$B$17</f>
        <v>34778.214848000003</v>
      </c>
      <c r="BO968" s="7">
        <f>Wapato_Inventory[[#This Row],[Upper Floor]]*Lookups!$B$18</f>
        <v>0</v>
      </c>
      <c r="BP968" s="7">
        <f>Wapato_Inventory[[#This Row],[Fin BSMT]]*Lookups!$B$19</f>
        <v>0</v>
      </c>
      <c r="BQ968" s="7">
        <f>(Wapato_Inventory[[#This Row],[att_gar]]+Wapato_Inventory[[#This Row],[blt_gar]])*Lookups!$B$20</f>
        <v>0</v>
      </c>
      <c r="BR968" s="7">
        <f>Wapato_Inventory[[#This Row],[Patio]]*Lookups!$B$21</f>
        <v>12997.1937</v>
      </c>
      <c r="BS968" s="7">
        <f>SUM(Wapato_Inventory[[#This Row],[intercept]:[patio_value]])*Wapato_Inventory[[#This Row],[res_pct]]</f>
        <v>152892.973948</v>
      </c>
      <c r="BT968" s="7">
        <f>Wapato_Inventory[[#This Row],[land_value]]</f>
        <v>53800</v>
      </c>
      <c r="BU968" s="2">
        <f>_xlfn.IFNA(VLOOKUP(Wapato_Inventory[[#This Row],[quality]],Lookups!$A$28:$C$37,3,FALSE),1)</f>
        <v>0.96265813922927435</v>
      </c>
      <c r="BV968" s="2">
        <f>_xlfn.IFNA(VLOOKUP(Wapato_Inventory[[#This Row],[condition]],Lookups!$A$41:$C$48,3,FALSE),1)</f>
        <v>0.9832333997567807</v>
      </c>
      <c r="BW968" s="2">
        <f>IF(Wapato_Inventory[[#This Row],[decade]]="",1,_xlfn.IFNA(VLOOKUP(Wapato_Inventory[[#This Row],[decade]],Lookups!$F$28:$H$45,3,FALSE),1))</f>
        <v>0.8438929209510081</v>
      </c>
      <c r="BX968" s="2">
        <f>_xlfn.IFNA(VLOOKUP(Wapato_Inventory[[#This Row],[living_area_range]],Lookups!$K$28:$M$37,3,FALSE),1)</f>
        <v>0.99022994770196116</v>
      </c>
      <c r="BY968" s="2">
        <f>AVERAGE(Wapato_Inventory[[#This Row],[qual_adj]:[range_adj]])</f>
        <v>0.94500360190975607</v>
      </c>
      <c r="BZ968" s="7">
        <f>(Wapato_Inventory[[#This Row],[sum_land]]-IF(Wapato_Inventory[[#This Row],[no_utilities]]=1,12000,0))/IF(Wapato_Inventory[[#This Row],[unbuildable]]=1,2,1)</f>
        <v>53800</v>
      </c>
      <c r="CA968" s="7">
        <f>Wapato_Inventory[[#This Row],[pre_res]]*Wapato_Inventory[[#This Row],[overall_adj]]</f>
        <v>144484.4110875545</v>
      </c>
      <c r="CB968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68" s="3">
        <f>IF(ROUND(Wapato_Inventory[[#This Row],[adj_res]]*Lookups!$H$48,-2)&lt;Wapato_Inventory[[#This Row],[min_res]],Wapato_Inventory[[#This Row],[min_res]],ROUND(Wapato_Inventory[[#This Row],[adj_res]]*Lookups!$H$48,-2))</f>
        <v>137300</v>
      </c>
      <c r="CD968" s="3">
        <f>ROUND(Wapato_Inventory[[#This Row],[det_value]]*Lookups!$H$48,-2)</f>
        <v>3200</v>
      </c>
      <c r="CE968" s="3">
        <f>Wapato_Inventory[[#This Row],[final_res]]+Wapato_Inventory[[#This Row],[final_det]]</f>
        <v>140500</v>
      </c>
      <c r="CF968" s="3">
        <f>Wapato_Inventory[[#This Row],[crop_value]]+Wapato_Inventory[[#This Row],[final_land]]+Wapato_Inventory[[#This Row],[final_imp]]</f>
        <v>191600</v>
      </c>
      <c r="CH968" t="str">
        <f t="shared" si="15"/>
        <v>update valuation set market_land =51100, market_bldg=140500, market_total =191600, market_mdno =405, market_date ='9/10/2023' where link_id = (select link_id from parcel where parcel_year = '2024' and parcel_id = '19111522427');</v>
      </c>
    </row>
    <row r="969" spans="1:86" x14ac:dyDescent="0.25">
      <c r="A969">
        <v>19111522429</v>
      </c>
      <c r="B969">
        <v>0.19</v>
      </c>
      <c r="C969">
        <v>8287</v>
      </c>
      <c r="D969" t="s">
        <v>144</v>
      </c>
      <c r="E969" t="s">
        <v>54</v>
      </c>
      <c r="F969" t="s">
        <v>54</v>
      </c>
      <c r="G969">
        <v>3</v>
      </c>
      <c r="H969" t="s">
        <v>55</v>
      </c>
      <c r="I969">
        <v>78500</v>
      </c>
      <c r="J969">
        <v>34100</v>
      </c>
      <c r="K969">
        <v>0.19</v>
      </c>
      <c r="L969">
        <f>IF(Wapato_Inventory[[#This Row],[parcel_acres]]-Wapato_Inventory[[#This Row],[non_valued_acres]] =0,0,LN(Wapato_Inventory[[#This Row],[parcel_acres]]-Wapato_Inventory[[#This Row],[non_valued_acres]]))</f>
        <v>-1.6607312068216509</v>
      </c>
      <c r="M969">
        <v>0</v>
      </c>
      <c r="N969">
        <v>0</v>
      </c>
      <c r="O969">
        <v>0</v>
      </c>
      <c r="P969">
        <v>27904.037</v>
      </c>
      <c r="Q969">
        <v>74398</v>
      </c>
      <c r="R969" s="3">
        <f>(Wapato_Inventory[[#This Row],[ln_acres]]*Wapato_Inventory[[#This Row],[coeff]])+Wapato_Inventory[[#This Row],[const]]</f>
        <v>28056.894957794</v>
      </c>
      <c r="S969" t="s">
        <v>66</v>
      </c>
      <c r="T969">
        <v>1</v>
      </c>
      <c r="U969" t="s">
        <v>71</v>
      </c>
      <c r="V969" t="s">
        <v>73</v>
      </c>
      <c r="W969">
        <v>0</v>
      </c>
      <c r="X969">
        <v>0</v>
      </c>
      <c r="Y969">
        <v>52</v>
      </c>
      <c r="Z969">
        <v>88</v>
      </c>
      <c r="AA969">
        <v>90</v>
      </c>
      <c r="AB969">
        <v>1500</v>
      </c>
      <c r="AC969">
        <v>1020</v>
      </c>
      <c r="AD969">
        <v>1020</v>
      </c>
      <c r="AE969">
        <v>0</v>
      </c>
      <c r="AF969">
        <v>0</v>
      </c>
      <c r="AG969">
        <v>0</v>
      </c>
      <c r="AH969">
        <v>0</v>
      </c>
      <c r="AI969">
        <v>0</v>
      </c>
      <c r="AJ969">
        <v>0</v>
      </c>
      <c r="AK969">
        <v>0</v>
      </c>
      <c r="AL969">
        <v>0</v>
      </c>
      <c r="AM969">
        <v>0</v>
      </c>
      <c r="AN969">
        <v>0</v>
      </c>
      <c r="AO969">
        <v>0</v>
      </c>
      <c r="AP969">
        <v>5</v>
      </c>
      <c r="AQ969">
        <v>0</v>
      </c>
      <c r="AR969">
        <v>0</v>
      </c>
      <c r="AS969" t="s">
        <v>59</v>
      </c>
      <c r="AT969">
        <v>0</v>
      </c>
      <c r="AU969" t="s">
        <v>80</v>
      </c>
      <c r="AV969" t="s">
        <v>65</v>
      </c>
      <c r="AW969">
        <v>0</v>
      </c>
      <c r="AX969">
        <v>2</v>
      </c>
      <c r="AY969">
        <v>0</v>
      </c>
      <c r="AZ969">
        <v>0</v>
      </c>
      <c r="BA969">
        <v>100</v>
      </c>
      <c r="BB969">
        <v>100</v>
      </c>
      <c r="BC969">
        <v>100</v>
      </c>
      <c r="BD969">
        <v>100</v>
      </c>
      <c r="BE969">
        <v>1</v>
      </c>
      <c r="BF969">
        <v>15000</v>
      </c>
      <c r="BG969">
        <v>1000</v>
      </c>
      <c r="BH969" s="7">
        <f>ROUND(Wapato_Inventory[[#This Row],[detatched_value]]*Lookups!$B$22*Lookups!$H$48,-2)</f>
        <v>0</v>
      </c>
      <c r="BI969" s="7">
        <f>ROUND(((Wapato_Inventory[[#This Row],[land_extract]]*Lookups!$B$3) +(Lookups!$B$2*0.5))*Lookups!$H$48,-2)</f>
        <v>53800</v>
      </c>
      <c r="BJ969" s="7">
        <f>IF(Wapato_Inventory[[#This Row],[bldg_style]]="",0,Lookups!$B$2*0.5)</f>
        <v>53765.27</v>
      </c>
      <c r="BK969" s="7">
        <f>_xlfn.IFNA(VLOOKUP(Wapato_Inventory[[#This Row],[quality]],Lookups!$H$2:$J$14,3,FALSE),0)</f>
        <v>28034</v>
      </c>
      <c r="BL969" s="7">
        <f>_xlfn.IFNA(VLOOKUP(Wapato_Inventory[[#This Row],[condition]],Lookups!$H$17:$J$24,3,FALSE),0)</f>
        <v>16276</v>
      </c>
      <c r="BM969" s="7">
        <f>Wapato_Inventory[[#This Row],[Age]]*Lookups!$B$16</f>
        <v>-32619.461600000002</v>
      </c>
      <c r="BN969" s="7">
        <f>Wapato_Inventory[[#This Row],[Main Floor]]*Lookups!$B$17</f>
        <v>42636.753779999999</v>
      </c>
      <c r="BO969" s="7">
        <f>Wapato_Inventory[[#This Row],[Upper Floor]]*Lookups!$B$18</f>
        <v>0</v>
      </c>
      <c r="BP969" s="7">
        <f>Wapato_Inventory[[#This Row],[Fin BSMT]]*Lookups!$B$19</f>
        <v>0</v>
      </c>
      <c r="BQ969" s="7">
        <f>(Wapato_Inventory[[#This Row],[att_gar]]+Wapato_Inventory[[#This Row],[blt_gar]])*Lookups!$B$20</f>
        <v>0</v>
      </c>
      <c r="BR969" s="7">
        <f>Wapato_Inventory[[#This Row],[Patio]]*Lookups!$B$21</f>
        <v>0</v>
      </c>
      <c r="BS969" s="7">
        <f>SUM(Wapato_Inventory[[#This Row],[intercept]:[patio_value]])*Wapato_Inventory[[#This Row],[res_pct]]</f>
        <v>108092.56217999998</v>
      </c>
      <c r="BT969" s="7">
        <f>Wapato_Inventory[[#This Row],[land_value]]</f>
        <v>53800</v>
      </c>
      <c r="BU969" s="2">
        <f>_xlfn.IFNA(VLOOKUP(Wapato_Inventory[[#This Row],[quality]],Lookups!$A$28:$C$37,3,FALSE),1)</f>
        <v>0.96265813922927435</v>
      </c>
      <c r="BV969" s="2">
        <f>_xlfn.IFNA(VLOOKUP(Wapato_Inventory[[#This Row],[condition]],Lookups!$A$41:$C$48,3,FALSE),1)</f>
        <v>0.93399385491337139</v>
      </c>
      <c r="BW969" s="2">
        <f>IF(Wapato_Inventory[[#This Row],[decade]]="",1,_xlfn.IFNA(VLOOKUP(Wapato_Inventory[[#This Row],[decade]],Lookups!$F$28:$H$45,3,FALSE),1))</f>
        <v>0.94742695999815718</v>
      </c>
      <c r="BX969" s="2">
        <f>_xlfn.IFNA(VLOOKUP(Wapato_Inventory[[#This Row],[living_area_range]],Lookups!$K$28:$M$37,3,FALSE),1)</f>
        <v>1.0061411172456287</v>
      </c>
      <c r="BY969" s="2">
        <f>AVERAGE(Wapato_Inventory[[#This Row],[qual_adj]:[range_adj]])</f>
        <v>0.96255501784660791</v>
      </c>
      <c r="BZ969" s="7">
        <f>(Wapato_Inventory[[#This Row],[sum_land]]-IF(Wapato_Inventory[[#This Row],[no_utilities]]=1,12000,0))/IF(Wapato_Inventory[[#This Row],[unbuildable]]=1,2,1)</f>
        <v>53800</v>
      </c>
      <c r="CA969" s="7">
        <f>Wapato_Inventory[[#This Row],[pre_res]]*Wapato_Inventory[[#This Row],[overall_adj]]</f>
        <v>104045.03811825546</v>
      </c>
      <c r="CB969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69" s="3">
        <f>IF(ROUND(Wapato_Inventory[[#This Row],[adj_res]]*Lookups!$H$48,-2)&lt;Wapato_Inventory[[#This Row],[min_res]],Wapato_Inventory[[#This Row],[min_res]],ROUND(Wapato_Inventory[[#This Row],[adj_res]]*Lookups!$H$48,-2))</f>
        <v>98800</v>
      </c>
      <c r="CD969" s="3">
        <f>ROUND(Wapato_Inventory[[#This Row],[det_value]]*Lookups!$H$48,-2)</f>
        <v>0</v>
      </c>
      <c r="CE969" s="3">
        <f>Wapato_Inventory[[#This Row],[final_res]]+Wapato_Inventory[[#This Row],[final_det]]</f>
        <v>98800</v>
      </c>
      <c r="CF969" s="3">
        <f>Wapato_Inventory[[#This Row],[crop_value]]+Wapato_Inventory[[#This Row],[final_land]]+Wapato_Inventory[[#This Row],[final_imp]]</f>
        <v>149900</v>
      </c>
      <c r="CH969" t="str">
        <f t="shared" si="15"/>
        <v>update valuation set market_land =51100, market_bldg=98800, market_total =149900, market_mdno =405, market_date ='9/10/2023' where link_id = (select link_id from parcel where parcel_year = '2024' and parcel_id = '19111522429');</v>
      </c>
    </row>
    <row r="970" spans="1:86" x14ac:dyDescent="0.25">
      <c r="A970">
        <v>19111522430</v>
      </c>
      <c r="B970">
        <v>0.19</v>
      </c>
      <c r="C970">
        <v>8287</v>
      </c>
      <c r="D970" t="s">
        <v>144</v>
      </c>
      <c r="E970" t="s">
        <v>54</v>
      </c>
      <c r="F970" t="s">
        <v>54</v>
      </c>
      <c r="G970">
        <v>3</v>
      </c>
      <c r="H970" t="s">
        <v>55</v>
      </c>
      <c r="I970">
        <v>66200</v>
      </c>
      <c r="J970">
        <v>34100</v>
      </c>
      <c r="K970">
        <v>0.19</v>
      </c>
      <c r="L970">
        <f>IF(Wapato_Inventory[[#This Row],[parcel_acres]]-Wapato_Inventory[[#This Row],[non_valued_acres]] =0,0,LN(Wapato_Inventory[[#This Row],[parcel_acres]]-Wapato_Inventory[[#This Row],[non_valued_acres]]))</f>
        <v>-1.6607312068216509</v>
      </c>
      <c r="M970">
        <v>0</v>
      </c>
      <c r="N970">
        <v>0</v>
      </c>
      <c r="O970">
        <v>0</v>
      </c>
      <c r="P970">
        <v>27904.037</v>
      </c>
      <c r="Q970">
        <v>74398</v>
      </c>
      <c r="R970" s="3">
        <f>(Wapato_Inventory[[#This Row],[ln_acres]]*Wapato_Inventory[[#This Row],[coeff]])+Wapato_Inventory[[#This Row],[const]]</f>
        <v>28056.894957794</v>
      </c>
      <c r="S970" t="s">
        <v>66</v>
      </c>
      <c r="T970">
        <v>1</v>
      </c>
      <c r="U970" t="s">
        <v>71</v>
      </c>
      <c r="V970" t="s">
        <v>73</v>
      </c>
      <c r="W970">
        <v>0</v>
      </c>
      <c r="X970">
        <v>0</v>
      </c>
      <c r="Y970">
        <v>52</v>
      </c>
      <c r="Z970">
        <v>88</v>
      </c>
      <c r="AA970">
        <v>90</v>
      </c>
      <c r="AB970">
        <v>1000</v>
      </c>
      <c r="AC970">
        <v>816</v>
      </c>
      <c r="AD970">
        <v>816</v>
      </c>
      <c r="AE970">
        <v>0</v>
      </c>
      <c r="AF970">
        <v>0</v>
      </c>
      <c r="AG970">
        <v>0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0</v>
      </c>
      <c r="AN970">
        <v>0</v>
      </c>
      <c r="AO970">
        <v>0</v>
      </c>
      <c r="AP970">
        <v>5</v>
      </c>
      <c r="AQ970">
        <v>0</v>
      </c>
      <c r="AR970">
        <v>0</v>
      </c>
      <c r="AS970" t="s">
        <v>59</v>
      </c>
      <c r="AT970">
        <v>0</v>
      </c>
      <c r="AU970" t="s">
        <v>80</v>
      </c>
      <c r="AV970" t="s">
        <v>77</v>
      </c>
      <c r="AW970">
        <v>0</v>
      </c>
      <c r="AX970">
        <v>2</v>
      </c>
      <c r="AY970">
        <v>0</v>
      </c>
      <c r="AZ970">
        <v>0</v>
      </c>
      <c r="BA970">
        <v>100</v>
      </c>
      <c r="BB970">
        <v>100</v>
      </c>
      <c r="BC970">
        <v>100</v>
      </c>
      <c r="BD970">
        <v>100</v>
      </c>
      <c r="BE970">
        <v>1</v>
      </c>
      <c r="BF970">
        <v>15000</v>
      </c>
      <c r="BG970">
        <v>1000</v>
      </c>
      <c r="BH970" s="7">
        <f>ROUND(Wapato_Inventory[[#This Row],[detatched_value]]*Lookups!$B$22*Lookups!$H$48,-2)</f>
        <v>0</v>
      </c>
      <c r="BI970" s="7">
        <f>ROUND(((Wapato_Inventory[[#This Row],[land_extract]]*Lookups!$B$3) +(Lookups!$B$2*0.5))*Lookups!$H$48,-2)</f>
        <v>53800</v>
      </c>
      <c r="BJ970" s="7">
        <f>IF(Wapato_Inventory[[#This Row],[bldg_style]]="",0,Lookups!$B$2*0.5)</f>
        <v>53765.27</v>
      </c>
      <c r="BK970" s="7">
        <f>_xlfn.IFNA(VLOOKUP(Wapato_Inventory[[#This Row],[quality]],Lookups!$H$2:$J$14,3,FALSE),0)</f>
        <v>28034</v>
      </c>
      <c r="BL970" s="7">
        <f>_xlfn.IFNA(VLOOKUP(Wapato_Inventory[[#This Row],[condition]],Lookups!$H$17:$J$24,3,FALSE),0)</f>
        <v>16276</v>
      </c>
      <c r="BM970" s="7">
        <f>Wapato_Inventory[[#This Row],[Age]]*Lookups!$B$16</f>
        <v>-32619.461600000002</v>
      </c>
      <c r="BN970" s="7">
        <f>Wapato_Inventory[[#This Row],[Main Floor]]*Lookups!$B$17</f>
        <v>34109.403023999999</v>
      </c>
      <c r="BO970" s="7">
        <f>Wapato_Inventory[[#This Row],[Upper Floor]]*Lookups!$B$18</f>
        <v>0</v>
      </c>
      <c r="BP970" s="7">
        <f>Wapato_Inventory[[#This Row],[Fin BSMT]]*Lookups!$B$19</f>
        <v>0</v>
      </c>
      <c r="BQ970" s="7">
        <f>(Wapato_Inventory[[#This Row],[att_gar]]+Wapato_Inventory[[#This Row],[blt_gar]])*Lookups!$B$20</f>
        <v>0</v>
      </c>
      <c r="BR970" s="7">
        <f>Wapato_Inventory[[#This Row],[Patio]]*Lookups!$B$21</f>
        <v>0</v>
      </c>
      <c r="BS970" s="7">
        <f>SUM(Wapato_Inventory[[#This Row],[intercept]:[patio_value]])*Wapato_Inventory[[#This Row],[res_pct]]</f>
        <v>99565.211423999979</v>
      </c>
      <c r="BT970" s="7">
        <f>Wapato_Inventory[[#This Row],[land_value]]</f>
        <v>53800</v>
      </c>
      <c r="BU970" s="2">
        <f>_xlfn.IFNA(VLOOKUP(Wapato_Inventory[[#This Row],[quality]],Lookups!$A$28:$C$37,3,FALSE),1)</f>
        <v>0.96265813922927435</v>
      </c>
      <c r="BV970" s="2">
        <f>_xlfn.IFNA(VLOOKUP(Wapato_Inventory[[#This Row],[condition]],Lookups!$A$41:$C$48,3,FALSE),1)</f>
        <v>0.93399385491337139</v>
      </c>
      <c r="BW970" s="2">
        <f>IF(Wapato_Inventory[[#This Row],[decade]]="",1,_xlfn.IFNA(VLOOKUP(Wapato_Inventory[[#This Row],[decade]],Lookups!$F$28:$H$45,3,FALSE),1))</f>
        <v>0.94742695999815718</v>
      </c>
      <c r="BX970" s="2">
        <f>_xlfn.IFNA(VLOOKUP(Wapato_Inventory[[#This Row],[living_area_range]],Lookups!$K$28:$M$37,3,FALSE),1)</f>
        <v>0.99022994770196116</v>
      </c>
      <c r="BY970" s="2">
        <f>AVERAGE(Wapato_Inventory[[#This Row],[qual_adj]:[range_adj]])</f>
        <v>0.95857722546069102</v>
      </c>
      <c r="BZ970" s="7">
        <f>(Wapato_Inventory[[#This Row],[sum_land]]-IF(Wapato_Inventory[[#This Row],[no_utilities]]=1,12000,0))/IF(Wapato_Inventory[[#This Row],[unbuildable]]=1,2,1)</f>
        <v>53800</v>
      </c>
      <c r="CA970" s="7">
        <f>Wapato_Inventory[[#This Row],[pre_res]]*Wapato_Inventory[[#This Row],[overall_adj]]</f>
        <v>95440.944119224994</v>
      </c>
      <c r="CB970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70" s="3">
        <f>IF(ROUND(Wapato_Inventory[[#This Row],[adj_res]]*Lookups!$H$48,-2)&lt;Wapato_Inventory[[#This Row],[min_res]],Wapato_Inventory[[#This Row],[min_res]],ROUND(Wapato_Inventory[[#This Row],[adj_res]]*Lookups!$H$48,-2))</f>
        <v>90700</v>
      </c>
      <c r="CD970" s="3">
        <f>ROUND(Wapato_Inventory[[#This Row],[det_value]]*Lookups!$H$48,-2)</f>
        <v>0</v>
      </c>
      <c r="CE970" s="3">
        <f>Wapato_Inventory[[#This Row],[final_res]]+Wapato_Inventory[[#This Row],[final_det]]</f>
        <v>90700</v>
      </c>
      <c r="CF970" s="3">
        <f>Wapato_Inventory[[#This Row],[crop_value]]+Wapato_Inventory[[#This Row],[final_land]]+Wapato_Inventory[[#This Row],[final_imp]]</f>
        <v>141800</v>
      </c>
      <c r="CH970" t="str">
        <f t="shared" si="15"/>
        <v>update valuation set market_land =51100, market_bldg=90700, market_total =141800, market_mdno =405, market_date ='9/10/2023' where link_id = (select link_id from parcel where parcel_year = '2024' and parcel_id = '19111522430');</v>
      </c>
    </row>
    <row r="971" spans="1:86" x14ac:dyDescent="0.25">
      <c r="A971">
        <v>19111522431</v>
      </c>
      <c r="B971">
        <v>0.19</v>
      </c>
      <c r="C971">
        <v>8287</v>
      </c>
      <c r="D971" t="s">
        <v>144</v>
      </c>
      <c r="E971" t="s">
        <v>54</v>
      </c>
      <c r="F971" t="s">
        <v>54</v>
      </c>
      <c r="G971">
        <v>3</v>
      </c>
      <c r="H971" t="s">
        <v>55</v>
      </c>
      <c r="I971">
        <v>170500</v>
      </c>
      <c r="J971">
        <v>34100</v>
      </c>
      <c r="K971">
        <v>0.19</v>
      </c>
      <c r="L971">
        <f>IF(Wapato_Inventory[[#This Row],[parcel_acres]]-Wapato_Inventory[[#This Row],[non_valued_acres]] =0,0,LN(Wapato_Inventory[[#This Row],[parcel_acres]]-Wapato_Inventory[[#This Row],[non_valued_acres]]))</f>
        <v>-1.6607312068216509</v>
      </c>
      <c r="M971">
        <v>0</v>
      </c>
      <c r="N971">
        <v>0</v>
      </c>
      <c r="O971">
        <v>0</v>
      </c>
      <c r="P971">
        <v>27904.037</v>
      </c>
      <c r="Q971">
        <v>74398</v>
      </c>
      <c r="R971" s="3">
        <f>(Wapato_Inventory[[#This Row],[ln_acres]]*Wapato_Inventory[[#This Row],[coeff]])+Wapato_Inventory[[#This Row],[const]]</f>
        <v>28056.894957794</v>
      </c>
      <c r="S971" t="s">
        <v>66</v>
      </c>
      <c r="T971">
        <v>1</v>
      </c>
      <c r="U971" t="s">
        <v>71</v>
      </c>
      <c r="V971" t="s">
        <v>69</v>
      </c>
      <c r="W971">
        <v>0</v>
      </c>
      <c r="X971">
        <v>0</v>
      </c>
      <c r="Y971">
        <v>51</v>
      </c>
      <c r="Z971">
        <v>83</v>
      </c>
      <c r="AA971">
        <v>90</v>
      </c>
      <c r="AB971">
        <v>1500</v>
      </c>
      <c r="AC971">
        <v>1260</v>
      </c>
      <c r="AD971">
        <v>1260</v>
      </c>
      <c r="AE971">
        <v>0</v>
      </c>
      <c r="AF971">
        <v>0</v>
      </c>
      <c r="AG971">
        <v>0</v>
      </c>
      <c r="AH971">
        <v>0</v>
      </c>
      <c r="AI971">
        <v>0</v>
      </c>
      <c r="AJ971">
        <v>0</v>
      </c>
      <c r="AK971">
        <v>0</v>
      </c>
      <c r="AL971">
        <v>0</v>
      </c>
      <c r="AM971">
        <v>304</v>
      </c>
      <c r="AN971">
        <v>0</v>
      </c>
      <c r="AO971">
        <v>304</v>
      </c>
      <c r="AP971">
        <v>5</v>
      </c>
      <c r="AQ971">
        <v>1</v>
      </c>
      <c r="AR971">
        <v>0</v>
      </c>
      <c r="AS971" t="s">
        <v>59</v>
      </c>
      <c r="AT971">
        <v>1</v>
      </c>
      <c r="AU971" t="s">
        <v>72</v>
      </c>
      <c r="AV971" t="s">
        <v>61</v>
      </c>
      <c r="AW971">
        <v>0</v>
      </c>
      <c r="AX971">
        <v>3</v>
      </c>
      <c r="AY971">
        <v>0</v>
      </c>
      <c r="AZ971">
        <v>0</v>
      </c>
      <c r="BA971">
        <v>100</v>
      </c>
      <c r="BB971">
        <v>100</v>
      </c>
      <c r="BC971">
        <v>100</v>
      </c>
      <c r="BD971">
        <v>100</v>
      </c>
      <c r="BE971">
        <v>1</v>
      </c>
      <c r="BF971">
        <v>15000</v>
      </c>
      <c r="BG971">
        <v>1000</v>
      </c>
      <c r="BH971" s="7">
        <f>ROUND(Wapato_Inventory[[#This Row],[detatched_value]]*Lookups!$B$22*Lookups!$H$48,-2)</f>
        <v>0</v>
      </c>
      <c r="BI971" s="7">
        <f>ROUND(((Wapato_Inventory[[#This Row],[land_extract]]*Lookups!$B$3) +(Lookups!$B$2*0.5))*Lookups!$H$48,-2)</f>
        <v>53800</v>
      </c>
      <c r="BJ971" s="7">
        <f>IF(Wapato_Inventory[[#This Row],[bldg_style]]="",0,Lookups!$B$2*0.5)</f>
        <v>53765.27</v>
      </c>
      <c r="BK971" s="7">
        <f>_xlfn.IFNA(VLOOKUP(Wapato_Inventory[[#This Row],[quality]],Lookups!$H$2:$J$14,3,FALSE),0)</f>
        <v>28034</v>
      </c>
      <c r="BL971" s="7">
        <f>_xlfn.IFNA(VLOOKUP(Wapato_Inventory[[#This Row],[condition]],Lookups!$H$17:$J$24,3,FALSE),0)</f>
        <v>74543</v>
      </c>
      <c r="BM971" s="7">
        <f>Wapato_Inventory[[#This Row],[Age]]*Lookups!$B$16</f>
        <v>-30766.0831</v>
      </c>
      <c r="BN971" s="7">
        <f>Wapato_Inventory[[#This Row],[Main Floor]]*Lookups!$B$17</f>
        <v>52668.931140000001</v>
      </c>
      <c r="BO971" s="7">
        <f>Wapato_Inventory[[#This Row],[Upper Floor]]*Lookups!$B$18</f>
        <v>0</v>
      </c>
      <c r="BP971" s="7">
        <f>Wapato_Inventory[[#This Row],[Fin BSMT]]*Lookups!$B$19</f>
        <v>0</v>
      </c>
      <c r="BQ971" s="7">
        <f>(Wapato_Inventory[[#This Row],[att_gar]]+Wapato_Inventory[[#This Row],[blt_gar]])*Lookups!$B$20</f>
        <v>0</v>
      </c>
      <c r="BR971" s="7">
        <f>Wapato_Inventory[[#This Row],[Patio]]*Lookups!$B$21</f>
        <v>13170.489616000001</v>
      </c>
      <c r="BS971" s="7">
        <f>SUM(Wapato_Inventory[[#This Row],[intercept]:[patio_value]])*Wapato_Inventory[[#This Row],[res_pct]]</f>
        <v>191415.60765599998</v>
      </c>
      <c r="BT971" s="7">
        <f>Wapato_Inventory[[#This Row],[land_value]]</f>
        <v>53800</v>
      </c>
      <c r="BU971" s="2">
        <f>_xlfn.IFNA(VLOOKUP(Wapato_Inventory[[#This Row],[quality]],Lookups!$A$28:$C$37,3,FALSE),1)</f>
        <v>0.96265813922927435</v>
      </c>
      <c r="BV971" s="2">
        <f>_xlfn.IFNA(VLOOKUP(Wapato_Inventory[[#This Row],[condition]],Lookups!$A$41:$C$48,3,FALSE),1)</f>
        <v>0.98442438223270734</v>
      </c>
      <c r="BW971" s="2">
        <f>IF(Wapato_Inventory[[#This Row],[decade]]="",1,_xlfn.IFNA(VLOOKUP(Wapato_Inventory[[#This Row],[decade]],Lookups!$F$28:$H$45,3,FALSE),1))</f>
        <v>0.94742695999815718</v>
      </c>
      <c r="BX971" s="2">
        <f>_xlfn.IFNA(VLOOKUP(Wapato_Inventory[[#This Row],[living_area_range]],Lookups!$K$28:$M$37,3,FALSE),1)</f>
        <v>1.0061411172456287</v>
      </c>
      <c r="BY971" s="2">
        <f>AVERAGE(Wapato_Inventory[[#This Row],[qual_adj]:[range_adj]])</f>
        <v>0.97516264967644184</v>
      </c>
      <c r="BZ971" s="7">
        <f>(Wapato_Inventory[[#This Row],[sum_land]]-IF(Wapato_Inventory[[#This Row],[no_utilities]]=1,12000,0))/IF(Wapato_Inventory[[#This Row],[unbuildable]]=1,2,1)</f>
        <v>53800</v>
      </c>
      <c r="CA971" s="7">
        <f>Wapato_Inventory[[#This Row],[pre_res]]*Wapato_Inventory[[#This Row],[overall_adj]]</f>
        <v>186661.35115125115</v>
      </c>
      <c r="CB971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71" s="3">
        <f>IF(ROUND(Wapato_Inventory[[#This Row],[adj_res]]*Lookups!$H$48,-2)&lt;Wapato_Inventory[[#This Row],[min_res]],Wapato_Inventory[[#This Row],[min_res]],ROUND(Wapato_Inventory[[#This Row],[adj_res]]*Lookups!$H$48,-2))</f>
        <v>177300</v>
      </c>
      <c r="CD971" s="3">
        <f>ROUND(Wapato_Inventory[[#This Row],[det_value]]*Lookups!$H$48,-2)</f>
        <v>0</v>
      </c>
      <c r="CE971" s="3">
        <f>Wapato_Inventory[[#This Row],[final_res]]+Wapato_Inventory[[#This Row],[final_det]]</f>
        <v>177300</v>
      </c>
      <c r="CF971" s="3">
        <f>Wapato_Inventory[[#This Row],[crop_value]]+Wapato_Inventory[[#This Row],[final_land]]+Wapato_Inventory[[#This Row],[final_imp]]</f>
        <v>228400</v>
      </c>
      <c r="CH971" t="str">
        <f t="shared" si="15"/>
        <v>update valuation set market_land =51100, market_bldg=177300, market_total =228400, market_mdno =405, market_date ='9/10/2023' where link_id = (select link_id from parcel where parcel_year = '2024' and parcel_id = '19111522431');</v>
      </c>
    </row>
    <row r="972" spans="1:86" x14ac:dyDescent="0.25">
      <c r="A972">
        <v>19111522432</v>
      </c>
      <c r="B972">
        <v>0.19</v>
      </c>
      <c r="C972">
        <v>8287</v>
      </c>
      <c r="D972" t="s">
        <v>144</v>
      </c>
      <c r="E972" t="s">
        <v>54</v>
      </c>
      <c r="F972" t="s">
        <v>54</v>
      </c>
      <c r="G972">
        <v>3</v>
      </c>
      <c r="H972" t="s">
        <v>55</v>
      </c>
      <c r="I972">
        <v>100700</v>
      </c>
      <c r="J972">
        <v>34100</v>
      </c>
      <c r="K972">
        <v>0.19</v>
      </c>
      <c r="L972">
        <f>IF(Wapato_Inventory[[#This Row],[parcel_acres]]-Wapato_Inventory[[#This Row],[non_valued_acres]] =0,0,LN(Wapato_Inventory[[#This Row],[parcel_acres]]-Wapato_Inventory[[#This Row],[non_valued_acres]]))</f>
        <v>-1.6607312068216509</v>
      </c>
      <c r="M972">
        <v>0</v>
      </c>
      <c r="N972">
        <v>0</v>
      </c>
      <c r="O972">
        <v>0</v>
      </c>
      <c r="P972">
        <v>27904.037</v>
      </c>
      <c r="Q972">
        <v>74398</v>
      </c>
      <c r="R972" s="3">
        <f>(Wapato_Inventory[[#This Row],[ln_acres]]*Wapato_Inventory[[#This Row],[coeff]])+Wapato_Inventory[[#This Row],[const]]</f>
        <v>28056.894957794</v>
      </c>
      <c r="S972" t="s">
        <v>66</v>
      </c>
      <c r="T972">
        <v>1</v>
      </c>
      <c r="U972" t="s">
        <v>75</v>
      </c>
      <c r="V972" t="s">
        <v>68</v>
      </c>
      <c r="W972">
        <v>0</v>
      </c>
      <c r="X972">
        <v>0</v>
      </c>
      <c r="Y972">
        <v>49</v>
      </c>
      <c r="Z972">
        <v>68</v>
      </c>
      <c r="AA972">
        <v>70</v>
      </c>
      <c r="AB972">
        <v>1500</v>
      </c>
      <c r="AC972">
        <v>1108</v>
      </c>
      <c r="AD972">
        <v>1108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v>0</v>
      </c>
      <c r="AK972">
        <v>0</v>
      </c>
      <c r="AL972">
        <v>0</v>
      </c>
      <c r="AM972">
        <v>84</v>
      </c>
      <c r="AN972">
        <v>0</v>
      </c>
      <c r="AO972">
        <v>42</v>
      </c>
      <c r="AP972">
        <v>8</v>
      </c>
      <c r="AQ972">
        <v>0</v>
      </c>
      <c r="AR972">
        <v>0</v>
      </c>
      <c r="AS972" t="s">
        <v>59</v>
      </c>
      <c r="AT972">
        <v>1</v>
      </c>
      <c r="AU972" t="s">
        <v>64</v>
      </c>
      <c r="AV972" t="s">
        <v>65</v>
      </c>
      <c r="AW972">
        <v>0</v>
      </c>
      <c r="AX972">
        <v>3</v>
      </c>
      <c r="AY972">
        <v>0</v>
      </c>
      <c r="AZ972">
        <v>11100</v>
      </c>
      <c r="BA972">
        <v>100</v>
      </c>
      <c r="BB972">
        <v>100</v>
      </c>
      <c r="BC972">
        <v>100</v>
      </c>
      <c r="BD972">
        <v>100</v>
      </c>
      <c r="BE972">
        <v>1</v>
      </c>
      <c r="BF972">
        <v>15000</v>
      </c>
      <c r="BG972">
        <v>1000</v>
      </c>
      <c r="BH972" s="7">
        <f>ROUND(Wapato_Inventory[[#This Row],[detatched_value]]*Lookups!$B$22*Lookups!$H$48,-2)</f>
        <v>9900</v>
      </c>
      <c r="BI972" s="7">
        <f>ROUND(((Wapato_Inventory[[#This Row],[land_extract]]*Lookups!$B$3) +(Lookups!$B$2*0.5))*Lookups!$H$48,-2)</f>
        <v>53800</v>
      </c>
      <c r="BJ972" s="7">
        <f>IF(Wapato_Inventory[[#This Row],[bldg_style]]="",0,Lookups!$B$2*0.5)</f>
        <v>53765.27</v>
      </c>
      <c r="BK972" s="7">
        <f>_xlfn.IFNA(VLOOKUP(Wapato_Inventory[[#This Row],[quality]],Lookups!$H$2:$J$14,3,FALSE),0)</f>
        <v>48043</v>
      </c>
      <c r="BL972" s="7">
        <f>_xlfn.IFNA(VLOOKUP(Wapato_Inventory[[#This Row],[condition]],Lookups!$H$17:$J$24,3,FALSE),0)</f>
        <v>52231</v>
      </c>
      <c r="BM972" s="7">
        <f>Wapato_Inventory[[#This Row],[Age]]*Lookups!$B$16</f>
        <v>-25205.9476</v>
      </c>
      <c r="BN972" s="7">
        <f>Wapato_Inventory[[#This Row],[Main Floor]]*Lookups!$B$17</f>
        <v>46315.218811999999</v>
      </c>
      <c r="BO972" s="7">
        <f>Wapato_Inventory[[#This Row],[Upper Floor]]*Lookups!$B$18</f>
        <v>0</v>
      </c>
      <c r="BP972" s="7">
        <f>Wapato_Inventory[[#This Row],[Fin BSMT]]*Lookups!$B$19</f>
        <v>0</v>
      </c>
      <c r="BQ972" s="7">
        <f>(Wapato_Inventory[[#This Row],[att_gar]]+Wapato_Inventory[[#This Row],[blt_gar]])*Lookups!$B$20</f>
        <v>0</v>
      </c>
      <c r="BR972" s="7">
        <f>Wapato_Inventory[[#This Row],[Patio]]*Lookups!$B$21</f>
        <v>3639.2142360000003</v>
      </c>
      <c r="BS972" s="7">
        <f>SUM(Wapato_Inventory[[#This Row],[intercept]:[patio_value]])*Wapato_Inventory[[#This Row],[res_pct]]</f>
        <v>178787.75544799998</v>
      </c>
      <c r="BT972" s="7">
        <f>Wapato_Inventory[[#This Row],[land_value]]</f>
        <v>53800</v>
      </c>
      <c r="BU972" s="2">
        <f>_xlfn.IFNA(VLOOKUP(Wapato_Inventory[[#This Row],[quality]],Lookups!$A$28:$C$37,3,FALSE),1)</f>
        <v>0.98196844879778955</v>
      </c>
      <c r="BV972" s="2">
        <f>_xlfn.IFNA(VLOOKUP(Wapato_Inventory[[#This Row],[condition]],Lookups!$A$41:$C$48,3,FALSE),1)</f>
        <v>0.9832333997567807</v>
      </c>
      <c r="BW972" s="2">
        <f>IF(Wapato_Inventory[[#This Row],[decade]]="",1,_xlfn.IFNA(VLOOKUP(Wapato_Inventory[[#This Row],[decade]],Lookups!$F$28:$H$45,3,FALSE),1))</f>
        <v>1.0012715221492001</v>
      </c>
      <c r="BX972" s="2">
        <f>_xlfn.IFNA(VLOOKUP(Wapato_Inventory[[#This Row],[living_area_range]],Lookups!$K$28:$M$37,3,FALSE),1)</f>
        <v>1.0061411172456287</v>
      </c>
      <c r="BY972" s="2">
        <f>AVERAGE(Wapato_Inventory[[#This Row],[qual_adj]:[range_adj]])</f>
        <v>0.9931536219873498</v>
      </c>
      <c r="BZ972" s="7">
        <f>(Wapato_Inventory[[#This Row],[sum_land]]-IF(Wapato_Inventory[[#This Row],[no_utilities]]=1,12000,0))/IF(Wapato_Inventory[[#This Row],[unbuildable]]=1,2,1)</f>
        <v>53800</v>
      </c>
      <c r="CA972" s="7">
        <f>Wapato_Inventory[[#This Row],[pre_res]]*Wapato_Inventory[[#This Row],[overall_adj]]</f>
        <v>177563.70689016971</v>
      </c>
      <c r="CB972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72" s="3">
        <f>IF(ROUND(Wapato_Inventory[[#This Row],[adj_res]]*Lookups!$H$48,-2)&lt;Wapato_Inventory[[#This Row],[min_res]],Wapato_Inventory[[#This Row],[min_res]],ROUND(Wapato_Inventory[[#This Row],[adj_res]]*Lookups!$H$48,-2))</f>
        <v>168700</v>
      </c>
      <c r="CD972" s="3">
        <f>ROUND(Wapato_Inventory[[#This Row],[det_value]]*Lookups!$H$48,-2)</f>
        <v>9400</v>
      </c>
      <c r="CE972" s="3">
        <f>Wapato_Inventory[[#This Row],[final_res]]+Wapato_Inventory[[#This Row],[final_det]]</f>
        <v>178100</v>
      </c>
      <c r="CF972" s="3">
        <f>Wapato_Inventory[[#This Row],[crop_value]]+Wapato_Inventory[[#This Row],[final_land]]+Wapato_Inventory[[#This Row],[final_imp]]</f>
        <v>229200</v>
      </c>
      <c r="CH972" t="str">
        <f t="shared" si="15"/>
        <v>update valuation set market_land =51100, market_bldg=178100, market_total =229200, market_mdno =405, market_date ='9/10/2023' where link_id = (select link_id from parcel where parcel_year = '2024' and parcel_id = '19111522432');</v>
      </c>
    </row>
    <row r="973" spans="1:86" x14ac:dyDescent="0.25">
      <c r="A973">
        <v>19111522433</v>
      </c>
      <c r="B973">
        <v>0.19</v>
      </c>
      <c r="C973">
        <v>8287</v>
      </c>
      <c r="D973" t="s">
        <v>144</v>
      </c>
      <c r="E973" t="s">
        <v>54</v>
      </c>
      <c r="F973" t="s">
        <v>54</v>
      </c>
      <c r="G973">
        <v>3</v>
      </c>
      <c r="H973" t="s">
        <v>55</v>
      </c>
      <c r="I973">
        <v>126800</v>
      </c>
      <c r="J973">
        <v>34100</v>
      </c>
      <c r="K973">
        <v>0.19</v>
      </c>
      <c r="L973">
        <f>IF(Wapato_Inventory[[#This Row],[parcel_acres]]-Wapato_Inventory[[#This Row],[non_valued_acres]] =0,0,LN(Wapato_Inventory[[#This Row],[parcel_acres]]-Wapato_Inventory[[#This Row],[non_valued_acres]]))</f>
        <v>-1.6607312068216509</v>
      </c>
      <c r="M973">
        <v>0</v>
      </c>
      <c r="N973">
        <v>0</v>
      </c>
      <c r="O973">
        <v>0</v>
      </c>
      <c r="P973">
        <v>27904.037</v>
      </c>
      <c r="Q973">
        <v>74398</v>
      </c>
      <c r="R973" s="3">
        <f>(Wapato_Inventory[[#This Row],[ln_acres]]*Wapato_Inventory[[#This Row],[coeff]])+Wapato_Inventory[[#This Row],[const]]</f>
        <v>28056.894957794</v>
      </c>
      <c r="S973" t="s">
        <v>66</v>
      </c>
      <c r="T973">
        <v>1</v>
      </c>
      <c r="U973" t="s">
        <v>71</v>
      </c>
      <c r="V973" t="s">
        <v>68</v>
      </c>
      <c r="W973">
        <v>0</v>
      </c>
      <c r="X973">
        <v>0</v>
      </c>
      <c r="Y973">
        <v>50</v>
      </c>
      <c r="Z973">
        <v>71</v>
      </c>
      <c r="AA973">
        <v>80</v>
      </c>
      <c r="AB973">
        <v>1500</v>
      </c>
      <c r="AC973">
        <v>1182</v>
      </c>
      <c r="AD973">
        <v>1182</v>
      </c>
      <c r="AE973">
        <v>0</v>
      </c>
      <c r="AF973">
        <v>0</v>
      </c>
      <c r="AG973">
        <v>0</v>
      </c>
      <c r="AH973">
        <v>0</v>
      </c>
      <c r="AI973">
        <v>0</v>
      </c>
      <c r="AJ973">
        <v>0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5</v>
      </c>
      <c r="AQ973">
        <v>0</v>
      </c>
      <c r="AR973">
        <v>0</v>
      </c>
      <c r="AS973" t="s">
        <v>59</v>
      </c>
      <c r="AT973">
        <v>0</v>
      </c>
      <c r="AU973" t="s">
        <v>80</v>
      </c>
      <c r="AV973" t="s">
        <v>77</v>
      </c>
      <c r="AW973">
        <v>0</v>
      </c>
      <c r="AX973">
        <v>2</v>
      </c>
      <c r="AY973">
        <v>0</v>
      </c>
      <c r="AZ973">
        <v>0</v>
      </c>
      <c r="BA973">
        <v>100</v>
      </c>
      <c r="BB973">
        <v>100</v>
      </c>
      <c r="BC973">
        <v>100</v>
      </c>
      <c r="BD973">
        <v>100</v>
      </c>
      <c r="BE973">
        <v>1</v>
      </c>
      <c r="BF973">
        <v>15000</v>
      </c>
      <c r="BG973">
        <v>1000</v>
      </c>
      <c r="BH973" s="7">
        <f>ROUND(Wapato_Inventory[[#This Row],[detatched_value]]*Lookups!$B$22*Lookups!$H$48,-2)</f>
        <v>0</v>
      </c>
      <c r="BI973" s="7">
        <f>ROUND(((Wapato_Inventory[[#This Row],[land_extract]]*Lookups!$B$3) +(Lookups!$B$2*0.5))*Lookups!$H$48,-2)</f>
        <v>53800</v>
      </c>
      <c r="BJ973" s="7">
        <f>IF(Wapato_Inventory[[#This Row],[bldg_style]]="",0,Lookups!$B$2*0.5)</f>
        <v>53765.27</v>
      </c>
      <c r="BK973" s="7">
        <f>_xlfn.IFNA(VLOOKUP(Wapato_Inventory[[#This Row],[quality]],Lookups!$H$2:$J$14,3,FALSE),0)</f>
        <v>28034</v>
      </c>
      <c r="BL973" s="7">
        <f>_xlfn.IFNA(VLOOKUP(Wapato_Inventory[[#This Row],[condition]],Lookups!$H$17:$J$24,3,FALSE),0)</f>
        <v>52231</v>
      </c>
      <c r="BM973" s="7">
        <f>Wapato_Inventory[[#This Row],[Age]]*Lookups!$B$16</f>
        <v>-26317.974699999999</v>
      </c>
      <c r="BN973" s="7">
        <f>Wapato_Inventory[[#This Row],[Main Floor]]*Lookups!$B$17</f>
        <v>49408.473497999999</v>
      </c>
      <c r="BO973" s="7">
        <f>Wapato_Inventory[[#This Row],[Upper Floor]]*Lookups!$B$18</f>
        <v>0</v>
      </c>
      <c r="BP973" s="7">
        <f>Wapato_Inventory[[#This Row],[Fin BSMT]]*Lookups!$B$19</f>
        <v>0</v>
      </c>
      <c r="BQ973" s="7">
        <f>(Wapato_Inventory[[#This Row],[att_gar]]+Wapato_Inventory[[#This Row],[blt_gar]])*Lookups!$B$20</f>
        <v>0</v>
      </c>
      <c r="BR973" s="7">
        <f>Wapato_Inventory[[#This Row],[Patio]]*Lookups!$B$21</f>
        <v>0</v>
      </c>
      <c r="BS973" s="7">
        <f>SUM(Wapato_Inventory[[#This Row],[intercept]:[patio_value]])*Wapato_Inventory[[#This Row],[res_pct]]</f>
        <v>157120.768798</v>
      </c>
      <c r="BT973" s="7">
        <f>Wapato_Inventory[[#This Row],[land_value]]</f>
        <v>53800</v>
      </c>
      <c r="BU973" s="2">
        <f>_xlfn.IFNA(VLOOKUP(Wapato_Inventory[[#This Row],[quality]],Lookups!$A$28:$C$37,3,FALSE),1)</f>
        <v>0.96265813922927435</v>
      </c>
      <c r="BV973" s="2">
        <f>_xlfn.IFNA(VLOOKUP(Wapato_Inventory[[#This Row],[condition]],Lookups!$A$41:$C$48,3,FALSE),1)</f>
        <v>0.9832333997567807</v>
      </c>
      <c r="BW973" s="2">
        <f>IF(Wapato_Inventory[[#This Row],[decade]]="",1,_xlfn.IFNA(VLOOKUP(Wapato_Inventory[[#This Row],[decade]],Lookups!$F$28:$H$45,3,FALSE),1))</f>
        <v>0.8438929209510081</v>
      </c>
      <c r="BX973" s="2">
        <f>_xlfn.IFNA(VLOOKUP(Wapato_Inventory[[#This Row],[living_area_range]],Lookups!$K$28:$M$37,3,FALSE),1)</f>
        <v>1.0061411172456287</v>
      </c>
      <c r="BY973" s="2">
        <f>AVERAGE(Wapato_Inventory[[#This Row],[qual_adj]:[range_adj]])</f>
        <v>0.94898139429567296</v>
      </c>
      <c r="BZ973" s="7">
        <f>(Wapato_Inventory[[#This Row],[sum_land]]-IF(Wapato_Inventory[[#This Row],[no_utilities]]=1,12000,0))/IF(Wapato_Inventory[[#This Row],[unbuildable]]=1,2,1)</f>
        <v>53800</v>
      </c>
      <c r="CA973" s="7">
        <f>Wapato_Inventory[[#This Row],[pre_res]]*Wapato_Inventory[[#This Row],[overall_adj]]</f>
        <v>149104.68624673411</v>
      </c>
      <c r="CB973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73" s="3">
        <f>IF(ROUND(Wapato_Inventory[[#This Row],[adj_res]]*Lookups!$H$48,-2)&lt;Wapato_Inventory[[#This Row],[min_res]],Wapato_Inventory[[#This Row],[min_res]],ROUND(Wapato_Inventory[[#This Row],[adj_res]]*Lookups!$H$48,-2))</f>
        <v>141600</v>
      </c>
      <c r="CD973" s="3">
        <f>ROUND(Wapato_Inventory[[#This Row],[det_value]]*Lookups!$H$48,-2)</f>
        <v>0</v>
      </c>
      <c r="CE973" s="3">
        <f>Wapato_Inventory[[#This Row],[final_res]]+Wapato_Inventory[[#This Row],[final_det]]</f>
        <v>141600</v>
      </c>
      <c r="CF973" s="3">
        <f>Wapato_Inventory[[#This Row],[crop_value]]+Wapato_Inventory[[#This Row],[final_land]]+Wapato_Inventory[[#This Row],[final_imp]]</f>
        <v>192700</v>
      </c>
      <c r="CH973" t="str">
        <f t="shared" si="15"/>
        <v>update valuation set market_land =51100, market_bldg=141600, market_total =192700, market_mdno =405, market_date ='9/10/2023' where link_id = (select link_id from parcel where parcel_year = '2024' and parcel_id = '19111522433');</v>
      </c>
    </row>
    <row r="974" spans="1:86" x14ac:dyDescent="0.25">
      <c r="A974">
        <v>19111522435</v>
      </c>
      <c r="B974">
        <v>0.19</v>
      </c>
      <c r="C974">
        <v>8287</v>
      </c>
      <c r="D974" t="s">
        <v>144</v>
      </c>
      <c r="E974" t="s">
        <v>54</v>
      </c>
      <c r="F974" t="s">
        <v>54</v>
      </c>
      <c r="G974">
        <v>3</v>
      </c>
      <c r="H974" t="s">
        <v>55</v>
      </c>
      <c r="I974">
        <v>117500</v>
      </c>
      <c r="J974">
        <v>34100</v>
      </c>
      <c r="K974">
        <v>0.19</v>
      </c>
      <c r="L974">
        <f>IF(Wapato_Inventory[[#This Row],[parcel_acres]]-Wapato_Inventory[[#This Row],[non_valued_acres]] =0,0,LN(Wapato_Inventory[[#This Row],[parcel_acres]]-Wapato_Inventory[[#This Row],[non_valued_acres]]))</f>
        <v>-1.6607312068216509</v>
      </c>
      <c r="M974">
        <v>0</v>
      </c>
      <c r="N974">
        <v>0</v>
      </c>
      <c r="O974">
        <v>0</v>
      </c>
      <c r="P974">
        <v>27904.037</v>
      </c>
      <c r="Q974">
        <v>74398</v>
      </c>
      <c r="R974" s="3">
        <f>(Wapato_Inventory[[#This Row],[ln_acres]]*Wapato_Inventory[[#This Row],[coeff]])+Wapato_Inventory[[#This Row],[const]]</f>
        <v>28056.894957794</v>
      </c>
      <c r="S974" t="s">
        <v>66</v>
      </c>
      <c r="T974">
        <v>1</v>
      </c>
      <c r="U974" t="s">
        <v>71</v>
      </c>
      <c r="V974" t="s">
        <v>68</v>
      </c>
      <c r="W974">
        <v>0</v>
      </c>
      <c r="X974">
        <v>0</v>
      </c>
      <c r="Y974">
        <v>46</v>
      </c>
      <c r="Z974">
        <v>53</v>
      </c>
      <c r="AA974">
        <v>60</v>
      </c>
      <c r="AB974">
        <v>1000</v>
      </c>
      <c r="AC974">
        <v>896</v>
      </c>
      <c r="AD974">
        <v>896</v>
      </c>
      <c r="AE974">
        <v>0</v>
      </c>
      <c r="AF974">
        <v>0</v>
      </c>
      <c r="AG974">
        <v>0</v>
      </c>
      <c r="AH974">
        <v>0</v>
      </c>
      <c r="AI974">
        <v>0</v>
      </c>
      <c r="AJ974">
        <v>0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5</v>
      </c>
      <c r="AQ974">
        <v>0</v>
      </c>
      <c r="AR974">
        <v>0</v>
      </c>
      <c r="AS974" t="s">
        <v>59</v>
      </c>
      <c r="AT974">
        <v>0</v>
      </c>
      <c r="AU974" t="s">
        <v>80</v>
      </c>
      <c r="AV974" t="s">
        <v>77</v>
      </c>
      <c r="AW974">
        <v>0</v>
      </c>
      <c r="AX974">
        <v>2</v>
      </c>
      <c r="AY974">
        <v>0</v>
      </c>
      <c r="AZ974">
        <v>0</v>
      </c>
      <c r="BA974">
        <v>100</v>
      </c>
      <c r="BB974">
        <v>100</v>
      </c>
      <c r="BC974">
        <v>100</v>
      </c>
      <c r="BD974">
        <v>100</v>
      </c>
      <c r="BE974">
        <v>1</v>
      </c>
      <c r="BF974">
        <v>15000</v>
      </c>
      <c r="BG974">
        <v>1000</v>
      </c>
      <c r="BH974" s="7">
        <f>ROUND(Wapato_Inventory[[#This Row],[detatched_value]]*Lookups!$B$22*Lookups!$H$48,-2)</f>
        <v>0</v>
      </c>
      <c r="BI974" s="7">
        <f>ROUND(((Wapato_Inventory[[#This Row],[land_extract]]*Lookups!$B$3) +(Lookups!$B$2*0.5))*Lookups!$H$48,-2)</f>
        <v>53800</v>
      </c>
      <c r="BJ974" s="7">
        <f>IF(Wapato_Inventory[[#This Row],[bldg_style]]="",0,Lookups!$B$2*0.5)</f>
        <v>53765.27</v>
      </c>
      <c r="BK974" s="7">
        <f>_xlfn.IFNA(VLOOKUP(Wapato_Inventory[[#This Row],[quality]],Lookups!$H$2:$J$14,3,FALSE),0)</f>
        <v>28034</v>
      </c>
      <c r="BL974" s="7">
        <f>_xlfn.IFNA(VLOOKUP(Wapato_Inventory[[#This Row],[condition]],Lookups!$H$17:$J$24,3,FALSE),0)</f>
        <v>52231</v>
      </c>
      <c r="BM974" s="7">
        <f>Wapato_Inventory[[#This Row],[Age]]*Lookups!$B$16</f>
        <v>-19645.812099999999</v>
      </c>
      <c r="BN974" s="7">
        <f>Wapato_Inventory[[#This Row],[Main Floor]]*Lookups!$B$17</f>
        <v>37453.462143999997</v>
      </c>
      <c r="BO974" s="7">
        <f>Wapato_Inventory[[#This Row],[Upper Floor]]*Lookups!$B$18</f>
        <v>0</v>
      </c>
      <c r="BP974" s="7">
        <f>Wapato_Inventory[[#This Row],[Fin BSMT]]*Lookups!$B$19</f>
        <v>0</v>
      </c>
      <c r="BQ974" s="7">
        <f>(Wapato_Inventory[[#This Row],[att_gar]]+Wapato_Inventory[[#This Row],[blt_gar]])*Lookups!$B$20</f>
        <v>0</v>
      </c>
      <c r="BR974" s="7">
        <f>Wapato_Inventory[[#This Row],[Patio]]*Lookups!$B$21</f>
        <v>0</v>
      </c>
      <c r="BS974" s="7">
        <f>SUM(Wapato_Inventory[[#This Row],[intercept]:[patio_value]])*Wapato_Inventory[[#This Row],[res_pct]]</f>
        <v>151837.920044</v>
      </c>
      <c r="BT974" s="7">
        <f>Wapato_Inventory[[#This Row],[land_value]]</f>
        <v>53800</v>
      </c>
      <c r="BU974" s="2">
        <f>_xlfn.IFNA(VLOOKUP(Wapato_Inventory[[#This Row],[quality]],Lookups!$A$28:$C$37,3,FALSE),1)</f>
        <v>0.96265813922927435</v>
      </c>
      <c r="BV974" s="2">
        <f>_xlfn.IFNA(VLOOKUP(Wapato_Inventory[[#This Row],[condition]],Lookups!$A$41:$C$48,3,FALSE),1)</f>
        <v>0.9832333997567807</v>
      </c>
      <c r="BW974" s="2">
        <f>IF(Wapato_Inventory[[#This Row],[decade]]="",1,_xlfn.IFNA(VLOOKUP(Wapato_Inventory[[#This Row],[decade]],Lookups!$F$28:$H$45,3,FALSE),1))</f>
        <v>1.035341704162583</v>
      </c>
      <c r="BX974" s="2">
        <f>_xlfn.IFNA(VLOOKUP(Wapato_Inventory[[#This Row],[living_area_range]],Lookups!$K$28:$M$37,3,FALSE),1)</f>
        <v>0.99022994770196116</v>
      </c>
      <c r="BY974" s="2">
        <f>AVERAGE(Wapato_Inventory[[#This Row],[qual_adj]:[range_adj]])</f>
        <v>0.99286579771264971</v>
      </c>
      <c r="BZ974" s="7">
        <f>(Wapato_Inventory[[#This Row],[sum_land]]-IF(Wapato_Inventory[[#This Row],[no_utilities]]=1,12000,0))/IF(Wapato_Inventory[[#This Row],[unbuildable]]=1,2,1)</f>
        <v>53800</v>
      </c>
      <c r="CA974" s="7">
        <f>Wapato_Inventory[[#This Row],[pre_res]]*Wapato_Inventory[[#This Row],[overall_adj]]</f>
        <v>150754.67760751559</v>
      </c>
      <c r="CB974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74" s="3">
        <f>IF(ROUND(Wapato_Inventory[[#This Row],[adj_res]]*Lookups!$H$48,-2)&lt;Wapato_Inventory[[#This Row],[min_res]],Wapato_Inventory[[#This Row],[min_res]],ROUND(Wapato_Inventory[[#This Row],[adj_res]]*Lookups!$H$48,-2))</f>
        <v>143200</v>
      </c>
      <c r="CD974" s="3">
        <f>ROUND(Wapato_Inventory[[#This Row],[det_value]]*Lookups!$H$48,-2)</f>
        <v>0</v>
      </c>
      <c r="CE974" s="3">
        <f>Wapato_Inventory[[#This Row],[final_res]]+Wapato_Inventory[[#This Row],[final_det]]</f>
        <v>143200</v>
      </c>
      <c r="CF974" s="3">
        <f>Wapato_Inventory[[#This Row],[crop_value]]+Wapato_Inventory[[#This Row],[final_land]]+Wapato_Inventory[[#This Row],[final_imp]]</f>
        <v>194300</v>
      </c>
      <c r="CH974" t="str">
        <f t="shared" si="15"/>
        <v>update valuation set market_land =51100, market_bldg=143200, market_total =194300, market_mdno =405, market_date ='9/10/2023' where link_id = (select link_id from parcel where parcel_year = '2024' and parcel_id = '19111522435');</v>
      </c>
    </row>
    <row r="975" spans="1:86" x14ac:dyDescent="0.25">
      <c r="A975">
        <v>19111522436</v>
      </c>
      <c r="B975">
        <v>0.37</v>
      </c>
      <c r="C975">
        <v>16250</v>
      </c>
      <c r="D975" t="s">
        <v>144</v>
      </c>
      <c r="E975" t="s">
        <v>54</v>
      </c>
      <c r="F975" t="s">
        <v>54</v>
      </c>
      <c r="G975">
        <v>3</v>
      </c>
      <c r="H975" t="s">
        <v>55</v>
      </c>
      <c r="I975">
        <v>91800</v>
      </c>
      <c r="J975">
        <v>38800</v>
      </c>
      <c r="K975">
        <v>0.37</v>
      </c>
      <c r="L975">
        <f>IF(Wapato_Inventory[[#This Row],[parcel_acres]]-Wapato_Inventory[[#This Row],[non_valued_acres]] =0,0,LN(Wapato_Inventory[[#This Row],[parcel_acres]]-Wapato_Inventory[[#This Row],[non_valued_acres]]))</f>
        <v>-0.9942522733438669</v>
      </c>
      <c r="M975">
        <v>0</v>
      </c>
      <c r="N975">
        <v>0</v>
      </c>
      <c r="O975">
        <v>0</v>
      </c>
      <c r="P975">
        <v>27904.037</v>
      </c>
      <c r="Q975">
        <v>74398</v>
      </c>
      <c r="R975" s="3">
        <f>(Wapato_Inventory[[#This Row],[ln_acres]]*Wapato_Inventory[[#This Row],[coeff]])+Wapato_Inventory[[#This Row],[const]]</f>
        <v>46654.347777278628</v>
      </c>
      <c r="S975" t="s">
        <v>66</v>
      </c>
      <c r="T975">
        <v>1</v>
      </c>
      <c r="U975" t="s">
        <v>71</v>
      </c>
      <c r="V975" t="s">
        <v>73</v>
      </c>
      <c r="W975">
        <v>0</v>
      </c>
      <c r="X975">
        <v>0</v>
      </c>
      <c r="Y975">
        <v>50</v>
      </c>
      <c r="Z975">
        <v>74</v>
      </c>
      <c r="AA975">
        <v>80</v>
      </c>
      <c r="AB975">
        <v>1500</v>
      </c>
      <c r="AC975">
        <v>1344</v>
      </c>
      <c r="AD975">
        <v>1056</v>
      </c>
      <c r="AE975">
        <v>0</v>
      </c>
      <c r="AF975">
        <v>288</v>
      </c>
      <c r="AG975">
        <v>0</v>
      </c>
      <c r="AH975">
        <v>0</v>
      </c>
      <c r="AI975">
        <v>0</v>
      </c>
      <c r="AJ975">
        <v>0</v>
      </c>
      <c r="AK975">
        <v>0</v>
      </c>
      <c r="AL975">
        <v>0</v>
      </c>
      <c r="AM975">
        <v>240</v>
      </c>
      <c r="AN975">
        <v>70</v>
      </c>
      <c r="AO975">
        <v>240</v>
      </c>
      <c r="AP975">
        <v>8</v>
      </c>
      <c r="AQ975">
        <v>0</v>
      </c>
      <c r="AR975">
        <v>0</v>
      </c>
      <c r="AS975" t="s">
        <v>59</v>
      </c>
      <c r="AT975">
        <v>0</v>
      </c>
      <c r="AU975" t="s">
        <v>80</v>
      </c>
      <c r="AV975" t="s">
        <v>77</v>
      </c>
      <c r="AW975">
        <v>0</v>
      </c>
      <c r="AX975">
        <v>3</v>
      </c>
      <c r="AY975">
        <v>0</v>
      </c>
      <c r="AZ975">
        <v>6800</v>
      </c>
      <c r="BA975">
        <v>100</v>
      </c>
      <c r="BB975">
        <v>100</v>
      </c>
      <c r="BC975">
        <v>100</v>
      </c>
      <c r="BD975">
        <v>100</v>
      </c>
      <c r="BE975">
        <v>1</v>
      </c>
      <c r="BF975">
        <v>15000</v>
      </c>
      <c r="BG975">
        <v>1000</v>
      </c>
      <c r="BH975" s="7">
        <f>ROUND(Wapato_Inventory[[#This Row],[detatched_value]]*Lookups!$B$22*Lookups!$H$48,-2)</f>
        <v>6100</v>
      </c>
      <c r="BI975" s="7">
        <f>ROUND(((Wapato_Inventory[[#This Row],[land_extract]]*Lookups!$B$3) +(Lookups!$B$2*0.5))*Lookups!$H$48,-2)</f>
        <v>55600</v>
      </c>
      <c r="BJ975" s="7">
        <f>IF(Wapato_Inventory[[#This Row],[bldg_style]]="",0,Lookups!$B$2*0.5)</f>
        <v>53765.27</v>
      </c>
      <c r="BK975" s="7">
        <f>_xlfn.IFNA(VLOOKUP(Wapato_Inventory[[#This Row],[quality]],Lookups!$H$2:$J$14,3,FALSE),0)</f>
        <v>28034</v>
      </c>
      <c r="BL975" s="7">
        <f>_xlfn.IFNA(VLOOKUP(Wapato_Inventory[[#This Row],[condition]],Lookups!$H$17:$J$24,3,FALSE),0)</f>
        <v>16276</v>
      </c>
      <c r="BM975" s="7">
        <f>Wapato_Inventory[[#This Row],[Age]]*Lookups!$B$16</f>
        <v>-27430.001800000002</v>
      </c>
      <c r="BN975" s="7">
        <f>Wapato_Inventory[[#This Row],[Main Floor]]*Lookups!$B$17</f>
        <v>44141.580384000001</v>
      </c>
      <c r="BO975" s="7">
        <f>Wapato_Inventory[[#This Row],[Upper Floor]]*Lookups!$B$18</f>
        <v>0</v>
      </c>
      <c r="BP975" s="7">
        <f>Wapato_Inventory[[#This Row],[Fin BSMT]]*Lookups!$B$19</f>
        <v>0</v>
      </c>
      <c r="BQ975" s="7">
        <f>(Wapato_Inventory[[#This Row],[att_gar]]+Wapato_Inventory[[#This Row],[blt_gar]])*Lookups!$B$20</f>
        <v>0</v>
      </c>
      <c r="BR975" s="7">
        <f>Wapato_Inventory[[#This Row],[Patio]]*Lookups!$B$21</f>
        <v>10397.75496</v>
      </c>
      <c r="BS975" s="7">
        <f>SUM(Wapato_Inventory[[#This Row],[intercept]:[patio_value]])*Wapato_Inventory[[#This Row],[res_pct]]</f>
        <v>125184.603544</v>
      </c>
      <c r="BT975" s="7">
        <f>Wapato_Inventory[[#This Row],[land_value]]</f>
        <v>55600</v>
      </c>
      <c r="BU975" s="2">
        <f>_xlfn.IFNA(VLOOKUP(Wapato_Inventory[[#This Row],[quality]],Lookups!$A$28:$C$37,3,FALSE),1)</f>
        <v>0.96265813922927435</v>
      </c>
      <c r="BV975" s="2">
        <f>_xlfn.IFNA(VLOOKUP(Wapato_Inventory[[#This Row],[condition]],Lookups!$A$41:$C$48,3,FALSE),1)</f>
        <v>0.93399385491337139</v>
      </c>
      <c r="BW975" s="2">
        <f>IF(Wapato_Inventory[[#This Row],[decade]]="",1,_xlfn.IFNA(VLOOKUP(Wapato_Inventory[[#This Row],[decade]],Lookups!$F$28:$H$45,3,FALSE),1))</f>
        <v>0.8438929209510081</v>
      </c>
      <c r="BX975" s="2">
        <f>_xlfn.IFNA(VLOOKUP(Wapato_Inventory[[#This Row],[living_area_range]],Lookups!$K$28:$M$37,3,FALSE),1)</f>
        <v>1.0061411172456287</v>
      </c>
      <c r="BY975" s="2">
        <f>AVERAGE(Wapato_Inventory[[#This Row],[qual_adj]:[range_adj]])</f>
        <v>0.93667150808482069</v>
      </c>
      <c r="BZ975" s="7">
        <f>(Wapato_Inventory[[#This Row],[sum_land]]-IF(Wapato_Inventory[[#This Row],[no_utilities]]=1,12000,0))/IF(Wapato_Inventory[[#This Row],[unbuildable]]=1,2,1)</f>
        <v>55600</v>
      </c>
      <c r="CA975" s="7">
        <f>Wapato_Inventory[[#This Row],[pre_res]]*Wapato_Inventory[[#This Row],[overall_adj]]</f>
        <v>117256.85139055886</v>
      </c>
      <c r="CB975" s="3">
        <f>IF(ROUND(Wapato_Inventory[[#This Row],[adj_land]]*Lookups!$H$48,-2)&lt;Wapato_Inventory[[#This Row],[min_land]],Wapato_Inventory[[#This Row],[min_land]],ROUND(Wapato_Inventory[[#This Row],[adj_land]]*Lookups!$H$48,-2))</f>
        <v>52800</v>
      </c>
      <c r="CC975" s="3">
        <f>IF(ROUND(Wapato_Inventory[[#This Row],[adj_res]]*Lookups!$H$48,-2)&lt;Wapato_Inventory[[#This Row],[min_res]],Wapato_Inventory[[#This Row],[min_res]],ROUND(Wapato_Inventory[[#This Row],[adj_res]]*Lookups!$H$48,-2))</f>
        <v>111400</v>
      </c>
      <c r="CD975" s="3">
        <f>ROUND(Wapato_Inventory[[#This Row],[det_value]]*Lookups!$H$48,-2)</f>
        <v>5800</v>
      </c>
      <c r="CE975" s="3">
        <f>Wapato_Inventory[[#This Row],[final_res]]+Wapato_Inventory[[#This Row],[final_det]]</f>
        <v>117200</v>
      </c>
      <c r="CF975" s="3">
        <f>Wapato_Inventory[[#This Row],[crop_value]]+Wapato_Inventory[[#This Row],[final_land]]+Wapato_Inventory[[#This Row],[final_imp]]</f>
        <v>170000</v>
      </c>
      <c r="CH975" t="str">
        <f t="shared" si="15"/>
        <v>update valuation set market_land =52800, market_bldg=117200, market_total =170000, market_mdno =405, market_date ='9/10/2023' where link_id = (select link_id from parcel where parcel_year = '2024' and parcel_id = '19111522436');</v>
      </c>
    </row>
    <row r="976" spans="1:86" x14ac:dyDescent="0.25">
      <c r="A976">
        <v>19111522438</v>
      </c>
      <c r="B976">
        <v>0.37</v>
      </c>
      <c r="C976">
        <v>16250</v>
      </c>
      <c r="D976" t="s">
        <v>144</v>
      </c>
      <c r="E976" t="s">
        <v>54</v>
      </c>
      <c r="F976" t="s">
        <v>54</v>
      </c>
      <c r="G976">
        <v>3</v>
      </c>
      <c r="H976" t="s">
        <v>55</v>
      </c>
      <c r="I976">
        <v>145100</v>
      </c>
      <c r="J976">
        <v>38800</v>
      </c>
      <c r="K976">
        <v>0.37</v>
      </c>
      <c r="L976">
        <f>IF(Wapato_Inventory[[#This Row],[parcel_acres]]-Wapato_Inventory[[#This Row],[non_valued_acres]] =0,0,LN(Wapato_Inventory[[#This Row],[parcel_acres]]-Wapato_Inventory[[#This Row],[non_valued_acres]]))</f>
        <v>-0.9942522733438669</v>
      </c>
      <c r="M976">
        <v>0</v>
      </c>
      <c r="N976">
        <v>0</v>
      </c>
      <c r="O976">
        <v>0</v>
      </c>
      <c r="P976">
        <v>27904.037</v>
      </c>
      <c r="Q976">
        <v>74398</v>
      </c>
      <c r="R976" s="3">
        <f>(Wapato_Inventory[[#This Row],[ln_acres]]*Wapato_Inventory[[#This Row],[coeff]])+Wapato_Inventory[[#This Row],[const]]</f>
        <v>46654.347777278628</v>
      </c>
      <c r="S976" t="s">
        <v>56</v>
      </c>
      <c r="T976">
        <v>2</v>
      </c>
      <c r="U976" t="s">
        <v>67</v>
      </c>
      <c r="V976" t="s">
        <v>68</v>
      </c>
      <c r="W976">
        <v>0</v>
      </c>
      <c r="X976">
        <v>0</v>
      </c>
      <c r="Y976">
        <v>51</v>
      </c>
      <c r="Z976">
        <v>77</v>
      </c>
      <c r="AA976">
        <v>80</v>
      </c>
      <c r="AB976">
        <v>1500</v>
      </c>
      <c r="AC976">
        <v>1196</v>
      </c>
      <c r="AD976">
        <v>896</v>
      </c>
      <c r="AE976">
        <v>300</v>
      </c>
      <c r="AF976">
        <v>0</v>
      </c>
      <c r="AG976">
        <v>0</v>
      </c>
      <c r="AH976">
        <v>0</v>
      </c>
      <c r="AI976">
        <v>0</v>
      </c>
      <c r="AJ976">
        <v>0</v>
      </c>
      <c r="AK976">
        <v>0</v>
      </c>
      <c r="AL976">
        <v>0</v>
      </c>
      <c r="AM976">
        <v>0</v>
      </c>
      <c r="AN976">
        <v>0</v>
      </c>
      <c r="AO976">
        <v>0</v>
      </c>
      <c r="AP976">
        <v>5</v>
      </c>
      <c r="AQ976">
        <v>0</v>
      </c>
      <c r="AR976">
        <v>0</v>
      </c>
      <c r="AS976" t="s">
        <v>59</v>
      </c>
      <c r="AT976">
        <v>1</v>
      </c>
      <c r="AU976" t="s">
        <v>72</v>
      </c>
      <c r="AV976" t="s">
        <v>61</v>
      </c>
      <c r="AW976">
        <v>0</v>
      </c>
      <c r="AX976">
        <v>3</v>
      </c>
      <c r="AY976">
        <v>0</v>
      </c>
      <c r="AZ976">
        <v>2600</v>
      </c>
      <c r="BA976">
        <v>100</v>
      </c>
      <c r="BB976">
        <v>100</v>
      </c>
      <c r="BC976">
        <v>100</v>
      </c>
      <c r="BD976">
        <v>100</v>
      </c>
      <c r="BE976">
        <v>1</v>
      </c>
      <c r="BF976">
        <v>15000</v>
      </c>
      <c r="BG976">
        <v>1000</v>
      </c>
      <c r="BH976" s="7">
        <f>ROUND(Wapato_Inventory[[#This Row],[detatched_value]]*Lookups!$B$22*Lookups!$H$48,-2)</f>
        <v>2300</v>
      </c>
      <c r="BI976" s="7">
        <f>ROUND(((Wapato_Inventory[[#This Row],[land_extract]]*Lookups!$B$3) +(Lookups!$B$2*0.5))*Lookups!$H$48,-2)</f>
        <v>55600</v>
      </c>
      <c r="BJ976" s="7">
        <f>IF(Wapato_Inventory[[#This Row],[bldg_style]]="",0,Lookups!$B$2*0.5)</f>
        <v>53765.27</v>
      </c>
      <c r="BK976" s="7">
        <f>_xlfn.IFNA(VLOOKUP(Wapato_Inventory[[#This Row],[quality]],Lookups!$H$2:$J$14,3,FALSE),0)</f>
        <v>50405</v>
      </c>
      <c r="BL976" s="7">
        <f>_xlfn.IFNA(VLOOKUP(Wapato_Inventory[[#This Row],[condition]],Lookups!$H$17:$J$24,3,FALSE),0)</f>
        <v>52231</v>
      </c>
      <c r="BM976" s="7">
        <f>Wapato_Inventory[[#This Row],[Age]]*Lookups!$B$16</f>
        <v>-28542.028900000001</v>
      </c>
      <c r="BN976" s="7">
        <f>Wapato_Inventory[[#This Row],[Main Floor]]*Lookups!$B$17</f>
        <v>37453.462143999997</v>
      </c>
      <c r="BO976" s="7">
        <f>Wapato_Inventory[[#This Row],[Upper Floor]]*Lookups!$B$18</f>
        <v>14880.341700000001</v>
      </c>
      <c r="BP976" s="7">
        <f>Wapato_Inventory[[#This Row],[Fin BSMT]]*Lookups!$B$19</f>
        <v>0</v>
      </c>
      <c r="BQ976" s="7">
        <f>(Wapato_Inventory[[#This Row],[att_gar]]+Wapato_Inventory[[#This Row],[blt_gar]])*Lookups!$B$20</f>
        <v>0</v>
      </c>
      <c r="BR976" s="7">
        <f>Wapato_Inventory[[#This Row],[Patio]]*Lookups!$B$21</f>
        <v>0</v>
      </c>
      <c r="BS976" s="7">
        <f>SUM(Wapato_Inventory[[#This Row],[intercept]:[patio_value]])*Wapato_Inventory[[#This Row],[res_pct]]</f>
        <v>180193.04494399996</v>
      </c>
      <c r="BT976" s="7">
        <f>Wapato_Inventory[[#This Row],[land_value]]</f>
        <v>55600</v>
      </c>
      <c r="BU976" s="2">
        <f>_xlfn.IFNA(VLOOKUP(Wapato_Inventory[[#This Row],[quality]],Lookups!$A$28:$C$37,3,FALSE),1)</f>
        <v>0.97993206410140754</v>
      </c>
      <c r="BV976" s="2">
        <f>_xlfn.IFNA(VLOOKUP(Wapato_Inventory[[#This Row],[condition]],Lookups!$A$41:$C$48,3,FALSE),1)</f>
        <v>0.9832333997567807</v>
      </c>
      <c r="BW976" s="2">
        <f>IF(Wapato_Inventory[[#This Row],[decade]]="",1,_xlfn.IFNA(VLOOKUP(Wapato_Inventory[[#This Row],[decade]],Lookups!$F$28:$H$45,3,FALSE),1))</f>
        <v>0.8438929209510081</v>
      </c>
      <c r="BX976" s="2">
        <f>_xlfn.IFNA(VLOOKUP(Wapato_Inventory[[#This Row],[living_area_range]],Lookups!$K$28:$M$37,3,FALSE),1)</f>
        <v>1.0061411172456287</v>
      </c>
      <c r="BY976" s="2">
        <f>AVERAGE(Wapato_Inventory[[#This Row],[qual_adj]:[range_adj]])</f>
        <v>0.95329987551370632</v>
      </c>
      <c r="BZ976" s="7">
        <f>(Wapato_Inventory[[#This Row],[sum_land]]-IF(Wapato_Inventory[[#This Row],[no_utilities]]=1,12000,0))/IF(Wapato_Inventory[[#This Row],[unbuildable]]=1,2,1)</f>
        <v>55600</v>
      </c>
      <c r="CA976" s="7">
        <f>Wapato_Inventory[[#This Row],[pre_res]]*Wapato_Inventory[[#This Row],[overall_adj]]</f>
        <v>171778.00731355086</v>
      </c>
      <c r="CB976" s="3">
        <f>IF(ROUND(Wapato_Inventory[[#This Row],[adj_land]]*Lookups!$H$48,-2)&lt;Wapato_Inventory[[#This Row],[min_land]],Wapato_Inventory[[#This Row],[min_land]],ROUND(Wapato_Inventory[[#This Row],[adj_land]]*Lookups!$H$48,-2))</f>
        <v>52800</v>
      </c>
      <c r="CC976" s="3">
        <f>IF(ROUND(Wapato_Inventory[[#This Row],[adj_res]]*Lookups!$H$48,-2)&lt;Wapato_Inventory[[#This Row],[min_res]],Wapato_Inventory[[#This Row],[min_res]],ROUND(Wapato_Inventory[[#This Row],[adj_res]]*Lookups!$H$48,-2))</f>
        <v>163200</v>
      </c>
      <c r="CD976" s="3">
        <f>ROUND(Wapato_Inventory[[#This Row],[det_value]]*Lookups!$H$48,-2)</f>
        <v>2200</v>
      </c>
      <c r="CE976" s="3">
        <f>Wapato_Inventory[[#This Row],[final_res]]+Wapato_Inventory[[#This Row],[final_det]]</f>
        <v>165400</v>
      </c>
      <c r="CF976" s="3">
        <f>Wapato_Inventory[[#This Row],[crop_value]]+Wapato_Inventory[[#This Row],[final_land]]+Wapato_Inventory[[#This Row],[final_imp]]</f>
        <v>218200</v>
      </c>
      <c r="CH976" t="str">
        <f t="shared" si="15"/>
        <v>update valuation set market_land =52800, market_bldg=165400, market_total =218200, market_mdno =405, market_date ='9/10/2023' where link_id = (select link_id from parcel where parcel_year = '2024' and parcel_id = '19111522438');</v>
      </c>
    </row>
    <row r="977" spans="1:86" x14ac:dyDescent="0.25">
      <c r="A977">
        <v>19111523004</v>
      </c>
      <c r="B977">
        <v>4.7</v>
      </c>
      <c r="C977">
        <v>204732</v>
      </c>
      <c r="D977" t="s">
        <v>144</v>
      </c>
      <c r="E977" t="s">
        <v>54</v>
      </c>
      <c r="F977" t="s">
        <v>54</v>
      </c>
      <c r="G977">
        <v>3</v>
      </c>
      <c r="H977" t="s">
        <v>55</v>
      </c>
      <c r="I977">
        <v>74900</v>
      </c>
      <c r="J977">
        <v>56900</v>
      </c>
      <c r="K977">
        <v>4.7</v>
      </c>
      <c r="L977">
        <f>IF(Wapato_Inventory[[#This Row],[parcel_acres]]-Wapato_Inventory[[#This Row],[non_valued_acres]] =0,0,LN(Wapato_Inventory[[#This Row],[parcel_acres]]-Wapato_Inventory[[#This Row],[non_valued_acres]]))</f>
        <v>1.547562508716013</v>
      </c>
      <c r="M977">
        <v>0</v>
      </c>
      <c r="N977">
        <v>0</v>
      </c>
      <c r="O977">
        <v>0</v>
      </c>
      <c r="P977">
        <v>27904.037</v>
      </c>
      <c r="Q977">
        <v>74398</v>
      </c>
      <c r="R977" s="3">
        <f>(Wapato_Inventory[[#This Row],[ln_acres]]*Wapato_Inventory[[#This Row],[coeff]])+Wapato_Inventory[[#This Row],[const]]</f>
        <v>117581.24150302444</v>
      </c>
      <c r="S977" t="s">
        <v>66</v>
      </c>
      <c r="T977">
        <v>1</v>
      </c>
      <c r="U977" t="s">
        <v>71</v>
      </c>
      <c r="V977" t="s">
        <v>73</v>
      </c>
      <c r="W977">
        <v>0</v>
      </c>
      <c r="X977">
        <v>0</v>
      </c>
      <c r="Y977">
        <v>53</v>
      </c>
      <c r="Z977">
        <v>93</v>
      </c>
      <c r="AA977">
        <v>100</v>
      </c>
      <c r="AB977">
        <v>1000</v>
      </c>
      <c r="AC977">
        <v>940</v>
      </c>
      <c r="AD977">
        <v>940</v>
      </c>
      <c r="AE977">
        <v>0</v>
      </c>
      <c r="AF977">
        <v>0</v>
      </c>
      <c r="AG977">
        <v>0</v>
      </c>
      <c r="AH977">
        <v>0</v>
      </c>
      <c r="AI977">
        <v>0</v>
      </c>
      <c r="AJ977">
        <v>0</v>
      </c>
      <c r="AK977">
        <v>0</v>
      </c>
      <c r="AL977">
        <v>0</v>
      </c>
      <c r="AM977">
        <v>0</v>
      </c>
      <c r="AN977">
        <v>0</v>
      </c>
      <c r="AO977">
        <v>0</v>
      </c>
      <c r="AP977">
        <v>5</v>
      </c>
      <c r="AQ977">
        <v>0</v>
      </c>
      <c r="AR977">
        <v>0</v>
      </c>
      <c r="AS977" t="s">
        <v>59</v>
      </c>
      <c r="AT977">
        <v>0</v>
      </c>
      <c r="AU977" t="s">
        <v>80</v>
      </c>
      <c r="AV977" t="s">
        <v>77</v>
      </c>
      <c r="AW977">
        <v>0</v>
      </c>
      <c r="AX977">
        <v>2</v>
      </c>
      <c r="AY977">
        <v>0</v>
      </c>
      <c r="AZ977">
        <v>3700</v>
      </c>
      <c r="BA977">
        <v>100</v>
      </c>
      <c r="BB977">
        <v>100</v>
      </c>
      <c r="BC977">
        <v>100</v>
      </c>
      <c r="BD977">
        <v>100</v>
      </c>
      <c r="BE977">
        <v>1</v>
      </c>
      <c r="BF977">
        <v>15000</v>
      </c>
      <c r="BG977">
        <v>1000</v>
      </c>
      <c r="BH977" s="7">
        <f>ROUND(Wapato_Inventory[[#This Row],[detatched_value]]*Lookups!$B$22*Lookups!$H$48,-2)</f>
        <v>3300</v>
      </c>
      <c r="BI977" s="7">
        <f>ROUND(((Wapato_Inventory[[#This Row],[land_extract]]*Lookups!$B$3) +(Lookups!$B$2*0.5))*Lookups!$H$48,-2)</f>
        <v>62400</v>
      </c>
      <c r="BJ977" s="7">
        <f>IF(Wapato_Inventory[[#This Row],[bldg_style]]="",0,Lookups!$B$2*0.5)</f>
        <v>53765.27</v>
      </c>
      <c r="BK977" s="7">
        <f>_xlfn.IFNA(VLOOKUP(Wapato_Inventory[[#This Row],[quality]],Lookups!$H$2:$J$14,3,FALSE),0)</f>
        <v>28034</v>
      </c>
      <c r="BL977" s="7">
        <f>_xlfn.IFNA(VLOOKUP(Wapato_Inventory[[#This Row],[condition]],Lookups!$H$17:$J$24,3,FALSE),0)</f>
        <v>16276</v>
      </c>
      <c r="BM977" s="7">
        <f>Wapato_Inventory[[#This Row],[Age]]*Lookups!$B$16</f>
        <v>-34472.840100000001</v>
      </c>
      <c r="BN977" s="7">
        <f>Wapato_Inventory[[#This Row],[Main Floor]]*Lookups!$B$17</f>
        <v>39292.694660000001</v>
      </c>
      <c r="BO977" s="7">
        <f>Wapato_Inventory[[#This Row],[Upper Floor]]*Lookups!$B$18</f>
        <v>0</v>
      </c>
      <c r="BP977" s="7">
        <f>Wapato_Inventory[[#This Row],[Fin BSMT]]*Lookups!$B$19</f>
        <v>0</v>
      </c>
      <c r="BQ977" s="7">
        <f>(Wapato_Inventory[[#This Row],[att_gar]]+Wapato_Inventory[[#This Row],[blt_gar]])*Lookups!$B$20</f>
        <v>0</v>
      </c>
      <c r="BR977" s="7">
        <f>Wapato_Inventory[[#This Row],[Patio]]*Lookups!$B$21</f>
        <v>0</v>
      </c>
      <c r="BS977" s="7">
        <f>SUM(Wapato_Inventory[[#This Row],[intercept]:[patio_value]])*Wapato_Inventory[[#This Row],[res_pct]]</f>
        <v>102895.12456</v>
      </c>
      <c r="BT977" s="7">
        <f>Wapato_Inventory[[#This Row],[land_value]]</f>
        <v>62400</v>
      </c>
      <c r="BU977" s="2">
        <f>_xlfn.IFNA(VLOOKUP(Wapato_Inventory[[#This Row],[quality]],Lookups!$A$28:$C$37,3,FALSE),1)</f>
        <v>0.96265813922927435</v>
      </c>
      <c r="BV977" s="2">
        <f>_xlfn.IFNA(VLOOKUP(Wapato_Inventory[[#This Row],[condition]],Lookups!$A$41:$C$48,3,FALSE),1)</f>
        <v>0.93399385491337139</v>
      </c>
      <c r="BW977" s="2">
        <f>IF(Wapato_Inventory[[#This Row],[decade]]="",1,_xlfn.IFNA(VLOOKUP(Wapato_Inventory[[#This Row],[decade]],Lookups!$F$28:$H$45,3,FALSE),1))</f>
        <v>1.0114203040664467</v>
      </c>
      <c r="BX977" s="2">
        <f>_xlfn.IFNA(VLOOKUP(Wapato_Inventory[[#This Row],[living_area_range]],Lookups!$K$28:$M$37,3,FALSE),1)</f>
        <v>0.99022994770196116</v>
      </c>
      <c r="BY977" s="2">
        <f>AVERAGE(Wapato_Inventory[[#This Row],[qual_adj]:[range_adj]])</f>
        <v>0.97457556147776347</v>
      </c>
      <c r="BZ977" s="7">
        <f>(Wapato_Inventory[[#This Row],[sum_land]]-IF(Wapato_Inventory[[#This Row],[no_utilities]]=1,12000,0))/IF(Wapato_Inventory[[#This Row],[unbuildable]]=1,2,1)</f>
        <v>62400</v>
      </c>
      <c r="CA977" s="7">
        <f>Wapato_Inventory[[#This Row],[pre_res]]*Wapato_Inventory[[#This Row],[overall_adj]]</f>
        <v>100279.07379138641</v>
      </c>
      <c r="CB977" s="3">
        <f>IF(ROUND(Wapato_Inventory[[#This Row],[adj_land]]*Lookups!$H$48,-2)&lt;Wapato_Inventory[[#This Row],[min_land]],Wapato_Inventory[[#This Row],[min_land]],ROUND(Wapato_Inventory[[#This Row],[adj_land]]*Lookups!$H$48,-2))</f>
        <v>59300</v>
      </c>
      <c r="CC977" s="3">
        <f>IF(ROUND(Wapato_Inventory[[#This Row],[adj_res]]*Lookups!$H$48,-2)&lt;Wapato_Inventory[[#This Row],[min_res]],Wapato_Inventory[[#This Row],[min_res]],ROUND(Wapato_Inventory[[#This Row],[adj_res]]*Lookups!$H$48,-2))</f>
        <v>95300</v>
      </c>
      <c r="CD977" s="3">
        <f>ROUND(Wapato_Inventory[[#This Row],[det_value]]*Lookups!$H$48,-2)</f>
        <v>3100</v>
      </c>
      <c r="CE977" s="3">
        <f>Wapato_Inventory[[#This Row],[final_res]]+Wapato_Inventory[[#This Row],[final_det]]</f>
        <v>98400</v>
      </c>
      <c r="CF977" s="3">
        <f>Wapato_Inventory[[#This Row],[crop_value]]+Wapato_Inventory[[#This Row],[final_land]]+Wapato_Inventory[[#This Row],[final_imp]]</f>
        <v>157700</v>
      </c>
      <c r="CH977" t="str">
        <f t="shared" si="15"/>
        <v>update valuation set market_land =59300, market_bldg=98400, market_total =157700, market_mdno =405, market_date ='9/10/2023' where link_id = (select link_id from parcel where parcel_year = '2024' and parcel_id = '19111523004');</v>
      </c>
    </row>
    <row r="978" spans="1:86" x14ac:dyDescent="0.25">
      <c r="A978">
        <v>19111523005</v>
      </c>
      <c r="B978">
        <v>0.5</v>
      </c>
      <c r="C978">
        <v>21798</v>
      </c>
      <c r="D978" t="s">
        <v>144</v>
      </c>
      <c r="E978" t="s">
        <v>54</v>
      </c>
      <c r="F978" t="s">
        <v>54</v>
      </c>
      <c r="G978">
        <v>3</v>
      </c>
      <c r="H978" t="s">
        <v>55</v>
      </c>
      <c r="I978">
        <v>225200</v>
      </c>
      <c r="J978">
        <v>41000</v>
      </c>
      <c r="K978">
        <v>0.5</v>
      </c>
      <c r="L978">
        <f>IF(Wapato_Inventory[[#This Row],[parcel_acres]]-Wapato_Inventory[[#This Row],[non_valued_acres]] =0,0,LN(Wapato_Inventory[[#This Row],[parcel_acres]]-Wapato_Inventory[[#This Row],[non_valued_acres]]))</f>
        <v>-0.69314718055994529</v>
      </c>
      <c r="M978">
        <v>0</v>
      </c>
      <c r="N978">
        <v>0</v>
      </c>
      <c r="O978">
        <v>0</v>
      </c>
      <c r="P978">
        <v>27904.037</v>
      </c>
      <c r="Q978">
        <v>74398</v>
      </c>
      <c r="R978" s="3">
        <f>(Wapato_Inventory[[#This Row],[ln_acres]]*Wapato_Inventory[[#This Row],[coeff]])+Wapato_Inventory[[#This Row],[const]]</f>
        <v>55056.395427209602</v>
      </c>
      <c r="S978" t="s">
        <v>62</v>
      </c>
      <c r="T978">
        <v>1</v>
      </c>
      <c r="U978" t="s">
        <v>75</v>
      </c>
      <c r="V978" t="s">
        <v>68</v>
      </c>
      <c r="W978">
        <v>0</v>
      </c>
      <c r="X978">
        <v>0</v>
      </c>
      <c r="Y978">
        <v>45</v>
      </c>
      <c r="Z978">
        <v>52</v>
      </c>
      <c r="AA978">
        <v>60</v>
      </c>
      <c r="AB978">
        <v>2000</v>
      </c>
      <c r="AC978">
        <v>1804</v>
      </c>
      <c r="AD978">
        <v>1804</v>
      </c>
      <c r="AE978">
        <v>0</v>
      </c>
      <c r="AF978">
        <v>0</v>
      </c>
      <c r="AG978">
        <v>0</v>
      </c>
      <c r="AH978">
        <v>0</v>
      </c>
      <c r="AI978">
        <v>0</v>
      </c>
      <c r="AJ978">
        <v>0</v>
      </c>
      <c r="AK978">
        <v>0</v>
      </c>
      <c r="AL978">
        <v>0</v>
      </c>
      <c r="AM978">
        <v>540</v>
      </c>
      <c r="AN978">
        <v>120</v>
      </c>
      <c r="AO978">
        <v>540</v>
      </c>
      <c r="AP978">
        <v>7</v>
      </c>
      <c r="AQ978">
        <v>1</v>
      </c>
      <c r="AR978">
        <v>0</v>
      </c>
      <c r="AS978" t="s">
        <v>59</v>
      </c>
      <c r="AT978">
        <v>1</v>
      </c>
      <c r="AU978" t="s">
        <v>72</v>
      </c>
      <c r="AV978" t="s">
        <v>61</v>
      </c>
      <c r="AW978">
        <v>0</v>
      </c>
      <c r="AX978">
        <v>3</v>
      </c>
      <c r="AY978">
        <v>0</v>
      </c>
      <c r="AZ978">
        <v>21500</v>
      </c>
      <c r="BA978">
        <v>100</v>
      </c>
      <c r="BB978">
        <v>100</v>
      </c>
      <c r="BC978">
        <v>100</v>
      </c>
      <c r="BD978">
        <v>100</v>
      </c>
      <c r="BE978">
        <v>1</v>
      </c>
      <c r="BF978">
        <v>15000</v>
      </c>
      <c r="BG978">
        <v>1000</v>
      </c>
      <c r="BH978" s="7">
        <f>ROUND(Wapato_Inventory[[#This Row],[detatched_value]]*Lookups!$B$22*Lookups!$H$48,-2)</f>
        <v>19200</v>
      </c>
      <c r="BI978" s="7">
        <f>ROUND(((Wapato_Inventory[[#This Row],[land_extract]]*Lookups!$B$3) +(Lookups!$B$2*0.5))*Lookups!$H$48,-2)</f>
        <v>56400</v>
      </c>
      <c r="BJ978" s="7">
        <f>IF(Wapato_Inventory[[#This Row],[bldg_style]]="",0,Lookups!$B$2*0.5)</f>
        <v>53765.27</v>
      </c>
      <c r="BK978" s="7">
        <f>_xlfn.IFNA(VLOOKUP(Wapato_Inventory[[#This Row],[quality]],Lookups!$H$2:$J$14,3,FALSE),0)</f>
        <v>48043</v>
      </c>
      <c r="BL978" s="7">
        <f>_xlfn.IFNA(VLOOKUP(Wapato_Inventory[[#This Row],[condition]],Lookups!$H$17:$J$24,3,FALSE),0)</f>
        <v>52231</v>
      </c>
      <c r="BM978" s="7">
        <f>Wapato_Inventory[[#This Row],[Age]]*Lookups!$B$16</f>
        <v>-19275.136399999999</v>
      </c>
      <c r="BN978" s="7">
        <f>Wapato_Inventory[[#This Row],[Main Floor]]*Lookups!$B$17</f>
        <v>75408.533156000005</v>
      </c>
      <c r="BO978" s="7">
        <f>Wapato_Inventory[[#This Row],[Upper Floor]]*Lookups!$B$18</f>
        <v>0</v>
      </c>
      <c r="BP978" s="7">
        <f>Wapato_Inventory[[#This Row],[Fin BSMT]]*Lookups!$B$19</f>
        <v>0</v>
      </c>
      <c r="BQ978" s="7">
        <f>(Wapato_Inventory[[#This Row],[att_gar]]+Wapato_Inventory[[#This Row],[blt_gar]])*Lookups!$B$20</f>
        <v>0</v>
      </c>
      <c r="BR978" s="7">
        <f>Wapato_Inventory[[#This Row],[Patio]]*Lookups!$B$21</f>
        <v>23394.948660000002</v>
      </c>
      <c r="BS978" s="7">
        <f>SUM(Wapato_Inventory[[#This Row],[intercept]:[patio_value]])*Wapato_Inventory[[#This Row],[res_pct]]</f>
        <v>233567.61541600002</v>
      </c>
      <c r="BT978" s="7">
        <f>Wapato_Inventory[[#This Row],[land_value]]</f>
        <v>56400</v>
      </c>
      <c r="BU978" s="2">
        <f>_xlfn.IFNA(VLOOKUP(Wapato_Inventory[[#This Row],[quality]],Lookups!$A$28:$C$37,3,FALSE),1)</f>
        <v>0.98196844879778955</v>
      </c>
      <c r="BV978" s="2">
        <f>_xlfn.IFNA(VLOOKUP(Wapato_Inventory[[#This Row],[condition]],Lookups!$A$41:$C$48,3,FALSE),1)</f>
        <v>0.9832333997567807</v>
      </c>
      <c r="BW978" s="2">
        <f>IF(Wapato_Inventory[[#This Row],[decade]]="",1,_xlfn.IFNA(VLOOKUP(Wapato_Inventory[[#This Row],[decade]],Lookups!$F$28:$H$45,3,FALSE),1))</f>
        <v>1.035341704162583</v>
      </c>
      <c r="BX978" s="2">
        <f>_xlfn.IFNA(VLOOKUP(Wapato_Inventory[[#This Row],[living_area_range]],Lookups!$K$28:$M$37,3,FALSE),1)</f>
        <v>0.99330894324714125</v>
      </c>
      <c r="BY978" s="2">
        <f>AVERAGE(Wapato_Inventory[[#This Row],[qual_adj]:[range_adj]])</f>
        <v>0.99846312399107362</v>
      </c>
      <c r="BZ978" s="7">
        <f>(Wapato_Inventory[[#This Row],[sum_land]]-IF(Wapato_Inventory[[#This Row],[no_utilities]]=1,12000,0))/IF(Wapato_Inventory[[#This Row],[unbuildable]]=1,2,1)</f>
        <v>56400</v>
      </c>
      <c r="CA978" s="7">
        <f>Wapato_Inventory[[#This Row],[pre_res]]*Wapato_Inventory[[#This Row],[overall_adj]]</f>
        <v>233208.65095140503</v>
      </c>
      <c r="CB978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978" s="3">
        <f>IF(ROUND(Wapato_Inventory[[#This Row],[adj_res]]*Lookups!$H$48,-2)&lt;Wapato_Inventory[[#This Row],[min_res]],Wapato_Inventory[[#This Row],[min_res]],ROUND(Wapato_Inventory[[#This Row],[adj_res]]*Lookups!$H$48,-2))</f>
        <v>221500</v>
      </c>
      <c r="CD978" s="3">
        <f>ROUND(Wapato_Inventory[[#This Row],[det_value]]*Lookups!$H$48,-2)</f>
        <v>18200</v>
      </c>
      <c r="CE978" s="3">
        <f>Wapato_Inventory[[#This Row],[final_res]]+Wapato_Inventory[[#This Row],[final_det]]</f>
        <v>239700</v>
      </c>
      <c r="CF978" s="3">
        <f>Wapato_Inventory[[#This Row],[crop_value]]+Wapato_Inventory[[#This Row],[final_land]]+Wapato_Inventory[[#This Row],[final_imp]]</f>
        <v>293300</v>
      </c>
      <c r="CH978" t="str">
        <f t="shared" si="15"/>
        <v>update valuation set market_land =53600, market_bldg=239700, market_total =293300, market_mdno =405, market_date ='9/10/2023' where link_id = (select link_id from parcel where parcel_year = '2024' and parcel_id = '19111523005');</v>
      </c>
    </row>
    <row r="979" spans="1:86" x14ac:dyDescent="0.25">
      <c r="A979">
        <v>19111523009</v>
      </c>
      <c r="B979">
        <v>0.67</v>
      </c>
      <c r="C979">
        <v>29149</v>
      </c>
      <c r="D979" t="s">
        <v>144</v>
      </c>
      <c r="E979" t="s">
        <v>54</v>
      </c>
      <c r="F979" t="s">
        <v>54</v>
      </c>
      <c r="G979">
        <v>3</v>
      </c>
      <c r="H979" t="s">
        <v>55</v>
      </c>
      <c r="I979">
        <v>211000</v>
      </c>
      <c r="J979">
        <v>43000</v>
      </c>
      <c r="K979">
        <v>0.67</v>
      </c>
      <c r="L979">
        <f>IF(Wapato_Inventory[[#This Row],[parcel_acres]]-Wapato_Inventory[[#This Row],[non_valued_acres]] =0,0,LN(Wapato_Inventory[[#This Row],[parcel_acres]]-Wapato_Inventory[[#This Row],[non_valued_acres]]))</f>
        <v>-0.40047756659712525</v>
      </c>
      <c r="M979">
        <v>0</v>
      </c>
      <c r="N979">
        <v>0</v>
      </c>
      <c r="O979">
        <v>0</v>
      </c>
      <c r="P979">
        <v>27904.037</v>
      </c>
      <c r="Q979">
        <v>74398</v>
      </c>
      <c r="R979" s="3">
        <f>(Wapato_Inventory[[#This Row],[ln_acres]]*Wapato_Inventory[[#This Row],[coeff]])+Wapato_Inventory[[#This Row],[const]]</f>
        <v>63223.059164003855</v>
      </c>
      <c r="S979" t="s">
        <v>62</v>
      </c>
      <c r="T979">
        <v>1</v>
      </c>
      <c r="U979" t="s">
        <v>75</v>
      </c>
      <c r="V979" t="s">
        <v>68</v>
      </c>
      <c r="W979">
        <v>0</v>
      </c>
      <c r="X979">
        <v>0</v>
      </c>
      <c r="Y979">
        <v>45</v>
      </c>
      <c r="Z979">
        <v>50</v>
      </c>
      <c r="AA979">
        <v>50</v>
      </c>
      <c r="AB979">
        <v>2000</v>
      </c>
      <c r="AC979">
        <v>1756</v>
      </c>
      <c r="AD979">
        <v>1756</v>
      </c>
      <c r="AE979">
        <v>0</v>
      </c>
      <c r="AF979">
        <v>0</v>
      </c>
      <c r="AG979">
        <v>0</v>
      </c>
      <c r="AH979">
        <v>0</v>
      </c>
      <c r="AI979">
        <v>0</v>
      </c>
      <c r="AJ979">
        <v>0</v>
      </c>
      <c r="AK979">
        <v>0</v>
      </c>
      <c r="AL979">
        <v>0</v>
      </c>
      <c r="AM979">
        <v>312</v>
      </c>
      <c r="AN979">
        <v>0</v>
      </c>
      <c r="AO979">
        <v>0</v>
      </c>
      <c r="AP979">
        <v>7</v>
      </c>
      <c r="AQ979">
        <v>0</v>
      </c>
      <c r="AR979">
        <v>0</v>
      </c>
      <c r="AS979" t="s">
        <v>59</v>
      </c>
      <c r="AT979">
        <v>1</v>
      </c>
      <c r="AU979" t="s">
        <v>76</v>
      </c>
      <c r="AV979" t="s">
        <v>61</v>
      </c>
      <c r="AW979">
        <v>0</v>
      </c>
      <c r="AX979">
        <v>4</v>
      </c>
      <c r="AY979">
        <v>0</v>
      </c>
      <c r="AZ979">
        <v>18300</v>
      </c>
      <c r="BA979">
        <v>100</v>
      </c>
      <c r="BB979">
        <v>100</v>
      </c>
      <c r="BC979">
        <v>100</v>
      </c>
      <c r="BD979">
        <v>100</v>
      </c>
      <c r="BE979">
        <v>1</v>
      </c>
      <c r="BF979">
        <v>15000</v>
      </c>
      <c r="BG979">
        <v>1000</v>
      </c>
      <c r="BH979" s="7">
        <f>ROUND(Wapato_Inventory[[#This Row],[detatched_value]]*Lookups!$B$22*Lookups!$H$48,-2)</f>
        <v>16300</v>
      </c>
      <c r="BI979" s="7">
        <f>ROUND(((Wapato_Inventory[[#This Row],[land_extract]]*Lookups!$B$3) +(Lookups!$B$2*0.5))*Lookups!$H$48,-2)</f>
        <v>57200</v>
      </c>
      <c r="BJ979" s="7">
        <f>IF(Wapato_Inventory[[#This Row],[bldg_style]]="",0,Lookups!$B$2*0.5)</f>
        <v>53765.27</v>
      </c>
      <c r="BK979" s="7">
        <f>_xlfn.IFNA(VLOOKUP(Wapato_Inventory[[#This Row],[quality]],Lookups!$H$2:$J$14,3,FALSE),0)</f>
        <v>48043</v>
      </c>
      <c r="BL979" s="7">
        <f>_xlfn.IFNA(VLOOKUP(Wapato_Inventory[[#This Row],[condition]],Lookups!$H$17:$J$24,3,FALSE),0)</f>
        <v>52231</v>
      </c>
      <c r="BM979" s="7">
        <f>Wapato_Inventory[[#This Row],[Age]]*Lookups!$B$16</f>
        <v>-18533.785</v>
      </c>
      <c r="BN979" s="7">
        <f>Wapato_Inventory[[#This Row],[Main Floor]]*Lookups!$B$17</f>
        <v>73402.097683999993</v>
      </c>
      <c r="BO979" s="7">
        <f>Wapato_Inventory[[#This Row],[Upper Floor]]*Lookups!$B$18</f>
        <v>0</v>
      </c>
      <c r="BP979" s="7">
        <f>Wapato_Inventory[[#This Row],[Fin BSMT]]*Lookups!$B$19</f>
        <v>0</v>
      </c>
      <c r="BQ979" s="7">
        <f>(Wapato_Inventory[[#This Row],[att_gar]]+Wapato_Inventory[[#This Row],[blt_gar]])*Lookups!$B$20</f>
        <v>0</v>
      </c>
      <c r="BR979" s="7">
        <f>Wapato_Inventory[[#This Row],[Patio]]*Lookups!$B$21</f>
        <v>13517.081448000001</v>
      </c>
      <c r="BS979" s="7">
        <f>SUM(Wapato_Inventory[[#This Row],[intercept]:[patio_value]])*Wapato_Inventory[[#This Row],[res_pct]]</f>
        <v>222424.66413199998</v>
      </c>
      <c r="BT979" s="7">
        <f>Wapato_Inventory[[#This Row],[land_value]]</f>
        <v>57200</v>
      </c>
      <c r="BU979" s="2">
        <f>_xlfn.IFNA(VLOOKUP(Wapato_Inventory[[#This Row],[quality]],Lookups!$A$28:$C$37,3,FALSE),1)</f>
        <v>0.98196844879778955</v>
      </c>
      <c r="BV979" s="2">
        <f>_xlfn.IFNA(VLOOKUP(Wapato_Inventory[[#This Row],[condition]],Lookups!$A$41:$C$48,3,FALSE),1)</f>
        <v>0.9832333997567807</v>
      </c>
      <c r="BW979" s="2">
        <f>IF(Wapato_Inventory[[#This Row],[decade]]="",1,_xlfn.IFNA(VLOOKUP(Wapato_Inventory[[#This Row],[decade]],Lookups!$F$28:$H$45,3,FALSE),1))</f>
        <v>0.96240333884358298</v>
      </c>
      <c r="BX979" s="2">
        <f>_xlfn.IFNA(VLOOKUP(Wapato_Inventory[[#This Row],[living_area_range]],Lookups!$K$28:$M$37,3,FALSE),1)</f>
        <v>0.99330894324714125</v>
      </c>
      <c r="BY979" s="2">
        <f>AVERAGE(Wapato_Inventory[[#This Row],[qual_adj]:[range_adj]])</f>
        <v>0.98022853266132359</v>
      </c>
      <c r="BZ979" s="7">
        <f>(Wapato_Inventory[[#This Row],[sum_land]]-IF(Wapato_Inventory[[#This Row],[no_utilities]]=1,12000,0))/IF(Wapato_Inventory[[#This Row],[unbuildable]]=1,2,1)</f>
        <v>57200</v>
      </c>
      <c r="CA979" s="7">
        <f>Wapato_Inventory[[#This Row],[pre_res]]*Wapato_Inventory[[#This Row],[overall_adj]]</f>
        <v>218027.00214979806</v>
      </c>
      <c r="CB979" s="3">
        <f>IF(ROUND(Wapato_Inventory[[#This Row],[adj_land]]*Lookups!$H$48,-2)&lt;Wapato_Inventory[[#This Row],[min_land]],Wapato_Inventory[[#This Row],[min_land]],ROUND(Wapato_Inventory[[#This Row],[adj_land]]*Lookups!$H$48,-2))</f>
        <v>54300</v>
      </c>
      <c r="CC979" s="3">
        <f>IF(ROUND(Wapato_Inventory[[#This Row],[adj_res]]*Lookups!$H$48,-2)&lt;Wapato_Inventory[[#This Row],[min_res]],Wapato_Inventory[[#This Row],[min_res]],ROUND(Wapato_Inventory[[#This Row],[adj_res]]*Lookups!$H$48,-2))</f>
        <v>207100</v>
      </c>
      <c r="CD979" s="3">
        <f>ROUND(Wapato_Inventory[[#This Row],[det_value]]*Lookups!$H$48,-2)</f>
        <v>15500</v>
      </c>
      <c r="CE979" s="3">
        <f>Wapato_Inventory[[#This Row],[final_res]]+Wapato_Inventory[[#This Row],[final_det]]</f>
        <v>222600</v>
      </c>
      <c r="CF979" s="3">
        <f>Wapato_Inventory[[#This Row],[crop_value]]+Wapato_Inventory[[#This Row],[final_land]]+Wapato_Inventory[[#This Row],[final_imp]]</f>
        <v>276900</v>
      </c>
      <c r="CH979" t="str">
        <f t="shared" si="15"/>
        <v>update valuation set market_land =54300, market_bldg=222600, market_total =276900, market_mdno =405, market_date ='9/10/2023' where link_id = (select link_id from parcel where parcel_year = '2024' and parcel_id = '19111523009');</v>
      </c>
    </row>
    <row r="980" spans="1:86" x14ac:dyDescent="0.25">
      <c r="A980">
        <v>19111523400</v>
      </c>
      <c r="B980">
        <v>0.2</v>
      </c>
      <c r="C980">
        <v>8612</v>
      </c>
      <c r="D980" t="s">
        <v>144</v>
      </c>
      <c r="E980" t="s">
        <v>54</v>
      </c>
      <c r="F980" t="s">
        <v>54</v>
      </c>
      <c r="G980">
        <v>3</v>
      </c>
      <c r="H980" t="s">
        <v>55</v>
      </c>
      <c r="I980">
        <v>173200</v>
      </c>
      <c r="J980">
        <v>34400</v>
      </c>
      <c r="K980">
        <v>0.2</v>
      </c>
      <c r="L980">
        <f>IF(Wapato_Inventory[[#This Row],[parcel_acres]]-Wapato_Inventory[[#This Row],[non_valued_acres]] =0,0,LN(Wapato_Inventory[[#This Row],[parcel_acres]]-Wapato_Inventory[[#This Row],[non_valued_acres]]))</f>
        <v>-1.6094379124341003</v>
      </c>
      <c r="M980">
        <v>0</v>
      </c>
      <c r="N980">
        <v>0</v>
      </c>
      <c r="O980">
        <v>0</v>
      </c>
      <c r="P980">
        <v>27904.037</v>
      </c>
      <c r="Q980">
        <v>74398</v>
      </c>
      <c r="R980" s="3">
        <f>(Wapato_Inventory[[#This Row],[ln_acres]]*Wapato_Inventory[[#This Row],[coeff]])+Wapato_Inventory[[#This Row],[const]]</f>
        <v>29488.184942236105</v>
      </c>
      <c r="S980" t="s">
        <v>66</v>
      </c>
      <c r="T980">
        <v>2</v>
      </c>
      <c r="U980" t="s">
        <v>71</v>
      </c>
      <c r="V980" t="s">
        <v>68</v>
      </c>
      <c r="W980">
        <v>0</v>
      </c>
      <c r="X980">
        <v>0</v>
      </c>
      <c r="Y980">
        <v>53</v>
      </c>
      <c r="Z980">
        <v>93</v>
      </c>
      <c r="AA980">
        <v>100</v>
      </c>
      <c r="AB980">
        <v>1500</v>
      </c>
      <c r="AC980">
        <v>1404</v>
      </c>
      <c r="AD980">
        <v>984</v>
      </c>
      <c r="AE980">
        <v>420</v>
      </c>
      <c r="AF980">
        <v>0</v>
      </c>
      <c r="AG980">
        <v>0</v>
      </c>
      <c r="AH980">
        <v>0</v>
      </c>
      <c r="AI980">
        <v>0</v>
      </c>
      <c r="AJ980">
        <v>0</v>
      </c>
      <c r="AK980">
        <v>0</v>
      </c>
      <c r="AL980">
        <v>0</v>
      </c>
      <c r="AM980">
        <v>0</v>
      </c>
      <c r="AN980">
        <v>84</v>
      </c>
      <c r="AO980">
        <v>0</v>
      </c>
      <c r="AP980">
        <v>5</v>
      </c>
      <c r="AQ980">
        <v>0</v>
      </c>
      <c r="AR980">
        <v>0</v>
      </c>
      <c r="AS980" t="s">
        <v>59</v>
      </c>
      <c r="AT980">
        <v>0</v>
      </c>
      <c r="AU980" t="s">
        <v>80</v>
      </c>
      <c r="AV980" t="s">
        <v>77</v>
      </c>
      <c r="AW980">
        <v>0</v>
      </c>
      <c r="AX980">
        <v>3</v>
      </c>
      <c r="AY980">
        <v>0</v>
      </c>
      <c r="AZ980">
        <v>25400</v>
      </c>
      <c r="BA980">
        <v>100</v>
      </c>
      <c r="BB980">
        <v>100</v>
      </c>
      <c r="BC980">
        <v>100</v>
      </c>
      <c r="BD980">
        <v>100</v>
      </c>
      <c r="BE980">
        <v>1</v>
      </c>
      <c r="BF980">
        <v>15000</v>
      </c>
      <c r="BG980">
        <v>1000</v>
      </c>
      <c r="BH980" s="7">
        <f>ROUND(Wapato_Inventory[[#This Row],[detatched_value]]*Lookups!$B$22*Lookups!$H$48,-2)</f>
        <v>22700</v>
      </c>
      <c r="BI980" s="7">
        <f>ROUND(((Wapato_Inventory[[#This Row],[land_extract]]*Lookups!$B$3) +(Lookups!$B$2*0.5))*Lookups!$H$48,-2)</f>
        <v>53900</v>
      </c>
      <c r="BJ980" s="7">
        <f>IF(Wapato_Inventory[[#This Row],[bldg_style]]="",0,Lookups!$B$2*0.5)</f>
        <v>53765.27</v>
      </c>
      <c r="BK980" s="7">
        <f>_xlfn.IFNA(VLOOKUP(Wapato_Inventory[[#This Row],[quality]],Lookups!$H$2:$J$14,3,FALSE),0)</f>
        <v>28034</v>
      </c>
      <c r="BL980" s="7">
        <f>_xlfn.IFNA(VLOOKUP(Wapato_Inventory[[#This Row],[condition]],Lookups!$H$17:$J$24,3,FALSE),0)</f>
        <v>52231</v>
      </c>
      <c r="BM980" s="7">
        <f>Wapato_Inventory[[#This Row],[Age]]*Lookups!$B$16</f>
        <v>-34472.840100000001</v>
      </c>
      <c r="BN980" s="7">
        <f>Wapato_Inventory[[#This Row],[Main Floor]]*Lookups!$B$17</f>
        <v>41131.927175999997</v>
      </c>
      <c r="BO980" s="7">
        <f>Wapato_Inventory[[#This Row],[Upper Floor]]*Lookups!$B$18</f>
        <v>20832.47838</v>
      </c>
      <c r="BP980" s="7">
        <f>Wapato_Inventory[[#This Row],[Fin BSMT]]*Lookups!$B$19</f>
        <v>0</v>
      </c>
      <c r="BQ980" s="7">
        <f>(Wapato_Inventory[[#This Row],[att_gar]]+Wapato_Inventory[[#This Row],[blt_gar]])*Lookups!$B$20</f>
        <v>0</v>
      </c>
      <c r="BR980" s="7">
        <f>Wapato_Inventory[[#This Row],[Patio]]*Lookups!$B$21</f>
        <v>0</v>
      </c>
      <c r="BS980" s="7">
        <f>SUM(Wapato_Inventory[[#This Row],[intercept]:[patio_value]])*Wapato_Inventory[[#This Row],[res_pct]]</f>
        <v>161521.835456</v>
      </c>
      <c r="BT980" s="7">
        <f>Wapato_Inventory[[#This Row],[land_value]]</f>
        <v>53900</v>
      </c>
      <c r="BU980" s="2">
        <f>_xlfn.IFNA(VLOOKUP(Wapato_Inventory[[#This Row],[quality]],Lookups!$A$28:$C$37,3,FALSE),1)</f>
        <v>0.96265813922927435</v>
      </c>
      <c r="BV980" s="2">
        <f>_xlfn.IFNA(VLOOKUP(Wapato_Inventory[[#This Row],[condition]],Lookups!$A$41:$C$48,3,FALSE),1)</f>
        <v>0.9832333997567807</v>
      </c>
      <c r="BW980" s="2">
        <f>IF(Wapato_Inventory[[#This Row],[decade]]="",1,_xlfn.IFNA(VLOOKUP(Wapato_Inventory[[#This Row],[decade]],Lookups!$F$28:$H$45,3,FALSE),1))</f>
        <v>1.0114203040664467</v>
      </c>
      <c r="BX980" s="2">
        <f>_xlfn.IFNA(VLOOKUP(Wapato_Inventory[[#This Row],[living_area_range]],Lookups!$K$28:$M$37,3,FALSE),1)</f>
        <v>1.0061411172456287</v>
      </c>
      <c r="BY980" s="2">
        <f>AVERAGE(Wapato_Inventory[[#This Row],[qual_adj]:[range_adj]])</f>
        <v>0.99086324007453253</v>
      </c>
      <c r="BZ980" s="7">
        <f>(Wapato_Inventory[[#This Row],[sum_land]]-IF(Wapato_Inventory[[#This Row],[no_utilities]]=1,12000,0))/IF(Wapato_Inventory[[#This Row],[unbuildable]]=1,2,1)</f>
        <v>53900</v>
      </c>
      <c r="CA980" s="7">
        <f>Wapato_Inventory[[#This Row],[pre_res]]*Wapato_Inventory[[#This Row],[overall_adj]]</f>
        <v>160046.04922271767</v>
      </c>
      <c r="CB980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80" s="3">
        <f>IF(ROUND(Wapato_Inventory[[#This Row],[adj_res]]*Lookups!$H$48,-2)&lt;Wapato_Inventory[[#This Row],[min_res]],Wapato_Inventory[[#This Row],[min_res]],ROUND(Wapato_Inventory[[#This Row],[adj_res]]*Lookups!$H$48,-2))</f>
        <v>152000</v>
      </c>
      <c r="CD980" s="3">
        <f>ROUND(Wapato_Inventory[[#This Row],[det_value]]*Lookups!$H$48,-2)</f>
        <v>21600</v>
      </c>
      <c r="CE980" s="3">
        <f>Wapato_Inventory[[#This Row],[final_res]]+Wapato_Inventory[[#This Row],[final_det]]</f>
        <v>173600</v>
      </c>
      <c r="CF980" s="3">
        <f>Wapato_Inventory[[#This Row],[crop_value]]+Wapato_Inventory[[#This Row],[final_land]]+Wapato_Inventory[[#This Row],[final_imp]]</f>
        <v>224800</v>
      </c>
      <c r="CH980" t="str">
        <f t="shared" si="15"/>
        <v>update valuation set market_land =51200, market_bldg=173600, market_total =224800, market_mdno =405, market_date ='9/10/2023' where link_id = (select link_id from parcel where parcel_year = '2024' and parcel_id = '19111523400');</v>
      </c>
    </row>
    <row r="981" spans="1:86" x14ac:dyDescent="0.25">
      <c r="A981">
        <v>19111523401</v>
      </c>
      <c r="B981">
        <v>0.2</v>
      </c>
      <c r="C981">
        <v>8612</v>
      </c>
      <c r="D981" t="s">
        <v>144</v>
      </c>
      <c r="E981" t="s">
        <v>54</v>
      </c>
      <c r="F981" t="s">
        <v>54</v>
      </c>
      <c r="G981">
        <v>3</v>
      </c>
      <c r="H981" t="s">
        <v>55</v>
      </c>
      <c r="I981">
        <v>114000</v>
      </c>
      <c r="J981">
        <v>34400</v>
      </c>
      <c r="K981">
        <v>0.2</v>
      </c>
      <c r="L981">
        <f>IF(Wapato_Inventory[[#This Row],[parcel_acres]]-Wapato_Inventory[[#This Row],[non_valued_acres]] =0,0,LN(Wapato_Inventory[[#This Row],[parcel_acres]]-Wapato_Inventory[[#This Row],[non_valued_acres]]))</f>
        <v>-1.6094379124341003</v>
      </c>
      <c r="M981">
        <v>0</v>
      </c>
      <c r="N981">
        <v>0</v>
      </c>
      <c r="O981">
        <v>0</v>
      </c>
      <c r="P981">
        <v>27904.037</v>
      </c>
      <c r="Q981">
        <v>74398</v>
      </c>
      <c r="R981" s="3">
        <f>(Wapato_Inventory[[#This Row],[ln_acres]]*Wapato_Inventory[[#This Row],[coeff]])+Wapato_Inventory[[#This Row],[const]]</f>
        <v>29488.184942236105</v>
      </c>
      <c r="S981" t="s">
        <v>66</v>
      </c>
      <c r="T981">
        <v>1</v>
      </c>
      <c r="U981" t="s">
        <v>78</v>
      </c>
      <c r="V981" t="s">
        <v>68</v>
      </c>
      <c r="W981">
        <v>0</v>
      </c>
      <c r="X981">
        <v>0</v>
      </c>
      <c r="Y981">
        <v>51</v>
      </c>
      <c r="Z981">
        <v>78</v>
      </c>
      <c r="AA981">
        <v>80</v>
      </c>
      <c r="AB981">
        <v>1000</v>
      </c>
      <c r="AC981">
        <v>672</v>
      </c>
      <c r="AD981">
        <v>672</v>
      </c>
      <c r="AE981">
        <v>0</v>
      </c>
      <c r="AF981">
        <v>0</v>
      </c>
      <c r="AG981">
        <v>0</v>
      </c>
      <c r="AH981">
        <v>0</v>
      </c>
      <c r="AI981">
        <v>0</v>
      </c>
      <c r="AJ981">
        <v>0</v>
      </c>
      <c r="AK981">
        <v>0</v>
      </c>
      <c r="AL981">
        <v>0</v>
      </c>
      <c r="AM981">
        <v>0</v>
      </c>
      <c r="AN981">
        <v>0</v>
      </c>
      <c r="AO981">
        <v>0</v>
      </c>
      <c r="AP981">
        <v>5</v>
      </c>
      <c r="AQ981">
        <v>1</v>
      </c>
      <c r="AR981">
        <v>0</v>
      </c>
      <c r="AS981" t="s">
        <v>59</v>
      </c>
      <c r="AT981">
        <v>1</v>
      </c>
      <c r="AU981" t="s">
        <v>72</v>
      </c>
      <c r="AV981" t="s">
        <v>61</v>
      </c>
      <c r="AW981">
        <v>0</v>
      </c>
      <c r="AX981">
        <v>2</v>
      </c>
      <c r="AY981">
        <v>0</v>
      </c>
      <c r="AZ981">
        <v>3600</v>
      </c>
      <c r="BA981">
        <v>100</v>
      </c>
      <c r="BB981">
        <v>100</v>
      </c>
      <c r="BC981">
        <v>100</v>
      </c>
      <c r="BD981">
        <v>100</v>
      </c>
      <c r="BE981">
        <v>1</v>
      </c>
      <c r="BF981">
        <v>15000</v>
      </c>
      <c r="BG981">
        <v>1000</v>
      </c>
      <c r="BH981" s="7">
        <f>ROUND(Wapato_Inventory[[#This Row],[detatched_value]]*Lookups!$B$22*Lookups!$H$48,-2)</f>
        <v>3200</v>
      </c>
      <c r="BI981" s="7">
        <f>ROUND(((Wapato_Inventory[[#This Row],[land_extract]]*Lookups!$B$3) +(Lookups!$B$2*0.5))*Lookups!$H$48,-2)</f>
        <v>53900</v>
      </c>
      <c r="BJ981" s="7">
        <f>IF(Wapato_Inventory[[#This Row],[bldg_style]]="",0,Lookups!$B$2*0.5)</f>
        <v>53765.27</v>
      </c>
      <c r="BK981" s="7">
        <f>_xlfn.IFNA(VLOOKUP(Wapato_Inventory[[#This Row],[quality]],Lookups!$H$2:$J$14,3,FALSE),0)</f>
        <v>23424</v>
      </c>
      <c r="BL981" s="7">
        <f>_xlfn.IFNA(VLOOKUP(Wapato_Inventory[[#This Row],[condition]],Lookups!$H$17:$J$24,3,FALSE),0)</f>
        <v>52231</v>
      </c>
      <c r="BM981" s="7">
        <f>Wapato_Inventory[[#This Row],[Age]]*Lookups!$B$16</f>
        <v>-28912.704600000001</v>
      </c>
      <c r="BN981" s="7">
        <f>Wapato_Inventory[[#This Row],[Main Floor]]*Lookups!$B$17</f>
        <v>28090.096608</v>
      </c>
      <c r="BO981" s="7">
        <f>Wapato_Inventory[[#This Row],[Upper Floor]]*Lookups!$B$18</f>
        <v>0</v>
      </c>
      <c r="BP981" s="7">
        <f>Wapato_Inventory[[#This Row],[Fin BSMT]]*Lookups!$B$19</f>
        <v>0</v>
      </c>
      <c r="BQ981" s="7">
        <f>(Wapato_Inventory[[#This Row],[att_gar]]+Wapato_Inventory[[#This Row],[blt_gar]])*Lookups!$B$20</f>
        <v>0</v>
      </c>
      <c r="BR981" s="7">
        <f>Wapato_Inventory[[#This Row],[Patio]]*Lookups!$B$21</f>
        <v>0</v>
      </c>
      <c r="BS981" s="7">
        <f>SUM(Wapato_Inventory[[#This Row],[intercept]:[patio_value]])*Wapato_Inventory[[#This Row],[res_pct]]</f>
        <v>128597.66200799998</v>
      </c>
      <c r="BT981" s="7">
        <f>Wapato_Inventory[[#This Row],[land_value]]</f>
        <v>53900</v>
      </c>
      <c r="BU981" s="2">
        <f>_xlfn.IFNA(VLOOKUP(Wapato_Inventory[[#This Row],[quality]],Lookups!$A$28:$C$37,3,FALSE),1)</f>
        <v>1.0091195562373767</v>
      </c>
      <c r="BV981" s="2">
        <f>_xlfn.IFNA(VLOOKUP(Wapato_Inventory[[#This Row],[condition]],Lookups!$A$41:$C$48,3,FALSE),1)</f>
        <v>0.9832333997567807</v>
      </c>
      <c r="BW981" s="2">
        <f>IF(Wapato_Inventory[[#This Row],[decade]]="",1,_xlfn.IFNA(VLOOKUP(Wapato_Inventory[[#This Row],[decade]],Lookups!$F$28:$H$45,3,FALSE),1))</f>
        <v>0.8438929209510081</v>
      </c>
      <c r="BX981" s="2">
        <f>_xlfn.IFNA(VLOOKUP(Wapato_Inventory[[#This Row],[living_area_range]],Lookups!$K$28:$M$37,3,FALSE),1)</f>
        <v>0.99022994770196116</v>
      </c>
      <c r="BY981" s="2">
        <f>AVERAGE(Wapato_Inventory[[#This Row],[qual_adj]:[range_adj]])</f>
        <v>0.95661895616178172</v>
      </c>
      <c r="BZ981" s="7">
        <f>(Wapato_Inventory[[#This Row],[sum_land]]-IF(Wapato_Inventory[[#This Row],[no_utilities]]=1,12000,0))/IF(Wapato_Inventory[[#This Row],[unbuildable]]=1,2,1)</f>
        <v>53900</v>
      </c>
      <c r="CA981" s="7">
        <f>Wapato_Inventory[[#This Row],[pre_res]]*Wapato_Inventory[[#This Row],[overall_adj]]</f>
        <v>123018.96119493856</v>
      </c>
      <c r="CB981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81" s="3">
        <f>IF(ROUND(Wapato_Inventory[[#This Row],[adj_res]]*Lookups!$H$48,-2)&lt;Wapato_Inventory[[#This Row],[min_res]],Wapato_Inventory[[#This Row],[min_res]],ROUND(Wapato_Inventory[[#This Row],[adj_res]]*Lookups!$H$48,-2))</f>
        <v>116900</v>
      </c>
      <c r="CD981" s="3">
        <f>ROUND(Wapato_Inventory[[#This Row],[det_value]]*Lookups!$H$48,-2)</f>
        <v>3000</v>
      </c>
      <c r="CE981" s="3">
        <f>Wapato_Inventory[[#This Row],[final_res]]+Wapato_Inventory[[#This Row],[final_det]]</f>
        <v>119900</v>
      </c>
      <c r="CF981" s="3">
        <f>Wapato_Inventory[[#This Row],[crop_value]]+Wapato_Inventory[[#This Row],[final_land]]+Wapato_Inventory[[#This Row],[final_imp]]</f>
        <v>171100</v>
      </c>
      <c r="CH981" t="str">
        <f t="shared" si="15"/>
        <v>update valuation set market_land =51200, market_bldg=119900, market_total =171100, market_mdno =405, market_date ='9/10/2023' where link_id = (select link_id from parcel where parcel_year = '2024' and parcel_id = '19111523401');</v>
      </c>
    </row>
    <row r="982" spans="1:86" x14ac:dyDescent="0.25">
      <c r="A982">
        <v>19111523402</v>
      </c>
      <c r="B982">
        <v>0.2</v>
      </c>
      <c r="C982">
        <v>8612</v>
      </c>
      <c r="D982" t="s">
        <v>144</v>
      </c>
      <c r="E982" t="s">
        <v>54</v>
      </c>
      <c r="F982" t="s">
        <v>54</v>
      </c>
      <c r="G982">
        <v>3</v>
      </c>
      <c r="H982" t="s">
        <v>55</v>
      </c>
      <c r="I982">
        <v>244200</v>
      </c>
      <c r="J982">
        <v>34400</v>
      </c>
      <c r="K982">
        <v>0.2</v>
      </c>
      <c r="L982">
        <f>IF(Wapato_Inventory[[#This Row],[parcel_acres]]-Wapato_Inventory[[#This Row],[non_valued_acres]] =0,0,LN(Wapato_Inventory[[#This Row],[parcel_acres]]-Wapato_Inventory[[#This Row],[non_valued_acres]]))</f>
        <v>-1.6094379124341003</v>
      </c>
      <c r="M982">
        <v>0</v>
      </c>
      <c r="N982">
        <v>0</v>
      </c>
      <c r="O982">
        <v>0</v>
      </c>
      <c r="P982">
        <v>27904.037</v>
      </c>
      <c r="Q982">
        <v>74398</v>
      </c>
      <c r="R982" s="3">
        <f>(Wapato_Inventory[[#This Row],[ln_acres]]*Wapato_Inventory[[#This Row],[coeff]])+Wapato_Inventory[[#This Row],[const]]</f>
        <v>29488.184942236105</v>
      </c>
      <c r="S982" t="s">
        <v>62</v>
      </c>
      <c r="T982">
        <v>1</v>
      </c>
      <c r="U982" t="s">
        <v>75</v>
      </c>
      <c r="V982" t="s">
        <v>69</v>
      </c>
      <c r="W982">
        <v>0</v>
      </c>
      <c r="X982">
        <v>0</v>
      </c>
      <c r="Y982">
        <v>53</v>
      </c>
      <c r="Z982">
        <v>93</v>
      </c>
      <c r="AA982">
        <v>100</v>
      </c>
      <c r="AB982">
        <v>1500</v>
      </c>
      <c r="AC982">
        <v>1407</v>
      </c>
      <c r="AD982">
        <v>1407</v>
      </c>
      <c r="AE982">
        <v>0</v>
      </c>
      <c r="AF982">
        <v>0</v>
      </c>
      <c r="AG982">
        <v>0</v>
      </c>
      <c r="AH982">
        <v>0</v>
      </c>
      <c r="AI982">
        <v>0</v>
      </c>
      <c r="AJ982">
        <v>0</v>
      </c>
      <c r="AK982">
        <v>130</v>
      </c>
      <c r="AL982">
        <v>435</v>
      </c>
      <c r="AM982">
        <v>0</v>
      </c>
      <c r="AN982">
        <v>0</v>
      </c>
      <c r="AO982">
        <v>435</v>
      </c>
      <c r="AP982">
        <v>5</v>
      </c>
      <c r="AQ982">
        <v>0</v>
      </c>
      <c r="AR982">
        <v>0</v>
      </c>
      <c r="AS982" t="s">
        <v>59</v>
      </c>
      <c r="AT982">
        <v>1</v>
      </c>
      <c r="AU982" t="s">
        <v>60</v>
      </c>
      <c r="AV982" t="s">
        <v>61</v>
      </c>
      <c r="AW982">
        <v>1</v>
      </c>
      <c r="AX982">
        <v>2</v>
      </c>
      <c r="AY982">
        <v>0</v>
      </c>
      <c r="AZ982">
        <v>3800</v>
      </c>
      <c r="BA982">
        <v>100</v>
      </c>
      <c r="BB982">
        <v>100</v>
      </c>
      <c r="BC982">
        <v>100</v>
      </c>
      <c r="BD982">
        <v>100</v>
      </c>
      <c r="BE982">
        <v>1</v>
      </c>
      <c r="BF982">
        <v>15000</v>
      </c>
      <c r="BG982">
        <v>1000</v>
      </c>
      <c r="BH982" s="7">
        <f>ROUND(Wapato_Inventory[[#This Row],[detatched_value]]*Lookups!$B$22*Lookups!$H$48,-2)</f>
        <v>3400</v>
      </c>
      <c r="BI982" s="7">
        <f>ROUND(((Wapato_Inventory[[#This Row],[land_extract]]*Lookups!$B$3) +(Lookups!$B$2*0.5))*Lookups!$H$48,-2)</f>
        <v>53900</v>
      </c>
      <c r="BJ982" s="7">
        <f>IF(Wapato_Inventory[[#This Row],[bldg_style]]="",0,Lookups!$B$2*0.5)</f>
        <v>53765.27</v>
      </c>
      <c r="BK982" s="7">
        <f>_xlfn.IFNA(VLOOKUP(Wapato_Inventory[[#This Row],[quality]],Lookups!$H$2:$J$14,3,FALSE),0)</f>
        <v>48043</v>
      </c>
      <c r="BL982" s="7">
        <f>_xlfn.IFNA(VLOOKUP(Wapato_Inventory[[#This Row],[condition]],Lookups!$H$17:$J$24,3,FALSE),0)</f>
        <v>74543</v>
      </c>
      <c r="BM982" s="7">
        <f>Wapato_Inventory[[#This Row],[Age]]*Lookups!$B$16</f>
        <v>-34472.840100000001</v>
      </c>
      <c r="BN982" s="7">
        <f>Wapato_Inventory[[#This Row],[Main Floor]]*Lookups!$B$17</f>
        <v>58813.639773000003</v>
      </c>
      <c r="BO982" s="7">
        <f>Wapato_Inventory[[#This Row],[Upper Floor]]*Lookups!$B$18</f>
        <v>0</v>
      </c>
      <c r="BP982" s="7">
        <f>Wapato_Inventory[[#This Row],[Fin BSMT]]*Lookups!$B$19</f>
        <v>0</v>
      </c>
      <c r="BQ982" s="7">
        <f>(Wapato_Inventory[[#This Row],[att_gar]]+Wapato_Inventory[[#This Row],[blt_gar]])*Lookups!$B$20</f>
        <v>0</v>
      </c>
      <c r="BR982" s="7">
        <f>Wapato_Inventory[[#This Row],[Patio]]*Lookups!$B$21</f>
        <v>0</v>
      </c>
      <c r="BS982" s="7">
        <f>SUM(Wapato_Inventory[[#This Row],[intercept]:[patio_value]])*Wapato_Inventory[[#This Row],[res_pct]]</f>
        <v>200692.06967299999</v>
      </c>
      <c r="BT982" s="7">
        <f>Wapato_Inventory[[#This Row],[land_value]]</f>
        <v>53900</v>
      </c>
      <c r="BU982" s="2">
        <f>_xlfn.IFNA(VLOOKUP(Wapato_Inventory[[#This Row],[quality]],Lookups!$A$28:$C$37,3,FALSE),1)</f>
        <v>0.98196844879778955</v>
      </c>
      <c r="BV982" s="2">
        <f>_xlfn.IFNA(VLOOKUP(Wapato_Inventory[[#This Row],[condition]],Lookups!$A$41:$C$48,3,FALSE),1)</f>
        <v>0.98442438223270734</v>
      </c>
      <c r="BW982" s="2">
        <f>IF(Wapato_Inventory[[#This Row],[decade]]="",1,_xlfn.IFNA(VLOOKUP(Wapato_Inventory[[#This Row],[decade]],Lookups!$F$28:$H$45,3,FALSE),1))</f>
        <v>1.0114203040664467</v>
      </c>
      <c r="BX982" s="2">
        <f>_xlfn.IFNA(VLOOKUP(Wapato_Inventory[[#This Row],[living_area_range]],Lookups!$K$28:$M$37,3,FALSE),1)</f>
        <v>1.0061411172456287</v>
      </c>
      <c r="BY982" s="2">
        <f>AVERAGE(Wapato_Inventory[[#This Row],[qual_adj]:[range_adj]])</f>
        <v>0.9959885630856431</v>
      </c>
      <c r="BZ982" s="7">
        <f>(Wapato_Inventory[[#This Row],[sum_land]]-IF(Wapato_Inventory[[#This Row],[no_utilities]]=1,12000,0))/IF(Wapato_Inventory[[#This Row],[unbuildable]]=1,2,1)</f>
        <v>53900</v>
      </c>
      <c r="CA982" s="7">
        <f>Wapato_Inventory[[#This Row],[pre_res]]*Wapato_Inventory[[#This Row],[overall_adj]]</f>
        <v>199887.00609629502</v>
      </c>
      <c r="CB982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82" s="3">
        <f>IF(ROUND(Wapato_Inventory[[#This Row],[adj_res]]*Lookups!$H$48,-2)&lt;Wapato_Inventory[[#This Row],[min_res]],Wapato_Inventory[[#This Row],[min_res]],ROUND(Wapato_Inventory[[#This Row],[adj_res]]*Lookups!$H$48,-2))</f>
        <v>189900</v>
      </c>
      <c r="CD982" s="3">
        <f>ROUND(Wapato_Inventory[[#This Row],[det_value]]*Lookups!$H$48,-2)</f>
        <v>3200</v>
      </c>
      <c r="CE982" s="3">
        <f>Wapato_Inventory[[#This Row],[final_res]]+Wapato_Inventory[[#This Row],[final_det]]</f>
        <v>193100</v>
      </c>
      <c r="CF982" s="3">
        <f>Wapato_Inventory[[#This Row],[crop_value]]+Wapato_Inventory[[#This Row],[final_land]]+Wapato_Inventory[[#This Row],[final_imp]]</f>
        <v>244300</v>
      </c>
      <c r="CH982" t="str">
        <f t="shared" si="15"/>
        <v>update valuation set market_land =51200, market_bldg=193100, market_total =244300, market_mdno =405, market_date ='9/10/2023' where link_id = (select link_id from parcel where parcel_year = '2024' and parcel_id = '19111523402');</v>
      </c>
    </row>
    <row r="983" spans="1:86" x14ac:dyDescent="0.25">
      <c r="A983">
        <v>19111523403</v>
      </c>
      <c r="B983">
        <v>0.2</v>
      </c>
      <c r="C983">
        <v>8612</v>
      </c>
      <c r="D983" t="s">
        <v>144</v>
      </c>
      <c r="E983" t="s">
        <v>54</v>
      </c>
      <c r="F983" t="s">
        <v>54</v>
      </c>
      <c r="G983">
        <v>3</v>
      </c>
      <c r="H983" t="s">
        <v>55</v>
      </c>
      <c r="I983">
        <v>99400</v>
      </c>
      <c r="J983">
        <v>34400</v>
      </c>
      <c r="K983">
        <v>0.2</v>
      </c>
      <c r="L983">
        <f>IF(Wapato_Inventory[[#This Row],[parcel_acres]]-Wapato_Inventory[[#This Row],[non_valued_acres]] =0,0,LN(Wapato_Inventory[[#This Row],[parcel_acres]]-Wapato_Inventory[[#This Row],[non_valued_acres]]))</f>
        <v>-1.6094379124341003</v>
      </c>
      <c r="M983">
        <v>0</v>
      </c>
      <c r="N983">
        <v>0</v>
      </c>
      <c r="O983">
        <v>0</v>
      </c>
      <c r="P983">
        <v>27904.037</v>
      </c>
      <c r="Q983">
        <v>74398</v>
      </c>
      <c r="R983" s="3">
        <f>(Wapato_Inventory[[#This Row],[ln_acres]]*Wapato_Inventory[[#This Row],[coeff]])+Wapato_Inventory[[#This Row],[const]]</f>
        <v>29488.184942236105</v>
      </c>
      <c r="S983" t="s">
        <v>66</v>
      </c>
      <c r="T983">
        <v>1</v>
      </c>
      <c r="U983" t="s">
        <v>71</v>
      </c>
      <c r="V983" t="s">
        <v>68</v>
      </c>
      <c r="W983">
        <v>0</v>
      </c>
      <c r="X983">
        <v>0</v>
      </c>
      <c r="Y983">
        <v>50</v>
      </c>
      <c r="Z983">
        <v>73</v>
      </c>
      <c r="AA983">
        <v>80</v>
      </c>
      <c r="AB983">
        <v>1000</v>
      </c>
      <c r="AC983">
        <v>728</v>
      </c>
      <c r="AD983">
        <v>728</v>
      </c>
      <c r="AE983">
        <v>0</v>
      </c>
      <c r="AF983">
        <v>0</v>
      </c>
      <c r="AG983">
        <v>0</v>
      </c>
      <c r="AH983">
        <v>0</v>
      </c>
      <c r="AI983">
        <v>0</v>
      </c>
      <c r="AJ983">
        <v>0</v>
      </c>
      <c r="AK983">
        <v>0</v>
      </c>
      <c r="AL983">
        <v>0</v>
      </c>
      <c r="AM983">
        <v>0</v>
      </c>
      <c r="AN983">
        <v>0</v>
      </c>
      <c r="AO983">
        <v>0</v>
      </c>
      <c r="AP983">
        <v>5</v>
      </c>
      <c r="AQ983">
        <v>0</v>
      </c>
      <c r="AR983">
        <v>0</v>
      </c>
      <c r="AS983" t="s">
        <v>59</v>
      </c>
      <c r="AT983">
        <v>1</v>
      </c>
      <c r="AU983" t="s">
        <v>64</v>
      </c>
      <c r="AV983" t="s">
        <v>77</v>
      </c>
      <c r="AW983">
        <v>0</v>
      </c>
      <c r="AX983">
        <v>2</v>
      </c>
      <c r="AY983">
        <v>0</v>
      </c>
      <c r="AZ983">
        <v>0</v>
      </c>
      <c r="BA983">
        <v>100</v>
      </c>
      <c r="BB983">
        <v>100</v>
      </c>
      <c r="BC983">
        <v>100</v>
      </c>
      <c r="BD983">
        <v>100</v>
      </c>
      <c r="BE983">
        <v>1</v>
      </c>
      <c r="BF983">
        <v>15000</v>
      </c>
      <c r="BG983">
        <v>1000</v>
      </c>
      <c r="BH983" s="7">
        <f>ROUND(Wapato_Inventory[[#This Row],[detatched_value]]*Lookups!$B$22*Lookups!$H$48,-2)</f>
        <v>0</v>
      </c>
      <c r="BI983" s="7">
        <f>ROUND(((Wapato_Inventory[[#This Row],[land_extract]]*Lookups!$B$3) +(Lookups!$B$2*0.5))*Lookups!$H$48,-2)</f>
        <v>53900</v>
      </c>
      <c r="BJ983" s="7">
        <f>IF(Wapato_Inventory[[#This Row],[bldg_style]]="",0,Lookups!$B$2*0.5)</f>
        <v>53765.27</v>
      </c>
      <c r="BK983" s="7">
        <f>_xlfn.IFNA(VLOOKUP(Wapato_Inventory[[#This Row],[quality]],Lookups!$H$2:$J$14,3,FALSE),0)</f>
        <v>28034</v>
      </c>
      <c r="BL983" s="7">
        <f>_xlfn.IFNA(VLOOKUP(Wapato_Inventory[[#This Row],[condition]],Lookups!$H$17:$J$24,3,FALSE),0)</f>
        <v>52231</v>
      </c>
      <c r="BM983" s="7">
        <f>Wapato_Inventory[[#This Row],[Age]]*Lookups!$B$16</f>
        <v>-27059.326100000002</v>
      </c>
      <c r="BN983" s="7">
        <f>Wapato_Inventory[[#This Row],[Main Floor]]*Lookups!$B$17</f>
        <v>30430.937991999999</v>
      </c>
      <c r="BO983" s="7">
        <f>Wapato_Inventory[[#This Row],[Upper Floor]]*Lookups!$B$18</f>
        <v>0</v>
      </c>
      <c r="BP983" s="7">
        <f>Wapato_Inventory[[#This Row],[Fin BSMT]]*Lookups!$B$19</f>
        <v>0</v>
      </c>
      <c r="BQ983" s="7">
        <f>(Wapato_Inventory[[#This Row],[att_gar]]+Wapato_Inventory[[#This Row],[blt_gar]])*Lookups!$B$20</f>
        <v>0</v>
      </c>
      <c r="BR983" s="7">
        <f>Wapato_Inventory[[#This Row],[Patio]]*Lookups!$B$21</f>
        <v>0</v>
      </c>
      <c r="BS983" s="7">
        <f>SUM(Wapato_Inventory[[#This Row],[intercept]:[patio_value]])*Wapato_Inventory[[#This Row],[res_pct]]</f>
        <v>137401.88189199998</v>
      </c>
      <c r="BT983" s="7">
        <f>Wapato_Inventory[[#This Row],[land_value]]</f>
        <v>53900</v>
      </c>
      <c r="BU983" s="2">
        <f>_xlfn.IFNA(VLOOKUP(Wapato_Inventory[[#This Row],[quality]],Lookups!$A$28:$C$37,3,FALSE),1)</f>
        <v>0.96265813922927435</v>
      </c>
      <c r="BV983" s="2">
        <f>_xlfn.IFNA(VLOOKUP(Wapato_Inventory[[#This Row],[condition]],Lookups!$A$41:$C$48,3,FALSE),1)</f>
        <v>0.9832333997567807</v>
      </c>
      <c r="BW983" s="2">
        <f>IF(Wapato_Inventory[[#This Row],[decade]]="",1,_xlfn.IFNA(VLOOKUP(Wapato_Inventory[[#This Row],[decade]],Lookups!$F$28:$H$45,3,FALSE),1))</f>
        <v>0.8438929209510081</v>
      </c>
      <c r="BX983" s="2">
        <f>_xlfn.IFNA(VLOOKUP(Wapato_Inventory[[#This Row],[living_area_range]],Lookups!$K$28:$M$37,3,FALSE),1)</f>
        <v>0.99022994770196116</v>
      </c>
      <c r="BY983" s="2">
        <f>AVERAGE(Wapato_Inventory[[#This Row],[qual_adj]:[range_adj]])</f>
        <v>0.94500360190975607</v>
      </c>
      <c r="BZ983" s="7">
        <f>(Wapato_Inventory[[#This Row],[sum_land]]-IF(Wapato_Inventory[[#This Row],[no_utilities]]=1,12000,0))/IF(Wapato_Inventory[[#This Row],[unbuildable]]=1,2,1)</f>
        <v>53900</v>
      </c>
      <c r="CA983" s="7">
        <f>Wapato_Inventory[[#This Row],[pre_res]]*Wapato_Inventory[[#This Row],[overall_adj]]</f>
        <v>129845.27329711887</v>
      </c>
      <c r="CB983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83" s="3">
        <f>IF(ROUND(Wapato_Inventory[[#This Row],[adj_res]]*Lookups!$H$48,-2)&lt;Wapato_Inventory[[#This Row],[min_res]],Wapato_Inventory[[#This Row],[min_res]],ROUND(Wapato_Inventory[[#This Row],[adj_res]]*Lookups!$H$48,-2))</f>
        <v>123400</v>
      </c>
      <c r="CD983" s="3">
        <f>ROUND(Wapato_Inventory[[#This Row],[det_value]]*Lookups!$H$48,-2)</f>
        <v>0</v>
      </c>
      <c r="CE983" s="3">
        <f>Wapato_Inventory[[#This Row],[final_res]]+Wapato_Inventory[[#This Row],[final_det]]</f>
        <v>123400</v>
      </c>
      <c r="CF983" s="3">
        <f>Wapato_Inventory[[#This Row],[crop_value]]+Wapato_Inventory[[#This Row],[final_land]]+Wapato_Inventory[[#This Row],[final_imp]]</f>
        <v>174600</v>
      </c>
      <c r="CH983" t="str">
        <f t="shared" si="15"/>
        <v>update valuation set market_land =51200, market_bldg=123400, market_total =174600, market_mdno =405, market_date ='9/10/2023' where link_id = (select link_id from parcel where parcel_year = '2024' and parcel_id = '19111523403');</v>
      </c>
    </row>
    <row r="984" spans="1:86" x14ac:dyDescent="0.25">
      <c r="A984">
        <v>19111523404</v>
      </c>
      <c r="B984">
        <v>0.2</v>
      </c>
      <c r="C984">
        <v>8612</v>
      </c>
      <c r="D984" t="s">
        <v>144</v>
      </c>
      <c r="E984" t="s">
        <v>54</v>
      </c>
      <c r="F984" t="s">
        <v>54</v>
      </c>
      <c r="G984">
        <v>3</v>
      </c>
      <c r="H984" t="s">
        <v>55</v>
      </c>
      <c r="I984">
        <v>184000</v>
      </c>
      <c r="J984">
        <v>34400</v>
      </c>
      <c r="K984">
        <v>0.2</v>
      </c>
      <c r="L984">
        <f>IF(Wapato_Inventory[[#This Row],[parcel_acres]]-Wapato_Inventory[[#This Row],[non_valued_acres]] =0,0,LN(Wapato_Inventory[[#This Row],[parcel_acres]]-Wapato_Inventory[[#This Row],[non_valued_acres]]))</f>
        <v>-1.6094379124341003</v>
      </c>
      <c r="M984">
        <v>0</v>
      </c>
      <c r="N984">
        <v>0</v>
      </c>
      <c r="O984">
        <v>0</v>
      </c>
      <c r="P984">
        <v>27904.037</v>
      </c>
      <c r="Q984">
        <v>74398</v>
      </c>
      <c r="R984" s="3">
        <f>(Wapato_Inventory[[#This Row],[ln_acres]]*Wapato_Inventory[[#This Row],[coeff]])+Wapato_Inventory[[#This Row],[const]]</f>
        <v>29488.184942236105</v>
      </c>
      <c r="S984" t="s">
        <v>66</v>
      </c>
      <c r="T984">
        <v>1</v>
      </c>
      <c r="U984" t="s">
        <v>75</v>
      </c>
      <c r="V984" t="s">
        <v>68</v>
      </c>
      <c r="W984">
        <v>0</v>
      </c>
      <c r="X984">
        <v>0</v>
      </c>
      <c r="Y984">
        <v>48</v>
      </c>
      <c r="Z984">
        <v>63</v>
      </c>
      <c r="AA984">
        <v>70</v>
      </c>
      <c r="AB984">
        <v>2000</v>
      </c>
      <c r="AC984">
        <v>1512</v>
      </c>
      <c r="AD984">
        <v>1512</v>
      </c>
      <c r="AE984">
        <v>0</v>
      </c>
      <c r="AF984">
        <v>0</v>
      </c>
      <c r="AG984">
        <v>0</v>
      </c>
      <c r="AH984">
        <v>0</v>
      </c>
      <c r="AI984">
        <v>0</v>
      </c>
      <c r="AJ984">
        <v>0</v>
      </c>
      <c r="AK984">
        <v>0</v>
      </c>
      <c r="AL984">
        <v>0</v>
      </c>
      <c r="AM984">
        <v>0</v>
      </c>
      <c r="AN984">
        <v>32</v>
      </c>
      <c r="AO984">
        <v>0</v>
      </c>
      <c r="AP984">
        <v>7</v>
      </c>
      <c r="AQ984">
        <v>1</v>
      </c>
      <c r="AR984">
        <v>0</v>
      </c>
      <c r="AS984" t="s">
        <v>59</v>
      </c>
      <c r="AT984">
        <v>1</v>
      </c>
      <c r="AU984" t="s">
        <v>72</v>
      </c>
      <c r="AV984" t="s">
        <v>61</v>
      </c>
      <c r="AW984">
        <v>0</v>
      </c>
      <c r="AX984">
        <v>3</v>
      </c>
      <c r="AY984">
        <v>0</v>
      </c>
      <c r="AZ984">
        <v>0</v>
      </c>
      <c r="BA984">
        <v>100</v>
      </c>
      <c r="BB984">
        <v>100</v>
      </c>
      <c r="BC984">
        <v>100</v>
      </c>
      <c r="BD984">
        <v>100</v>
      </c>
      <c r="BE984">
        <v>1</v>
      </c>
      <c r="BF984">
        <v>15000</v>
      </c>
      <c r="BG984">
        <v>1000</v>
      </c>
      <c r="BH984" s="7">
        <f>ROUND(Wapato_Inventory[[#This Row],[detatched_value]]*Lookups!$B$22*Lookups!$H$48,-2)</f>
        <v>0</v>
      </c>
      <c r="BI984" s="7">
        <f>ROUND(((Wapato_Inventory[[#This Row],[land_extract]]*Lookups!$B$3) +(Lookups!$B$2*0.5))*Lookups!$H$48,-2)</f>
        <v>53900</v>
      </c>
      <c r="BJ984" s="7">
        <f>IF(Wapato_Inventory[[#This Row],[bldg_style]]="",0,Lookups!$B$2*0.5)</f>
        <v>53765.27</v>
      </c>
      <c r="BK984" s="7">
        <f>_xlfn.IFNA(VLOOKUP(Wapato_Inventory[[#This Row],[quality]],Lookups!$H$2:$J$14,3,FALSE),0)</f>
        <v>48043</v>
      </c>
      <c r="BL984" s="7">
        <f>_xlfn.IFNA(VLOOKUP(Wapato_Inventory[[#This Row],[condition]],Lookups!$H$17:$J$24,3,FALSE),0)</f>
        <v>52231</v>
      </c>
      <c r="BM984" s="7">
        <f>Wapato_Inventory[[#This Row],[Age]]*Lookups!$B$16</f>
        <v>-23352.569100000001</v>
      </c>
      <c r="BN984" s="7">
        <f>Wapato_Inventory[[#This Row],[Main Floor]]*Lookups!$B$17</f>
        <v>63202.717367999998</v>
      </c>
      <c r="BO984" s="7">
        <f>Wapato_Inventory[[#This Row],[Upper Floor]]*Lookups!$B$18</f>
        <v>0</v>
      </c>
      <c r="BP984" s="7">
        <f>Wapato_Inventory[[#This Row],[Fin BSMT]]*Lookups!$B$19</f>
        <v>0</v>
      </c>
      <c r="BQ984" s="7">
        <f>(Wapato_Inventory[[#This Row],[att_gar]]+Wapato_Inventory[[#This Row],[blt_gar]])*Lookups!$B$20</f>
        <v>0</v>
      </c>
      <c r="BR984" s="7">
        <f>Wapato_Inventory[[#This Row],[Patio]]*Lookups!$B$21</f>
        <v>0</v>
      </c>
      <c r="BS984" s="7">
        <f>SUM(Wapato_Inventory[[#This Row],[intercept]:[patio_value]])*Wapato_Inventory[[#This Row],[res_pct]]</f>
        <v>193889.41826800001</v>
      </c>
      <c r="BT984" s="7">
        <f>Wapato_Inventory[[#This Row],[land_value]]</f>
        <v>53900</v>
      </c>
      <c r="BU984" s="2">
        <f>_xlfn.IFNA(VLOOKUP(Wapato_Inventory[[#This Row],[quality]],Lookups!$A$28:$C$37,3,FALSE),1)</f>
        <v>0.98196844879778955</v>
      </c>
      <c r="BV984" s="2">
        <f>_xlfn.IFNA(VLOOKUP(Wapato_Inventory[[#This Row],[condition]],Lookups!$A$41:$C$48,3,FALSE),1)</f>
        <v>0.9832333997567807</v>
      </c>
      <c r="BW984" s="2">
        <f>IF(Wapato_Inventory[[#This Row],[decade]]="",1,_xlfn.IFNA(VLOOKUP(Wapato_Inventory[[#This Row],[decade]],Lookups!$F$28:$H$45,3,FALSE),1))</f>
        <v>1.0012715221492001</v>
      </c>
      <c r="BX984" s="2">
        <f>_xlfn.IFNA(VLOOKUP(Wapato_Inventory[[#This Row],[living_area_range]],Lookups!$K$28:$M$37,3,FALSE),1)</f>
        <v>0.99330894324714125</v>
      </c>
      <c r="BY984" s="2">
        <f>AVERAGE(Wapato_Inventory[[#This Row],[qual_adj]:[range_adj]])</f>
        <v>0.98994557848772791</v>
      </c>
      <c r="BZ984" s="7">
        <f>(Wapato_Inventory[[#This Row],[sum_land]]-IF(Wapato_Inventory[[#This Row],[no_utilities]]=1,12000,0))/IF(Wapato_Inventory[[#This Row],[unbuildable]]=1,2,1)</f>
        <v>53900</v>
      </c>
      <c r="CA984" s="7">
        <f>Wapato_Inventory[[#This Row],[pre_res]]*Wapato_Inventory[[#This Row],[overall_adj]]</f>
        <v>191939.97232996431</v>
      </c>
      <c r="CB984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84" s="3">
        <f>IF(ROUND(Wapato_Inventory[[#This Row],[adj_res]]*Lookups!$H$48,-2)&lt;Wapato_Inventory[[#This Row],[min_res]],Wapato_Inventory[[#This Row],[min_res]],ROUND(Wapato_Inventory[[#This Row],[adj_res]]*Lookups!$H$48,-2))</f>
        <v>182300</v>
      </c>
      <c r="CD984" s="3">
        <f>ROUND(Wapato_Inventory[[#This Row],[det_value]]*Lookups!$H$48,-2)</f>
        <v>0</v>
      </c>
      <c r="CE984" s="3">
        <f>Wapato_Inventory[[#This Row],[final_res]]+Wapato_Inventory[[#This Row],[final_det]]</f>
        <v>182300</v>
      </c>
      <c r="CF984" s="3">
        <f>Wapato_Inventory[[#This Row],[crop_value]]+Wapato_Inventory[[#This Row],[final_land]]+Wapato_Inventory[[#This Row],[final_imp]]</f>
        <v>233500</v>
      </c>
      <c r="CH984" t="str">
        <f t="shared" si="15"/>
        <v>update valuation set market_land =51200, market_bldg=182300, market_total =233500, market_mdno =405, market_date ='9/10/2023' where link_id = (select link_id from parcel where parcel_year = '2024' and parcel_id = '19111523404');</v>
      </c>
    </row>
    <row r="985" spans="1:86" x14ac:dyDescent="0.25">
      <c r="A985">
        <v>19111523405</v>
      </c>
      <c r="B985">
        <v>0.2</v>
      </c>
      <c r="C985">
        <v>8612</v>
      </c>
      <c r="D985" t="s">
        <v>144</v>
      </c>
      <c r="E985" t="s">
        <v>54</v>
      </c>
      <c r="F985" t="s">
        <v>54</v>
      </c>
      <c r="G985">
        <v>3</v>
      </c>
      <c r="H985" t="s">
        <v>55</v>
      </c>
      <c r="I985">
        <v>191000</v>
      </c>
      <c r="J985">
        <v>34400</v>
      </c>
      <c r="K985">
        <v>0.2</v>
      </c>
      <c r="L985">
        <f>IF(Wapato_Inventory[[#This Row],[parcel_acres]]-Wapato_Inventory[[#This Row],[non_valued_acres]] =0,0,LN(Wapato_Inventory[[#This Row],[parcel_acres]]-Wapato_Inventory[[#This Row],[non_valued_acres]]))</f>
        <v>-1.6094379124341003</v>
      </c>
      <c r="M985">
        <v>0</v>
      </c>
      <c r="N985">
        <v>0</v>
      </c>
      <c r="O985">
        <v>0</v>
      </c>
      <c r="P985">
        <v>27904.037</v>
      </c>
      <c r="Q985">
        <v>74398</v>
      </c>
      <c r="R985" s="3">
        <f>(Wapato_Inventory[[#This Row],[ln_acres]]*Wapato_Inventory[[#This Row],[coeff]])+Wapato_Inventory[[#This Row],[const]]</f>
        <v>29488.184942236105</v>
      </c>
      <c r="S985" t="s">
        <v>66</v>
      </c>
      <c r="T985">
        <v>1</v>
      </c>
      <c r="U985" t="s">
        <v>71</v>
      </c>
      <c r="V985" t="s">
        <v>70</v>
      </c>
      <c r="W985">
        <v>0</v>
      </c>
      <c r="X985">
        <v>0</v>
      </c>
      <c r="Y985">
        <v>53</v>
      </c>
      <c r="Z985">
        <v>93</v>
      </c>
      <c r="AA985">
        <v>100</v>
      </c>
      <c r="AB985">
        <v>1500</v>
      </c>
      <c r="AC985">
        <v>1005</v>
      </c>
      <c r="AD985">
        <v>1005</v>
      </c>
      <c r="AE985">
        <v>0</v>
      </c>
      <c r="AF985">
        <v>0</v>
      </c>
      <c r="AG985">
        <v>0</v>
      </c>
      <c r="AH985">
        <v>0</v>
      </c>
      <c r="AI985">
        <v>0</v>
      </c>
      <c r="AJ985">
        <v>0</v>
      </c>
      <c r="AK985">
        <v>0</v>
      </c>
      <c r="AL985">
        <v>0</v>
      </c>
      <c r="AM985">
        <v>0</v>
      </c>
      <c r="AN985">
        <v>0</v>
      </c>
      <c r="AO985">
        <v>0</v>
      </c>
      <c r="AP985">
        <v>7</v>
      </c>
      <c r="AQ985">
        <v>0</v>
      </c>
      <c r="AR985">
        <v>0</v>
      </c>
      <c r="AS985" t="s">
        <v>59</v>
      </c>
      <c r="AT985">
        <v>0</v>
      </c>
      <c r="AU985" t="s">
        <v>80</v>
      </c>
      <c r="AV985" t="s">
        <v>77</v>
      </c>
      <c r="AW985">
        <v>0</v>
      </c>
      <c r="AX985">
        <v>3</v>
      </c>
      <c r="AY985">
        <v>0</v>
      </c>
      <c r="AZ985">
        <v>27300</v>
      </c>
      <c r="BA985">
        <v>100</v>
      </c>
      <c r="BB985">
        <v>100</v>
      </c>
      <c r="BC985">
        <v>100</v>
      </c>
      <c r="BD985">
        <v>100</v>
      </c>
      <c r="BE985">
        <v>1</v>
      </c>
      <c r="BF985">
        <v>15000</v>
      </c>
      <c r="BG985">
        <v>1000</v>
      </c>
      <c r="BH985" s="7">
        <f>ROUND(Wapato_Inventory[[#This Row],[detatched_value]]*Lookups!$B$22*Lookups!$H$48,-2)</f>
        <v>24400</v>
      </c>
      <c r="BI985" s="7">
        <f>ROUND(((Wapato_Inventory[[#This Row],[land_extract]]*Lookups!$B$3) +(Lookups!$B$2*0.5))*Lookups!$H$48,-2)</f>
        <v>53900</v>
      </c>
      <c r="BJ985" s="7">
        <f>IF(Wapato_Inventory[[#This Row],[bldg_style]]="",0,Lookups!$B$2*0.5)</f>
        <v>53765.27</v>
      </c>
      <c r="BK985" s="7">
        <f>_xlfn.IFNA(VLOOKUP(Wapato_Inventory[[#This Row],[quality]],Lookups!$H$2:$J$14,3,FALSE),0)</f>
        <v>28034</v>
      </c>
      <c r="BL985" s="7">
        <f>_xlfn.IFNA(VLOOKUP(Wapato_Inventory[[#This Row],[condition]],Lookups!$H$17:$J$24,3,FALSE),0)</f>
        <v>84338</v>
      </c>
      <c r="BM985" s="7">
        <f>Wapato_Inventory[[#This Row],[Age]]*Lookups!$B$16</f>
        <v>-34472.840100000001</v>
      </c>
      <c r="BN985" s="7">
        <f>Wapato_Inventory[[#This Row],[Main Floor]]*Lookups!$B$17</f>
        <v>42009.742695000001</v>
      </c>
      <c r="BO985" s="7">
        <f>Wapato_Inventory[[#This Row],[Upper Floor]]*Lookups!$B$18</f>
        <v>0</v>
      </c>
      <c r="BP985" s="7">
        <f>Wapato_Inventory[[#This Row],[Fin BSMT]]*Lookups!$B$19</f>
        <v>0</v>
      </c>
      <c r="BQ985" s="7">
        <f>(Wapato_Inventory[[#This Row],[att_gar]]+Wapato_Inventory[[#This Row],[blt_gar]])*Lookups!$B$20</f>
        <v>0</v>
      </c>
      <c r="BR985" s="7">
        <f>Wapato_Inventory[[#This Row],[Patio]]*Lookups!$B$21</f>
        <v>0</v>
      </c>
      <c r="BS985" s="7">
        <f>SUM(Wapato_Inventory[[#This Row],[intercept]:[patio_value]])*Wapato_Inventory[[#This Row],[res_pct]]</f>
        <v>173674.17259499998</v>
      </c>
      <c r="BT985" s="7">
        <f>Wapato_Inventory[[#This Row],[land_value]]</f>
        <v>53900</v>
      </c>
      <c r="BU985" s="2">
        <f>_xlfn.IFNA(VLOOKUP(Wapato_Inventory[[#This Row],[quality]],Lookups!$A$28:$C$37,3,FALSE),1)</f>
        <v>0.96265813922927435</v>
      </c>
      <c r="BV985" s="2">
        <f>_xlfn.IFNA(VLOOKUP(Wapato_Inventory[[#This Row],[condition]],Lookups!$A$41:$C$48,3,FALSE),1)</f>
        <v>0.99478075210508476</v>
      </c>
      <c r="BW985" s="2">
        <f>IF(Wapato_Inventory[[#This Row],[decade]]="",1,_xlfn.IFNA(VLOOKUP(Wapato_Inventory[[#This Row],[decade]],Lookups!$F$28:$H$45,3,FALSE),1))</f>
        <v>1.0114203040664467</v>
      </c>
      <c r="BX985" s="2">
        <f>_xlfn.IFNA(VLOOKUP(Wapato_Inventory[[#This Row],[living_area_range]],Lookups!$K$28:$M$37,3,FALSE),1)</f>
        <v>1.0061411172456287</v>
      </c>
      <c r="BY985" s="2">
        <f>AVERAGE(Wapato_Inventory[[#This Row],[qual_adj]:[range_adj]])</f>
        <v>0.99375007816160865</v>
      </c>
      <c r="BZ985" s="7">
        <f>(Wapato_Inventory[[#This Row],[sum_land]]-IF(Wapato_Inventory[[#This Row],[no_utilities]]=1,12000,0))/IF(Wapato_Inventory[[#This Row],[unbuildable]]=1,2,1)</f>
        <v>53900</v>
      </c>
      <c r="CA985" s="7">
        <f>Wapato_Inventory[[#This Row],[pre_res]]*Wapato_Inventory[[#This Row],[overall_adj]]</f>
        <v>172588.72259093393</v>
      </c>
      <c r="CB985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85" s="3">
        <f>IF(ROUND(Wapato_Inventory[[#This Row],[adj_res]]*Lookups!$H$48,-2)&lt;Wapato_Inventory[[#This Row],[min_res]],Wapato_Inventory[[#This Row],[min_res]],ROUND(Wapato_Inventory[[#This Row],[adj_res]]*Lookups!$H$48,-2))</f>
        <v>164000</v>
      </c>
      <c r="CD985" s="3">
        <f>ROUND(Wapato_Inventory[[#This Row],[det_value]]*Lookups!$H$48,-2)</f>
        <v>23200</v>
      </c>
      <c r="CE985" s="3">
        <f>Wapato_Inventory[[#This Row],[final_res]]+Wapato_Inventory[[#This Row],[final_det]]</f>
        <v>187200</v>
      </c>
      <c r="CF985" s="3">
        <f>Wapato_Inventory[[#This Row],[crop_value]]+Wapato_Inventory[[#This Row],[final_land]]+Wapato_Inventory[[#This Row],[final_imp]]</f>
        <v>238400</v>
      </c>
      <c r="CH985" t="str">
        <f t="shared" si="15"/>
        <v>update valuation set market_land =51200, market_bldg=187200, market_total =238400, market_mdno =405, market_date ='9/10/2023' where link_id = (select link_id from parcel where parcel_year = '2024' and parcel_id = '19111523405');</v>
      </c>
    </row>
    <row r="986" spans="1:86" x14ac:dyDescent="0.25">
      <c r="A986">
        <v>19111523406</v>
      </c>
      <c r="B986">
        <v>0.2</v>
      </c>
      <c r="C986">
        <v>8612</v>
      </c>
      <c r="D986" t="s">
        <v>144</v>
      </c>
      <c r="E986" t="s">
        <v>54</v>
      </c>
      <c r="F986" t="s">
        <v>54</v>
      </c>
      <c r="G986">
        <v>3</v>
      </c>
      <c r="H986" t="s">
        <v>55</v>
      </c>
      <c r="I986">
        <v>94800</v>
      </c>
      <c r="J986">
        <v>34400</v>
      </c>
      <c r="K986">
        <v>0.2</v>
      </c>
      <c r="L986">
        <f>IF(Wapato_Inventory[[#This Row],[parcel_acres]]-Wapato_Inventory[[#This Row],[non_valued_acres]] =0,0,LN(Wapato_Inventory[[#This Row],[parcel_acres]]-Wapato_Inventory[[#This Row],[non_valued_acres]]))</f>
        <v>-1.6094379124341003</v>
      </c>
      <c r="M986">
        <v>0</v>
      </c>
      <c r="N986">
        <v>0</v>
      </c>
      <c r="O986">
        <v>0</v>
      </c>
      <c r="P986">
        <v>27904.037</v>
      </c>
      <c r="Q986">
        <v>74398</v>
      </c>
      <c r="R986" s="3">
        <f>(Wapato_Inventory[[#This Row],[ln_acres]]*Wapato_Inventory[[#This Row],[coeff]])+Wapato_Inventory[[#This Row],[const]]</f>
        <v>29488.184942236105</v>
      </c>
      <c r="S986" t="s">
        <v>66</v>
      </c>
      <c r="T986">
        <v>1</v>
      </c>
      <c r="U986" t="s">
        <v>71</v>
      </c>
      <c r="V986" t="s">
        <v>68</v>
      </c>
      <c r="W986">
        <v>0</v>
      </c>
      <c r="X986">
        <v>0</v>
      </c>
      <c r="Y986">
        <v>51</v>
      </c>
      <c r="Z986">
        <v>83</v>
      </c>
      <c r="AA986">
        <v>90</v>
      </c>
      <c r="AB986">
        <v>1000</v>
      </c>
      <c r="AC986">
        <v>672</v>
      </c>
      <c r="AD986">
        <v>672</v>
      </c>
      <c r="AE986">
        <v>0</v>
      </c>
      <c r="AF986">
        <v>0</v>
      </c>
      <c r="AG986">
        <v>0</v>
      </c>
      <c r="AH986">
        <v>0</v>
      </c>
      <c r="AI986">
        <v>0</v>
      </c>
      <c r="AJ986">
        <v>0</v>
      </c>
      <c r="AK986">
        <v>0</v>
      </c>
      <c r="AL986">
        <v>0</v>
      </c>
      <c r="AM986">
        <v>132</v>
      </c>
      <c r="AN986">
        <v>88</v>
      </c>
      <c r="AO986">
        <v>132</v>
      </c>
      <c r="AP986">
        <v>5</v>
      </c>
      <c r="AQ986">
        <v>0</v>
      </c>
      <c r="AR986">
        <v>0</v>
      </c>
      <c r="AS986" t="s">
        <v>59</v>
      </c>
      <c r="AT986">
        <v>1</v>
      </c>
      <c r="AU986" t="s">
        <v>72</v>
      </c>
      <c r="AV986" t="s">
        <v>61</v>
      </c>
      <c r="AW986">
        <v>0</v>
      </c>
      <c r="AX986">
        <v>2</v>
      </c>
      <c r="AY986">
        <v>0</v>
      </c>
      <c r="AZ986">
        <v>0</v>
      </c>
      <c r="BA986">
        <v>100</v>
      </c>
      <c r="BB986">
        <v>100</v>
      </c>
      <c r="BC986">
        <v>100</v>
      </c>
      <c r="BD986">
        <v>100</v>
      </c>
      <c r="BE986">
        <v>1</v>
      </c>
      <c r="BF986">
        <v>15000</v>
      </c>
      <c r="BG986">
        <v>1000</v>
      </c>
      <c r="BH986" s="7">
        <f>ROUND(Wapato_Inventory[[#This Row],[detatched_value]]*Lookups!$B$22*Lookups!$H$48,-2)</f>
        <v>0</v>
      </c>
      <c r="BI986" s="7">
        <f>ROUND(((Wapato_Inventory[[#This Row],[land_extract]]*Lookups!$B$3) +(Lookups!$B$2*0.5))*Lookups!$H$48,-2)</f>
        <v>53900</v>
      </c>
      <c r="BJ986" s="7">
        <f>IF(Wapato_Inventory[[#This Row],[bldg_style]]="",0,Lookups!$B$2*0.5)</f>
        <v>53765.27</v>
      </c>
      <c r="BK986" s="7">
        <f>_xlfn.IFNA(VLOOKUP(Wapato_Inventory[[#This Row],[quality]],Lookups!$H$2:$J$14,3,FALSE),0)</f>
        <v>28034</v>
      </c>
      <c r="BL986" s="7">
        <f>_xlfn.IFNA(VLOOKUP(Wapato_Inventory[[#This Row],[condition]],Lookups!$H$17:$J$24,3,FALSE),0)</f>
        <v>52231</v>
      </c>
      <c r="BM986" s="7">
        <f>Wapato_Inventory[[#This Row],[Age]]*Lookups!$B$16</f>
        <v>-30766.0831</v>
      </c>
      <c r="BN986" s="7">
        <f>Wapato_Inventory[[#This Row],[Main Floor]]*Lookups!$B$17</f>
        <v>28090.096608</v>
      </c>
      <c r="BO986" s="7">
        <f>Wapato_Inventory[[#This Row],[Upper Floor]]*Lookups!$B$18</f>
        <v>0</v>
      </c>
      <c r="BP986" s="7">
        <f>Wapato_Inventory[[#This Row],[Fin BSMT]]*Lookups!$B$19</f>
        <v>0</v>
      </c>
      <c r="BQ986" s="7">
        <f>(Wapato_Inventory[[#This Row],[att_gar]]+Wapato_Inventory[[#This Row],[blt_gar]])*Lookups!$B$20</f>
        <v>0</v>
      </c>
      <c r="BR986" s="7">
        <f>Wapato_Inventory[[#This Row],[Patio]]*Lookups!$B$21</f>
        <v>5718.7652280000002</v>
      </c>
      <c r="BS986" s="7">
        <f>SUM(Wapato_Inventory[[#This Row],[intercept]:[patio_value]])*Wapato_Inventory[[#This Row],[res_pct]]</f>
        <v>137073.048736</v>
      </c>
      <c r="BT986" s="7">
        <f>Wapato_Inventory[[#This Row],[land_value]]</f>
        <v>53900</v>
      </c>
      <c r="BU986" s="2">
        <f>_xlfn.IFNA(VLOOKUP(Wapato_Inventory[[#This Row],[quality]],Lookups!$A$28:$C$37,3,FALSE),1)</f>
        <v>0.96265813922927435</v>
      </c>
      <c r="BV986" s="2">
        <f>_xlfn.IFNA(VLOOKUP(Wapato_Inventory[[#This Row],[condition]],Lookups!$A$41:$C$48,3,FALSE),1)</f>
        <v>0.9832333997567807</v>
      </c>
      <c r="BW986" s="2">
        <f>IF(Wapato_Inventory[[#This Row],[decade]]="",1,_xlfn.IFNA(VLOOKUP(Wapato_Inventory[[#This Row],[decade]],Lookups!$F$28:$H$45,3,FALSE),1))</f>
        <v>0.94742695999815718</v>
      </c>
      <c r="BX986" s="2">
        <f>_xlfn.IFNA(VLOOKUP(Wapato_Inventory[[#This Row],[living_area_range]],Lookups!$K$28:$M$37,3,FALSE),1)</f>
        <v>0.99022994770196116</v>
      </c>
      <c r="BY986" s="2">
        <f>AVERAGE(Wapato_Inventory[[#This Row],[qual_adj]:[range_adj]])</f>
        <v>0.97088711167154329</v>
      </c>
      <c r="BZ986" s="7">
        <f>(Wapato_Inventory[[#This Row],[sum_land]]-IF(Wapato_Inventory[[#This Row],[no_utilities]]=1,12000,0))/IF(Wapato_Inventory[[#This Row],[unbuildable]]=1,2,1)</f>
        <v>53900</v>
      </c>
      <c r="CA986" s="7">
        <f>Wapato_Inventory[[#This Row],[pre_res]]*Wapato_Inventory[[#This Row],[overall_adj]]</f>
        <v>133082.45637530772</v>
      </c>
      <c r="CB986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86" s="3">
        <f>IF(ROUND(Wapato_Inventory[[#This Row],[adj_res]]*Lookups!$H$48,-2)&lt;Wapato_Inventory[[#This Row],[min_res]],Wapato_Inventory[[#This Row],[min_res]],ROUND(Wapato_Inventory[[#This Row],[adj_res]]*Lookups!$H$48,-2))</f>
        <v>126400</v>
      </c>
      <c r="CD986" s="3">
        <f>ROUND(Wapato_Inventory[[#This Row],[det_value]]*Lookups!$H$48,-2)</f>
        <v>0</v>
      </c>
      <c r="CE986" s="3">
        <f>Wapato_Inventory[[#This Row],[final_res]]+Wapato_Inventory[[#This Row],[final_det]]</f>
        <v>126400</v>
      </c>
      <c r="CF986" s="3">
        <f>Wapato_Inventory[[#This Row],[crop_value]]+Wapato_Inventory[[#This Row],[final_land]]+Wapato_Inventory[[#This Row],[final_imp]]</f>
        <v>177600</v>
      </c>
      <c r="CH986" t="str">
        <f t="shared" si="15"/>
        <v>update valuation set market_land =51200, market_bldg=126400, market_total =177600, market_mdno =405, market_date ='9/10/2023' where link_id = (select link_id from parcel where parcel_year = '2024' and parcel_id = '19111523406');</v>
      </c>
    </row>
    <row r="987" spans="1:86" x14ac:dyDescent="0.25">
      <c r="A987">
        <v>19111523412</v>
      </c>
      <c r="B987">
        <v>0.2</v>
      </c>
      <c r="C987">
        <v>8612</v>
      </c>
      <c r="D987" t="s">
        <v>144</v>
      </c>
      <c r="E987" t="s">
        <v>54</v>
      </c>
      <c r="F987" t="s">
        <v>54</v>
      </c>
      <c r="G987">
        <v>3</v>
      </c>
      <c r="H987" t="s">
        <v>55</v>
      </c>
      <c r="I987">
        <v>122700</v>
      </c>
      <c r="J987">
        <v>34400</v>
      </c>
      <c r="K987">
        <v>0.2</v>
      </c>
      <c r="L987">
        <f>IF(Wapato_Inventory[[#This Row],[parcel_acres]]-Wapato_Inventory[[#This Row],[non_valued_acres]] =0,0,LN(Wapato_Inventory[[#This Row],[parcel_acres]]-Wapato_Inventory[[#This Row],[non_valued_acres]]))</f>
        <v>-1.6094379124341003</v>
      </c>
      <c r="M987">
        <v>0</v>
      </c>
      <c r="N987">
        <v>0</v>
      </c>
      <c r="O987">
        <v>0</v>
      </c>
      <c r="P987">
        <v>27904.037</v>
      </c>
      <c r="Q987">
        <v>74398</v>
      </c>
      <c r="R987" s="3">
        <f>(Wapato_Inventory[[#This Row],[ln_acres]]*Wapato_Inventory[[#This Row],[coeff]])+Wapato_Inventory[[#This Row],[const]]</f>
        <v>29488.184942236105</v>
      </c>
      <c r="S987" t="s">
        <v>66</v>
      </c>
      <c r="T987">
        <v>1</v>
      </c>
      <c r="U987" t="s">
        <v>71</v>
      </c>
      <c r="V987" t="s">
        <v>68</v>
      </c>
      <c r="W987">
        <v>0</v>
      </c>
      <c r="X987">
        <v>0</v>
      </c>
      <c r="Y987">
        <v>55</v>
      </c>
      <c r="Z987">
        <v>98</v>
      </c>
      <c r="AA987">
        <v>100</v>
      </c>
      <c r="AB987">
        <v>1500</v>
      </c>
      <c r="AC987">
        <v>1208</v>
      </c>
      <c r="AD987">
        <v>1208</v>
      </c>
      <c r="AE987">
        <v>0</v>
      </c>
      <c r="AF987">
        <v>0</v>
      </c>
      <c r="AG987">
        <v>0</v>
      </c>
      <c r="AH987">
        <v>0</v>
      </c>
      <c r="AI987">
        <v>0</v>
      </c>
      <c r="AJ987">
        <v>0</v>
      </c>
      <c r="AK987">
        <v>446</v>
      </c>
      <c r="AL987">
        <v>0</v>
      </c>
      <c r="AM987">
        <v>0</v>
      </c>
      <c r="AN987">
        <v>0</v>
      </c>
      <c r="AO987">
        <v>0</v>
      </c>
      <c r="AP987">
        <v>5</v>
      </c>
      <c r="AQ987">
        <v>1</v>
      </c>
      <c r="AR987">
        <v>0</v>
      </c>
      <c r="AS987" t="s">
        <v>59</v>
      </c>
      <c r="AT987">
        <v>0</v>
      </c>
      <c r="AU987" t="s">
        <v>80</v>
      </c>
      <c r="AV987" t="s">
        <v>77</v>
      </c>
      <c r="AW987">
        <v>0</v>
      </c>
      <c r="AX987">
        <v>3</v>
      </c>
      <c r="AY987">
        <v>0</v>
      </c>
      <c r="AZ987">
        <v>0</v>
      </c>
      <c r="BA987">
        <v>100</v>
      </c>
      <c r="BB987">
        <v>100</v>
      </c>
      <c r="BC987">
        <v>100</v>
      </c>
      <c r="BD987">
        <v>100</v>
      </c>
      <c r="BE987">
        <v>1</v>
      </c>
      <c r="BF987">
        <v>15000</v>
      </c>
      <c r="BG987">
        <v>1000</v>
      </c>
      <c r="BH987" s="7">
        <f>ROUND(Wapato_Inventory[[#This Row],[detatched_value]]*Lookups!$B$22*Lookups!$H$48,-2)</f>
        <v>0</v>
      </c>
      <c r="BI987" s="7">
        <f>ROUND(((Wapato_Inventory[[#This Row],[land_extract]]*Lookups!$B$3) +(Lookups!$B$2*0.5))*Lookups!$H$48,-2)</f>
        <v>53900</v>
      </c>
      <c r="BJ987" s="7">
        <f>IF(Wapato_Inventory[[#This Row],[bldg_style]]="",0,Lookups!$B$2*0.5)</f>
        <v>53765.27</v>
      </c>
      <c r="BK987" s="7">
        <f>_xlfn.IFNA(VLOOKUP(Wapato_Inventory[[#This Row],[quality]],Lookups!$H$2:$J$14,3,FALSE),0)</f>
        <v>28034</v>
      </c>
      <c r="BL987" s="7">
        <f>_xlfn.IFNA(VLOOKUP(Wapato_Inventory[[#This Row],[condition]],Lookups!$H$17:$J$24,3,FALSE),0)</f>
        <v>52231</v>
      </c>
      <c r="BM987" s="7">
        <f>Wapato_Inventory[[#This Row],[Age]]*Lookups!$B$16</f>
        <v>-36326.2186</v>
      </c>
      <c r="BN987" s="7">
        <f>Wapato_Inventory[[#This Row],[Main Floor]]*Lookups!$B$17</f>
        <v>50495.292712000002</v>
      </c>
      <c r="BO987" s="7">
        <f>Wapato_Inventory[[#This Row],[Upper Floor]]*Lookups!$B$18</f>
        <v>0</v>
      </c>
      <c r="BP987" s="7">
        <f>Wapato_Inventory[[#This Row],[Fin BSMT]]*Lookups!$B$19</f>
        <v>0</v>
      </c>
      <c r="BQ987" s="7">
        <f>(Wapato_Inventory[[#This Row],[att_gar]]+Wapato_Inventory[[#This Row],[blt_gar]])*Lookups!$B$20</f>
        <v>0</v>
      </c>
      <c r="BR987" s="7">
        <f>Wapato_Inventory[[#This Row],[Patio]]*Lookups!$B$21</f>
        <v>0</v>
      </c>
      <c r="BS987" s="7">
        <f>SUM(Wapato_Inventory[[#This Row],[intercept]:[patio_value]])*Wapato_Inventory[[#This Row],[res_pct]]</f>
        <v>148199.34411199999</v>
      </c>
      <c r="BT987" s="7">
        <f>Wapato_Inventory[[#This Row],[land_value]]</f>
        <v>53900</v>
      </c>
      <c r="BU987" s="2">
        <f>_xlfn.IFNA(VLOOKUP(Wapato_Inventory[[#This Row],[quality]],Lookups!$A$28:$C$37,3,FALSE),1)</f>
        <v>0.96265813922927435</v>
      </c>
      <c r="BV987" s="2">
        <f>_xlfn.IFNA(VLOOKUP(Wapato_Inventory[[#This Row],[condition]],Lookups!$A$41:$C$48,3,FALSE),1)</f>
        <v>0.9832333997567807</v>
      </c>
      <c r="BW987" s="2">
        <f>IF(Wapato_Inventory[[#This Row],[decade]]="",1,_xlfn.IFNA(VLOOKUP(Wapato_Inventory[[#This Row],[decade]],Lookups!$F$28:$H$45,3,FALSE),1))</f>
        <v>1.0114203040664467</v>
      </c>
      <c r="BX987" s="2">
        <f>_xlfn.IFNA(VLOOKUP(Wapato_Inventory[[#This Row],[living_area_range]],Lookups!$K$28:$M$37,3,FALSE),1)</f>
        <v>1.0061411172456287</v>
      </c>
      <c r="BY987" s="2">
        <f>AVERAGE(Wapato_Inventory[[#This Row],[qual_adj]:[range_adj]])</f>
        <v>0.99086324007453253</v>
      </c>
      <c r="BZ987" s="7">
        <f>(Wapato_Inventory[[#This Row],[sum_land]]-IF(Wapato_Inventory[[#This Row],[no_utilities]]=1,12000,0))/IF(Wapato_Inventory[[#This Row],[unbuildable]]=1,2,1)</f>
        <v>53900</v>
      </c>
      <c r="CA987" s="7">
        <f>Wapato_Inventory[[#This Row],[pre_res]]*Wapato_Inventory[[#This Row],[overall_adj]]</f>
        <v>146845.28228373692</v>
      </c>
      <c r="CB987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87" s="3">
        <f>IF(ROUND(Wapato_Inventory[[#This Row],[adj_res]]*Lookups!$H$48,-2)&lt;Wapato_Inventory[[#This Row],[min_res]],Wapato_Inventory[[#This Row],[min_res]],ROUND(Wapato_Inventory[[#This Row],[adj_res]]*Lookups!$H$48,-2))</f>
        <v>139500</v>
      </c>
      <c r="CD987" s="3">
        <f>ROUND(Wapato_Inventory[[#This Row],[det_value]]*Lookups!$H$48,-2)</f>
        <v>0</v>
      </c>
      <c r="CE987" s="3">
        <f>Wapato_Inventory[[#This Row],[final_res]]+Wapato_Inventory[[#This Row],[final_det]]</f>
        <v>139500</v>
      </c>
      <c r="CF987" s="3">
        <f>Wapato_Inventory[[#This Row],[crop_value]]+Wapato_Inventory[[#This Row],[final_land]]+Wapato_Inventory[[#This Row],[final_imp]]</f>
        <v>190700</v>
      </c>
      <c r="CH987" t="str">
        <f t="shared" si="15"/>
        <v>update valuation set market_land =51200, market_bldg=139500, market_total =190700, market_mdno =405, market_date ='9/10/2023' where link_id = (select link_id from parcel where parcel_year = '2024' and parcel_id = '19111523412');</v>
      </c>
    </row>
    <row r="988" spans="1:86" x14ac:dyDescent="0.25">
      <c r="A988">
        <v>19111523414</v>
      </c>
      <c r="B988">
        <v>0.2</v>
      </c>
      <c r="C988">
        <v>8612</v>
      </c>
      <c r="D988" t="s">
        <v>144</v>
      </c>
      <c r="E988" t="s">
        <v>54</v>
      </c>
      <c r="F988" t="s">
        <v>54</v>
      </c>
      <c r="G988">
        <v>3</v>
      </c>
      <c r="H988" t="s">
        <v>55</v>
      </c>
      <c r="I988">
        <v>109600</v>
      </c>
      <c r="J988">
        <v>34400</v>
      </c>
      <c r="K988">
        <v>0.2</v>
      </c>
      <c r="L988">
        <f>IF(Wapato_Inventory[[#This Row],[parcel_acres]]-Wapato_Inventory[[#This Row],[non_valued_acres]] =0,0,LN(Wapato_Inventory[[#This Row],[parcel_acres]]-Wapato_Inventory[[#This Row],[non_valued_acres]]))</f>
        <v>-1.6094379124341003</v>
      </c>
      <c r="M988">
        <v>0</v>
      </c>
      <c r="N988">
        <v>0</v>
      </c>
      <c r="O988">
        <v>0</v>
      </c>
      <c r="P988">
        <v>27904.037</v>
      </c>
      <c r="Q988">
        <v>74398</v>
      </c>
      <c r="R988" s="3">
        <f>(Wapato_Inventory[[#This Row],[ln_acres]]*Wapato_Inventory[[#This Row],[coeff]])+Wapato_Inventory[[#This Row],[const]]</f>
        <v>29488.184942236105</v>
      </c>
      <c r="S988" t="s">
        <v>66</v>
      </c>
      <c r="T988">
        <v>1</v>
      </c>
      <c r="U988" t="s">
        <v>71</v>
      </c>
      <c r="V988" t="s">
        <v>68</v>
      </c>
      <c r="W988">
        <v>0</v>
      </c>
      <c r="X988">
        <v>0</v>
      </c>
      <c r="Y988">
        <v>57</v>
      </c>
      <c r="Z988">
        <v>103</v>
      </c>
      <c r="AA988">
        <v>110</v>
      </c>
      <c r="AB988">
        <v>1000</v>
      </c>
      <c r="AC988">
        <v>1000</v>
      </c>
      <c r="AD988">
        <v>1000</v>
      </c>
      <c r="AE988">
        <v>0</v>
      </c>
      <c r="AF988">
        <v>0</v>
      </c>
      <c r="AG988">
        <v>0</v>
      </c>
      <c r="AH988">
        <v>0</v>
      </c>
      <c r="AI988">
        <v>0</v>
      </c>
      <c r="AJ988">
        <v>0</v>
      </c>
      <c r="AK988">
        <v>0</v>
      </c>
      <c r="AL988">
        <v>168</v>
      </c>
      <c r="AM988">
        <v>0</v>
      </c>
      <c r="AN988">
        <v>0</v>
      </c>
      <c r="AO988">
        <v>150</v>
      </c>
      <c r="AP988">
        <v>5</v>
      </c>
      <c r="AQ988">
        <v>0</v>
      </c>
      <c r="AR988">
        <v>0</v>
      </c>
      <c r="AS988" t="s">
        <v>59</v>
      </c>
      <c r="AT988">
        <v>1</v>
      </c>
      <c r="AU988" t="s">
        <v>72</v>
      </c>
      <c r="AV988" t="s">
        <v>61</v>
      </c>
      <c r="AW988">
        <v>0</v>
      </c>
      <c r="AX988">
        <v>2</v>
      </c>
      <c r="AY988">
        <v>0</v>
      </c>
      <c r="AZ988">
        <v>0</v>
      </c>
      <c r="BA988">
        <v>100</v>
      </c>
      <c r="BB988">
        <v>100</v>
      </c>
      <c r="BC988">
        <v>100</v>
      </c>
      <c r="BD988">
        <v>100</v>
      </c>
      <c r="BE988">
        <v>1</v>
      </c>
      <c r="BF988">
        <v>15000</v>
      </c>
      <c r="BG988">
        <v>1000</v>
      </c>
      <c r="BH988" s="7">
        <f>ROUND(Wapato_Inventory[[#This Row],[detatched_value]]*Lookups!$B$22*Lookups!$H$48,-2)</f>
        <v>0</v>
      </c>
      <c r="BI988" s="7">
        <f>ROUND(((Wapato_Inventory[[#This Row],[land_extract]]*Lookups!$B$3) +(Lookups!$B$2*0.5))*Lookups!$H$48,-2)</f>
        <v>53900</v>
      </c>
      <c r="BJ988" s="7">
        <f>IF(Wapato_Inventory[[#This Row],[bldg_style]]="",0,Lookups!$B$2*0.5)</f>
        <v>53765.27</v>
      </c>
      <c r="BK988" s="7">
        <f>_xlfn.IFNA(VLOOKUP(Wapato_Inventory[[#This Row],[quality]],Lookups!$H$2:$J$14,3,FALSE),0)</f>
        <v>28034</v>
      </c>
      <c r="BL988" s="7">
        <f>_xlfn.IFNA(VLOOKUP(Wapato_Inventory[[#This Row],[condition]],Lookups!$H$17:$J$24,3,FALSE),0)</f>
        <v>52231</v>
      </c>
      <c r="BM988" s="7">
        <f>Wapato_Inventory[[#This Row],[Age]]*Lookups!$B$16</f>
        <v>-38179.597099999999</v>
      </c>
      <c r="BN988" s="7">
        <f>Wapato_Inventory[[#This Row],[Main Floor]]*Lookups!$B$17</f>
        <v>41800.739000000001</v>
      </c>
      <c r="BO988" s="7">
        <f>Wapato_Inventory[[#This Row],[Upper Floor]]*Lookups!$B$18</f>
        <v>0</v>
      </c>
      <c r="BP988" s="7">
        <f>Wapato_Inventory[[#This Row],[Fin BSMT]]*Lookups!$B$19</f>
        <v>0</v>
      </c>
      <c r="BQ988" s="7">
        <f>(Wapato_Inventory[[#This Row],[att_gar]]+Wapato_Inventory[[#This Row],[blt_gar]])*Lookups!$B$20</f>
        <v>0</v>
      </c>
      <c r="BR988" s="7">
        <f>Wapato_Inventory[[#This Row],[Patio]]*Lookups!$B$21</f>
        <v>0</v>
      </c>
      <c r="BS988" s="7">
        <f>SUM(Wapato_Inventory[[#This Row],[intercept]:[patio_value]])*Wapato_Inventory[[#This Row],[res_pct]]</f>
        <v>137651.41190000001</v>
      </c>
      <c r="BT988" s="7">
        <f>Wapato_Inventory[[#This Row],[land_value]]</f>
        <v>53900</v>
      </c>
      <c r="BU988" s="2">
        <f>_xlfn.IFNA(VLOOKUP(Wapato_Inventory[[#This Row],[quality]],Lookups!$A$28:$C$37,3,FALSE),1)</f>
        <v>0.96265813922927435</v>
      </c>
      <c r="BV988" s="2">
        <f>_xlfn.IFNA(VLOOKUP(Wapato_Inventory[[#This Row],[condition]],Lookups!$A$41:$C$48,3,FALSE),1)</f>
        <v>0.9832333997567807</v>
      </c>
      <c r="BW988" s="2">
        <f>IF(Wapato_Inventory[[#This Row],[decade]]="",1,_xlfn.IFNA(VLOOKUP(Wapato_Inventory[[#This Row],[decade]],Lookups!$F$28:$H$45,3,FALSE),1))</f>
        <v>0.93664589651353292</v>
      </c>
      <c r="BX988" s="2">
        <f>_xlfn.IFNA(VLOOKUP(Wapato_Inventory[[#This Row],[living_area_range]],Lookups!$K$28:$M$37,3,FALSE),1)</f>
        <v>0.99022994770196116</v>
      </c>
      <c r="BY988" s="2">
        <f>AVERAGE(Wapato_Inventory[[#This Row],[qual_adj]:[range_adj]])</f>
        <v>0.9681918458003872</v>
      </c>
      <c r="BZ988" s="7">
        <f>(Wapato_Inventory[[#This Row],[sum_land]]-IF(Wapato_Inventory[[#This Row],[no_utilities]]=1,12000,0))/IF(Wapato_Inventory[[#This Row],[unbuildable]]=1,2,1)</f>
        <v>53900</v>
      </c>
      <c r="CA988" s="7">
        <f>Wapato_Inventory[[#This Row],[pre_res]]*Wapato_Inventory[[#This Row],[overall_adj]]</f>
        <v>133272.9745644904</v>
      </c>
      <c r="CB988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88" s="3">
        <f>IF(ROUND(Wapato_Inventory[[#This Row],[adj_res]]*Lookups!$H$48,-2)&lt;Wapato_Inventory[[#This Row],[min_res]],Wapato_Inventory[[#This Row],[min_res]],ROUND(Wapato_Inventory[[#This Row],[adj_res]]*Lookups!$H$48,-2))</f>
        <v>126600</v>
      </c>
      <c r="CD988" s="3">
        <f>ROUND(Wapato_Inventory[[#This Row],[det_value]]*Lookups!$H$48,-2)</f>
        <v>0</v>
      </c>
      <c r="CE988" s="3">
        <f>Wapato_Inventory[[#This Row],[final_res]]+Wapato_Inventory[[#This Row],[final_det]]</f>
        <v>126600</v>
      </c>
      <c r="CF988" s="3">
        <f>Wapato_Inventory[[#This Row],[crop_value]]+Wapato_Inventory[[#This Row],[final_land]]+Wapato_Inventory[[#This Row],[final_imp]]</f>
        <v>177800</v>
      </c>
      <c r="CH988" t="str">
        <f t="shared" si="15"/>
        <v>update valuation set market_land =51200, market_bldg=126600, market_total =177800, market_mdno =405, market_date ='9/10/2023' where link_id = (select link_id from parcel where parcel_year = '2024' and parcel_id = '19111523414');</v>
      </c>
    </row>
    <row r="989" spans="1:86" x14ac:dyDescent="0.25">
      <c r="A989">
        <v>19111523416</v>
      </c>
      <c r="B989">
        <v>0.2</v>
      </c>
      <c r="C989">
        <v>8612</v>
      </c>
      <c r="D989" t="s">
        <v>144</v>
      </c>
      <c r="E989" t="s">
        <v>54</v>
      </c>
      <c r="F989" t="s">
        <v>54</v>
      </c>
      <c r="G989">
        <v>3</v>
      </c>
      <c r="H989" t="s">
        <v>55</v>
      </c>
      <c r="I989">
        <v>51100</v>
      </c>
      <c r="J989">
        <v>34400</v>
      </c>
      <c r="K989">
        <v>0.2</v>
      </c>
      <c r="L989">
        <f>IF(Wapato_Inventory[[#This Row],[parcel_acres]]-Wapato_Inventory[[#This Row],[non_valued_acres]] =0,0,LN(Wapato_Inventory[[#This Row],[parcel_acres]]-Wapato_Inventory[[#This Row],[non_valued_acres]]))</f>
        <v>-1.6094379124341003</v>
      </c>
      <c r="M989">
        <v>0</v>
      </c>
      <c r="N989">
        <v>0</v>
      </c>
      <c r="O989">
        <v>0</v>
      </c>
      <c r="P989">
        <v>27904.037</v>
      </c>
      <c r="Q989">
        <v>74398</v>
      </c>
      <c r="R989" s="3">
        <f>(Wapato_Inventory[[#This Row],[ln_acres]]*Wapato_Inventory[[#This Row],[coeff]])+Wapato_Inventory[[#This Row],[const]]</f>
        <v>29488.184942236105</v>
      </c>
      <c r="S989" t="s">
        <v>66</v>
      </c>
      <c r="T989">
        <v>1</v>
      </c>
      <c r="U989" t="s">
        <v>78</v>
      </c>
      <c r="V989" t="s">
        <v>84</v>
      </c>
      <c r="W989">
        <v>0</v>
      </c>
      <c r="X989">
        <v>0</v>
      </c>
      <c r="Y989">
        <v>53</v>
      </c>
      <c r="Z989">
        <v>93</v>
      </c>
      <c r="AA989">
        <v>100</v>
      </c>
      <c r="AB989">
        <v>1000</v>
      </c>
      <c r="AC989">
        <v>748</v>
      </c>
      <c r="AD989">
        <v>748</v>
      </c>
      <c r="AE989">
        <v>0</v>
      </c>
      <c r="AF989">
        <v>0</v>
      </c>
      <c r="AG989">
        <v>0</v>
      </c>
      <c r="AH989">
        <v>0</v>
      </c>
      <c r="AI989">
        <v>0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5</v>
      </c>
      <c r="AQ989">
        <v>0</v>
      </c>
      <c r="AR989">
        <v>0</v>
      </c>
      <c r="AS989" t="s">
        <v>59</v>
      </c>
      <c r="AT989">
        <v>1</v>
      </c>
      <c r="AU989" t="s">
        <v>72</v>
      </c>
      <c r="AV989" t="s">
        <v>61</v>
      </c>
      <c r="AW989">
        <v>0</v>
      </c>
      <c r="AX989">
        <v>1</v>
      </c>
      <c r="AY989">
        <v>0</v>
      </c>
      <c r="AZ989">
        <v>0</v>
      </c>
      <c r="BA989">
        <v>100</v>
      </c>
      <c r="BB989">
        <v>100</v>
      </c>
      <c r="BC989">
        <v>100</v>
      </c>
      <c r="BD989">
        <v>100</v>
      </c>
      <c r="BE989">
        <v>1</v>
      </c>
      <c r="BF989">
        <v>15000</v>
      </c>
      <c r="BG989">
        <v>1000</v>
      </c>
      <c r="BH989" s="7">
        <f>ROUND(Wapato_Inventory[[#This Row],[detatched_value]]*Lookups!$B$22*Lookups!$H$48,-2)</f>
        <v>0</v>
      </c>
      <c r="BI989" s="7">
        <f>ROUND(((Wapato_Inventory[[#This Row],[land_extract]]*Lookups!$B$3) +(Lookups!$B$2*0.5))*Lookups!$H$48,-2)</f>
        <v>53900</v>
      </c>
      <c r="BJ989" s="7">
        <f>IF(Wapato_Inventory[[#This Row],[bldg_style]]="",0,Lookups!$B$2*0.5)</f>
        <v>53765.27</v>
      </c>
      <c r="BK989" s="7">
        <f>_xlfn.IFNA(VLOOKUP(Wapato_Inventory[[#This Row],[quality]],Lookups!$H$2:$J$14,3,FALSE),0)</f>
        <v>23424</v>
      </c>
      <c r="BL989" s="7">
        <f>_xlfn.IFNA(VLOOKUP(Wapato_Inventory[[#This Row],[condition]],Lookups!$H$17:$J$24,3,FALSE),0)</f>
        <v>0</v>
      </c>
      <c r="BM989" s="7">
        <f>Wapato_Inventory[[#This Row],[Age]]*Lookups!$B$16</f>
        <v>-34472.840100000001</v>
      </c>
      <c r="BN989" s="7">
        <f>Wapato_Inventory[[#This Row],[Main Floor]]*Lookups!$B$17</f>
        <v>31266.952772000001</v>
      </c>
      <c r="BO989" s="7">
        <f>Wapato_Inventory[[#This Row],[Upper Floor]]*Lookups!$B$18</f>
        <v>0</v>
      </c>
      <c r="BP989" s="7">
        <f>Wapato_Inventory[[#This Row],[Fin BSMT]]*Lookups!$B$19</f>
        <v>0</v>
      </c>
      <c r="BQ989" s="7">
        <f>(Wapato_Inventory[[#This Row],[att_gar]]+Wapato_Inventory[[#This Row],[blt_gar]])*Lookups!$B$20</f>
        <v>0</v>
      </c>
      <c r="BR989" s="7">
        <f>Wapato_Inventory[[#This Row],[Patio]]*Lookups!$B$21</f>
        <v>0</v>
      </c>
      <c r="BS989" s="7">
        <f>SUM(Wapato_Inventory[[#This Row],[intercept]:[patio_value]])*Wapato_Inventory[[#This Row],[res_pct]]</f>
        <v>73983.382671999992</v>
      </c>
      <c r="BT989" s="7">
        <f>Wapato_Inventory[[#This Row],[land_value]]</f>
        <v>53900</v>
      </c>
      <c r="BU989" s="2">
        <f>_xlfn.IFNA(VLOOKUP(Wapato_Inventory[[#This Row],[quality]],Lookups!$A$28:$C$37,3,FALSE),1)</f>
        <v>1.0091195562373767</v>
      </c>
      <c r="BV989" s="2">
        <f>_xlfn.IFNA(VLOOKUP(Wapato_Inventory[[#This Row],[condition]],Lookups!$A$41:$C$48,3,FALSE),1)</f>
        <v>1.0000035546274355</v>
      </c>
      <c r="BW989" s="2">
        <f>IF(Wapato_Inventory[[#This Row],[decade]]="",1,_xlfn.IFNA(VLOOKUP(Wapato_Inventory[[#This Row],[decade]],Lookups!$F$28:$H$45,3,FALSE),1))</f>
        <v>1.0114203040664467</v>
      </c>
      <c r="BX989" s="2">
        <f>_xlfn.IFNA(VLOOKUP(Wapato_Inventory[[#This Row],[living_area_range]],Lookups!$K$28:$M$37,3,FALSE),1)</f>
        <v>0.99022994770196116</v>
      </c>
      <c r="BY989" s="2">
        <f>AVERAGE(Wapato_Inventory[[#This Row],[qual_adj]:[range_adj]])</f>
        <v>1.002693340658305</v>
      </c>
      <c r="BZ989" s="7">
        <f>(Wapato_Inventory[[#This Row],[sum_land]]-IF(Wapato_Inventory[[#This Row],[no_utilities]]=1,12000,0))/IF(Wapato_Inventory[[#This Row],[unbuildable]]=1,2,1)</f>
        <v>53900</v>
      </c>
      <c r="CA989" s="7">
        <f>Wapato_Inventory[[#This Row],[pre_res]]*Wapato_Inventory[[#This Row],[overall_adj]]</f>
        <v>74182.645124589428</v>
      </c>
      <c r="CB989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89" s="3">
        <f>IF(ROUND(Wapato_Inventory[[#This Row],[adj_res]]*Lookups!$H$48,-2)&lt;Wapato_Inventory[[#This Row],[min_res]],Wapato_Inventory[[#This Row],[min_res]],ROUND(Wapato_Inventory[[#This Row],[adj_res]]*Lookups!$H$48,-2))</f>
        <v>70500</v>
      </c>
      <c r="CD989" s="3">
        <f>ROUND(Wapato_Inventory[[#This Row],[det_value]]*Lookups!$H$48,-2)</f>
        <v>0</v>
      </c>
      <c r="CE989" s="3">
        <f>Wapato_Inventory[[#This Row],[final_res]]+Wapato_Inventory[[#This Row],[final_det]]</f>
        <v>70500</v>
      </c>
      <c r="CF989" s="3">
        <f>Wapato_Inventory[[#This Row],[crop_value]]+Wapato_Inventory[[#This Row],[final_land]]+Wapato_Inventory[[#This Row],[final_imp]]</f>
        <v>121700</v>
      </c>
      <c r="CH989" t="str">
        <f t="shared" si="15"/>
        <v>update valuation set market_land =51200, market_bldg=70500, market_total =121700, market_mdno =405, market_date ='9/10/2023' where link_id = (select link_id from parcel where parcel_year = '2024' and parcel_id = '19111523416');</v>
      </c>
    </row>
    <row r="990" spans="1:86" x14ac:dyDescent="0.25">
      <c r="A990">
        <v>19111523417</v>
      </c>
      <c r="B990">
        <v>0.2</v>
      </c>
      <c r="C990">
        <v>8612</v>
      </c>
      <c r="D990" t="s">
        <v>144</v>
      </c>
      <c r="E990" t="s">
        <v>54</v>
      </c>
      <c r="F990" t="s">
        <v>54</v>
      </c>
      <c r="G990">
        <v>3</v>
      </c>
      <c r="H990" t="s">
        <v>55</v>
      </c>
      <c r="I990">
        <v>53300</v>
      </c>
      <c r="J990">
        <v>34400</v>
      </c>
      <c r="K990">
        <v>0.2</v>
      </c>
      <c r="L990">
        <f>IF(Wapato_Inventory[[#This Row],[parcel_acres]]-Wapato_Inventory[[#This Row],[non_valued_acres]] =0,0,LN(Wapato_Inventory[[#This Row],[parcel_acres]]-Wapato_Inventory[[#This Row],[non_valued_acres]]))</f>
        <v>-1.6094379124341003</v>
      </c>
      <c r="M990">
        <v>0</v>
      </c>
      <c r="N990">
        <v>0</v>
      </c>
      <c r="O990">
        <v>0</v>
      </c>
      <c r="P990">
        <v>27904.037</v>
      </c>
      <c r="Q990">
        <v>74398</v>
      </c>
      <c r="R990" s="3">
        <f>(Wapato_Inventory[[#This Row],[ln_acres]]*Wapato_Inventory[[#This Row],[coeff]])+Wapato_Inventory[[#This Row],[const]]</f>
        <v>29488.184942236105</v>
      </c>
      <c r="S990" t="s">
        <v>66</v>
      </c>
      <c r="T990">
        <v>1</v>
      </c>
      <c r="U990" t="s">
        <v>71</v>
      </c>
      <c r="V990" t="s">
        <v>73</v>
      </c>
      <c r="W990">
        <v>0</v>
      </c>
      <c r="X990">
        <v>0</v>
      </c>
      <c r="Y990">
        <v>55</v>
      </c>
      <c r="Z990">
        <v>98</v>
      </c>
      <c r="AA990">
        <v>100</v>
      </c>
      <c r="AB990">
        <v>1000</v>
      </c>
      <c r="AC990">
        <v>624</v>
      </c>
      <c r="AD990">
        <v>624</v>
      </c>
      <c r="AE990">
        <v>0</v>
      </c>
      <c r="AF990">
        <v>0</v>
      </c>
      <c r="AG990">
        <v>0</v>
      </c>
      <c r="AH990">
        <v>0</v>
      </c>
      <c r="AI990">
        <v>0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5</v>
      </c>
      <c r="AQ990">
        <v>0</v>
      </c>
      <c r="AR990">
        <v>0</v>
      </c>
      <c r="AS990" t="s">
        <v>59</v>
      </c>
      <c r="AT990">
        <v>1</v>
      </c>
      <c r="AU990" t="s">
        <v>72</v>
      </c>
      <c r="AV990" t="s">
        <v>61</v>
      </c>
      <c r="AW990">
        <v>0</v>
      </c>
      <c r="AX990">
        <v>2</v>
      </c>
      <c r="AY990">
        <v>0</v>
      </c>
      <c r="AZ990">
        <v>0</v>
      </c>
      <c r="BA990">
        <v>100</v>
      </c>
      <c r="BB990">
        <v>100</v>
      </c>
      <c r="BC990">
        <v>100</v>
      </c>
      <c r="BD990">
        <v>100</v>
      </c>
      <c r="BE990">
        <v>1</v>
      </c>
      <c r="BF990">
        <v>15000</v>
      </c>
      <c r="BG990">
        <v>1000</v>
      </c>
      <c r="BH990" s="7">
        <f>ROUND(Wapato_Inventory[[#This Row],[detatched_value]]*Lookups!$B$22*Lookups!$H$48,-2)</f>
        <v>0</v>
      </c>
      <c r="BI990" s="7">
        <f>ROUND(((Wapato_Inventory[[#This Row],[land_extract]]*Lookups!$B$3) +(Lookups!$B$2*0.5))*Lookups!$H$48,-2)</f>
        <v>53900</v>
      </c>
      <c r="BJ990" s="7">
        <f>IF(Wapato_Inventory[[#This Row],[bldg_style]]="",0,Lookups!$B$2*0.5)</f>
        <v>53765.27</v>
      </c>
      <c r="BK990" s="7">
        <f>_xlfn.IFNA(VLOOKUP(Wapato_Inventory[[#This Row],[quality]],Lookups!$H$2:$J$14,3,FALSE),0)</f>
        <v>28034</v>
      </c>
      <c r="BL990" s="7">
        <f>_xlfn.IFNA(VLOOKUP(Wapato_Inventory[[#This Row],[condition]],Lookups!$H$17:$J$24,3,FALSE),0)</f>
        <v>16276</v>
      </c>
      <c r="BM990" s="7">
        <f>Wapato_Inventory[[#This Row],[Age]]*Lookups!$B$16</f>
        <v>-36326.2186</v>
      </c>
      <c r="BN990" s="7">
        <f>Wapato_Inventory[[#This Row],[Main Floor]]*Lookups!$B$17</f>
        <v>26083.661135999999</v>
      </c>
      <c r="BO990" s="7">
        <f>Wapato_Inventory[[#This Row],[Upper Floor]]*Lookups!$B$18</f>
        <v>0</v>
      </c>
      <c r="BP990" s="7">
        <f>Wapato_Inventory[[#This Row],[Fin BSMT]]*Lookups!$B$19</f>
        <v>0</v>
      </c>
      <c r="BQ990" s="7">
        <f>(Wapato_Inventory[[#This Row],[att_gar]]+Wapato_Inventory[[#This Row],[blt_gar]])*Lookups!$B$20</f>
        <v>0</v>
      </c>
      <c r="BR990" s="7">
        <f>Wapato_Inventory[[#This Row],[Patio]]*Lookups!$B$21</f>
        <v>0</v>
      </c>
      <c r="BS990" s="7">
        <f>SUM(Wapato_Inventory[[#This Row],[intercept]:[patio_value]])*Wapato_Inventory[[#This Row],[res_pct]]</f>
        <v>87832.712535999992</v>
      </c>
      <c r="BT990" s="7">
        <f>Wapato_Inventory[[#This Row],[land_value]]</f>
        <v>53900</v>
      </c>
      <c r="BU990" s="2">
        <f>_xlfn.IFNA(VLOOKUP(Wapato_Inventory[[#This Row],[quality]],Lookups!$A$28:$C$37,3,FALSE),1)</f>
        <v>0.96265813922927435</v>
      </c>
      <c r="BV990" s="2">
        <f>_xlfn.IFNA(VLOOKUP(Wapato_Inventory[[#This Row],[condition]],Lookups!$A$41:$C$48,3,FALSE),1)</f>
        <v>0.93399385491337139</v>
      </c>
      <c r="BW990" s="2">
        <f>IF(Wapato_Inventory[[#This Row],[decade]]="",1,_xlfn.IFNA(VLOOKUP(Wapato_Inventory[[#This Row],[decade]],Lookups!$F$28:$H$45,3,FALSE),1))</f>
        <v>1.0114203040664467</v>
      </c>
      <c r="BX990" s="2">
        <f>_xlfn.IFNA(VLOOKUP(Wapato_Inventory[[#This Row],[living_area_range]],Lookups!$K$28:$M$37,3,FALSE),1)</f>
        <v>0.99022994770196116</v>
      </c>
      <c r="BY990" s="2">
        <f>AVERAGE(Wapato_Inventory[[#This Row],[qual_adj]:[range_adj]])</f>
        <v>0.97457556147776347</v>
      </c>
      <c r="BZ990" s="7">
        <f>(Wapato_Inventory[[#This Row],[sum_land]]-IF(Wapato_Inventory[[#This Row],[no_utilities]]=1,12000,0))/IF(Wapato_Inventory[[#This Row],[unbuildable]]=1,2,1)</f>
        <v>53900</v>
      </c>
      <c r="CA990" s="7">
        <f>Wapato_Inventory[[#This Row],[pre_res]]*Wapato_Inventory[[#This Row],[overall_adj]]</f>
        <v>85599.615135887187</v>
      </c>
      <c r="CB990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990" s="3">
        <f>IF(ROUND(Wapato_Inventory[[#This Row],[adj_res]]*Lookups!$H$48,-2)&lt;Wapato_Inventory[[#This Row],[min_res]],Wapato_Inventory[[#This Row],[min_res]],ROUND(Wapato_Inventory[[#This Row],[adj_res]]*Lookups!$H$48,-2))</f>
        <v>81300</v>
      </c>
      <c r="CD990" s="3">
        <f>ROUND(Wapato_Inventory[[#This Row],[det_value]]*Lookups!$H$48,-2)</f>
        <v>0</v>
      </c>
      <c r="CE990" s="3">
        <f>Wapato_Inventory[[#This Row],[final_res]]+Wapato_Inventory[[#This Row],[final_det]]</f>
        <v>81300</v>
      </c>
      <c r="CF990" s="3">
        <f>Wapato_Inventory[[#This Row],[crop_value]]+Wapato_Inventory[[#This Row],[final_land]]+Wapato_Inventory[[#This Row],[final_imp]]</f>
        <v>132500</v>
      </c>
      <c r="CH990" t="str">
        <f t="shared" si="15"/>
        <v>update valuation set market_land =51200, market_bldg=81300, market_total =132500, market_mdno =405, market_date ='9/10/2023' where link_id = (select link_id from parcel where parcel_year = '2024' and parcel_id = '19111523417');</v>
      </c>
    </row>
    <row r="991" spans="1:86" x14ac:dyDescent="0.25">
      <c r="A991">
        <v>19111523418</v>
      </c>
      <c r="B991">
        <v>0.19</v>
      </c>
      <c r="C991">
        <v>8125</v>
      </c>
      <c r="D991" t="s">
        <v>144</v>
      </c>
      <c r="E991" t="s">
        <v>54</v>
      </c>
      <c r="F991" t="s">
        <v>54</v>
      </c>
      <c r="G991">
        <v>3</v>
      </c>
      <c r="H991" t="s">
        <v>55</v>
      </c>
      <c r="I991">
        <v>286900</v>
      </c>
      <c r="J991">
        <v>34100</v>
      </c>
      <c r="K991">
        <v>0.19</v>
      </c>
      <c r="L991">
        <f>IF(Wapato_Inventory[[#This Row],[parcel_acres]]-Wapato_Inventory[[#This Row],[non_valued_acres]] =0,0,LN(Wapato_Inventory[[#This Row],[parcel_acres]]-Wapato_Inventory[[#This Row],[non_valued_acres]]))</f>
        <v>-1.6607312068216509</v>
      </c>
      <c r="M991">
        <v>0</v>
      </c>
      <c r="N991">
        <v>0</v>
      </c>
      <c r="O991">
        <v>0</v>
      </c>
      <c r="P991">
        <v>27904.037</v>
      </c>
      <c r="Q991">
        <v>74398</v>
      </c>
      <c r="R991" s="3">
        <f>(Wapato_Inventory[[#This Row],[ln_acres]]*Wapato_Inventory[[#This Row],[coeff]])+Wapato_Inventory[[#This Row],[const]]</f>
        <v>28056.894957794</v>
      </c>
      <c r="S991" t="s">
        <v>66</v>
      </c>
      <c r="T991">
        <v>1</v>
      </c>
      <c r="U991" t="s">
        <v>78</v>
      </c>
      <c r="V991" t="s">
        <v>69</v>
      </c>
      <c r="W991">
        <v>0</v>
      </c>
      <c r="X991">
        <v>0</v>
      </c>
      <c r="Y991">
        <v>60</v>
      </c>
      <c r="Z991">
        <v>108</v>
      </c>
      <c r="AA991">
        <v>110</v>
      </c>
      <c r="AB991">
        <v>1500</v>
      </c>
      <c r="AC991">
        <v>1133</v>
      </c>
      <c r="AD991">
        <v>1133</v>
      </c>
      <c r="AE991">
        <v>0</v>
      </c>
      <c r="AF991">
        <v>0</v>
      </c>
      <c r="AG991">
        <v>0</v>
      </c>
      <c r="AH991">
        <v>0</v>
      </c>
      <c r="AI991">
        <v>0</v>
      </c>
      <c r="AJ991">
        <v>0</v>
      </c>
      <c r="AK991">
        <v>154</v>
      </c>
      <c r="AL991">
        <v>0</v>
      </c>
      <c r="AM991">
        <v>0</v>
      </c>
      <c r="AN991">
        <v>0</v>
      </c>
      <c r="AO991">
        <v>0</v>
      </c>
      <c r="AP991">
        <v>5</v>
      </c>
      <c r="AQ991">
        <v>0</v>
      </c>
      <c r="AR991">
        <v>0</v>
      </c>
      <c r="AS991" t="s">
        <v>59</v>
      </c>
      <c r="AT991">
        <v>1</v>
      </c>
      <c r="AU991" t="s">
        <v>72</v>
      </c>
      <c r="AV991" t="s">
        <v>61</v>
      </c>
      <c r="AW991">
        <v>0</v>
      </c>
      <c r="AX991">
        <v>3</v>
      </c>
      <c r="AY991">
        <v>0</v>
      </c>
      <c r="AZ991">
        <v>76300</v>
      </c>
      <c r="BA991">
        <v>100</v>
      </c>
      <c r="BB991">
        <v>100</v>
      </c>
      <c r="BC991">
        <v>100</v>
      </c>
      <c r="BD991">
        <v>100</v>
      </c>
      <c r="BE991">
        <v>1</v>
      </c>
      <c r="BF991">
        <v>15000</v>
      </c>
      <c r="BG991">
        <v>1000</v>
      </c>
      <c r="BH991" s="7">
        <f>ROUND(Wapato_Inventory[[#This Row],[detatched_value]]*Lookups!$B$22*Lookups!$H$48,-2)</f>
        <v>68200</v>
      </c>
      <c r="BI991" s="7">
        <f>ROUND(((Wapato_Inventory[[#This Row],[land_extract]]*Lookups!$B$3) +(Lookups!$B$2*0.5))*Lookups!$H$48,-2)</f>
        <v>53800</v>
      </c>
      <c r="BJ991" s="7">
        <f>IF(Wapato_Inventory[[#This Row],[bldg_style]]="",0,Lookups!$B$2*0.5)</f>
        <v>53765.27</v>
      </c>
      <c r="BK991" s="7">
        <f>_xlfn.IFNA(VLOOKUP(Wapato_Inventory[[#This Row],[quality]],Lookups!$H$2:$J$14,3,FALSE),0)</f>
        <v>23424</v>
      </c>
      <c r="BL991" s="7">
        <f>_xlfn.IFNA(VLOOKUP(Wapato_Inventory[[#This Row],[condition]],Lookups!$H$17:$J$24,3,FALSE),0)</f>
        <v>74543</v>
      </c>
      <c r="BM991" s="7">
        <f>Wapato_Inventory[[#This Row],[Age]]*Lookups!$B$16</f>
        <v>-40032.975599999998</v>
      </c>
      <c r="BN991" s="7">
        <f>Wapato_Inventory[[#This Row],[Main Floor]]*Lookups!$B$17</f>
        <v>47360.237287000004</v>
      </c>
      <c r="BO991" s="7">
        <f>Wapato_Inventory[[#This Row],[Upper Floor]]*Lookups!$B$18</f>
        <v>0</v>
      </c>
      <c r="BP991" s="7">
        <f>Wapato_Inventory[[#This Row],[Fin BSMT]]*Lookups!$B$19</f>
        <v>0</v>
      </c>
      <c r="BQ991" s="7">
        <f>(Wapato_Inventory[[#This Row],[att_gar]]+Wapato_Inventory[[#This Row],[blt_gar]])*Lookups!$B$20</f>
        <v>0</v>
      </c>
      <c r="BR991" s="7">
        <f>Wapato_Inventory[[#This Row],[Patio]]*Lookups!$B$21</f>
        <v>0</v>
      </c>
      <c r="BS991" s="7">
        <f>SUM(Wapato_Inventory[[#This Row],[intercept]:[patio_value]])*Wapato_Inventory[[#This Row],[res_pct]]</f>
        <v>159059.53168699998</v>
      </c>
      <c r="BT991" s="7">
        <f>Wapato_Inventory[[#This Row],[land_value]]</f>
        <v>53800</v>
      </c>
      <c r="BU991" s="2">
        <f>_xlfn.IFNA(VLOOKUP(Wapato_Inventory[[#This Row],[quality]],Lookups!$A$28:$C$37,3,FALSE),1)</f>
        <v>1.0091195562373767</v>
      </c>
      <c r="BV991" s="2">
        <f>_xlfn.IFNA(VLOOKUP(Wapato_Inventory[[#This Row],[condition]],Lookups!$A$41:$C$48,3,FALSE),1)</f>
        <v>0.98442438223270734</v>
      </c>
      <c r="BW991" s="2">
        <f>IF(Wapato_Inventory[[#This Row],[decade]]="",1,_xlfn.IFNA(VLOOKUP(Wapato_Inventory[[#This Row],[decade]],Lookups!$F$28:$H$45,3,FALSE),1))</f>
        <v>0.93664589651353292</v>
      </c>
      <c r="BX991" s="2">
        <f>_xlfn.IFNA(VLOOKUP(Wapato_Inventory[[#This Row],[living_area_range]],Lookups!$K$28:$M$37,3,FALSE),1)</f>
        <v>1.0061411172456287</v>
      </c>
      <c r="BY991" s="2">
        <f>AVERAGE(Wapato_Inventory[[#This Row],[qual_adj]:[range_adj]])</f>
        <v>0.98408273805731139</v>
      </c>
      <c r="BZ991" s="7">
        <f>(Wapato_Inventory[[#This Row],[sum_land]]-IF(Wapato_Inventory[[#This Row],[no_utilities]]=1,12000,0))/IF(Wapato_Inventory[[#This Row],[unbuildable]]=1,2,1)</f>
        <v>53800</v>
      </c>
      <c r="CA991" s="7">
        <f>Wapato_Inventory[[#This Row],[pre_res]]*Wapato_Inventory[[#This Row],[overall_adj]]</f>
        <v>156527.73945665662</v>
      </c>
      <c r="CB991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91" s="3">
        <f>IF(ROUND(Wapato_Inventory[[#This Row],[adj_res]]*Lookups!$H$48,-2)&lt;Wapato_Inventory[[#This Row],[min_res]],Wapato_Inventory[[#This Row],[min_res]],ROUND(Wapato_Inventory[[#This Row],[adj_res]]*Lookups!$H$48,-2))</f>
        <v>148700</v>
      </c>
      <c r="CD991" s="3">
        <f>ROUND(Wapato_Inventory[[#This Row],[det_value]]*Lookups!$H$48,-2)</f>
        <v>64800</v>
      </c>
      <c r="CE991" s="3">
        <f>Wapato_Inventory[[#This Row],[final_res]]+Wapato_Inventory[[#This Row],[final_det]]</f>
        <v>213500</v>
      </c>
      <c r="CF991" s="3">
        <f>Wapato_Inventory[[#This Row],[crop_value]]+Wapato_Inventory[[#This Row],[final_land]]+Wapato_Inventory[[#This Row],[final_imp]]</f>
        <v>264600</v>
      </c>
      <c r="CH991" t="str">
        <f t="shared" si="15"/>
        <v>update valuation set market_land =51100, market_bldg=213500, market_total =264600, market_mdno =405, market_date ='9/10/2023' where link_id = (select link_id from parcel where parcel_year = '2024' and parcel_id = '19111523418');</v>
      </c>
    </row>
    <row r="992" spans="1:86" x14ac:dyDescent="0.25">
      <c r="A992">
        <v>19111523420</v>
      </c>
      <c r="B992">
        <v>0.19</v>
      </c>
      <c r="C992">
        <v>8125</v>
      </c>
      <c r="D992">
        <v>0.19</v>
      </c>
      <c r="E992" t="s">
        <v>54</v>
      </c>
      <c r="F992" t="s">
        <v>54</v>
      </c>
      <c r="G992">
        <v>3</v>
      </c>
      <c r="H992" t="s">
        <v>55</v>
      </c>
      <c r="I992">
        <v>283100</v>
      </c>
      <c r="J992">
        <v>34100</v>
      </c>
      <c r="K992">
        <v>0.19</v>
      </c>
      <c r="L992">
        <f>IF(Wapato_Inventory[[#This Row],[parcel_acres]]-Wapato_Inventory[[#This Row],[non_valued_acres]] =0,0,LN(Wapato_Inventory[[#This Row],[parcel_acres]]-Wapato_Inventory[[#This Row],[non_valued_acres]]))</f>
        <v>-1.6607312068216509</v>
      </c>
      <c r="M992">
        <v>0</v>
      </c>
      <c r="N992">
        <v>0</v>
      </c>
      <c r="O992">
        <v>0</v>
      </c>
      <c r="P992">
        <v>27904.037</v>
      </c>
      <c r="Q992">
        <v>74398</v>
      </c>
      <c r="R992" s="3">
        <f>(Wapato_Inventory[[#This Row],[ln_acres]]*Wapato_Inventory[[#This Row],[coeff]])+Wapato_Inventory[[#This Row],[const]]</f>
        <v>28056.894957794</v>
      </c>
      <c r="S992" t="s">
        <v>59</v>
      </c>
      <c r="T992">
        <v>1</v>
      </c>
      <c r="U992" t="s">
        <v>63</v>
      </c>
      <c r="V992" t="s">
        <v>58</v>
      </c>
      <c r="W992">
        <v>0</v>
      </c>
      <c r="X992">
        <v>0</v>
      </c>
      <c r="Y992">
        <v>6</v>
      </c>
      <c r="Z992">
        <v>6</v>
      </c>
      <c r="AA992">
        <v>10</v>
      </c>
      <c r="AB992">
        <v>2000</v>
      </c>
      <c r="AC992">
        <v>1522</v>
      </c>
      <c r="AD992">
        <v>1522</v>
      </c>
      <c r="AE992">
        <v>0</v>
      </c>
      <c r="AF992">
        <v>0</v>
      </c>
      <c r="AG992">
        <v>0</v>
      </c>
      <c r="AH992">
        <v>0</v>
      </c>
      <c r="AI992">
        <v>484</v>
      </c>
      <c r="AJ992">
        <v>0</v>
      </c>
      <c r="AK992">
        <v>0</v>
      </c>
      <c r="AL992">
        <v>0</v>
      </c>
      <c r="AM992">
        <v>0</v>
      </c>
      <c r="AN992">
        <v>168</v>
      </c>
      <c r="AO992">
        <v>0</v>
      </c>
      <c r="AP992">
        <v>8</v>
      </c>
      <c r="AQ992">
        <v>0</v>
      </c>
      <c r="AR992">
        <v>0</v>
      </c>
      <c r="AS992" t="s">
        <v>59</v>
      </c>
      <c r="AT992">
        <v>1</v>
      </c>
      <c r="AU992" t="s">
        <v>64</v>
      </c>
      <c r="AV992" t="s">
        <v>61</v>
      </c>
      <c r="AW992">
        <v>1</v>
      </c>
      <c r="AX992">
        <v>2</v>
      </c>
      <c r="AY992">
        <v>0</v>
      </c>
      <c r="AZ992">
        <v>0</v>
      </c>
      <c r="BA992">
        <v>100</v>
      </c>
      <c r="BB992">
        <v>100</v>
      </c>
      <c r="BC992">
        <v>100</v>
      </c>
      <c r="BD992">
        <v>100</v>
      </c>
      <c r="BE992">
        <v>1</v>
      </c>
      <c r="BF992">
        <v>15000</v>
      </c>
      <c r="BG992">
        <v>1000</v>
      </c>
      <c r="BH992" s="7">
        <f>ROUND(Wapato_Inventory[[#This Row],[detatched_value]]*Lookups!$B$22*Lookups!$H$48,-2)</f>
        <v>0</v>
      </c>
      <c r="BI992" s="7">
        <f>ROUND(((Wapato_Inventory[[#This Row],[land_extract]]*Lookups!$B$3) +(Lookups!$B$2*0.5))*Lookups!$H$48,-2)</f>
        <v>53800</v>
      </c>
      <c r="BJ992" s="7">
        <f>IF(Wapato_Inventory[[#This Row],[bldg_style]]="",0,Lookups!$B$2*0.5)</f>
        <v>53765.27</v>
      </c>
      <c r="BK992" s="7">
        <f>_xlfn.IFNA(VLOOKUP(Wapato_Inventory[[#This Row],[quality]],Lookups!$H$2:$J$14,3,FALSE),0)</f>
        <v>50594</v>
      </c>
      <c r="BL992" s="7">
        <f>_xlfn.IFNA(VLOOKUP(Wapato_Inventory[[#This Row],[condition]],Lookups!$H$17:$J$24,3,FALSE),0)</f>
        <v>122095</v>
      </c>
      <c r="BM992" s="7">
        <f>Wapato_Inventory[[#This Row],[Age]]*Lookups!$B$16</f>
        <v>-2224.0542</v>
      </c>
      <c r="BN992" s="7">
        <f>Wapato_Inventory[[#This Row],[Main Floor]]*Lookups!$B$17</f>
        <v>63620.724757999997</v>
      </c>
      <c r="BO992" s="7">
        <f>Wapato_Inventory[[#This Row],[Upper Floor]]*Lookups!$B$18</f>
        <v>0</v>
      </c>
      <c r="BP992" s="7">
        <f>Wapato_Inventory[[#This Row],[Fin BSMT]]*Lookups!$B$19</f>
        <v>0</v>
      </c>
      <c r="BQ992" s="7">
        <f>(Wapato_Inventory[[#This Row],[att_gar]]+Wapato_Inventory[[#This Row],[blt_gar]])*Lookups!$B$20</f>
        <v>17912.235968000001</v>
      </c>
      <c r="BR992" s="7">
        <f>Wapato_Inventory[[#This Row],[Patio]]*Lookups!$B$21</f>
        <v>0</v>
      </c>
      <c r="BS992" s="7">
        <f>SUM(Wapato_Inventory[[#This Row],[intercept]:[patio_value]])*Wapato_Inventory[[#This Row],[res_pct]]</f>
        <v>305763.17652600002</v>
      </c>
      <c r="BT992" s="7">
        <f>Wapato_Inventory[[#This Row],[land_value]]</f>
        <v>53800</v>
      </c>
      <c r="BU992" s="2">
        <f>_xlfn.IFNA(VLOOKUP(Wapato_Inventory[[#This Row],[quality]],Lookups!$A$28:$C$37,3,FALSE),1)</f>
        <v>0.99197423394367223</v>
      </c>
      <c r="BV992" s="2">
        <f>_xlfn.IFNA(VLOOKUP(Wapato_Inventory[[#This Row],[condition]],Lookups!$A$41:$C$48,3,FALSE),1)</f>
        <v>1.00041560026225</v>
      </c>
      <c r="BW992" s="2">
        <f>IF(Wapato_Inventory[[#This Row],[decade]]="",1,_xlfn.IFNA(VLOOKUP(Wapato_Inventory[[#This Row],[decade]],Lookups!$F$28:$H$45,3,FALSE),1))</f>
        <v>1.0321018519633791</v>
      </c>
      <c r="BX992" s="2">
        <f>_xlfn.IFNA(VLOOKUP(Wapato_Inventory[[#This Row],[living_area_range]],Lookups!$K$28:$M$37,3,FALSE),1)</f>
        <v>0.99330894324714125</v>
      </c>
      <c r="BY992" s="2">
        <f>AVERAGE(Wapato_Inventory[[#This Row],[qual_adj]:[range_adj]])</f>
        <v>1.0044501573541107</v>
      </c>
      <c r="BZ992" s="7">
        <f>(Wapato_Inventory[[#This Row],[sum_land]]-IF(Wapato_Inventory[[#This Row],[no_utilities]]=1,12000,0))/IF(Wapato_Inventory[[#This Row],[unbuildable]]=1,2,1)</f>
        <v>53800</v>
      </c>
      <c r="CA992" s="7">
        <f>Wapato_Inventory[[#This Row],[pre_res]]*Wapato_Inventory[[#This Row],[overall_adj]]</f>
        <v>307123.87077463343</v>
      </c>
      <c r="CB992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92" s="3">
        <f>IF(ROUND(Wapato_Inventory[[#This Row],[adj_res]]*Lookups!$H$48,-2)&lt;Wapato_Inventory[[#This Row],[min_res]],Wapato_Inventory[[#This Row],[min_res]],ROUND(Wapato_Inventory[[#This Row],[adj_res]]*Lookups!$H$48,-2))</f>
        <v>291800</v>
      </c>
      <c r="CD992" s="3">
        <f>ROUND(Wapato_Inventory[[#This Row],[det_value]]*Lookups!$H$48,-2)</f>
        <v>0</v>
      </c>
      <c r="CE992" s="3">
        <f>Wapato_Inventory[[#This Row],[final_res]]+Wapato_Inventory[[#This Row],[final_det]]</f>
        <v>291800</v>
      </c>
      <c r="CF992" s="3">
        <f>Wapato_Inventory[[#This Row],[crop_value]]+Wapato_Inventory[[#This Row],[final_land]]+Wapato_Inventory[[#This Row],[final_imp]]</f>
        <v>342900</v>
      </c>
      <c r="CH992" t="str">
        <f t="shared" si="15"/>
        <v>update valuation set market_land =51100, market_bldg=291800, market_total =342900, market_mdno =405, market_date ='9/10/2023' where link_id = (select link_id from parcel where parcel_year = '2024' and parcel_id = '19111523420');</v>
      </c>
    </row>
    <row r="993" spans="1:86" x14ac:dyDescent="0.25">
      <c r="A993">
        <v>19111523421</v>
      </c>
      <c r="B993">
        <v>0.26</v>
      </c>
      <c r="C993">
        <v>11250</v>
      </c>
      <c r="D993" t="s">
        <v>144</v>
      </c>
      <c r="E993" t="s">
        <v>54</v>
      </c>
      <c r="F993" t="s">
        <v>54</v>
      </c>
      <c r="G993">
        <v>3</v>
      </c>
      <c r="H993" t="s">
        <v>55</v>
      </c>
      <c r="I993">
        <v>184000</v>
      </c>
      <c r="J993">
        <v>36300</v>
      </c>
      <c r="K993">
        <v>0.26</v>
      </c>
      <c r="L993">
        <f>IF(Wapato_Inventory[[#This Row],[parcel_acres]]-Wapato_Inventory[[#This Row],[non_valued_acres]] =0,0,LN(Wapato_Inventory[[#This Row],[parcel_acres]]-Wapato_Inventory[[#This Row],[non_valued_acres]]))</f>
        <v>-1.3470736479666092</v>
      </c>
      <c r="M993">
        <v>0</v>
      </c>
      <c r="N993">
        <v>0</v>
      </c>
      <c r="O993">
        <v>0</v>
      </c>
      <c r="P993">
        <v>27904.037</v>
      </c>
      <c r="Q993">
        <v>74398</v>
      </c>
      <c r="R993" s="3">
        <f>(Wapato_Inventory[[#This Row],[ln_acres]]*Wapato_Inventory[[#This Row],[coeff]])+Wapato_Inventory[[#This Row],[const]]</f>
        <v>36809.207085414761</v>
      </c>
      <c r="S993" t="s">
        <v>66</v>
      </c>
      <c r="T993">
        <v>1</v>
      </c>
      <c r="U993" t="s">
        <v>75</v>
      </c>
      <c r="V993" t="s">
        <v>69</v>
      </c>
      <c r="W993">
        <v>0</v>
      </c>
      <c r="X993">
        <v>0</v>
      </c>
      <c r="Y993">
        <v>55</v>
      </c>
      <c r="Z993">
        <v>98</v>
      </c>
      <c r="AA993">
        <v>100</v>
      </c>
      <c r="AB993">
        <v>1000</v>
      </c>
      <c r="AC993">
        <v>988</v>
      </c>
      <c r="AD993">
        <v>988</v>
      </c>
      <c r="AE993">
        <v>0</v>
      </c>
      <c r="AF993">
        <v>0</v>
      </c>
      <c r="AG993">
        <v>0</v>
      </c>
      <c r="AH993">
        <v>0</v>
      </c>
      <c r="AI993">
        <v>0</v>
      </c>
      <c r="AJ993">
        <v>0</v>
      </c>
      <c r="AK993">
        <v>660</v>
      </c>
      <c r="AL993">
        <v>0</v>
      </c>
      <c r="AM993">
        <v>520</v>
      </c>
      <c r="AN993">
        <v>0</v>
      </c>
      <c r="AO993">
        <v>520</v>
      </c>
      <c r="AP993">
        <v>5</v>
      </c>
      <c r="AQ993">
        <v>0</v>
      </c>
      <c r="AR993">
        <v>1</v>
      </c>
      <c r="AS993" t="s">
        <v>59</v>
      </c>
      <c r="AT993">
        <v>1</v>
      </c>
      <c r="AU993" t="s">
        <v>72</v>
      </c>
      <c r="AV993" t="s">
        <v>61</v>
      </c>
      <c r="AW993">
        <v>0</v>
      </c>
      <c r="AX993">
        <v>3</v>
      </c>
      <c r="AY993">
        <v>0</v>
      </c>
      <c r="AZ993">
        <v>6800</v>
      </c>
      <c r="BA993">
        <v>100</v>
      </c>
      <c r="BB993">
        <v>100</v>
      </c>
      <c r="BC993">
        <v>100</v>
      </c>
      <c r="BD993">
        <v>100</v>
      </c>
      <c r="BE993">
        <v>1</v>
      </c>
      <c r="BF993">
        <v>15000</v>
      </c>
      <c r="BG993">
        <v>1000</v>
      </c>
      <c r="BH993" s="7">
        <f>ROUND(Wapato_Inventory[[#This Row],[detatched_value]]*Lookups!$B$22*Lookups!$H$48,-2)</f>
        <v>6100</v>
      </c>
      <c r="BI993" s="7">
        <f>ROUND(((Wapato_Inventory[[#This Row],[land_extract]]*Lookups!$B$3) +(Lookups!$B$2*0.5))*Lookups!$H$48,-2)</f>
        <v>54600</v>
      </c>
      <c r="BJ993" s="7">
        <f>IF(Wapato_Inventory[[#This Row],[bldg_style]]="",0,Lookups!$B$2*0.5)</f>
        <v>53765.27</v>
      </c>
      <c r="BK993" s="7">
        <f>_xlfn.IFNA(VLOOKUP(Wapato_Inventory[[#This Row],[quality]],Lookups!$H$2:$J$14,3,FALSE),0)</f>
        <v>48043</v>
      </c>
      <c r="BL993" s="7">
        <f>_xlfn.IFNA(VLOOKUP(Wapato_Inventory[[#This Row],[condition]],Lookups!$H$17:$J$24,3,FALSE),0)</f>
        <v>74543</v>
      </c>
      <c r="BM993" s="7">
        <f>Wapato_Inventory[[#This Row],[Age]]*Lookups!$B$16</f>
        <v>-36326.2186</v>
      </c>
      <c r="BN993" s="7">
        <f>Wapato_Inventory[[#This Row],[Main Floor]]*Lookups!$B$17</f>
        <v>41299.130131999998</v>
      </c>
      <c r="BO993" s="7">
        <f>Wapato_Inventory[[#This Row],[Upper Floor]]*Lookups!$B$18</f>
        <v>0</v>
      </c>
      <c r="BP993" s="7">
        <f>Wapato_Inventory[[#This Row],[Fin BSMT]]*Lookups!$B$19</f>
        <v>0</v>
      </c>
      <c r="BQ993" s="7">
        <f>(Wapato_Inventory[[#This Row],[att_gar]]+Wapato_Inventory[[#This Row],[blt_gar]])*Lookups!$B$20</f>
        <v>0</v>
      </c>
      <c r="BR993" s="7">
        <f>Wapato_Inventory[[#This Row],[Patio]]*Lookups!$B$21</f>
        <v>22528.469079999999</v>
      </c>
      <c r="BS993" s="7">
        <f>SUM(Wapato_Inventory[[#This Row],[intercept]:[patio_value]])*Wapato_Inventory[[#This Row],[res_pct]]</f>
        <v>203852.650612</v>
      </c>
      <c r="BT993" s="7">
        <f>Wapato_Inventory[[#This Row],[land_value]]</f>
        <v>54600</v>
      </c>
      <c r="BU993" s="2">
        <f>_xlfn.IFNA(VLOOKUP(Wapato_Inventory[[#This Row],[quality]],Lookups!$A$28:$C$37,3,FALSE),1)</f>
        <v>0.98196844879778955</v>
      </c>
      <c r="BV993" s="2">
        <f>_xlfn.IFNA(VLOOKUP(Wapato_Inventory[[#This Row],[condition]],Lookups!$A$41:$C$48,3,FALSE),1)</f>
        <v>0.98442438223270734</v>
      </c>
      <c r="BW993" s="2">
        <f>IF(Wapato_Inventory[[#This Row],[decade]]="",1,_xlfn.IFNA(VLOOKUP(Wapato_Inventory[[#This Row],[decade]],Lookups!$F$28:$H$45,3,FALSE),1))</f>
        <v>1.0114203040664467</v>
      </c>
      <c r="BX993" s="2">
        <f>_xlfn.IFNA(VLOOKUP(Wapato_Inventory[[#This Row],[living_area_range]],Lookups!$K$28:$M$37,3,FALSE),1)</f>
        <v>0.99022994770196116</v>
      </c>
      <c r="BY993" s="2">
        <f>AVERAGE(Wapato_Inventory[[#This Row],[qual_adj]:[range_adj]])</f>
        <v>0.99201077069972621</v>
      </c>
      <c r="BZ993" s="7">
        <f>(Wapato_Inventory[[#This Row],[sum_land]]-IF(Wapato_Inventory[[#This Row],[no_utilities]]=1,12000,0))/IF(Wapato_Inventory[[#This Row],[unbuildable]]=1,2,1)</f>
        <v>54600</v>
      </c>
      <c r="CA993" s="7">
        <f>Wapato_Inventory[[#This Row],[pre_res]]*Wapato_Inventory[[#This Row],[overall_adj]]</f>
        <v>202224.02504279214</v>
      </c>
      <c r="CB993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993" s="3">
        <f>IF(ROUND(Wapato_Inventory[[#This Row],[adj_res]]*Lookups!$H$48,-2)&lt;Wapato_Inventory[[#This Row],[min_res]],Wapato_Inventory[[#This Row],[min_res]],ROUND(Wapato_Inventory[[#This Row],[adj_res]]*Lookups!$H$48,-2))</f>
        <v>192100</v>
      </c>
      <c r="CD993" s="3">
        <f>ROUND(Wapato_Inventory[[#This Row],[det_value]]*Lookups!$H$48,-2)</f>
        <v>5800</v>
      </c>
      <c r="CE993" s="3">
        <f>Wapato_Inventory[[#This Row],[final_res]]+Wapato_Inventory[[#This Row],[final_det]]</f>
        <v>197900</v>
      </c>
      <c r="CF993" s="3">
        <f>Wapato_Inventory[[#This Row],[crop_value]]+Wapato_Inventory[[#This Row],[final_land]]+Wapato_Inventory[[#This Row],[final_imp]]</f>
        <v>249800</v>
      </c>
      <c r="CH993" t="str">
        <f t="shared" si="15"/>
        <v>update valuation set market_land =51900, market_bldg=197900, market_total =249800, market_mdno =405, market_date ='9/10/2023' where link_id = (select link_id from parcel where parcel_year = '2024' and parcel_id = '19111523421');</v>
      </c>
    </row>
    <row r="994" spans="1:86" x14ac:dyDescent="0.25">
      <c r="A994">
        <v>19111523424</v>
      </c>
      <c r="B994">
        <v>0.19</v>
      </c>
      <c r="C994">
        <v>8125</v>
      </c>
      <c r="D994" t="s">
        <v>144</v>
      </c>
      <c r="E994" t="s">
        <v>54</v>
      </c>
      <c r="F994" t="s">
        <v>54</v>
      </c>
      <c r="G994">
        <v>3</v>
      </c>
      <c r="H994" t="s">
        <v>55</v>
      </c>
      <c r="I994">
        <v>103900</v>
      </c>
      <c r="J994">
        <v>34100</v>
      </c>
      <c r="K994">
        <v>0.19</v>
      </c>
      <c r="L994">
        <f>IF(Wapato_Inventory[[#This Row],[parcel_acres]]-Wapato_Inventory[[#This Row],[non_valued_acres]] =0,0,LN(Wapato_Inventory[[#This Row],[parcel_acres]]-Wapato_Inventory[[#This Row],[non_valued_acres]]))</f>
        <v>-1.6607312068216509</v>
      </c>
      <c r="M994">
        <v>0</v>
      </c>
      <c r="N994">
        <v>0</v>
      </c>
      <c r="O994">
        <v>0</v>
      </c>
      <c r="P994">
        <v>27904.037</v>
      </c>
      <c r="Q994">
        <v>74398</v>
      </c>
      <c r="R994" s="3">
        <f>(Wapato_Inventory[[#This Row],[ln_acres]]*Wapato_Inventory[[#This Row],[coeff]])+Wapato_Inventory[[#This Row],[const]]</f>
        <v>28056.894957794</v>
      </c>
      <c r="S994" t="s">
        <v>66</v>
      </c>
      <c r="T994">
        <v>1</v>
      </c>
      <c r="U994" t="s">
        <v>71</v>
      </c>
      <c r="V994" t="s">
        <v>68</v>
      </c>
      <c r="W994">
        <v>0</v>
      </c>
      <c r="X994">
        <v>0</v>
      </c>
      <c r="Y994">
        <v>51</v>
      </c>
      <c r="Z994">
        <v>83</v>
      </c>
      <c r="AA994">
        <v>90</v>
      </c>
      <c r="AB994">
        <v>1000</v>
      </c>
      <c r="AC994">
        <v>624</v>
      </c>
      <c r="AD994">
        <v>624</v>
      </c>
      <c r="AE994">
        <v>0</v>
      </c>
      <c r="AF994">
        <v>0</v>
      </c>
      <c r="AG994">
        <v>0</v>
      </c>
      <c r="AH994">
        <v>0</v>
      </c>
      <c r="AI994">
        <v>0</v>
      </c>
      <c r="AJ994">
        <v>0</v>
      </c>
      <c r="AK994">
        <v>0</v>
      </c>
      <c r="AL994">
        <v>96</v>
      </c>
      <c r="AM994">
        <v>0</v>
      </c>
      <c r="AN994">
        <v>0</v>
      </c>
      <c r="AO994">
        <v>96</v>
      </c>
      <c r="AP994">
        <v>5</v>
      </c>
      <c r="AQ994">
        <v>0</v>
      </c>
      <c r="AR994">
        <v>0</v>
      </c>
      <c r="AS994" t="s">
        <v>59</v>
      </c>
      <c r="AT994">
        <v>0</v>
      </c>
      <c r="AU994" t="s">
        <v>80</v>
      </c>
      <c r="AV994" t="s">
        <v>61</v>
      </c>
      <c r="AW994">
        <v>0</v>
      </c>
      <c r="AX994">
        <v>2</v>
      </c>
      <c r="AY994">
        <v>0</v>
      </c>
      <c r="AZ994">
        <v>0</v>
      </c>
      <c r="BA994">
        <v>100</v>
      </c>
      <c r="BB994">
        <v>100</v>
      </c>
      <c r="BC994">
        <v>100</v>
      </c>
      <c r="BD994">
        <v>100</v>
      </c>
      <c r="BE994">
        <v>1</v>
      </c>
      <c r="BF994">
        <v>15000</v>
      </c>
      <c r="BG994">
        <v>1000</v>
      </c>
      <c r="BH994" s="7">
        <f>ROUND(Wapato_Inventory[[#This Row],[detatched_value]]*Lookups!$B$22*Lookups!$H$48,-2)</f>
        <v>0</v>
      </c>
      <c r="BI994" s="7">
        <f>ROUND(((Wapato_Inventory[[#This Row],[land_extract]]*Lookups!$B$3) +(Lookups!$B$2*0.5))*Lookups!$H$48,-2)</f>
        <v>53800</v>
      </c>
      <c r="BJ994" s="7">
        <f>IF(Wapato_Inventory[[#This Row],[bldg_style]]="",0,Lookups!$B$2*0.5)</f>
        <v>53765.27</v>
      </c>
      <c r="BK994" s="7">
        <f>_xlfn.IFNA(VLOOKUP(Wapato_Inventory[[#This Row],[quality]],Lookups!$H$2:$J$14,3,FALSE),0)</f>
        <v>28034</v>
      </c>
      <c r="BL994" s="7">
        <f>_xlfn.IFNA(VLOOKUP(Wapato_Inventory[[#This Row],[condition]],Lookups!$H$17:$J$24,3,FALSE),0)</f>
        <v>52231</v>
      </c>
      <c r="BM994" s="7">
        <f>Wapato_Inventory[[#This Row],[Age]]*Lookups!$B$16</f>
        <v>-30766.0831</v>
      </c>
      <c r="BN994" s="7">
        <f>Wapato_Inventory[[#This Row],[Main Floor]]*Lookups!$B$17</f>
        <v>26083.661135999999</v>
      </c>
      <c r="BO994" s="7">
        <f>Wapato_Inventory[[#This Row],[Upper Floor]]*Lookups!$B$18</f>
        <v>0</v>
      </c>
      <c r="BP994" s="7">
        <f>Wapato_Inventory[[#This Row],[Fin BSMT]]*Lookups!$B$19</f>
        <v>0</v>
      </c>
      <c r="BQ994" s="7">
        <f>(Wapato_Inventory[[#This Row],[att_gar]]+Wapato_Inventory[[#This Row],[blt_gar]])*Lookups!$B$20</f>
        <v>0</v>
      </c>
      <c r="BR994" s="7">
        <f>Wapato_Inventory[[#This Row],[Patio]]*Lookups!$B$21</f>
        <v>0</v>
      </c>
      <c r="BS994" s="7">
        <f>SUM(Wapato_Inventory[[#This Row],[intercept]:[patio_value]])*Wapato_Inventory[[#This Row],[res_pct]]</f>
        <v>129347.84803599998</v>
      </c>
      <c r="BT994" s="7">
        <f>Wapato_Inventory[[#This Row],[land_value]]</f>
        <v>53800</v>
      </c>
      <c r="BU994" s="2">
        <f>_xlfn.IFNA(VLOOKUP(Wapato_Inventory[[#This Row],[quality]],Lookups!$A$28:$C$37,3,FALSE),1)</f>
        <v>0.96265813922927435</v>
      </c>
      <c r="BV994" s="2">
        <f>_xlfn.IFNA(VLOOKUP(Wapato_Inventory[[#This Row],[condition]],Lookups!$A$41:$C$48,3,FALSE),1)</f>
        <v>0.9832333997567807</v>
      </c>
      <c r="BW994" s="2">
        <f>IF(Wapato_Inventory[[#This Row],[decade]]="",1,_xlfn.IFNA(VLOOKUP(Wapato_Inventory[[#This Row],[decade]],Lookups!$F$28:$H$45,3,FALSE),1))</f>
        <v>0.94742695999815718</v>
      </c>
      <c r="BX994" s="2">
        <f>_xlfn.IFNA(VLOOKUP(Wapato_Inventory[[#This Row],[living_area_range]],Lookups!$K$28:$M$37,3,FALSE),1)</f>
        <v>0.99022994770196116</v>
      </c>
      <c r="BY994" s="2">
        <f>AVERAGE(Wapato_Inventory[[#This Row],[qual_adj]:[range_adj]])</f>
        <v>0.97088711167154329</v>
      </c>
      <c r="BZ994" s="7">
        <f>(Wapato_Inventory[[#This Row],[sum_land]]-IF(Wapato_Inventory[[#This Row],[no_utilities]]=1,12000,0))/IF(Wapato_Inventory[[#This Row],[unbuildable]]=1,2,1)</f>
        <v>53800</v>
      </c>
      <c r="CA994" s="7">
        <f>Wapato_Inventory[[#This Row],[pre_res]]*Wapato_Inventory[[#This Row],[overall_adj]]</f>
        <v>125582.15858060172</v>
      </c>
      <c r="CB994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94" s="3">
        <f>IF(ROUND(Wapato_Inventory[[#This Row],[adj_res]]*Lookups!$H$48,-2)&lt;Wapato_Inventory[[#This Row],[min_res]],Wapato_Inventory[[#This Row],[min_res]],ROUND(Wapato_Inventory[[#This Row],[adj_res]]*Lookups!$H$48,-2))</f>
        <v>119300</v>
      </c>
      <c r="CD994" s="3">
        <f>ROUND(Wapato_Inventory[[#This Row],[det_value]]*Lookups!$H$48,-2)</f>
        <v>0</v>
      </c>
      <c r="CE994" s="3">
        <f>Wapato_Inventory[[#This Row],[final_res]]+Wapato_Inventory[[#This Row],[final_det]]</f>
        <v>119300</v>
      </c>
      <c r="CF994" s="3">
        <f>Wapato_Inventory[[#This Row],[crop_value]]+Wapato_Inventory[[#This Row],[final_land]]+Wapato_Inventory[[#This Row],[final_imp]]</f>
        <v>170400</v>
      </c>
      <c r="CH994" t="str">
        <f t="shared" si="15"/>
        <v>update valuation set market_land =51100, market_bldg=119300, market_total =170400, market_mdno =405, market_date ='9/10/2023' where link_id = (select link_id from parcel where parcel_year = '2024' and parcel_id = '19111523424');</v>
      </c>
    </row>
    <row r="995" spans="1:86" x14ac:dyDescent="0.25">
      <c r="A995">
        <v>19111523425</v>
      </c>
      <c r="B995">
        <v>0.19</v>
      </c>
      <c r="C995">
        <v>8125</v>
      </c>
      <c r="D995" t="s">
        <v>144</v>
      </c>
      <c r="E995" t="s">
        <v>54</v>
      </c>
      <c r="F995" t="s">
        <v>54</v>
      </c>
      <c r="G995">
        <v>3</v>
      </c>
      <c r="H995" t="s">
        <v>55</v>
      </c>
      <c r="I995">
        <v>125200</v>
      </c>
      <c r="J995">
        <v>34100</v>
      </c>
      <c r="K995">
        <v>0.19</v>
      </c>
      <c r="L995">
        <f>IF(Wapato_Inventory[[#This Row],[parcel_acres]]-Wapato_Inventory[[#This Row],[non_valued_acres]] =0,0,LN(Wapato_Inventory[[#This Row],[parcel_acres]]-Wapato_Inventory[[#This Row],[non_valued_acres]]))</f>
        <v>-1.6607312068216509</v>
      </c>
      <c r="M995">
        <v>0</v>
      </c>
      <c r="N995">
        <v>0</v>
      </c>
      <c r="O995">
        <v>0</v>
      </c>
      <c r="P995">
        <v>27904.037</v>
      </c>
      <c r="Q995">
        <v>74398</v>
      </c>
      <c r="R995" s="3">
        <f>(Wapato_Inventory[[#This Row],[ln_acres]]*Wapato_Inventory[[#This Row],[coeff]])+Wapato_Inventory[[#This Row],[const]]</f>
        <v>28056.894957794</v>
      </c>
      <c r="S995" t="s">
        <v>56</v>
      </c>
      <c r="T995">
        <v>2</v>
      </c>
      <c r="U995" t="s">
        <v>71</v>
      </c>
      <c r="V995" t="s">
        <v>68</v>
      </c>
      <c r="W995">
        <v>0</v>
      </c>
      <c r="X995">
        <v>0</v>
      </c>
      <c r="Y995">
        <v>51</v>
      </c>
      <c r="Z995">
        <v>83</v>
      </c>
      <c r="AA995">
        <v>90</v>
      </c>
      <c r="AB995">
        <v>1500</v>
      </c>
      <c r="AC995">
        <v>1172</v>
      </c>
      <c r="AD995">
        <v>672</v>
      </c>
      <c r="AE995">
        <v>500</v>
      </c>
      <c r="AF995">
        <v>0</v>
      </c>
      <c r="AG995">
        <v>0</v>
      </c>
      <c r="AH995">
        <v>0</v>
      </c>
      <c r="AI995">
        <v>0</v>
      </c>
      <c r="AJ995">
        <v>0</v>
      </c>
      <c r="AK995">
        <v>0</v>
      </c>
      <c r="AL995">
        <v>112</v>
      </c>
      <c r="AM995">
        <v>36</v>
      </c>
      <c r="AN995">
        <v>0</v>
      </c>
      <c r="AO995">
        <v>112</v>
      </c>
      <c r="AP995">
        <v>5</v>
      </c>
      <c r="AQ995">
        <v>0</v>
      </c>
      <c r="AR995">
        <v>0</v>
      </c>
      <c r="AS995" t="s">
        <v>59</v>
      </c>
      <c r="AT995">
        <v>1</v>
      </c>
      <c r="AU995" t="s">
        <v>72</v>
      </c>
      <c r="AV995" t="s">
        <v>61</v>
      </c>
      <c r="AW995">
        <v>0</v>
      </c>
      <c r="AX995">
        <v>4</v>
      </c>
      <c r="AY995">
        <v>0</v>
      </c>
      <c r="AZ995">
        <v>7000</v>
      </c>
      <c r="BA995">
        <v>100</v>
      </c>
      <c r="BB995">
        <v>100</v>
      </c>
      <c r="BC995">
        <v>100</v>
      </c>
      <c r="BD995">
        <v>100</v>
      </c>
      <c r="BE995">
        <v>1</v>
      </c>
      <c r="BF995">
        <v>15000</v>
      </c>
      <c r="BG995">
        <v>1000</v>
      </c>
      <c r="BH995" s="7">
        <f>ROUND(Wapato_Inventory[[#This Row],[detatched_value]]*Lookups!$B$22*Lookups!$H$48,-2)</f>
        <v>6300</v>
      </c>
      <c r="BI995" s="7">
        <f>ROUND(((Wapato_Inventory[[#This Row],[land_extract]]*Lookups!$B$3) +(Lookups!$B$2*0.5))*Lookups!$H$48,-2)</f>
        <v>53800</v>
      </c>
      <c r="BJ995" s="7">
        <f>IF(Wapato_Inventory[[#This Row],[bldg_style]]="",0,Lookups!$B$2*0.5)</f>
        <v>53765.27</v>
      </c>
      <c r="BK995" s="7">
        <f>_xlfn.IFNA(VLOOKUP(Wapato_Inventory[[#This Row],[quality]],Lookups!$H$2:$J$14,3,FALSE),0)</f>
        <v>28034</v>
      </c>
      <c r="BL995" s="7">
        <f>_xlfn.IFNA(VLOOKUP(Wapato_Inventory[[#This Row],[condition]],Lookups!$H$17:$J$24,3,FALSE),0)</f>
        <v>52231</v>
      </c>
      <c r="BM995" s="7">
        <f>Wapato_Inventory[[#This Row],[Age]]*Lookups!$B$16</f>
        <v>-30766.0831</v>
      </c>
      <c r="BN995" s="7">
        <f>Wapato_Inventory[[#This Row],[Main Floor]]*Lookups!$B$17</f>
        <v>28090.096608</v>
      </c>
      <c r="BO995" s="7">
        <f>Wapato_Inventory[[#This Row],[Upper Floor]]*Lookups!$B$18</f>
        <v>24800.569500000001</v>
      </c>
      <c r="BP995" s="7">
        <f>Wapato_Inventory[[#This Row],[Fin BSMT]]*Lookups!$B$19</f>
        <v>0</v>
      </c>
      <c r="BQ995" s="7">
        <f>(Wapato_Inventory[[#This Row],[att_gar]]+Wapato_Inventory[[#This Row],[blt_gar]])*Lookups!$B$20</f>
        <v>0</v>
      </c>
      <c r="BR995" s="7">
        <f>Wapato_Inventory[[#This Row],[Patio]]*Lookups!$B$21</f>
        <v>1559.6632440000001</v>
      </c>
      <c r="BS995" s="7">
        <f>SUM(Wapato_Inventory[[#This Row],[intercept]:[patio_value]])*Wapato_Inventory[[#This Row],[res_pct]]</f>
        <v>157714.516252</v>
      </c>
      <c r="BT995" s="7">
        <f>Wapato_Inventory[[#This Row],[land_value]]</f>
        <v>53800</v>
      </c>
      <c r="BU995" s="2">
        <f>_xlfn.IFNA(VLOOKUP(Wapato_Inventory[[#This Row],[quality]],Lookups!$A$28:$C$37,3,FALSE),1)</f>
        <v>0.96265813922927435</v>
      </c>
      <c r="BV995" s="2">
        <f>_xlfn.IFNA(VLOOKUP(Wapato_Inventory[[#This Row],[condition]],Lookups!$A$41:$C$48,3,FALSE),1)</f>
        <v>0.9832333997567807</v>
      </c>
      <c r="BW995" s="2">
        <f>IF(Wapato_Inventory[[#This Row],[decade]]="",1,_xlfn.IFNA(VLOOKUP(Wapato_Inventory[[#This Row],[decade]],Lookups!$F$28:$H$45,3,FALSE),1))</f>
        <v>0.94742695999815718</v>
      </c>
      <c r="BX995" s="2">
        <f>_xlfn.IFNA(VLOOKUP(Wapato_Inventory[[#This Row],[living_area_range]],Lookups!$K$28:$M$37,3,FALSE),1)</f>
        <v>1.0061411172456287</v>
      </c>
      <c r="BY995" s="2">
        <f>AVERAGE(Wapato_Inventory[[#This Row],[qual_adj]:[range_adj]])</f>
        <v>0.97486490405746018</v>
      </c>
      <c r="BZ995" s="7">
        <f>(Wapato_Inventory[[#This Row],[sum_land]]-IF(Wapato_Inventory[[#This Row],[no_utilities]]=1,12000,0))/IF(Wapato_Inventory[[#This Row],[unbuildable]]=1,2,1)</f>
        <v>53800</v>
      </c>
      <c r="CA995" s="7">
        <f>Wapato_Inventory[[#This Row],[pre_res]]*Wapato_Inventory[[#This Row],[overall_adj]]</f>
        <v>153750.34675447474</v>
      </c>
      <c r="CB995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95" s="3">
        <f>IF(ROUND(Wapato_Inventory[[#This Row],[adj_res]]*Lookups!$H$48,-2)&lt;Wapato_Inventory[[#This Row],[min_res]],Wapato_Inventory[[#This Row],[min_res]],ROUND(Wapato_Inventory[[#This Row],[adj_res]]*Lookups!$H$48,-2))</f>
        <v>146100</v>
      </c>
      <c r="CD995" s="3">
        <f>ROUND(Wapato_Inventory[[#This Row],[det_value]]*Lookups!$H$48,-2)</f>
        <v>6000</v>
      </c>
      <c r="CE995" s="3">
        <f>Wapato_Inventory[[#This Row],[final_res]]+Wapato_Inventory[[#This Row],[final_det]]</f>
        <v>152100</v>
      </c>
      <c r="CF995" s="3">
        <f>Wapato_Inventory[[#This Row],[crop_value]]+Wapato_Inventory[[#This Row],[final_land]]+Wapato_Inventory[[#This Row],[final_imp]]</f>
        <v>203200</v>
      </c>
      <c r="CH995" t="str">
        <f t="shared" si="15"/>
        <v>update valuation set market_land =51100, market_bldg=152100, market_total =203200, market_mdno =405, market_date ='9/10/2023' where link_id = (select link_id from parcel where parcel_year = '2024' and parcel_id = '19111523425');</v>
      </c>
    </row>
    <row r="996" spans="1:86" x14ac:dyDescent="0.25">
      <c r="A996">
        <v>19111523427</v>
      </c>
      <c r="B996">
        <v>0.19</v>
      </c>
      <c r="C996">
        <v>8125</v>
      </c>
      <c r="D996" t="s">
        <v>144</v>
      </c>
      <c r="E996" t="s">
        <v>54</v>
      </c>
      <c r="F996" t="s">
        <v>54</v>
      </c>
      <c r="G996">
        <v>3</v>
      </c>
      <c r="H996" t="s">
        <v>55</v>
      </c>
      <c r="I996">
        <v>148900</v>
      </c>
      <c r="J996">
        <v>34100</v>
      </c>
      <c r="K996">
        <v>0.19</v>
      </c>
      <c r="L996">
        <f>IF(Wapato_Inventory[[#This Row],[parcel_acres]]-Wapato_Inventory[[#This Row],[non_valued_acres]] =0,0,LN(Wapato_Inventory[[#This Row],[parcel_acres]]-Wapato_Inventory[[#This Row],[non_valued_acres]]))</f>
        <v>-1.6607312068216509</v>
      </c>
      <c r="M996">
        <v>0</v>
      </c>
      <c r="N996">
        <v>0</v>
      </c>
      <c r="O996">
        <v>0</v>
      </c>
      <c r="P996">
        <v>27904.037</v>
      </c>
      <c r="Q996">
        <v>74398</v>
      </c>
      <c r="R996" s="3">
        <f>(Wapato_Inventory[[#This Row],[ln_acres]]*Wapato_Inventory[[#This Row],[coeff]])+Wapato_Inventory[[#This Row],[const]]</f>
        <v>28056.894957794</v>
      </c>
      <c r="S996" t="s">
        <v>66</v>
      </c>
      <c r="T996">
        <v>1</v>
      </c>
      <c r="U996" t="s">
        <v>71</v>
      </c>
      <c r="V996" t="s">
        <v>68</v>
      </c>
      <c r="W996">
        <v>0</v>
      </c>
      <c r="X996">
        <v>0</v>
      </c>
      <c r="Y996">
        <v>52</v>
      </c>
      <c r="Z996">
        <v>88</v>
      </c>
      <c r="AA996">
        <v>90</v>
      </c>
      <c r="AB996">
        <v>2000</v>
      </c>
      <c r="AC996">
        <v>1595</v>
      </c>
      <c r="AD996">
        <v>1595</v>
      </c>
      <c r="AE996">
        <v>0</v>
      </c>
      <c r="AF996">
        <v>0</v>
      </c>
      <c r="AG996">
        <v>0</v>
      </c>
      <c r="AH996">
        <v>0</v>
      </c>
      <c r="AI996">
        <v>0</v>
      </c>
      <c r="AJ996">
        <v>0</v>
      </c>
      <c r="AK996">
        <v>360</v>
      </c>
      <c r="AL996">
        <v>0</v>
      </c>
      <c r="AM996">
        <v>365</v>
      </c>
      <c r="AN996">
        <v>0</v>
      </c>
      <c r="AO996">
        <v>365</v>
      </c>
      <c r="AP996">
        <v>8</v>
      </c>
      <c r="AQ996">
        <v>0</v>
      </c>
      <c r="AR996">
        <v>0</v>
      </c>
      <c r="AS996" t="s">
        <v>82</v>
      </c>
      <c r="AT996">
        <v>1</v>
      </c>
      <c r="AU996" t="s">
        <v>72</v>
      </c>
      <c r="AV996" t="s">
        <v>61</v>
      </c>
      <c r="AW996">
        <v>0</v>
      </c>
      <c r="AX996">
        <v>4</v>
      </c>
      <c r="AY996">
        <v>0</v>
      </c>
      <c r="AZ996">
        <v>0</v>
      </c>
      <c r="BA996">
        <v>100</v>
      </c>
      <c r="BB996">
        <v>100</v>
      </c>
      <c r="BC996">
        <v>100</v>
      </c>
      <c r="BD996">
        <v>100</v>
      </c>
      <c r="BE996">
        <v>1</v>
      </c>
      <c r="BF996">
        <v>15000</v>
      </c>
      <c r="BG996">
        <v>1000</v>
      </c>
      <c r="BH996" s="7">
        <f>ROUND(Wapato_Inventory[[#This Row],[detatched_value]]*Lookups!$B$22*Lookups!$H$48,-2)</f>
        <v>0</v>
      </c>
      <c r="BI996" s="7">
        <f>ROUND(((Wapato_Inventory[[#This Row],[land_extract]]*Lookups!$B$3) +(Lookups!$B$2*0.5))*Lookups!$H$48,-2)</f>
        <v>53800</v>
      </c>
      <c r="BJ996" s="7">
        <f>IF(Wapato_Inventory[[#This Row],[bldg_style]]="",0,Lookups!$B$2*0.5)</f>
        <v>53765.27</v>
      </c>
      <c r="BK996" s="7">
        <f>_xlfn.IFNA(VLOOKUP(Wapato_Inventory[[#This Row],[quality]],Lookups!$H$2:$J$14,3,FALSE),0)</f>
        <v>28034</v>
      </c>
      <c r="BL996" s="7">
        <f>_xlfn.IFNA(VLOOKUP(Wapato_Inventory[[#This Row],[condition]],Lookups!$H$17:$J$24,3,FALSE),0)</f>
        <v>52231</v>
      </c>
      <c r="BM996" s="7">
        <f>Wapato_Inventory[[#This Row],[Age]]*Lookups!$B$16</f>
        <v>-32619.461600000002</v>
      </c>
      <c r="BN996" s="7">
        <f>Wapato_Inventory[[#This Row],[Main Floor]]*Lookups!$B$17</f>
        <v>66672.178704999998</v>
      </c>
      <c r="BO996" s="7">
        <f>Wapato_Inventory[[#This Row],[Upper Floor]]*Lookups!$B$18</f>
        <v>0</v>
      </c>
      <c r="BP996" s="7">
        <f>Wapato_Inventory[[#This Row],[Fin BSMT]]*Lookups!$B$19</f>
        <v>0</v>
      </c>
      <c r="BQ996" s="7">
        <f>(Wapato_Inventory[[#This Row],[att_gar]]+Wapato_Inventory[[#This Row],[blt_gar]])*Lookups!$B$20</f>
        <v>0</v>
      </c>
      <c r="BR996" s="7">
        <f>Wapato_Inventory[[#This Row],[Patio]]*Lookups!$B$21</f>
        <v>15813.252335000001</v>
      </c>
      <c r="BS996" s="7">
        <f>SUM(Wapato_Inventory[[#This Row],[intercept]:[patio_value]])*Wapato_Inventory[[#This Row],[res_pct]]</f>
        <v>183896.23943999998</v>
      </c>
      <c r="BT996" s="7">
        <f>Wapato_Inventory[[#This Row],[land_value]]</f>
        <v>53800</v>
      </c>
      <c r="BU996" s="2">
        <f>_xlfn.IFNA(VLOOKUP(Wapato_Inventory[[#This Row],[quality]],Lookups!$A$28:$C$37,3,FALSE),1)</f>
        <v>0.96265813922927435</v>
      </c>
      <c r="BV996" s="2">
        <f>_xlfn.IFNA(VLOOKUP(Wapato_Inventory[[#This Row],[condition]],Lookups!$A$41:$C$48,3,FALSE),1)</f>
        <v>0.9832333997567807</v>
      </c>
      <c r="BW996" s="2">
        <f>IF(Wapato_Inventory[[#This Row],[decade]]="",1,_xlfn.IFNA(VLOOKUP(Wapato_Inventory[[#This Row],[decade]],Lookups!$F$28:$H$45,3,FALSE),1))</f>
        <v>0.94742695999815718</v>
      </c>
      <c r="BX996" s="2">
        <f>_xlfn.IFNA(VLOOKUP(Wapato_Inventory[[#This Row],[living_area_range]],Lookups!$K$28:$M$37,3,FALSE),1)</f>
        <v>0.99330894324714125</v>
      </c>
      <c r="BY996" s="2">
        <f>AVERAGE(Wapato_Inventory[[#This Row],[qual_adj]:[range_adj]])</f>
        <v>0.97165686055783829</v>
      </c>
      <c r="BZ996" s="7">
        <f>(Wapato_Inventory[[#This Row],[sum_land]]-IF(Wapato_Inventory[[#This Row],[no_utilities]]=1,12000,0))/IF(Wapato_Inventory[[#This Row],[unbuildable]]=1,2,1)</f>
        <v>53800</v>
      </c>
      <c r="CA996" s="7">
        <f>Wapato_Inventory[[#This Row],[pre_res]]*Wapato_Inventory[[#This Row],[overall_adj]]</f>
        <v>178684.0426826629</v>
      </c>
      <c r="CB996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96" s="3">
        <f>IF(ROUND(Wapato_Inventory[[#This Row],[adj_res]]*Lookups!$H$48,-2)&lt;Wapato_Inventory[[#This Row],[min_res]],Wapato_Inventory[[#This Row],[min_res]],ROUND(Wapato_Inventory[[#This Row],[adj_res]]*Lookups!$H$48,-2))</f>
        <v>169700</v>
      </c>
      <c r="CD996" s="3">
        <f>ROUND(Wapato_Inventory[[#This Row],[det_value]]*Lookups!$H$48,-2)</f>
        <v>0</v>
      </c>
      <c r="CE996" s="3">
        <f>Wapato_Inventory[[#This Row],[final_res]]+Wapato_Inventory[[#This Row],[final_det]]</f>
        <v>169700</v>
      </c>
      <c r="CF996" s="3">
        <f>Wapato_Inventory[[#This Row],[crop_value]]+Wapato_Inventory[[#This Row],[final_land]]+Wapato_Inventory[[#This Row],[final_imp]]</f>
        <v>220800</v>
      </c>
      <c r="CH996" t="str">
        <f t="shared" si="15"/>
        <v>update valuation set market_land =51100, market_bldg=169700, market_total =220800, market_mdno =405, market_date ='9/10/2023' where link_id = (select link_id from parcel where parcel_year = '2024' and parcel_id = '19111523427');</v>
      </c>
    </row>
    <row r="997" spans="1:86" x14ac:dyDescent="0.25">
      <c r="A997">
        <v>19111523428</v>
      </c>
      <c r="B997">
        <v>0.19</v>
      </c>
      <c r="C997">
        <v>8125</v>
      </c>
      <c r="D997" t="s">
        <v>144</v>
      </c>
      <c r="E997" t="s">
        <v>54</v>
      </c>
      <c r="F997" t="s">
        <v>54</v>
      </c>
      <c r="G997">
        <v>3</v>
      </c>
      <c r="H997" t="s">
        <v>55</v>
      </c>
      <c r="I997">
        <v>191200</v>
      </c>
      <c r="J997">
        <v>34100</v>
      </c>
      <c r="K997">
        <v>0.19</v>
      </c>
      <c r="L997">
        <f>IF(Wapato_Inventory[[#This Row],[parcel_acres]]-Wapato_Inventory[[#This Row],[non_valued_acres]] =0,0,LN(Wapato_Inventory[[#This Row],[parcel_acres]]-Wapato_Inventory[[#This Row],[non_valued_acres]]))</f>
        <v>-1.6607312068216509</v>
      </c>
      <c r="M997">
        <v>0</v>
      </c>
      <c r="N997">
        <v>0</v>
      </c>
      <c r="O997">
        <v>0</v>
      </c>
      <c r="P997">
        <v>27904.037</v>
      </c>
      <c r="Q997">
        <v>74398</v>
      </c>
      <c r="R997" s="3">
        <f>(Wapato_Inventory[[#This Row],[ln_acres]]*Wapato_Inventory[[#This Row],[coeff]])+Wapato_Inventory[[#This Row],[const]]</f>
        <v>28056.894957794</v>
      </c>
      <c r="S997" t="s">
        <v>66</v>
      </c>
      <c r="T997">
        <v>1</v>
      </c>
      <c r="U997" t="s">
        <v>75</v>
      </c>
      <c r="V997" t="s">
        <v>68</v>
      </c>
      <c r="W997">
        <v>0</v>
      </c>
      <c r="X997">
        <v>0</v>
      </c>
      <c r="Y997">
        <v>37</v>
      </c>
      <c r="Z997">
        <v>37</v>
      </c>
      <c r="AA997">
        <v>40</v>
      </c>
      <c r="AB997">
        <v>1500</v>
      </c>
      <c r="AC997">
        <v>1352</v>
      </c>
      <c r="AD997">
        <v>1352</v>
      </c>
      <c r="AE997">
        <v>0</v>
      </c>
      <c r="AF997">
        <v>0</v>
      </c>
      <c r="AG997">
        <v>0</v>
      </c>
      <c r="AH997">
        <v>0</v>
      </c>
      <c r="AI997">
        <v>0</v>
      </c>
      <c r="AJ997">
        <v>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8</v>
      </c>
      <c r="AQ997">
        <v>1</v>
      </c>
      <c r="AR997">
        <v>0</v>
      </c>
      <c r="AS997" t="s">
        <v>146</v>
      </c>
      <c r="AT997">
        <v>1</v>
      </c>
      <c r="AU997" t="s">
        <v>72</v>
      </c>
      <c r="AV997" t="s">
        <v>61</v>
      </c>
      <c r="AW997">
        <v>0</v>
      </c>
      <c r="AX997">
        <v>3</v>
      </c>
      <c r="AY997">
        <v>0</v>
      </c>
      <c r="AZ997">
        <v>10700</v>
      </c>
      <c r="BA997">
        <v>100</v>
      </c>
      <c r="BB997">
        <v>100</v>
      </c>
      <c r="BC997">
        <v>100</v>
      </c>
      <c r="BD997">
        <v>100</v>
      </c>
      <c r="BE997">
        <v>1</v>
      </c>
      <c r="BF997">
        <v>15000</v>
      </c>
      <c r="BG997">
        <v>1000</v>
      </c>
      <c r="BH997" s="7">
        <f>ROUND(Wapato_Inventory[[#This Row],[detatched_value]]*Lookups!$B$22*Lookups!$H$48,-2)</f>
        <v>9600</v>
      </c>
      <c r="BI997" s="7">
        <f>ROUND(((Wapato_Inventory[[#This Row],[land_extract]]*Lookups!$B$3) +(Lookups!$B$2*0.5))*Lookups!$H$48,-2)</f>
        <v>53800</v>
      </c>
      <c r="BJ997" s="7">
        <f>IF(Wapato_Inventory[[#This Row],[bldg_style]]="",0,Lookups!$B$2*0.5)</f>
        <v>53765.27</v>
      </c>
      <c r="BK997" s="7">
        <f>_xlfn.IFNA(VLOOKUP(Wapato_Inventory[[#This Row],[quality]],Lookups!$H$2:$J$14,3,FALSE),0)</f>
        <v>48043</v>
      </c>
      <c r="BL997" s="7">
        <f>_xlfn.IFNA(VLOOKUP(Wapato_Inventory[[#This Row],[condition]],Lookups!$H$17:$J$24,3,FALSE),0)</f>
        <v>52231</v>
      </c>
      <c r="BM997" s="7">
        <f>Wapato_Inventory[[#This Row],[Age]]*Lookups!$B$16</f>
        <v>-13715.000900000001</v>
      </c>
      <c r="BN997" s="7">
        <f>Wapato_Inventory[[#This Row],[Main Floor]]*Lookups!$B$17</f>
        <v>56514.599128000002</v>
      </c>
      <c r="BO997" s="7">
        <f>Wapato_Inventory[[#This Row],[Upper Floor]]*Lookups!$B$18</f>
        <v>0</v>
      </c>
      <c r="BP997" s="7">
        <f>Wapato_Inventory[[#This Row],[Fin BSMT]]*Lookups!$B$19</f>
        <v>0</v>
      </c>
      <c r="BQ997" s="7">
        <f>(Wapato_Inventory[[#This Row],[att_gar]]+Wapato_Inventory[[#This Row],[blt_gar]])*Lookups!$B$20</f>
        <v>0</v>
      </c>
      <c r="BR997" s="7">
        <f>Wapato_Inventory[[#This Row],[Patio]]*Lookups!$B$21</f>
        <v>0</v>
      </c>
      <c r="BS997" s="7">
        <f>SUM(Wapato_Inventory[[#This Row],[intercept]:[patio_value]])*Wapato_Inventory[[#This Row],[res_pct]]</f>
        <v>196838.86822799998</v>
      </c>
      <c r="BT997" s="7">
        <f>Wapato_Inventory[[#This Row],[land_value]]</f>
        <v>53800</v>
      </c>
      <c r="BU997" s="2">
        <f>_xlfn.IFNA(VLOOKUP(Wapato_Inventory[[#This Row],[quality]],Lookups!$A$28:$C$37,3,FALSE),1)</f>
        <v>0.98196844879778955</v>
      </c>
      <c r="BV997" s="2">
        <f>_xlfn.IFNA(VLOOKUP(Wapato_Inventory[[#This Row],[condition]],Lookups!$A$41:$C$48,3,FALSE),1)</f>
        <v>0.9832333997567807</v>
      </c>
      <c r="BW997" s="2">
        <f>IF(Wapato_Inventory[[#This Row],[decade]]="",1,_xlfn.IFNA(VLOOKUP(Wapato_Inventory[[#This Row],[decade]],Lookups!$F$28:$H$45,3,FALSE),1))</f>
        <v>1.0327621624630683</v>
      </c>
      <c r="BX997" s="2">
        <f>_xlfn.IFNA(VLOOKUP(Wapato_Inventory[[#This Row],[living_area_range]],Lookups!$K$28:$M$37,3,FALSE),1)</f>
        <v>1.0061411172456287</v>
      </c>
      <c r="BY997" s="2">
        <f>AVERAGE(Wapato_Inventory[[#This Row],[qual_adj]:[range_adj]])</f>
        <v>1.0010262820658169</v>
      </c>
      <c r="BZ997" s="7">
        <f>(Wapato_Inventory[[#This Row],[sum_land]]-IF(Wapato_Inventory[[#This Row],[no_utilities]]=1,12000,0))/IF(Wapato_Inventory[[#This Row],[unbuildable]]=1,2,1)</f>
        <v>53800</v>
      </c>
      <c r="CA997" s="7">
        <f>Wapato_Inventory[[#This Row],[pre_res]]*Wapato_Inventory[[#This Row],[overall_adj]]</f>
        <v>197040.88042831808</v>
      </c>
      <c r="CB997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97" s="3">
        <f>IF(ROUND(Wapato_Inventory[[#This Row],[adj_res]]*Lookups!$H$48,-2)&lt;Wapato_Inventory[[#This Row],[min_res]],Wapato_Inventory[[#This Row],[min_res]],ROUND(Wapato_Inventory[[#This Row],[adj_res]]*Lookups!$H$48,-2))</f>
        <v>187200</v>
      </c>
      <c r="CD997" s="3">
        <f>ROUND(Wapato_Inventory[[#This Row],[det_value]]*Lookups!$H$48,-2)</f>
        <v>9100</v>
      </c>
      <c r="CE997" s="3">
        <f>Wapato_Inventory[[#This Row],[final_res]]+Wapato_Inventory[[#This Row],[final_det]]</f>
        <v>196300</v>
      </c>
      <c r="CF997" s="3">
        <f>Wapato_Inventory[[#This Row],[crop_value]]+Wapato_Inventory[[#This Row],[final_land]]+Wapato_Inventory[[#This Row],[final_imp]]</f>
        <v>247400</v>
      </c>
      <c r="CH997" t="str">
        <f t="shared" si="15"/>
        <v>update valuation set market_land =51100, market_bldg=196300, market_total =247400, market_mdno =405, market_date ='9/10/2023' where link_id = (select link_id from parcel where parcel_year = '2024' and parcel_id = '19111523428');</v>
      </c>
    </row>
    <row r="998" spans="1:86" x14ac:dyDescent="0.25">
      <c r="A998">
        <v>19111523429</v>
      </c>
      <c r="B998">
        <v>0.19</v>
      </c>
      <c r="C998">
        <v>8125</v>
      </c>
      <c r="D998" t="s">
        <v>144</v>
      </c>
      <c r="E998" t="s">
        <v>54</v>
      </c>
      <c r="F998" t="s">
        <v>54</v>
      </c>
      <c r="G998">
        <v>3</v>
      </c>
      <c r="H998" t="s">
        <v>55</v>
      </c>
      <c r="I998">
        <v>45000</v>
      </c>
      <c r="J998">
        <v>34100</v>
      </c>
      <c r="K998">
        <v>0.19</v>
      </c>
      <c r="L998">
        <f>IF(Wapato_Inventory[[#This Row],[parcel_acres]]-Wapato_Inventory[[#This Row],[non_valued_acres]] =0,0,LN(Wapato_Inventory[[#This Row],[parcel_acres]]-Wapato_Inventory[[#This Row],[non_valued_acres]]))</f>
        <v>-1.6607312068216509</v>
      </c>
      <c r="M998">
        <v>0</v>
      </c>
      <c r="N998">
        <v>0</v>
      </c>
      <c r="O998">
        <v>0</v>
      </c>
      <c r="P998">
        <v>27904.037</v>
      </c>
      <c r="Q998">
        <v>74398</v>
      </c>
      <c r="R998" s="3">
        <f>(Wapato_Inventory[[#This Row],[ln_acres]]*Wapato_Inventory[[#This Row],[coeff]])+Wapato_Inventory[[#This Row],[const]]</f>
        <v>28056.894957794</v>
      </c>
      <c r="S998" t="s">
        <v>83</v>
      </c>
      <c r="T998">
        <v>1</v>
      </c>
      <c r="U998" t="s">
        <v>86</v>
      </c>
      <c r="V998" t="s">
        <v>84</v>
      </c>
      <c r="W998">
        <v>0</v>
      </c>
      <c r="X998">
        <v>0</v>
      </c>
      <c r="Y998">
        <v>33</v>
      </c>
      <c r="Z998">
        <v>33</v>
      </c>
      <c r="AA998">
        <v>40</v>
      </c>
      <c r="AB998">
        <v>500</v>
      </c>
      <c r="AC998">
        <v>440</v>
      </c>
      <c r="AD998">
        <v>440</v>
      </c>
      <c r="AE998">
        <v>0</v>
      </c>
      <c r="AF998">
        <v>0</v>
      </c>
      <c r="AG998">
        <v>0</v>
      </c>
      <c r="AH998">
        <v>0</v>
      </c>
      <c r="AI998">
        <v>0</v>
      </c>
      <c r="AJ998">
        <v>0</v>
      </c>
      <c r="AK998">
        <v>0</v>
      </c>
      <c r="AL998">
        <v>0</v>
      </c>
      <c r="AM998">
        <v>0</v>
      </c>
      <c r="AN998">
        <v>0</v>
      </c>
      <c r="AO998">
        <v>0</v>
      </c>
      <c r="AP998">
        <v>5</v>
      </c>
      <c r="AQ998">
        <v>0</v>
      </c>
      <c r="AR998">
        <v>0</v>
      </c>
      <c r="AS998" t="s">
        <v>59</v>
      </c>
      <c r="AT998">
        <v>0</v>
      </c>
      <c r="AU998" t="s">
        <v>80</v>
      </c>
      <c r="AV998" t="s">
        <v>61</v>
      </c>
      <c r="AW998">
        <v>0</v>
      </c>
      <c r="AX998" t="s">
        <v>144</v>
      </c>
      <c r="AY998">
        <v>0</v>
      </c>
      <c r="AZ998">
        <v>0</v>
      </c>
      <c r="BA998">
        <v>100</v>
      </c>
      <c r="BB998">
        <v>100</v>
      </c>
      <c r="BC998">
        <v>100</v>
      </c>
      <c r="BD998">
        <v>100</v>
      </c>
      <c r="BE998">
        <v>1</v>
      </c>
      <c r="BF998">
        <v>15000</v>
      </c>
      <c r="BG998">
        <v>1000</v>
      </c>
      <c r="BH998" s="7">
        <f>ROUND(Wapato_Inventory[[#This Row],[detatched_value]]*Lookups!$B$22*Lookups!$H$48,-2)</f>
        <v>0</v>
      </c>
      <c r="BI998" s="7">
        <f>ROUND(((Wapato_Inventory[[#This Row],[land_extract]]*Lookups!$B$3) +(Lookups!$B$2*0.5))*Lookups!$H$48,-2)</f>
        <v>53800</v>
      </c>
      <c r="BJ998" s="7">
        <f>IF(Wapato_Inventory[[#This Row],[bldg_style]]="",0,Lookups!$B$2*0.5)</f>
        <v>53765.27</v>
      </c>
      <c r="BK998" s="7">
        <f>_xlfn.IFNA(VLOOKUP(Wapato_Inventory[[#This Row],[quality]],Lookups!$H$2:$J$14,3,FALSE),0)</f>
        <v>0</v>
      </c>
      <c r="BL998" s="7">
        <f>_xlfn.IFNA(VLOOKUP(Wapato_Inventory[[#This Row],[condition]],Lookups!$H$17:$J$24,3,FALSE),0)</f>
        <v>0</v>
      </c>
      <c r="BM998" s="7">
        <f>Wapato_Inventory[[#This Row],[Age]]*Lookups!$B$16</f>
        <v>-12232.2981</v>
      </c>
      <c r="BN998" s="7">
        <f>Wapato_Inventory[[#This Row],[Main Floor]]*Lookups!$B$17</f>
        <v>18392.32516</v>
      </c>
      <c r="BO998" s="7">
        <f>Wapato_Inventory[[#This Row],[Upper Floor]]*Lookups!$B$18</f>
        <v>0</v>
      </c>
      <c r="BP998" s="7">
        <f>Wapato_Inventory[[#This Row],[Fin BSMT]]*Lookups!$B$19</f>
        <v>0</v>
      </c>
      <c r="BQ998" s="7">
        <f>(Wapato_Inventory[[#This Row],[att_gar]]+Wapato_Inventory[[#This Row],[blt_gar]])*Lookups!$B$20</f>
        <v>0</v>
      </c>
      <c r="BR998" s="7">
        <f>Wapato_Inventory[[#This Row],[Patio]]*Lookups!$B$21</f>
        <v>0</v>
      </c>
      <c r="BS998" s="7">
        <f>SUM(Wapato_Inventory[[#This Row],[intercept]:[patio_value]])*Wapato_Inventory[[#This Row],[res_pct]]</f>
        <v>59925.297059999997</v>
      </c>
      <c r="BT998" s="7">
        <f>Wapato_Inventory[[#This Row],[land_value]]</f>
        <v>53800</v>
      </c>
      <c r="BU998" s="2">
        <f>_xlfn.IFNA(VLOOKUP(Wapato_Inventory[[#This Row],[quality]],Lookups!$A$28:$C$37,3,FALSE),1)</f>
        <v>1.0000010866511106</v>
      </c>
      <c r="BV998" s="2">
        <f>_xlfn.IFNA(VLOOKUP(Wapato_Inventory[[#This Row],[condition]],Lookups!$A$41:$C$48,3,FALSE),1)</f>
        <v>1.0000035546274355</v>
      </c>
      <c r="BW998" s="2">
        <f>IF(Wapato_Inventory[[#This Row],[decade]]="",1,_xlfn.IFNA(VLOOKUP(Wapato_Inventory[[#This Row],[decade]],Lookups!$F$28:$H$45,3,FALSE),1))</f>
        <v>1.0327621624630683</v>
      </c>
      <c r="BX998" s="2">
        <f>_xlfn.IFNA(VLOOKUP(Wapato_Inventory[[#This Row],[living_area_range]],Lookups!$K$28:$M$37,3,FALSE),1)</f>
        <v>0.62984720518148585</v>
      </c>
      <c r="BY998" s="2">
        <f>AVERAGE(Wapato_Inventory[[#This Row],[qual_adj]:[range_adj]])</f>
        <v>0.91565350223077513</v>
      </c>
      <c r="BZ998" s="7">
        <f>(Wapato_Inventory[[#This Row],[sum_land]]-IF(Wapato_Inventory[[#This Row],[no_utilities]]=1,12000,0))/IF(Wapato_Inventory[[#This Row],[unbuildable]]=1,2,1)</f>
        <v>53800</v>
      </c>
      <c r="CA998" s="7">
        <f>Wapato_Inventory[[#This Row],[pre_res]]*Wapato_Inventory[[#This Row],[overall_adj]]</f>
        <v>54870.808125208569</v>
      </c>
      <c r="CB998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98" s="3">
        <f>IF(ROUND(Wapato_Inventory[[#This Row],[adj_res]]*Lookups!$H$48,-2)&lt;Wapato_Inventory[[#This Row],[min_res]],Wapato_Inventory[[#This Row],[min_res]],ROUND(Wapato_Inventory[[#This Row],[adj_res]]*Lookups!$H$48,-2))</f>
        <v>52100</v>
      </c>
      <c r="CD998" s="3">
        <f>ROUND(Wapato_Inventory[[#This Row],[det_value]]*Lookups!$H$48,-2)</f>
        <v>0</v>
      </c>
      <c r="CE998" s="3">
        <f>Wapato_Inventory[[#This Row],[final_res]]+Wapato_Inventory[[#This Row],[final_det]]</f>
        <v>52100</v>
      </c>
      <c r="CF998" s="3">
        <f>Wapato_Inventory[[#This Row],[crop_value]]+Wapato_Inventory[[#This Row],[final_land]]+Wapato_Inventory[[#This Row],[final_imp]]</f>
        <v>103200</v>
      </c>
      <c r="CH998" t="str">
        <f t="shared" si="15"/>
        <v>update valuation set market_land =51100, market_bldg=52100, market_total =103200, market_mdno =405, market_date ='9/10/2023' where link_id = (select link_id from parcel where parcel_year = '2024' and parcel_id = '19111523429');</v>
      </c>
    </row>
    <row r="999" spans="1:86" x14ac:dyDescent="0.25">
      <c r="A999">
        <v>19111523431</v>
      </c>
      <c r="B999">
        <v>0.19</v>
      </c>
      <c r="C999">
        <v>8125</v>
      </c>
      <c r="D999" t="s">
        <v>144</v>
      </c>
      <c r="E999" t="s">
        <v>54</v>
      </c>
      <c r="F999" t="s">
        <v>54</v>
      </c>
      <c r="G999">
        <v>3</v>
      </c>
      <c r="H999" t="s">
        <v>55</v>
      </c>
      <c r="I999">
        <v>104700</v>
      </c>
      <c r="J999">
        <v>34100</v>
      </c>
      <c r="K999">
        <v>0.19</v>
      </c>
      <c r="L999">
        <f>IF(Wapato_Inventory[[#This Row],[parcel_acres]]-Wapato_Inventory[[#This Row],[non_valued_acres]] =0,0,LN(Wapato_Inventory[[#This Row],[parcel_acres]]-Wapato_Inventory[[#This Row],[non_valued_acres]]))</f>
        <v>-1.6607312068216509</v>
      </c>
      <c r="M999">
        <v>0</v>
      </c>
      <c r="N999">
        <v>0</v>
      </c>
      <c r="O999">
        <v>0</v>
      </c>
      <c r="P999">
        <v>27904.037</v>
      </c>
      <c r="Q999">
        <v>74398</v>
      </c>
      <c r="R999" s="3">
        <f>(Wapato_Inventory[[#This Row],[ln_acres]]*Wapato_Inventory[[#This Row],[coeff]])+Wapato_Inventory[[#This Row],[const]]</f>
        <v>28056.894957794</v>
      </c>
      <c r="S999" t="s">
        <v>66</v>
      </c>
      <c r="T999">
        <v>1</v>
      </c>
      <c r="U999" t="s">
        <v>71</v>
      </c>
      <c r="V999" t="s">
        <v>68</v>
      </c>
      <c r="W999">
        <v>0</v>
      </c>
      <c r="X999">
        <v>0</v>
      </c>
      <c r="Y999">
        <v>55</v>
      </c>
      <c r="Z999">
        <v>98</v>
      </c>
      <c r="AA999">
        <v>100</v>
      </c>
      <c r="AB999">
        <v>1000</v>
      </c>
      <c r="AC999">
        <v>988</v>
      </c>
      <c r="AD999">
        <v>988</v>
      </c>
      <c r="AE999">
        <v>0</v>
      </c>
      <c r="AF999">
        <v>0</v>
      </c>
      <c r="AG999">
        <v>0</v>
      </c>
      <c r="AH999">
        <v>0</v>
      </c>
      <c r="AI999">
        <v>0</v>
      </c>
      <c r="AJ999">
        <v>0</v>
      </c>
      <c r="AK999">
        <v>0</v>
      </c>
      <c r="AL999">
        <v>0</v>
      </c>
      <c r="AM999">
        <v>0</v>
      </c>
      <c r="AN999">
        <v>96</v>
      </c>
      <c r="AO999">
        <v>0</v>
      </c>
      <c r="AP999">
        <v>5</v>
      </c>
      <c r="AQ999">
        <v>0</v>
      </c>
      <c r="AR999">
        <v>0</v>
      </c>
      <c r="AS999" t="s">
        <v>59</v>
      </c>
      <c r="AT999">
        <v>0</v>
      </c>
      <c r="AU999" t="s">
        <v>80</v>
      </c>
      <c r="AV999" t="s">
        <v>77</v>
      </c>
      <c r="AW999">
        <v>0</v>
      </c>
      <c r="AX999">
        <v>3</v>
      </c>
      <c r="AY999">
        <v>0</v>
      </c>
      <c r="AZ999">
        <v>0</v>
      </c>
      <c r="BA999">
        <v>100</v>
      </c>
      <c r="BB999">
        <v>100</v>
      </c>
      <c r="BC999">
        <v>100</v>
      </c>
      <c r="BD999">
        <v>100</v>
      </c>
      <c r="BE999">
        <v>1</v>
      </c>
      <c r="BF999">
        <v>15000</v>
      </c>
      <c r="BG999">
        <v>1000</v>
      </c>
      <c r="BH999" s="7">
        <f>ROUND(Wapato_Inventory[[#This Row],[detatched_value]]*Lookups!$B$22*Lookups!$H$48,-2)</f>
        <v>0</v>
      </c>
      <c r="BI999" s="7">
        <f>ROUND(((Wapato_Inventory[[#This Row],[land_extract]]*Lookups!$B$3) +(Lookups!$B$2*0.5))*Lookups!$H$48,-2)</f>
        <v>53800</v>
      </c>
      <c r="BJ999" s="7">
        <f>IF(Wapato_Inventory[[#This Row],[bldg_style]]="",0,Lookups!$B$2*0.5)</f>
        <v>53765.27</v>
      </c>
      <c r="BK999" s="7">
        <f>_xlfn.IFNA(VLOOKUP(Wapato_Inventory[[#This Row],[quality]],Lookups!$H$2:$J$14,3,FALSE),0)</f>
        <v>28034</v>
      </c>
      <c r="BL999" s="7">
        <f>_xlfn.IFNA(VLOOKUP(Wapato_Inventory[[#This Row],[condition]],Lookups!$H$17:$J$24,3,FALSE),0)</f>
        <v>52231</v>
      </c>
      <c r="BM999" s="7">
        <f>Wapato_Inventory[[#This Row],[Age]]*Lookups!$B$16</f>
        <v>-36326.2186</v>
      </c>
      <c r="BN999" s="7">
        <f>Wapato_Inventory[[#This Row],[Main Floor]]*Lookups!$B$17</f>
        <v>41299.130131999998</v>
      </c>
      <c r="BO999" s="7">
        <f>Wapato_Inventory[[#This Row],[Upper Floor]]*Lookups!$B$18</f>
        <v>0</v>
      </c>
      <c r="BP999" s="7">
        <f>Wapato_Inventory[[#This Row],[Fin BSMT]]*Lookups!$B$19</f>
        <v>0</v>
      </c>
      <c r="BQ999" s="7">
        <f>(Wapato_Inventory[[#This Row],[att_gar]]+Wapato_Inventory[[#This Row],[blt_gar]])*Lookups!$B$20</f>
        <v>0</v>
      </c>
      <c r="BR999" s="7">
        <f>Wapato_Inventory[[#This Row],[Patio]]*Lookups!$B$21</f>
        <v>0</v>
      </c>
      <c r="BS999" s="7">
        <f>SUM(Wapato_Inventory[[#This Row],[intercept]:[patio_value]])*Wapato_Inventory[[#This Row],[res_pct]]</f>
        <v>139003.18153199999</v>
      </c>
      <c r="BT999" s="7">
        <f>Wapato_Inventory[[#This Row],[land_value]]</f>
        <v>53800</v>
      </c>
      <c r="BU999" s="2">
        <f>_xlfn.IFNA(VLOOKUP(Wapato_Inventory[[#This Row],[quality]],Lookups!$A$28:$C$37,3,FALSE),1)</f>
        <v>0.96265813922927435</v>
      </c>
      <c r="BV999" s="2">
        <f>_xlfn.IFNA(VLOOKUP(Wapato_Inventory[[#This Row],[condition]],Lookups!$A$41:$C$48,3,FALSE),1)</f>
        <v>0.9832333997567807</v>
      </c>
      <c r="BW999" s="2">
        <f>IF(Wapato_Inventory[[#This Row],[decade]]="",1,_xlfn.IFNA(VLOOKUP(Wapato_Inventory[[#This Row],[decade]],Lookups!$F$28:$H$45,3,FALSE),1))</f>
        <v>1.0114203040664467</v>
      </c>
      <c r="BX999" s="2">
        <f>_xlfn.IFNA(VLOOKUP(Wapato_Inventory[[#This Row],[living_area_range]],Lookups!$K$28:$M$37,3,FALSE),1)</f>
        <v>0.99022994770196116</v>
      </c>
      <c r="BY999" s="2">
        <f>AVERAGE(Wapato_Inventory[[#This Row],[qual_adj]:[range_adj]])</f>
        <v>0.98688544768861564</v>
      </c>
      <c r="BZ999" s="7">
        <f>(Wapato_Inventory[[#This Row],[sum_land]]-IF(Wapato_Inventory[[#This Row],[no_utilities]]=1,12000,0))/IF(Wapato_Inventory[[#This Row],[unbuildable]]=1,2,1)</f>
        <v>53800</v>
      </c>
      <c r="CA999" s="7">
        <f>Wapato_Inventory[[#This Row],[pre_res]]*Wapato_Inventory[[#This Row],[overall_adj]]</f>
        <v>137180.21703634973</v>
      </c>
      <c r="CB999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999" s="3">
        <f>IF(ROUND(Wapato_Inventory[[#This Row],[adj_res]]*Lookups!$H$48,-2)&lt;Wapato_Inventory[[#This Row],[min_res]],Wapato_Inventory[[#This Row],[min_res]],ROUND(Wapato_Inventory[[#This Row],[adj_res]]*Lookups!$H$48,-2))</f>
        <v>130300</v>
      </c>
      <c r="CD999" s="3">
        <f>ROUND(Wapato_Inventory[[#This Row],[det_value]]*Lookups!$H$48,-2)</f>
        <v>0</v>
      </c>
      <c r="CE999" s="3">
        <f>Wapato_Inventory[[#This Row],[final_res]]+Wapato_Inventory[[#This Row],[final_det]]</f>
        <v>130300</v>
      </c>
      <c r="CF999" s="3">
        <f>Wapato_Inventory[[#This Row],[crop_value]]+Wapato_Inventory[[#This Row],[final_land]]+Wapato_Inventory[[#This Row],[final_imp]]</f>
        <v>181400</v>
      </c>
      <c r="CH999" t="str">
        <f t="shared" si="15"/>
        <v>update valuation set market_land =51100, market_bldg=130300, market_total =181400, market_mdno =405, market_date ='9/10/2023' where link_id = (select link_id from parcel where parcel_year = '2024' and parcel_id = '19111523431');</v>
      </c>
    </row>
    <row r="1000" spans="1:86" x14ac:dyDescent="0.25">
      <c r="A1000">
        <v>19111523432</v>
      </c>
      <c r="B1000">
        <v>0.19</v>
      </c>
      <c r="C1000">
        <v>8125</v>
      </c>
      <c r="D1000" t="s">
        <v>144</v>
      </c>
      <c r="E1000" t="s">
        <v>54</v>
      </c>
      <c r="F1000" t="s">
        <v>54</v>
      </c>
      <c r="G1000">
        <v>3</v>
      </c>
      <c r="H1000" t="s">
        <v>55</v>
      </c>
      <c r="I1000">
        <v>93700</v>
      </c>
      <c r="J1000">
        <v>34100</v>
      </c>
      <c r="K1000">
        <v>0.19</v>
      </c>
      <c r="L1000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00">
        <v>0</v>
      </c>
      <c r="N1000">
        <v>0</v>
      </c>
      <c r="O1000">
        <v>0</v>
      </c>
      <c r="P1000">
        <v>27904.037</v>
      </c>
      <c r="Q1000">
        <v>74398</v>
      </c>
      <c r="R1000" s="3">
        <f>(Wapato_Inventory[[#This Row],[ln_acres]]*Wapato_Inventory[[#This Row],[coeff]])+Wapato_Inventory[[#This Row],[const]]</f>
        <v>28056.894957794</v>
      </c>
      <c r="S1000" t="s">
        <v>66</v>
      </c>
      <c r="T1000">
        <v>1</v>
      </c>
      <c r="U1000" t="s">
        <v>71</v>
      </c>
      <c r="V1000" t="s">
        <v>68</v>
      </c>
      <c r="W1000">
        <v>0</v>
      </c>
      <c r="X1000">
        <v>0</v>
      </c>
      <c r="Y1000">
        <v>57</v>
      </c>
      <c r="Z1000">
        <v>103</v>
      </c>
      <c r="AA1000">
        <v>110</v>
      </c>
      <c r="AB1000">
        <v>1000</v>
      </c>
      <c r="AC1000">
        <v>832</v>
      </c>
      <c r="AD1000">
        <v>832</v>
      </c>
      <c r="AE1000">
        <v>0</v>
      </c>
      <c r="AF1000">
        <v>0</v>
      </c>
      <c r="AG1000">
        <v>0</v>
      </c>
      <c r="AH1000">
        <v>0</v>
      </c>
      <c r="AI1000">
        <v>0</v>
      </c>
      <c r="AJ1000">
        <v>0</v>
      </c>
      <c r="AK1000">
        <v>0</v>
      </c>
      <c r="AL1000">
        <v>0</v>
      </c>
      <c r="AM1000">
        <v>0</v>
      </c>
      <c r="AN1000">
        <v>0</v>
      </c>
      <c r="AO1000">
        <v>0</v>
      </c>
      <c r="AP1000">
        <v>5</v>
      </c>
      <c r="AQ1000">
        <v>0</v>
      </c>
      <c r="AR1000">
        <v>0</v>
      </c>
      <c r="AS1000" t="s">
        <v>59</v>
      </c>
      <c r="AT1000">
        <v>0</v>
      </c>
      <c r="AU1000" t="s">
        <v>80</v>
      </c>
      <c r="AV1000" t="s">
        <v>77</v>
      </c>
      <c r="AW1000">
        <v>0</v>
      </c>
      <c r="AX1000">
        <v>3</v>
      </c>
      <c r="AY1000">
        <v>0</v>
      </c>
      <c r="AZ1000">
        <v>0</v>
      </c>
      <c r="BA1000">
        <v>100</v>
      </c>
      <c r="BB1000">
        <v>100</v>
      </c>
      <c r="BC1000">
        <v>100</v>
      </c>
      <c r="BD1000">
        <v>100</v>
      </c>
      <c r="BE1000">
        <v>1</v>
      </c>
      <c r="BF1000">
        <v>15000</v>
      </c>
      <c r="BG1000">
        <v>1000</v>
      </c>
      <c r="BH1000" s="7">
        <f>ROUND(Wapato_Inventory[[#This Row],[detatched_value]]*Lookups!$B$22*Lookups!$H$48,-2)</f>
        <v>0</v>
      </c>
      <c r="BI1000" s="7">
        <f>ROUND(((Wapato_Inventory[[#This Row],[land_extract]]*Lookups!$B$3) +(Lookups!$B$2*0.5))*Lookups!$H$48,-2)</f>
        <v>53800</v>
      </c>
      <c r="BJ1000" s="7">
        <f>IF(Wapato_Inventory[[#This Row],[bldg_style]]="",0,Lookups!$B$2*0.5)</f>
        <v>53765.27</v>
      </c>
      <c r="BK1000" s="7">
        <f>_xlfn.IFNA(VLOOKUP(Wapato_Inventory[[#This Row],[quality]],Lookups!$H$2:$J$14,3,FALSE),0)</f>
        <v>28034</v>
      </c>
      <c r="BL1000" s="7">
        <f>_xlfn.IFNA(VLOOKUP(Wapato_Inventory[[#This Row],[condition]],Lookups!$H$17:$J$24,3,FALSE),0)</f>
        <v>52231</v>
      </c>
      <c r="BM1000" s="7">
        <f>Wapato_Inventory[[#This Row],[Age]]*Lookups!$B$16</f>
        <v>-38179.597099999999</v>
      </c>
      <c r="BN1000" s="7">
        <f>Wapato_Inventory[[#This Row],[Main Floor]]*Lookups!$B$17</f>
        <v>34778.214848000003</v>
      </c>
      <c r="BO1000" s="7">
        <f>Wapato_Inventory[[#This Row],[Upper Floor]]*Lookups!$B$18</f>
        <v>0</v>
      </c>
      <c r="BP1000" s="7">
        <f>Wapato_Inventory[[#This Row],[Fin BSMT]]*Lookups!$B$19</f>
        <v>0</v>
      </c>
      <c r="BQ1000" s="7">
        <f>(Wapato_Inventory[[#This Row],[att_gar]]+Wapato_Inventory[[#This Row],[blt_gar]])*Lookups!$B$20</f>
        <v>0</v>
      </c>
      <c r="BR1000" s="7">
        <f>Wapato_Inventory[[#This Row],[Patio]]*Lookups!$B$21</f>
        <v>0</v>
      </c>
      <c r="BS1000" s="7">
        <f>SUM(Wapato_Inventory[[#This Row],[intercept]:[patio_value]])*Wapato_Inventory[[#This Row],[res_pct]]</f>
        <v>130628.88774799999</v>
      </c>
      <c r="BT1000" s="7">
        <f>Wapato_Inventory[[#This Row],[land_value]]</f>
        <v>53800</v>
      </c>
      <c r="BU1000" s="2">
        <f>_xlfn.IFNA(VLOOKUP(Wapato_Inventory[[#This Row],[quality]],Lookups!$A$28:$C$37,3,FALSE),1)</f>
        <v>0.96265813922927435</v>
      </c>
      <c r="BV1000" s="2">
        <f>_xlfn.IFNA(VLOOKUP(Wapato_Inventory[[#This Row],[condition]],Lookups!$A$41:$C$48,3,FALSE),1)</f>
        <v>0.9832333997567807</v>
      </c>
      <c r="BW1000" s="2">
        <f>IF(Wapato_Inventory[[#This Row],[decade]]="",1,_xlfn.IFNA(VLOOKUP(Wapato_Inventory[[#This Row],[decade]],Lookups!$F$28:$H$45,3,FALSE),1))</f>
        <v>0.93664589651353292</v>
      </c>
      <c r="BX1000" s="2">
        <f>_xlfn.IFNA(VLOOKUP(Wapato_Inventory[[#This Row],[living_area_range]],Lookups!$K$28:$M$37,3,FALSE),1)</f>
        <v>0.99022994770196116</v>
      </c>
      <c r="BY1000" s="2">
        <f>AVERAGE(Wapato_Inventory[[#This Row],[qual_adj]:[range_adj]])</f>
        <v>0.9681918458003872</v>
      </c>
      <c r="BZ1000" s="7">
        <f>(Wapato_Inventory[[#This Row],[sum_land]]-IF(Wapato_Inventory[[#This Row],[no_utilities]]=1,12000,0))/IF(Wapato_Inventory[[#This Row],[unbuildable]]=1,2,1)</f>
        <v>53800</v>
      </c>
      <c r="CA1000" s="7">
        <f>Wapato_Inventory[[#This Row],[pre_res]]*Wapato_Inventory[[#This Row],[overall_adj]]</f>
        <v>126473.8239435877</v>
      </c>
      <c r="CB1000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00" s="3">
        <f>IF(ROUND(Wapato_Inventory[[#This Row],[adj_res]]*Lookups!$H$48,-2)&lt;Wapato_Inventory[[#This Row],[min_res]],Wapato_Inventory[[#This Row],[min_res]],ROUND(Wapato_Inventory[[#This Row],[adj_res]]*Lookups!$H$48,-2))</f>
        <v>120200</v>
      </c>
      <c r="CD1000" s="3">
        <f>ROUND(Wapato_Inventory[[#This Row],[det_value]]*Lookups!$H$48,-2)</f>
        <v>0</v>
      </c>
      <c r="CE1000" s="3">
        <f>Wapato_Inventory[[#This Row],[final_res]]+Wapato_Inventory[[#This Row],[final_det]]</f>
        <v>120200</v>
      </c>
      <c r="CF1000" s="3">
        <f>Wapato_Inventory[[#This Row],[crop_value]]+Wapato_Inventory[[#This Row],[final_land]]+Wapato_Inventory[[#This Row],[final_imp]]</f>
        <v>171300</v>
      </c>
      <c r="CH1000" t="str">
        <f t="shared" si="15"/>
        <v>update valuation set market_land =51100, market_bldg=120200, market_total =171300, market_mdno =405, market_date ='9/10/2023' where link_id = (select link_id from parcel where parcel_year = '2024' and parcel_id = '19111523432');</v>
      </c>
    </row>
    <row r="1001" spans="1:86" x14ac:dyDescent="0.25">
      <c r="A1001">
        <v>19111523434</v>
      </c>
      <c r="B1001">
        <v>0.19</v>
      </c>
      <c r="C1001">
        <v>8125</v>
      </c>
      <c r="D1001" t="s">
        <v>144</v>
      </c>
      <c r="E1001" t="s">
        <v>54</v>
      </c>
      <c r="F1001" t="s">
        <v>54</v>
      </c>
      <c r="G1001">
        <v>3</v>
      </c>
      <c r="H1001" t="s">
        <v>55</v>
      </c>
      <c r="I1001">
        <v>257800</v>
      </c>
      <c r="J1001">
        <v>34100</v>
      </c>
      <c r="K1001">
        <v>0.19</v>
      </c>
      <c r="L1001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01">
        <v>0</v>
      </c>
      <c r="N1001">
        <v>0</v>
      </c>
      <c r="O1001">
        <v>0</v>
      </c>
      <c r="P1001">
        <v>27904.037</v>
      </c>
      <c r="Q1001">
        <v>74398</v>
      </c>
      <c r="R1001" s="3">
        <f>(Wapato_Inventory[[#This Row],[ln_acres]]*Wapato_Inventory[[#This Row],[coeff]])+Wapato_Inventory[[#This Row],[const]]</f>
        <v>28056.894957794</v>
      </c>
      <c r="S1001" t="s">
        <v>145</v>
      </c>
      <c r="T1001">
        <v>1</v>
      </c>
      <c r="U1001" t="s">
        <v>75</v>
      </c>
      <c r="V1001" t="s">
        <v>69</v>
      </c>
      <c r="W1001">
        <v>0</v>
      </c>
      <c r="X1001">
        <v>0</v>
      </c>
      <c r="Y1001">
        <v>55</v>
      </c>
      <c r="Z1001">
        <v>98</v>
      </c>
      <c r="AA1001">
        <v>100</v>
      </c>
      <c r="AB1001">
        <v>2000</v>
      </c>
      <c r="AC1001">
        <v>1928</v>
      </c>
      <c r="AD1001">
        <v>1928</v>
      </c>
      <c r="AE1001">
        <v>0</v>
      </c>
      <c r="AF1001">
        <v>0</v>
      </c>
      <c r="AG1001">
        <v>0</v>
      </c>
      <c r="AH1001">
        <v>640</v>
      </c>
      <c r="AI1001">
        <v>0</v>
      </c>
      <c r="AJ1001">
        <v>0</v>
      </c>
      <c r="AK1001">
        <v>0</v>
      </c>
      <c r="AL1001">
        <v>444</v>
      </c>
      <c r="AM1001">
        <v>0</v>
      </c>
      <c r="AN1001">
        <v>0</v>
      </c>
      <c r="AO1001">
        <v>0</v>
      </c>
      <c r="AP1001">
        <v>7</v>
      </c>
      <c r="AQ1001">
        <v>1</v>
      </c>
      <c r="AR1001">
        <v>0</v>
      </c>
      <c r="AS1001" t="s">
        <v>59</v>
      </c>
      <c r="AT1001">
        <v>1</v>
      </c>
      <c r="AU1001" t="s">
        <v>64</v>
      </c>
      <c r="AV1001" t="s">
        <v>61</v>
      </c>
      <c r="AW1001">
        <v>1</v>
      </c>
      <c r="AX1001">
        <v>2</v>
      </c>
      <c r="AY1001">
        <v>0</v>
      </c>
      <c r="AZ1001">
        <v>0</v>
      </c>
      <c r="BA1001">
        <v>100</v>
      </c>
      <c r="BB1001">
        <v>100</v>
      </c>
      <c r="BC1001">
        <v>100</v>
      </c>
      <c r="BD1001">
        <v>100</v>
      </c>
      <c r="BE1001">
        <v>1</v>
      </c>
      <c r="BF1001">
        <v>15000</v>
      </c>
      <c r="BG1001">
        <v>1000</v>
      </c>
      <c r="BH1001" s="7">
        <f>ROUND(Wapato_Inventory[[#This Row],[detatched_value]]*Lookups!$B$22*Lookups!$H$48,-2)</f>
        <v>0</v>
      </c>
      <c r="BI1001" s="7">
        <f>ROUND(((Wapato_Inventory[[#This Row],[land_extract]]*Lookups!$B$3) +(Lookups!$B$2*0.5))*Lookups!$H$48,-2)</f>
        <v>53800</v>
      </c>
      <c r="BJ1001" s="7">
        <f>IF(Wapato_Inventory[[#This Row],[bldg_style]]="",0,Lookups!$B$2*0.5)</f>
        <v>53765.27</v>
      </c>
      <c r="BK1001" s="7">
        <f>_xlfn.IFNA(VLOOKUP(Wapato_Inventory[[#This Row],[quality]],Lookups!$H$2:$J$14,3,FALSE),0)</f>
        <v>48043</v>
      </c>
      <c r="BL1001" s="7">
        <f>_xlfn.IFNA(VLOOKUP(Wapato_Inventory[[#This Row],[condition]],Lookups!$H$17:$J$24,3,FALSE),0)</f>
        <v>74543</v>
      </c>
      <c r="BM1001" s="7">
        <f>Wapato_Inventory[[#This Row],[Age]]*Lookups!$B$16</f>
        <v>-36326.2186</v>
      </c>
      <c r="BN1001" s="7">
        <f>Wapato_Inventory[[#This Row],[Main Floor]]*Lookups!$B$17</f>
        <v>80591.824791999999</v>
      </c>
      <c r="BO1001" s="7">
        <f>Wapato_Inventory[[#This Row],[Upper Floor]]*Lookups!$B$18</f>
        <v>0</v>
      </c>
      <c r="BP1001" s="7">
        <f>Wapato_Inventory[[#This Row],[Fin BSMT]]*Lookups!$B$19</f>
        <v>0</v>
      </c>
      <c r="BQ1001" s="7">
        <f>(Wapato_Inventory[[#This Row],[att_gar]]+Wapato_Inventory[[#This Row],[blt_gar]])*Lookups!$B$20</f>
        <v>0</v>
      </c>
      <c r="BR1001" s="7">
        <f>Wapato_Inventory[[#This Row],[Patio]]*Lookups!$B$21</f>
        <v>0</v>
      </c>
      <c r="BS1001" s="7">
        <f>SUM(Wapato_Inventory[[#This Row],[intercept]:[patio_value]])*Wapato_Inventory[[#This Row],[res_pct]]</f>
        <v>220616.876192</v>
      </c>
      <c r="BT1001" s="7">
        <f>Wapato_Inventory[[#This Row],[land_value]]</f>
        <v>53800</v>
      </c>
      <c r="BU1001" s="2">
        <f>_xlfn.IFNA(VLOOKUP(Wapato_Inventory[[#This Row],[quality]],Lookups!$A$28:$C$37,3,FALSE),1)</f>
        <v>0.98196844879778955</v>
      </c>
      <c r="BV1001" s="2">
        <f>_xlfn.IFNA(VLOOKUP(Wapato_Inventory[[#This Row],[condition]],Lookups!$A$41:$C$48,3,FALSE),1)</f>
        <v>0.98442438223270734</v>
      </c>
      <c r="BW1001" s="2">
        <f>IF(Wapato_Inventory[[#This Row],[decade]]="",1,_xlfn.IFNA(VLOOKUP(Wapato_Inventory[[#This Row],[decade]],Lookups!$F$28:$H$45,3,FALSE),1))</f>
        <v>1.0114203040664467</v>
      </c>
      <c r="BX1001" s="2">
        <f>_xlfn.IFNA(VLOOKUP(Wapato_Inventory[[#This Row],[living_area_range]],Lookups!$K$28:$M$37,3,FALSE),1)</f>
        <v>0.99330894324714125</v>
      </c>
      <c r="BY1001" s="2">
        <f>AVERAGE(Wapato_Inventory[[#This Row],[qual_adj]:[range_adj]])</f>
        <v>0.9927805195860212</v>
      </c>
      <c r="BZ1001" s="7">
        <f>(Wapato_Inventory[[#This Row],[sum_land]]-IF(Wapato_Inventory[[#This Row],[no_utilities]]=1,12000,0))/IF(Wapato_Inventory[[#This Row],[unbuildable]]=1,2,1)</f>
        <v>53800</v>
      </c>
      <c r="CA1001" s="7">
        <f>Wapato_Inventory[[#This Row],[pre_res]]*Wapato_Inventory[[#This Row],[overall_adj]]</f>
        <v>219024.13697533865</v>
      </c>
      <c r="CB1001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01" s="3">
        <f>IF(ROUND(Wapato_Inventory[[#This Row],[adj_res]]*Lookups!$H$48,-2)&lt;Wapato_Inventory[[#This Row],[min_res]],Wapato_Inventory[[#This Row],[min_res]],ROUND(Wapato_Inventory[[#This Row],[adj_res]]*Lookups!$H$48,-2))</f>
        <v>208100</v>
      </c>
      <c r="CD1001" s="3">
        <f>ROUND(Wapato_Inventory[[#This Row],[det_value]]*Lookups!$H$48,-2)</f>
        <v>0</v>
      </c>
      <c r="CE1001" s="3">
        <f>Wapato_Inventory[[#This Row],[final_res]]+Wapato_Inventory[[#This Row],[final_det]]</f>
        <v>208100</v>
      </c>
      <c r="CF1001" s="3">
        <f>Wapato_Inventory[[#This Row],[crop_value]]+Wapato_Inventory[[#This Row],[final_land]]+Wapato_Inventory[[#This Row],[final_imp]]</f>
        <v>259200</v>
      </c>
      <c r="CH1001" t="str">
        <f t="shared" si="15"/>
        <v>update valuation set market_land =51100, market_bldg=208100, market_total =259200, market_mdno =405, market_date ='9/10/2023' where link_id = (select link_id from parcel where parcel_year = '2024' and parcel_id = '19111523434');</v>
      </c>
    </row>
    <row r="1002" spans="1:86" x14ac:dyDescent="0.25">
      <c r="A1002">
        <v>19111523435</v>
      </c>
      <c r="B1002">
        <v>0.19</v>
      </c>
      <c r="C1002">
        <v>8125</v>
      </c>
      <c r="D1002" t="s">
        <v>144</v>
      </c>
      <c r="E1002" t="s">
        <v>54</v>
      </c>
      <c r="F1002" t="s">
        <v>54</v>
      </c>
      <c r="G1002">
        <v>3</v>
      </c>
      <c r="H1002" t="s">
        <v>55</v>
      </c>
      <c r="I1002">
        <v>101900</v>
      </c>
      <c r="J1002">
        <v>34100</v>
      </c>
      <c r="K1002">
        <v>0.19</v>
      </c>
      <c r="L1002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02">
        <v>0</v>
      </c>
      <c r="N1002">
        <v>0</v>
      </c>
      <c r="O1002">
        <v>0</v>
      </c>
      <c r="P1002">
        <v>27904.037</v>
      </c>
      <c r="Q1002">
        <v>74398</v>
      </c>
      <c r="R1002" s="3">
        <f>(Wapato_Inventory[[#This Row],[ln_acres]]*Wapato_Inventory[[#This Row],[coeff]])+Wapato_Inventory[[#This Row],[const]]</f>
        <v>28056.894957794</v>
      </c>
      <c r="S1002" t="s">
        <v>66</v>
      </c>
      <c r="T1002">
        <v>1</v>
      </c>
      <c r="U1002" t="s">
        <v>71</v>
      </c>
      <c r="V1002" t="s">
        <v>68</v>
      </c>
      <c r="W1002">
        <v>0</v>
      </c>
      <c r="X1002">
        <v>0</v>
      </c>
      <c r="Y1002">
        <v>55</v>
      </c>
      <c r="Z1002">
        <v>98</v>
      </c>
      <c r="AA1002">
        <v>100</v>
      </c>
      <c r="AB1002">
        <v>1500</v>
      </c>
      <c r="AC1002">
        <v>1100</v>
      </c>
      <c r="AD1002">
        <v>1100</v>
      </c>
      <c r="AE1002">
        <v>0</v>
      </c>
      <c r="AF1002">
        <v>0</v>
      </c>
      <c r="AG1002">
        <v>0</v>
      </c>
      <c r="AH1002">
        <v>0</v>
      </c>
      <c r="AI1002">
        <v>0</v>
      </c>
      <c r="AJ1002">
        <v>0</v>
      </c>
      <c r="AK1002">
        <v>0</v>
      </c>
      <c r="AL1002">
        <v>0</v>
      </c>
      <c r="AM1002">
        <v>416</v>
      </c>
      <c r="AN1002">
        <v>0</v>
      </c>
      <c r="AO1002">
        <v>416</v>
      </c>
      <c r="AP1002">
        <v>8</v>
      </c>
      <c r="AQ1002">
        <v>0</v>
      </c>
      <c r="AR1002">
        <v>0</v>
      </c>
      <c r="AS1002" t="s">
        <v>59</v>
      </c>
      <c r="AT1002">
        <v>1</v>
      </c>
      <c r="AU1002" t="s">
        <v>72</v>
      </c>
      <c r="AV1002" t="s">
        <v>65</v>
      </c>
      <c r="AW1002">
        <v>0</v>
      </c>
      <c r="AX1002">
        <v>3</v>
      </c>
      <c r="AY1002">
        <v>0</v>
      </c>
      <c r="AZ1002">
        <v>0</v>
      </c>
      <c r="BA1002">
        <v>100</v>
      </c>
      <c r="BB1002">
        <v>100</v>
      </c>
      <c r="BC1002">
        <v>100</v>
      </c>
      <c r="BD1002">
        <v>100</v>
      </c>
      <c r="BE1002">
        <v>1</v>
      </c>
      <c r="BF1002">
        <v>15000</v>
      </c>
      <c r="BG1002">
        <v>1000</v>
      </c>
      <c r="BH1002" s="7">
        <f>ROUND(Wapato_Inventory[[#This Row],[detatched_value]]*Lookups!$B$22*Lookups!$H$48,-2)</f>
        <v>0</v>
      </c>
      <c r="BI1002" s="7">
        <f>ROUND(((Wapato_Inventory[[#This Row],[land_extract]]*Lookups!$B$3) +(Lookups!$B$2*0.5))*Lookups!$H$48,-2)</f>
        <v>53800</v>
      </c>
      <c r="BJ1002" s="7">
        <f>IF(Wapato_Inventory[[#This Row],[bldg_style]]="",0,Lookups!$B$2*0.5)</f>
        <v>53765.27</v>
      </c>
      <c r="BK1002" s="7">
        <f>_xlfn.IFNA(VLOOKUP(Wapato_Inventory[[#This Row],[quality]],Lookups!$H$2:$J$14,3,FALSE),0)</f>
        <v>28034</v>
      </c>
      <c r="BL1002" s="7">
        <f>_xlfn.IFNA(VLOOKUP(Wapato_Inventory[[#This Row],[condition]],Lookups!$H$17:$J$24,3,FALSE),0)</f>
        <v>52231</v>
      </c>
      <c r="BM1002" s="7">
        <f>Wapato_Inventory[[#This Row],[Age]]*Lookups!$B$16</f>
        <v>-36326.2186</v>
      </c>
      <c r="BN1002" s="7">
        <f>Wapato_Inventory[[#This Row],[Main Floor]]*Lookups!$B$17</f>
        <v>45980.812899999997</v>
      </c>
      <c r="BO1002" s="7">
        <f>Wapato_Inventory[[#This Row],[Upper Floor]]*Lookups!$B$18</f>
        <v>0</v>
      </c>
      <c r="BP1002" s="7">
        <f>Wapato_Inventory[[#This Row],[Fin BSMT]]*Lookups!$B$19</f>
        <v>0</v>
      </c>
      <c r="BQ1002" s="7">
        <f>(Wapato_Inventory[[#This Row],[att_gar]]+Wapato_Inventory[[#This Row],[blt_gar]])*Lookups!$B$20</f>
        <v>0</v>
      </c>
      <c r="BR1002" s="7">
        <f>Wapato_Inventory[[#This Row],[Patio]]*Lookups!$B$21</f>
        <v>18022.775264</v>
      </c>
      <c r="BS1002" s="7">
        <f>SUM(Wapato_Inventory[[#This Row],[intercept]:[patio_value]])*Wapato_Inventory[[#This Row],[res_pct]]</f>
        <v>161707.63956399998</v>
      </c>
      <c r="BT1002" s="7">
        <f>Wapato_Inventory[[#This Row],[land_value]]</f>
        <v>53800</v>
      </c>
      <c r="BU1002" s="2">
        <f>_xlfn.IFNA(VLOOKUP(Wapato_Inventory[[#This Row],[quality]],Lookups!$A$28:$C$37,3,FALSE),1)</f>
        <v>0.96265813922927435</v>
      </c>
      <c r="BV1002" s="2">
        <f>_xlfn.IFNA(VLOOKUP(Wapato_Inventory[[#This Row],[condition]],Lookups!$A$41:$C$48,3,FALSE),1)</f>
        <v>0.9832333997567807</v>
      </c>
      <c r="BW1002" s="2">
        <f>IF(Wapato_Inventory[[#This Row],[decade]]="",1,_xlfn.IFNA(VLOOKUP(Wapato_Inventory[[#This Row],[decade]],Lookups!$F$28:$H$45,3,FALSE),1))</f>
        <v>1.0114203040664467</v>
      </c>
      <c r="BX1002" s="2">
        <f>_xlfn.IFNA(VLOOKUP(Wapato_Inventory[[#This Row],[living_area_range]],Lookups!$K$28:$M$37,3,FALSE),1)</f>
        <v>1.0061411172456287</v>
      </c>
      <c r="BY1002" s="2">
        <f>AVERAGE(Wapato_Inventory[[#This Row],[qual_adj]:[range_adj]])</f>
        <v>0.99086324007453253</v>
      </c>
      <c r="BZ1002" s="7">
        <f>(Wapato_Inventory[[#This Row],[sum_land]]-IF(Wapato_Inventory[[#This Row],[no_utilities]]=1,12000,0))/IF(Wapato_Inventory[[#This Row],[unbuildable]]=1,2,1)</f>
        <v>53800</v>
      </c>
      <c r="CA1002" s="7">
        <f>Wapato_Inventory[[#This Row],[pre_res]]*Wapato_Inventory[[#This Row],[overall_adj]]</f>
        <v>160230.15568318969</v>
      </c>
      <c r="CB1002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02" s="3">
        <f>IF(ROUND(Wapato_Inventory[[#This Row],[adj_res]]*Lookups!$H$48,-2)&lt;Wapato_Inventory[[#This Row],[min_res]],Wapato_Inventory[[#This Row],[min_res]],ROUND(Wapato_Inventory[[#This Row],[adj_res]]*Lookups!$H$48,-2))</f>
        <v>152200</v>
      </c>
      <c r="CD1002" s="3">
        <f>ROUND(Wapato_Inventory[[#This Row],[det_value]]*Lookups!$H$48,-2)</f>
        <v>0</v>
      </c>
      <c r="CE1002" s="3">
        <f>Wapato_Inventory[[#This Row],[final_res]]+Wapato_Inventory[[#This Row],[final_det]]</f>
        <v>152200</v>
      </c>
      <c r="CF1002" s="3">
        <f>Wapato_Inventory[[#This Row],[crop_value]]+Wapato_Inventory[[#This Row],[final_land]]+Wapato_Inventory[[#This Row],[final_imp]]</f>
        <v>203300</v>
      </c>
      <c r="CH1002" t="str">
        <f t="shared" si="15"/>
        <v>update valuation set market_land =51100, market_bldg=152200, market_total =203300, market_mdno =405, market_date ='9/10/2023' where link_id = (select link_id from parcel where parcel_year = '2024' and parcel_id = '19111523435');</v>
      </c>
    </row>
    <row r="1003" spans="1:86" x14ac:dyDescent="0.25">
      <c r="A1003">
        <v>19111523438</v>
      </c>
      <c r="B1003">
        <v>0.89</v>
      </c>
      <c r="C1003">
        <v>38965</v>
      </c>
      <c r="D1003" t="s">
        <v>144</v>
      </c>
      <c r="E1003" t="s">
        <v>54</v>
      </c>
      <c r="F1003" t="s">
        <v>54</v>
      </c>
      <c r="G1003">
        <v>3</v>
      </c>
      <c r="H1003" t="s">
        <v>55</v>
      </c>
      <c r="I1003">
        <v>206100</v>
      </c>
      <c r="J1003">
        <v>45100</v>
      </c>
      <c r="K1003">
        <v>0.89</v>
      </c>
      <c r="L1003">
        <f>IF(Wapato_Inventory[[#This Row],[parcel_acres]]-Wapato_Inventory[[#This Row],[non_valued_acres]] =0,0,LN(Wapato_Inventory[[#This Row],[parcel_acres]]-Wapato_Inventory[[#This Row],[non_valued_acres]]))</f>
        <v>-0.11653381625595151</v>
      </c>
      <c r="M1003">
        <v>0</v>
      </c>
      <c r="N1003">
        <v>0</v>
      </c>
      <c r="O1003">
        <v>0</v>
      </c>
      <c r="P1003">
        <v>27904.037</v>
      </c>
      <c r="Q1003">
        <v>74398</v>
      </c>
      <c r="R1003" s="3">
        <f>(Wapato_Inventory[[#This Row],[ln_acres]]*Wapato_Inventory[[#This Row],[coeff]])+Wapato_Inventory[[#This Row],[const]]</f>
        <v>71146.236079442722</v>
      </c>
      <c r="S1003" t="s">
        <v>56</v>
      </c>
      <c r="T1003">
        <v>2</v>
      </c>
      <c r="U1003" t="s">
        <v>67</v>
      </c>
      <c r="V1003" t="s">
        <v>68</v>
      </c>
      <c r="W1003">
        <v>0</v>
      </c>
      <c r="X1003">
        <v>0</v>
      </c>
      <c r="Y1003">
        <v>60</v>
      </c>
      <c r="Z1003">
        <v>108</v>
      </c>
      <c r="AA1003">
        <v>110</v>
      </c>
      <c r="AB1003">
        <v>2000</v>
      </c>
      <c r="AC1003">
        <v>1595</v>
      </c>
      <c r="AD1003">
        <v>897</v>
      </c>
      <c r="AE1003">
        <v>698</v>
      </c>
      <c r="AF1003">
        <v>0</v>
      </c>
      <c r="AG1003">
        <v>0</v>
      </c>
      <c r="AH1003">
        <v>320</v>
      </c>
      <c r="AI1003">
        <v>0</v>
      </c>
      <c r="AJ1003">
        <v>0</v>
      </c>
      <c r="AK1003">
        <v>0</v>
      </c>
      <c r="AL1003">
        <v>280</v>
      </c>
      <c r="AM1003">
        <v>0</v>
      </c>
      <c r="AN1003">
        <v>210</v>
      </c>
      <c r="AO1003">
        <v>272</v>
      </c>
      <c r="AP1003">
        <v>7</v>
      </c>
      <c r="AQ1003">
        <v>0</v>
      </c>
      <c r="AR1003">
        <v>1</v>
      </c>
      <c r="AS1003" t="s">
        <v>79</v>
      </c>
      <c r="AT1003">
        <v>1</v>
      </c>
      <c r="AU1003" t="s">
        <v>64</v>
      </c>
      <c r="AV1003" t="s">
        <v>77</v>
      </c>
      <c r="AW1003">
        <v>0</v>
      </c>
      <c r="AX1003">
        <v>3</v>
      </c>
      <c r="AY1003">
        <v>0</v>
      </c>
      <c r="AZ1003">
        <v>12700</v>
      </c>
      <c r="BA1003">
        <v>100</v>
      </c>
      <c r="BB1003">
        <v>100</v>
      </c>
      <c r="BC1003">
        <v>100</v>
      </c>
      <c r="BD1003">
        <v>100</v>
      </c>
      <c r="BE1003">
        <v>1</v>
      </c>
      <c r="BF1003">
        <v>15000</v>
      </c>
      <c r="BG1003">
        <v>1000</v>
      </c>
      <c r="BH1003" s="7">
        <f>ROUND(Wapato_Inventory[[#This Row],[detatched_value]]*Lookups!$B$22*Lookups!$H$48,-2)</f>
        <v>11300</v>
      </c>
      <c r="BI1003" s="7">
        <f>ROUND(((Wapato_Inventory[[#This Row],[land_extract]]*Lookups!$B$3) +(Lookups!$B$2*0.5))*Lookups!$H$48,-2)</f>
        <v>57900</v>
      </c>
      <c r="BJ1003" s="7">
        <f>IF(Wapato_Inventory[[#This Row],[bldg_style]]="",0,Lookups!$B$2*0.5)</f>
        <v>53765.27</v>
      </c>
      <c r="BK1003" s="7">
        <f>_xlfn.IFNA(VLOOKUP(Wapato_Inventory[[#This Row],[quality]],Lookups!$H$2:$J$14,3,FALSE),0)</f>
        <v>50405</v>
      </c>
      <c r="BL1003" s="7">
        <f>_xlfn.IFNA(VLOOKUP(Wapato_Inventory[[#This Row],[condition]],Lookups!$H$17:$J$24,3,FALSE),0)</f>
        <v>52231</v>
      </c>
      <c r="BM1003" s="7">
        <f>Wapato_Inventory[[#This Row],[Age]]*Lookups!$B$16</f>
        <v>-40032.975599999998</v>
      </c>
      <c r="BN1003" s="7">
        <f>Wapato_Inventory[[#This Row],[Main Floor]]*Lookups!$B$17</f>
        <v>37495.262883000003</v>
      </c>
      <c r="BO1003" s="7">
        <f>Wapato_Inventory[[#This Row],[Upper Floor]]*Lookups!$B$18</f>
        <v>34621.595022000001</v>
      </c>
      <c r="BP1003" s="7">
        <f>Wapato_Inventory[[#This Row],[Fin BSMT]]*Lookups!$B$19</f>
        <v>0</v>
      </c>
      <c r="BQ1003" s="7">
        <f>(Wapato_Inventory[[#This Row],[att_gar]]+Wapato_Inventory[[#This Row],[blt_gar]])*Lookups!$B$20</f>
        <v>0</v>
      </c>
      <c r="BR1003" s="7">
        <f>Wapato_Inventory[[#This Row],[Patio]]*Lookups!$B$21</f>
        <v>0</v>
      </c>
      <c r="BS1003" s="7">
        <f>SUM(Wapato_Inventory[[#This Row],[intercept]:[patio_value]])*Wapato_Inventory[[#This Row],[res_pct]]</f>
        <v>188485.15230499997</v>
      </c>
      <c r="BT1003" s="7">
        <f>Wapato_Inventory[[#This Row],[land_value]]</f>
        <v>57900</v>
      </c>
      <c r="BU1003" s="2">
        <f>_xlfn.IFNA(VLOOKUP(Wapato_Inventory[[#This Row],[quality]],Lookups!$A$28:$C$37,3,FALSE),1)</f>
        <v>0.97993206410140754</v>
      </c>
      <c r="BV1003" s="2">
        <f>_xlfn.IFNA(VLOOKUP(Wapato_Inventory[[#This Row],[condition]],Lookups!$A$41:$C$48,3,FALSE),1)</f>
        <v>0.9832333997567807</v>
      </c>
      <c r="BW1003" s="2">
        <f>IF(Wapato_Inventory[[#This Row],[decade]]="",1,_xlfn.IFNA(VLOOKUP(Wapato_Inventory[[#This Row],[decade]],Lookups!$F$28:$H$45,3,FALSE),1))</f>
        <v>0.93664589651353292</v>
      </c>
      <c r="BX1003" s="2">
        <f>_xlfn.IFNA(VLOOKUP(Wapato_Inventory[[#This Row],[living_area_range]],Lookups!$K$28:$M$37,3,FALSE),1)</f>
        <v>0.99330894324714125</v>
      </c>
      <c r="BY1003" s="2">
        <f>AVERAGE(Wapato_Inventory[[#This Row],[qual_adj]:[range_adj]])</f>
        <v>0.97328007590471566</v>
      </c>
      <c r="BZ1003" s="7">
        <f>(Wapato_Inventory[[#This Row],[sum_land]]-IF(Wapato_Inventory[[#This Row],[no_utilities]]=1,12000,0))/IF(Wapato_Inventory[[#This Row],[unbuildable]]=1,2,1)</f>
        <v>57900</v>
      </c>
      <c r="CA1003" s="7">
        <f>Wapato_Inventory[[#This Row],[pre_res]]*Wapato_Inventory[[#This Row],[overall_adj]]</f>
        <v>183448.84334232225</v>
      </c>
      <c r="CB1003" s="3">
        <f>IF(ROUND(Wapato_Inventory[[#This Row],[adj_land]]*Lookups!$H$48,-2)&lt;Wapato_Inventory[[#This Row],[min_land]],Wapato_Inventory[[#This Row],[min_land]],ROUND(Wapato_Inventory[[#This Row],[adj_land]]*Lookups!$H$48,-2))</f>
        <v>55000</v>
      </c>
      <c r="CC1003" s="3">
        <f>IF(ROUND(Wapato_Inventory[[#This Row],[adj_res]]*Lookups!$H$48,-2)&lt;Wapato_Inventory[[#This Row],[min_res]],Wapato_Inventory[[#This Row],[min_res]],ROUND(Wapato_Inventory[[#This Row],[adj_res]]*Lookups!$H$48,-2))</f>
        <v>174300</v>
      </c>
      <c r="CD1003" s="3">
        <f>ROUND(Wapato_Inventory[[#This Row],[det_value]]*Lookups!$H$48,-2)</f>
        <v>10700</v>
      </c>
      <c r="CE1003" s="3">
        <f>Wapato_Inventory[[#This Row],[final_res]]+Wapato_Inventory[[#This Row],[final_det]]</f>
        <v>185000</v>
      </c>
      <c r="CF1003" s="3">
        <f>Wapato_Inventory[[#This Row],[crop_value]]+Wapato_Inventory[[#This Row],[final_land]]+Wapato_Inventory[[#This Row],[final_imp]]</f>
        <v>240000</v>
      </c>
      <c r="CH1003" t="str">
        <f t="shared" si="15"/>
        <v>update valuation set market_land =55000, market_bldg=185000, market_total =240000, market_mdno =405, market_date ='9/10/2023' where link_id = (select link_id from parcel where parcel_year = '2024' and parcel_id = '19111523438');</v>
      </c>
    </row>
    <row r="1004" spans="1:86" x14ac:dyDescent="0.25">
      <c r="A1004">
        <v>19111523439</v>
      </c>
      <c r="B1004">
        <v>0.21</v>
      </c>
      <c r="C1004">
        <v>9254</v>
      </c>
      <c r="D1004" t="s">
        <v>144</v>
      </c>
      <c r="E1004" t="s">
        <v>54</v>
      </c>
      <c r="F1004" t="s">
        <v>54</v>
      </c>
      <c r="G1004">
        <v>3</v>
      </c>
      <c r="H1004" t="s">
        <v>55</v>
      </c>
      <c r="I1004">
        <v>109300</v>
      </c>
      <c r="J1004">
        <v>34800</v>
      </c>
      <c r="K1004">
        <v>0.21</v>
      </c>
      <c r="L1004">
        <f>IF(Wapato_Inventory[[#This Row],[parcel_acres]]-Wapato_Inventory[[#This Row],[non_valued_acres]] =0,0,LN(Wapato_Inventory[[#This Row],[parcel_acres]]-Wapato_Inventory[[#This Row],[non_valued_acres]]))</f>
        <v>-1.5606477482646683</v>
      </c>
      <c r="M1004">
        <v>0</v>
      </c>
      <c r="N1004">
        <v>0</v>
      </c>
      <c r="O1004">
        <v>0</v>
      </c>
      <c r="P1004">
        <v>27904.037</v>
      </c>
      <c r="Q1004">
        <v>74398</v>
      </c>
      <c r="R1004" s="3">
        <f>(Wapato_Inventory[[#This Row],[ln_acres]]*Wapato_Inventory[[#This Row],[coeff]])+Wapato_Inventory[[#This Row],[const]]</f>
        <v>30849.627488456012</v>
      </c>
      <c r="S1004" t="s">
        <v>56</v>
      </c>
      <c r="T1004">
        <v>2</v>
      </c>
      <c r="U1004" t="s">
        <v>78</v>
      </c>
      <c r="V1004" t="s">
        <v>68</v>
      </c>
      <c r="W1004">
        <v>0</v>
      </c>
      <c r="X1004">
        <v>0</v>
      </c>
      <c r="Y1004">
        <v>55</v>
      </c>
      <c r="Z1004">
        <v>98</v>
      </c>
      <c r="AA1004">
        <v>100</v>
      </c>
      <c r="AB1004">
        <v>1000</v>
      </c>
      <c r="AC1004">
        <v>968</v>
      </c>
      <c r="AD1004">
        <v>748</v>
      </c>
      <c r="AE1004">
        <v>220</v>
      </c>
      <c r="AF1004">
        <v>0</v>
      </c>
      <c r="AG1004">
        <v>0</v>
      </c>
      <c r="AH1004">
        <v>0</v>
      </c>
      <c r="AI1004">
        <v>0</v>
      </c>
      <c r="AJ1004">
        <v>0</v>
      </c>
      <c r="AK1004">
        <v>0</v>
      </c>
      <c r="AL1004">
        <v>0</v>
      </c>
      <c r="AM1004">
        <v>80</v>
      </c>
      <c r="AN1004">
        <v>0</v>
      </c>
      <c r="AO1004">
        <v>80</v>
      </c>
      <c r="AP1004">
        <v>5</v>
      </c>
      <c r="AQ1004">
        <v>0</v>
      </c>
      <c r="AR1004">
        <v>0</v>
      </c>
      <c r="AS1004" t="s">
        <v>59</v>
      </c>
      <c r="AT1004">
        <v>0</v>
      </c>
      <c r="AU1004" t="s">
        <v>80</v>
      </c>
      <c r="AV1004" t="s">
        <v>77</v>
      </c>
      <c r="AW1004">
        <v>0</v>
      </c>
      <c r="AX1004">
        <v>4</v>
      </c>
      <c r="AY1004">
        <v>0</v>
      </c>
      <c r="AZ1004">
        <v>0</v>
      </c>
      <c r="BA1004">
        <v>100</v>
      </c>
      <c r="BB1004">
        <v>100</v>
      </c>
      <c r="BC1004">
        <v>100</v>
      </c>
      <c r="BD1004">
        <v>100</v>
      </c>
      <c r="BE1004">
        <v>1</v>
      </c>
      <c r="BF1004">
        <v>15000</v>
      </c>
      <c r="BG1004">
        <v>1000</v>
      </c>
      <c r="BH1004" s="7">
        <f>ROUND(Wapato_Inventory[[#This Row],[detatched_value]]*Lookups!$B$22*Lookups!$H$48,-2)</f>
        <v>0</v>
      </c>
      <c r="BI1004" s="7">
        <f>ROUND(((Wapato_Inventory[[#This Row],[land_extract]]*Lookups!$B$3) +(Lookups!$B$2*0.5))*Lookups!$H$48,-2)</f>
        <v>54100</v>
      </c>
      <c r="BJ1004" s="7">
        <f>IF(Wapato_Inventory[[#This Row],[bldg_style]]="",0,Lookups!$B$2*0.5)</f>
        <v>53765.27</v>
      </c>
      <c r="BK1004" s="7">
        <f>_xlfn.IFNA(VLOOKUP(Wapato_Inventory[[#This Row],[quality]],Lookups!$H$2:$J$14,3,FALSE),0)</f>
        <v>23424</v>
      </c>
      <c r="BL1004" s="7">
        <f>_xlfn.IFNA(VLOOKUP(Wapato_Inventory[[#This Row],[condition]],Lookups!$H$17:$J$24,3,FALSE),0)</f>
        <v>52231</v>
      </c>
      <c r="BM1004" s="7">
        <f>Wapato_Inventory[[#This Row],[Age]]*Lookups!$B$16</f>
        <v>-36326.2186</v>
      </c>
      <c r="BN1004" s="7">
        <f>Wapato_Inventory[[#This Row],[Main Floor]]*Lookups!$B$17</f>
        <v>31266.952772000001</v>
      </c>
      <c r="BO1004" s="7">
        <f>Wapato_Inventory[[#This Row],[Upper Floor]]*Lookups!$B$18</f>
        <v>10912.25058</v>
      </c>
      <c r="BP1004" s="7">
        <f>Wapato_Inventory[[#This Row],[Fin BSMT]]*Lookups!$B$19</f>
        <v>0</v>
      </c>
      <c r="BQ1004" s="7">
        <f>(Wapato_Inventory[[#This Row],[att_gar]]+Wapato_Inventory[[#This Row],[blt_gar]])*Lookups!$B$20</f>
        <v>0</v>
      </c>
      <c r="BR1004" s="7">
        <f>Wapato_Inventory[[#This Row],[Patio]]*Lookups!$B$21</f>
        <v>3465.9183200000002</v>
      </c>
      <c r="BS1004" s="7">
        <f>SUM(Wapato_Inventory[[#This Row],[intercept]:[patio_value]])*Wapato_Inventory[[#This Row],[res_pct]]</f>
        <v>138739.17307200001</v>
      </c>
      <c r="BT1004" s="7">
        <f>Wapato_Inventory[[#This Row],[land_value]]</f>
        <v>54100</v>
      </c>
      <c r="BU1004" s="2">
        <f>_xlfn.IFNA(VLOOKUP(Wapato_Inventory[[#This Row],[quality]],Lookups!$A$28:$C$37,3,FALSE),1)</f>
        <v>1.0091195562373767</v>
      </c>
      <c r="BV1004" s="2">
        <f>_xlfn.IFNA(VLOOKUP(Wapato_Inventory[[#This Row],[condition]],Lookups!$A$41:$C$48,3,FALSE),1)</f>
        <v>0.9832333997567807</v>
      </c>
      <c r="BW1004" s="2">
        <f>IF(Wapato_Inventory[[#This Row],[decade]]="",1,_xlfn.IFNA(VLOOKUP(Wapato_Inventory[[#This Row],[decade]],Lookups!$F$28:$H$45,3,FALSE),1))</f>
        <v>1.0114203040664467</v>
      </c>
      <c r="BX1004" s="2">
        <f>_xlfn.IFNA(VLOOKUP(Wapato_Inventory[[#This Row],[living_area_range]],Lookups!$K$28:$M$37,3,FALSE),1)</f>
        <v>0.99022994770196116</v>
      </c>
      <c r="BY1004" s="2">
        <f>AVERAGE(Wapato_Inventory[[#This Row],[qual_adj]:[range_adj]])</f>
        <v>0.99850080194064128</v>
      </c>
      <c r="BZ1004" s="7">
        <f>(Wapato_Inventory[[#This Row],[sum_land]]-IF(Wapato_Inventory[[#This Row],[no_utilities]]=1,12000,0))/IF(Wapato_Inventory[[#This Row],[unbuildable]]=1,2,1)</f>
        <v>54100</v>
      </c>
      <c r="CA1004" s="7">
        <f>Wapato_Inventory[[#This Row],[pre_res]]*Wapato_Inventory[[#This Row],[overall_adj]]</f>
        <v>138531.17557297344</v>
      </c>
      <c r="CB1004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004" s="3">
        <f>IF(ROUND(Wapato_Inventory[[#This Row],[adj_res]]*Lookups!$H$48,-2)&lt;Wapato_Inventory[[#This Row],[min_res]],Wapato_Inventory[[#This Row],[min_res]],ROUND(Wapato_Inventory[[#This Row],[adj_res]]*Lookups!$H$48,-2))</f>
        <v>131600</v>
      </c>
      <c r="CD1004" s="3">
        <f>ROUND(Wapato_Inventory[[#This Row],[det_value]]*Lookups!$H$48,-2)</f>
        <v>0</v>
      </c>
      <c r="CE1004" s="3">
        <f>Wapato_Inventory[[#This Row],[final_res]]+Wapato_Inventory[[#This Row],[final_det]]</f>
        <v>131600</v>
      </c>
      <c r="CF1004" s="3">
        <f>Wapato_Inventory[[#This Row],[crop_value]]+Wapato_Inventory[[#This Row],[final_land]]+Wapato_Inventory[[#This Row],[final_imp]]</f>
        <v>183000</v>
      </c>
      <c r="CH1004" t="str">
        <f t="shared" si="15"/>
        <v>update valuation set market_land =51400, market_bldg=131600, market_total =183000, market_mdno =405, market_date ='9/10/2023' where link_id = (select link_id from parcel where parcel_year = '2024' and parcel_id = '19111523439');</v>
      </c>
    </row>
    <row r="1005" spans="1:86" x14ac:dyDescent="0.25">
      <c r="A1005">
        <v>19111523440</v>
      </c>
      <c r="B1005">
        <v>0.08</v>
      </c>
      <c r="C1005">
        <v>3276</v>
      </c>
      <c r="D1005" t="s">
        <v>144</v>
      </c>
      <c r="E1005" t="s">
        <v>54</v>
      </c>
      <c r="F1005" t="s">
        <v>54</v>
      </c>
      <c r="G1005">
        <v>3</v>
      </c>
      <c r="H1005" t="s">
        <v>55</v>
      </c>
      <c r="I1005">
        <v>91800</v>
      </c>
      <c r="J1005">
        <v>27900</v>
      </c>
      <c r="K1005">
        <v>0.08</v>
      </c>
      <c r="L1005">
        <f>IF(Wapato_Inventory[[#This Row],[parcel_acres]]-Wapato_Inventory[[#This Row],[non_valued_acres]] =0,0,LN(Wapato_Inventory[[#This Row],[parcel_acres]]-Wapato_Inventory[[#This Row],[non_valued_acres]]))</f>
        <v>-2.5257286443082556</v>
      </c>
      <c r="M1005">
        <v>0</v>
      </c>
      <c r="N1005">
        <v>0</v>
      </c>
      <c r="O1005">
        <v>0</v>
      </c>
      <c r="P1005">
        <v>27904.037</v>
      </c>
      <c r="Q1005">
        <v>74398</v>
      </c>
      <c r="R1005" s="3">
        <f>(Wapato_Inventory[[#This Row],[ln_acres]]*Wapato_Inventory[[#This Row],[coeff]])+Wapato_Inventory[[#This Row],[const]]</f>
        <v>3919.9744572625932</v>
      </c>
      <c r="S1005" t="s">
        <v>66</v>
      </c>
      <c r="T1005">
        <v>1</v>
      </c>
      <c r="U1005" t="s">
        <v>71</v>
      </c>
      <c r="V1005" t="s">
        <v>68</v>
      </c>
      <c r="W1005">
        <v>0</v>
      </c>
      <c r="X1005">
        <v>0</v>
      </c>
      <c r="Y1005">
        <v>52</v>
      </c>
      <c r="Z1005">
        <v>88</v>
      </c>
      <c r="AA1005">
        <v>90</v>
      </c>
      <c r="AB1005">
        <v>1000</v>
      </c>
      <c r="AC1005">
        <v>696</v>
      </c>
      <c r="AD1005">
        <v>696</v>
      </c>
      <c r="AE1005">
        <v>0</v>
      </c>
      <c r="AF1005">
        <v>0</v>
      </c>
      <c r="AG1005">
        <v>0</v>
      </c>
      <c r="AH1005">
        <v>0</v>
      </c>
      <c r="AI1005">
        <v>0</v>
      </c>
      <c r="AJ1005">
        <v>0</v>
      </c>
      <c r="AK1005">
        <v>0</v>
      </c>
      <c r="AL1005">
        <v>0</v>
      </c>
      <c r="AM1005">
        <v>0</v>
      </c>
      <c r="AN1005">
        <v>0</v>
      </c>
      <c r="AO1005">
        <v>0</v>
      </c>
      <c r="AP1005">
        <v>5</v>
      </c>
      <c r="AQ1005">
        <v>0</v>
      </c>
      <c r="AR1005">
        <v>0</v>
      </c>
      <c r="AS1005" t="s">
        <v>59</v>
      </c>
      <c r="AT1005">
        <v>0</v>
      </c>
      <c r="AU1005" t="s">
        <v>80</v>
      </c>
      <c r="AV1005" t="s">
        <v>77</v>
      </c>
      <c r="AW1005">
        <v>0</v>
      </c>
      <c r="AX1005">
        <v>2</v>
      </c>
      <c r="AY1005">
        <v>0</v>
      </c>
      <c r="AZ1005">
        <v>0</v>
      </c>
      <c r="BA1005">
        <v>100</v>
      </c>
      <c r="BB1005">
        <v>100</v>
      </c>
      <c r="BC1005">
        <v>100</v>
      </c>
      <c r="BD1005">
        <v>100</v>
      </c>
      <c r="BE1005">
        <v>1</v>
      </c>
      <c r="BF1005">
        <v>15000</v>
      </c>
      <c r="BG1005">
        <v>1000</v>
      </c>
      <c r="BH1005" s="7">
        <f>ROUND(Wapato_Inventory[[#This Row],[detatched_value]]*Lookups!$B$22*Lookups!$H$48,-2)</f>
        <v>0</v>
      </c>
      <c r="BI1005" s="7">
        <f>ROUND(((Wapato_Inventory[[#This Row],[land_extract]]*Lookups!$B$3) +(Lookups!$B$2*0.5))*Lookups!$H$48,-2)</f>
        <v>51500</v>
      </c>
      <c r="BJ1005" s="7">
        <f>IF(Wapato_Inventory[[#This Row],[bldg_style]]="",0,Lookups!$B$2*0.5)</f>
        <v>53765.27</v>
      </c>
      <c r="BK1005" s="7">
        <f>_xlfn.IFNA(VLOOKUP(Wapato_Inventory[[#This Row],[quality]],Lookups!$H$2:$J$14,3,FALSE),0)</f>
        <v>28034</v>
      </c>
      <c r="BL1005" s="7">
        <f>_xlfn.IFNA(VLOOKUP(Wapato_Inventory[[#This Row],[condition]],Lookups!$H$17:$J$24,3,FALSE),0)</f>
        <v>52231</v>
      </c>
      <c r="BM1005" s="7">
        <f>Wapato_Inventory[[#This Row],[Age]]*Lookups!$B$16</f>
        <v>-32619.461600000002</v>
      </c>
      <c r="BN1005" s="7">
        <f>Wapato_Inventory[[#This Row],[Main Floor]]*Lookups!$B$17</f>
        <v>29093.314343999999</v>
      </c>
      <c r="BO1005" s="7">
        <f>Wapato_Inventory[[#This Row],[Upper Floor]]*Lookups!$B$18</f>
        <v>0</v>
      </c>
      <c r="BP1005" s="7">
        <f>Wapato_Inventory[[#This Row],[Fin BSMT]]*Lookups!$B$19</f>
        <v>0</v>
      </c>
      <c r="BQ1005" s="7">
        <f>(Wapato_Inventory[[#This Row],[att_gar]]+Wapato_Inventory[[#This Row],[blt_gar]])*Lookups!$B$20</f>
        <v>0</v>
      </c>
      <c r="BR1005" s="7">
        <f>Wapato_Inventory[[#This Row],[Patio]]*Lookups!$B$21</f>
        <v>0</v>
      </c>
      <c r="BS1005" s="7">
        <f>SUM(Wapato_Inventory[[#This Row],[intercept]:[patio_value]])*Wapato_Inventory[[#This Row],[res_pct]]</f>
        <v>130504.12274399998</v>
      </c>
      <c r="BT1005" s="7">
        <f>Wapato_Inventory[[#This Row],[land_value]]</f>
        <v>51500</v>
      </c>
      <c r="BU1005" s="2">
        <f>_xlfn.IFNA(VLOOKUP(Wapato_Inventory[[#This Row],[quality]],Lookups!$A$28:$C$37,3,FALSE),1)</f>
        <v>0.96265813922927435</v>
      </c>
      <c r="BV1005" s="2">
        <f>_xlfn.IFNA(VLOOKUP(Wapato_Inventory[[#This Row],[condition]],Lookups!$A$41:$C$48,3,FALSE),1)</f>
        <v>0.9832333997567807</v>
      </c>
      <c r="BW1005" s="2">
        <f>IF(Wapato_Inventory[[#This Row],[decade]]="",1,_xlfn.IFNA(VLOOKUP(Wapato_Inventory[[#This Row],[decade]],Lookups!$F$28:$H$45,3,FALSE),1))</f>
        <v>0.94742695999815718</v>
      </c>
      <c r="BX1005" s="2">
        <f>_xlfn.IFNA(VLOOKUP(Wapato_Inventory[[#This Row],[living_area_range]],Lookups!$K$28:$M$37,3,FALSE),1)</f>
        <v>0.99022994770196116</v>
      </c>
      <c r="BY1005" s="2">
        <f>AVERAGE(Wapato_Inventory[[#This Row],[qual_adj]:[range_adj]])</f>
        <v>0.97088711167154329</v>
      </c>
      <c r="BZ1005" s="7">
        <f>(Wapato_Inventory[[#This Row],[sum_land]]-IF(Wapato_Inventory[[#This Row],[no_utilities]]=1,12000,0))/IF(Wapato_Inventory[[#This Row],[unbuildable]]=1,2,1)</f>
        <v>51500</v>
      </c>
      <c r="CA1005" s="7">
        <f>Wapato_Inventory[[#This Row],[pre_res]]*Wapato_Inventory[[#This Row],[overall_adj]]</f>
        <v>126704.7707921507</v>
      </c>
      <c r="CB1005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1005" s="3">
        <f>IF(ROUND(Wapato_Inventory[[#This Row],[adj_res]]*Lookups!$H$48,-2)&lt;Wapato_Inventory[[#This Row],[min_res]],Wapato_Inventory[[#This Row],[min_res]],ROUND(Wapato_Inventory[[#This Row],[adj_res]]*Lookups!$H$48,-2))</f>
        <v>120400</v>
      </c>
      <c r="CD1005" s="3">
        <f>ROUND(Wapato_Inventory[[#This Row],[det_value]]*Lookups!$H$48,-2)</f>
        <v>0</v>
      </c>
      <c r="CE1005" s="3">
        <f>Wapato_Inventory[[#This Row],[final_res]]+Wapato_Inventory[[#This Row],[final_det]]</f>
        <v>120400</v>
      </c>
      <c r="CF1005" s="3">
        <f>Wapato_Inventory[[#This Row],[crop_value]]+Wapato_Inventory[[#This Row],[final_land]]+Wapato_Inventory[[#This Row],[final_imp]]</f>
        <v>169300</v>
      </c>
      <c r="CH1005" t="str">
        <f t="shared" si="15"/>
        <v>update valuation set market_land =48900, market_bldg=120400, market_total =169300, market_mdno =405, market_date ='9/10/2023' where link_id = (select link_id from parcel where parcel_year = '2024' and parcel_id = '19111523440');</v>
      </c>
    </row>
    <row r="1006" spans="1:86" x14ac:dyDescent="0.25">
      <c r="A1006">
        <v>19111523441</v>
      </c>
      <c r="B1006">
        <v>0.08</v>
      </c>
      <c r="C1006">
        <v>3279</v>
      </c>
      <c r="D1006" t="s">
        <v>144</v>
      </c>
      <c r="E1006" t="s">
        <v>54</v>
      </c>
      <c r="F1006" t="s">
        <v>54</v>
      </c>
      <c r="G1006">
        <v>3</v>
      </c>
      <c r="H1006" t="s">
        <v>55</v>
      </c>
      <c r="I1006">
        <v>101400</v>
      </c>
      <c r="J1006">
        <v>27900</v>
      </c>
      <c r="K1006">
        <v>0.08</v>
      </c>
      <c r="L1006">
        <f>IF(Wapato_Inventory[[#This Row],[parcel_acres]]-Wapato_Inventory[[#This Row],[non_valued_acres]] =0,0,LN(Wapato_Inventory[[#This Row],[parcel_acres]]-Wapato_Inventory[[#This Row],[non_valued_acres]]))</f>
        <v>-2.5257286443082556</v>
      </c>
      <c r="M1006">
        <v>0</v>
      </c>
      <c r="N1006">
        <v>0</v>
      </c>
      <c r="O1006">
        <v>0</v>
      </c>
      <c r="P1006">
        <v>27904.037</v>
      </c>
      <c r="Q1006">
        <v>74398</v>
      </c>
      <c r="R1006" s="3">
        <f>(Wapato_Inventory[[#This Row],[ln_acres]]*Wapato_Inventory[[#This Row],[coeff]])+Wapato_Inventory[[#This Row],[const]]</f>
        <v>3919.9744572625932</v>
      </c>
      <c r="S1006" t="s">
        <v>66</v>
      </c>
      <c r="T1006">
        <v>1</v>
      </c>
      <c r="U1006" t="s">
        <v>71</v>
      </c>
      <c r="V1006" t="s">
        <v>68</v>
      </c>
      <c r="W1006">
        <v>0</v>
      </c>
      <c r="X1006">
        <v>0</v>
      </c>
      <c r="Y1006">
        <v>53</v>
      </c>
      <c r="Z1006">
        <v>93</v>
      </c>
      <c r="AA1006">
        <v>100</v>
      </c>
      <c r="AB1006">
        <v>1000</v>
      </c>
      <c r="AC1006">
        <v>888</v>
      </c>
      <c r="AD1006">
        <v>888</v>
      </c>
      <c r="AE1006">
        <v>0</v>
      </c>
      <c r="AF1006">
        <v>0</v>
      </c>
      <c r="AG1006">
        <v>0</v>
      </c>
      <c r="AH1006">
        <v>0</v>
      </c>
      <c r="AI1006">
        <v>0</v>
      </c>
      <c r="AJ1006">
        <v>0</v>
      </c>
      <c r="AK1006">
        <v>0</v>
      </c>
      <c r="AL1006">
        <v>0</v>
      </c>
      <c r="AM1006">
        <v>0</v>
      </c>
      <c r="AN1006">
        <v>0</v>
      </c>
      <c r="AO1006">
        <v>0</v>
      </c>
      <c r="AP1006">
        <v>5</v>
      </c>
      <c r="AQ1006">
        <v>0</v>
      </c>
      <c r="AR1006">
        <v>0</v>
      </c>
      <c r="AS1006" t="s">
        <v>59</v>
      </c>
      <c r="AT1006">
        <v>0</v>
      </c>
      <c r="AU1006" t="s">
        <v>80</v>
      </c>
      <c r="AV1006" t="s">
        <v>65</v>
      </c>
      <c r="AW1006">
        <v>0</v>
      </c>
      <c r="AX1006">
        <v>4</v>
      </c>
      <c r="AY1006">
        <v>0</v>
      </c>
      <c r="AZ1006">
        <v>0</v>
      </c>
      <c r="BA1006">
        <v>100</v>
      </c>
      <c r="BB1006">
        <v>100</v>
      </c>
      <c r="BC1006">
        <v>100</v>
      </c>
      <c r="BD1006">
        <v>100</v>
      </c>
      <c r="BE1006">
        <v>1</v>
      </c>
      <c r="BF1006">
        <v>15000</v>
      </c>
      <c r="BG1006">
        <v>1000</v>
      </c>
      <c r="BH1006" s="7">
        <f>ROUND(Wapato_Inventory[[#This Row],[detatched_value]]*Lookups!$B$22*Lookups!$H$48,-2)</f>
        <v>0</v>
      </c>
      <c r="BI1006" s="7">
        <f>ROUND(((Wapato_Inventory[[#This Row],[land_extract]]*Lookups!$B$3) +(Lookups!$B$2*0.5))*Lookups!$H$48,-2)</f>
        <v>51500</v>
      </c>
      <c r="BJ1006" s="7">
        <f>IF(Wapato_Inventory[[#This Row],[bldg_style]]="",0,Lookups!$B$2*0.5)</f>
        <v>53765.27</v>
      </c>
      <c r="BK1006" s="7">
        <f>_xlfn.IFNA(VLOOKUP(Wapato_Inventory[[#This Row],[quality]],Lookups!$H$2:$J$14,3,FALSE),0)</f>
        <v>28034</v>
      </c>
      <c r="BL1006" s="7">
        <f>_xlfn.IFNA(VLOOKUP(Wapato_Inventory[[#This Row],[condition]],Lookups!$H$17:$J$24,3,FALSE),0)</f>
        <v>52231</v>
      </c>
      <c r="BM1006" s="7">
        <f>Wapato_Inventory[[#This Row],[Age]]*Lookups!$B$16</f>
        <v>-34472.840100000001</v>
      </c>
      <c r="BN1006" s="7">
        <f>Wapato_Inventory[[#This Row],[Main Floor]]*Lookups!$B$17</f>
        <v>37119.056232000003</v>
      </c>
      <c r="BO1006" s="7">
        <f>Wapato_Inventory[[#This Row],[Upper Floor]]*Lookups!$B$18</f>
        <v>0</v>
      </c>
      <c r="BP1006" s="7">
        <f>Wapato_Inventory[[#This Row],[Fin BSMT]]*Lookups!$B$19</f>
        <v>0</v>
      </c>
      <c r="BQ1006" s="7">
        <f>(Wapato_Inventory[[#This Row],[att_gar]]+Wapato_Inventory[[#This Row],[blt_gar]])*Lookups!$B$20</f>
        <v>0</v>
      </c>
      <c r="BR1006" s="7">
        <f>Wapato_Inventory[[#This Row],[Patio]]*Lookups!$B$21</f>
        <v>0</v>
      </c>
      <c r="BS1006" s="7">
        <f>SUM(Wapato_Inventory[[#This Row],[intercept]:[patio_value]])*Wapato_Inventory[[#This Row],[res_pct]]</f>
        <v>136676.48613199999</v>
      </c>
      <c r="BT1006" s="7">
        <f>Wapato_Inventory[[#This Row],[land_value]]</f>
        <v>51500</v>
      </c>
      <c r="BU1006" s="2">
        <f>_xlfn.IFNA(VLOOKUP(Wapato_Inventory[[#This Row],[quality]],Lookups!$A$28:$C$37,3,FALSE),1)</f>
        <v>0.96265813922927435</v>
      </c>
      <c r="BV1006" s="2">
        <f>_xlfn.IFNA(VLOOKUP(Wapato_Inventory[[#This Row],[condition]],Lookups!$A$41:$C$48,3,FALSE),1)</f>
        <v>0.9832333997567807</v>
      </c>
      <c r="BW1006" s="2">
        <f>IF(Wapato_Inventory[[#This Row],[decade]]="",1,_xlfn.IFNA(VLOOKUP(Wapato_Inventory[[#This Row],[decade]],Lookups!$F$28:$H$45,3,FALSE),1))</f>
        <v>1.0114203040664467</v>
      </c>
      <c r="BX1006" s="2">
        <f>_xlfn.IFNA(VLOOKUP(Wapato_Inventory[[#This Row],[living_area_range]],Lookups!$K$28:$M$37,3,FALSE),1)</f>
        <v>0.99022994770196116</v>
      </c>
      <c r="BY1006" s="2">
        <f>AVERAGE(Wapato_Inventory[[#This Row],[qual_adj]:[range_adj]])</f>
        <v>0.98688544768861564</v>
      </c>
      <c r="BZ1006" s="7">
        <f>(Wapato_Inventory[[#This Row],[sum_land]]-IF(Wapato_Inventory[[#This Row],[no_utilities]]=1,12000,0))/IF(Wapato_Inventory[[#This Row],[unbuildable]]=1,2,1)</f>
        <v>51500</v>
      </c>
      <c r="CA1006" s="7">
        <f>Wapato_Inventory[[#This Row],[pre_res]]*Wapato_Inventory[[#This Row],[overall_adj]]</f>
        <v>134884.03520488567</v>
      </c>
      <c r="CB1006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1006" s="3">
        <f>IF(ROUND(Wapato_Inventory[[#This Row],[adj_res]]*Lookups!$H$48,-2)&lt;Wapato_Inventory[[#This Row],[min_res]],Wapato_Inventory[[#This Row],[min_res]],ROUND(Wapato_Inventory[[#This Row],[adj_res]]*Lookups!$H$48,-2))</f>
        <v>128100</v>
      </c>
      <c r="CD1006" s="3">
        <f>ROUND(Wapato_Inventory[[#This Row],[det_value]]*Lookups!$H$48,-2)</f>
        <v>0</v>
      </c>
      <c r="CE1006" s="3">
        <f>Wapato_Inventory[[#This Row],[final_res]]+Wapato_Inventory[[#This Row],[final_det]]</f>
        <v>128100</v>
      </c>
      <c r="CF1006" s="3">
        <f>Wapato_Inventory[[#This Row],[crop_value]]+Wapato_Inventory[[#This Row],[final_land]]+Wapato_Inventory[[#This Row],[final_imp]]</f>
        <v>177000</v>
      </c>
      <c r="CH1006" t="str">
        <f t="shared" si="15"/>
        <v>update valuation set market_land =48900, market_bldg=128100, market_total =177000, market_mdno =405, market_date ='9/10/2023' where link_id = (select link_id from parcel where parcel_year = '2024' and parcel_id = '19111523441');</v>
      </c>
    </row>
    <row r="1007" spans="1:86" x14ac:dyDescent="0.25">
      <c r="A1007">
        <v>19111523442</v>
      </c>
      <c r="B1007">
        <v>7.0000000000000007E-2</v>
      </c>
      <c r="C1007">
        <v>3007</v>
      </c>
      <c r="D1007" t="s">
        <v>144</v>
      </c>
      <c r="E1007" t="s">
        <v>54</v>
      </c>
      <c r="F1007" t="s">
        <v>54</v>
      </c>
      <c r="G1007">
        <v>3</v>
      </c>
      <c r="H1007" t="s">
        <v>55</v>
      </c>
      <c r="I1007">
        <v>56400</v>
      </c>
      <c r="J1007">
        <v>26900</v>
      </c>
      <c r="K1007">
        <v>7.0000000000000007E-2</v>
      </c>
      <c r="L1007">
        <f>IF(Wapato_Inventory[[#This Row],[parcel_acres]]-Wapato_Inventory[[#This Row],[non_valued_acres]] =0,0,LN(Wapato_Inventory[[#This Row],[parcel_acres]]-Wapato_Inventory[[#This Row],[non_valued_acres]]))</f>
        <v>-2.6592600369327779</v>
      </c>
      <c r="M1007">
        <v>0</v>
      </c>
      <c r="N1007">
        <v>0</v>
      </c>
      <c r="O1007">
        <v>0</v>
      </c>
      <c r="P1007">
        <v>27904.037</v>
      </c>
      <c r="Q1007">
        <v>74398</v>
      </c>
      <c r="R1007" s="3">
        <f>(Wapato_Inventory[[#This Row],[ln_acres]]*Wapato_Inventory[[#This Row],[coeff]])+Wapato_Inventory[[#This Row],[const]]</f>
        <v>193.90953680640087</v>
      </c>
      <c r="S1007" t="s">
        <v>66</v>
      </c>
      <c r="T1007">
        <v>1</v>
      </c>
      <c r="U1007" t="s">
        <v>71</v>
      </c>
      <c r="V1007" t="s">
        <v>73</v>
      </c>
      <c r="W1007">
        <v>0</v>
      </c>
      <c r="X1007">
        <v>0</v>
      </c>
      <c r="Y1007">
        <v>52</v>
      </c>
      <c r="Z1007">
        <v>88</v>
      </c>
      <c r="AA1007">
        <v>90</v>
      </c>
      <c r="AB1007">
        <v>1000</v>
      </c>
      <c r="AC1007">
        <v>608</v>
      </c>
      <c r="AD1007">
        <v>608</v>
      </c>
      <c r="AE1007">
        <v>0</v>
      </c>
      <c r="AF1007">
        <v>0</v>
      </c>
      <c r="AG1007">
        <v>0</v>
      </c>
      <c r="AH1007">
        <v>0</v>
      </c>
      <c r="AI1007">
        <v>0</v>
      </c>
      <c r="AJ1007">
        <v>0</v>
      </c>
      <c r="AK1007">
        <v>0</v>
      </c>
      <c r="AL1007">
        <v>0</v>
      </c>
      <c r="AM1007">
        <v>0</v>
      </c>
      <c r="AN1007">
        <v>0</v>
      </c>
      <c r="AO1007">
        <v>0</v>
      </c>
      <c r="AP1007">
        <v>5</v>
      </c>
      <c r="AQ1007">
        <v>0</v>
      </c>
      <c r="AR1007">
        <v>0</v>
      </c>
      <c r="AS1007" t="s">
        <v>59</v>
      </c>
      <c r="AT1007">
        <v>1</v>
      </c>
      <c r="AU1007" t="s">
        <v>72</v>
      </c>
      <c r="AV1007" t="s">
        <v>61</v>
      </c>
      <c r="AW1007">
        <v>0</v>
      </c>
      <c r="AX1007">
        <v>1</v>
      </c>
      <c r="AY1007">
        <v>0</v>
      </c>
      <c r="AZ1007">
        <v>0</v>
      </c>
      <c r="BA1007">
        <v>100</v>
      </c>
      <c r="BB1007">
        <v>100</v>
      </c>
      <c r="BC1007">
        <v>100</v>
      </c>
      <c r="BD1007">
        <v>100</v>
      </c>
      <c r="BE1007">
        <v>1</v>
      </c>
      <c r="BF1007">
        <v>15000</v>
      </c>
      <c r="BG1007">
        <v>1000</v>
      </c>
      <c r="BH1007" s="7">
        <f>ROUND(Wapato_Inventory[[#This Row],[detatched_value]]*Lookups!$B$22*Lookups!$H$48,-2)</f>
        <v>0</v>
      </c>
      <c r="BI1007" s="7">
        <f>ROUND(((Wapato_Inventory[[#This Row],[land_extract]]*Lookups!$B$3) +(Lookups!$B$2*0.5))*Lookups!$H$48,-2)</f>
        <v>51100</v>
      </c>
      <c r="BJ1007" s="7">
        <f>IF(Wapato_Inventory[[#This Row],[bldg_style]]="",0,Lookups!$B$2*0.5)</f>
        <v>53765.27</v>
      </c>
      <c r="BK1007" s="7">
        <f>_xlfn.IFNA(VLOOKUP(Wapato_Inventory[[#This Row],[quality]],Lookups!$H$2:$J$14,3,FALSE),0)</f>
        <v>28034</v>
      </c>
      <c r="BL1007" s="7">
        <f>_xlfn.IFNA(VLOOKUP(Wapato_Inventory[[#This Row],[condition]],Lookups!$H$17:$J$24,3,FALSE),0)</f>
        <v>16276</v>
      </c>
      <c r="BM1007" s="7">
        <f>Wapato_Inventory[[#This Row],[Age]]*Lookups!$B$16</f>
        <v>-32619.461600000002</v>
      </c>
      <c r="BN1007" s="7">
        <f>Wapato_Inventory[[#This Row],[Main Floor]]*Lookups!$B$17</f>
        <v>25414.849311999998</v>
      </c>
      <c r="BO1007" s="7">
        <f>Wapato_Inventory[[#This Row],[Upper Floor]]*Lookups!$B$18</f>
        <v>0</v>
      </c>
      <c r="BP1007" s="7">
        <f>Wapato_Inventory[[#This Row],[Fin BSMT]]*Lookups!$B$19</f>
        <v>0</v>
      </c>
      <c r="BQ1007" s="7">
        <f>(Wapato_Inventory[[#This Row],[att_gar]]+Wapato_Inventory[[#This Row],[blt_gar]])*Lookups!$B$20</f>
        <v>0</v>
      </c>
      <c r="BR1007" s="7">
        <f>Wapato_Inventory[[#This Row],[Patio]]*Lookups!$B$21</f>
        <v>0</v>
      </c>
      <c r="BS1007" s="7">
        <f>SUM(Wapato_Inventory[[#This Row],[intercept]:[patio_value]])*Wapato_Inventory[[#This Row],[res_pct]]</f>
        <v>90870.657711999986</v>
      </c>
      <c r="BT1007" s="7">
        <f>Wapato_Inventory[[#This Row],[land_value]]</f>
        <v>51100</v>
      </c>
      <c r="BU1007" s="2">
        <f>_xlfn.IFNA(VLOOKUP(Wapato_Inventory[[#This Row],[quality]],Lookups!$A$28:$C$37,3,FALSE),1)</f>
        <v>0.96265813922927435</v>
      </c>
      <c r="BV1007" s="2">
        <f>_xlfn.IFNA(VLOOKUP(Wapato_Inventory[[#This Row],[condition]],Lookups!$A$41:$C$48,3,FALSE),1)</f>
        <v>0.93399385491337139</v>
      </c>
      <c r="BW1007" s="2">
        <f>IF(Wapato_Inventory[[#This Row],[decade]]="",1,_xlfn.IFNA(VLOOKUP(Wapato_Inventory[[#This Row],[decade]],Lookups!$F$28:$H$45,3,FALSE),1))</f>
        <v>0.94742695999815718</v>
      </c>
      <c r="BX1007" s="2">
        <f>_xlfn.IFNA(VLOOKUP(Wapato_Inventory[[#This Row],[living_area_range]],Lookups!$K$28:$M$37,3,FALSE),1)</f>
        <v>0.99022994770196116</v>
      </c>
      <c r="BY1007" s="2">
        <f>AVERAGE(Wapato_Inventory[[#This Row],[qual_adj]:[range_adj]])</f>
        <v>0.95857722546069102</v>
      </c>
      <c r="BZ1007" s="7">
        <f>(Wapato_Inventory[[#This Row],[sum_land]]-IF(Wapato_Inventory[[#This Row],[no_utilities]]=1,12000,0))/IF(Wapato_Inventory[[#This Row],[unbuildable]]=1,2,1)</f>
        <v>51100</v>
      </c>
      <c r="CA1007" s="7">
        <f>Wapato_Inventory[[#This Row],[pre_res]]*Wapato_Inventory[[#This Row],[overall_adj]]</f>
        <v>87106.542945357098</v>
      </c>
      <c r="CB1007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1007" s="3">
        <f>IF(ROUND(Wapato_Inventory[[#This Row],[adj_res]]*Lookups!$H$48,-2)&lt;Wapato_Inventory[[#This Row],[min_res]],Wapato_Inventory[[#This Row],[min_res]],ROUND(Wapato_Inventory[[#This Row],[adj_res]]*Lookups!$H$48,-2))</f>
        <v>82800</v>
      </c>
      <c r="CD1007" s="3">
        <f>ROUND(Wapato_Inventory[[#This Row],[det_value]]*Lookups!$H$48,-2)</f>
        <v>0</v>
      </c>
      <c r="CE1007" s="3">
        <f>Wapato_Inventory[[#This Row],[final_res]]+Wapato_Inventory[[#This Row],[final_det]]</f>
        <v>82800</v>
      </c>
      <c r="CF1007" s="3">
        <f>Wapato_Inventory[[#This Row],[crop_value]]+Wapato_Inventory[[#This Row],[final_land]]+Wapato_Inventory[[#This Row],[final_imp]]</f>
        <v>131300</v>
      </c>
      <c r="CH1007" t="str">
        <f t="shared" si="15"/>
        <v>update valuation set market_land =48500, market_bldg=82800, market_total =131300, market_mdno =405, market_date ='9/10/2023' where link_id = (select link_id from parcel where parcel_year = '2024' and parcel_id = '19111523442');</v>
      </c>
    </row>
    <row r="1008" spans="1:86" x14ac:dyDescent="0.25">
      <c r="A1008">
        <v>19111523444</v>
      </c>
      <c r="B1008">
        <v>0.09</v>
      </c>
      <c r="C1008">
        <v>3894</v>
      </c>
      <c r="D1008" t="s">
        <v>144</v>
      </c>
      <c r="E1008" t="s">
        <v>54</v>
      </c>
      <c r="F1008" t="s">
        <v>54</v>
      </c>
      <c r="G1008">
        <v>3</v>
      </c>
      <c r="H1008" t="s">
        <v>55</v>
      </c>
      <c r="I1008">
        <v>138700</v>
      </c>
      <c r="J1008">
        <v>28700</v>
      </c>
      <c r="K1008">
        <v>0.09</v>
      </c>
      <c r="L1008">
        <f>IF(Wapato_Inventory[[#This Row],[parcel_acres]]-Wapato_Inventory[[#This Row],[non_valued_acres]] =0,0,LN(Wapato_Inventory[[#This Row],[parcel_acres]]-Wapato_Inventory[[#This Row],[non_valued_acres]]))</f>
        <v>-2.4079456086518722</v>
      </c>
      <c r="M1008">
        <v>0</v>
      </c>
      <c r="N1008">
        <v>0</v>
      </c>
      <c r="O1008">
        <v>0</v>
      </c>
      <c r="P1008">
        <v>27904.037</v>
      </c>
      <c r="Q1008">
        <v>74398</v>
      </c>
      <c r="R1008" s="3">
        <f>(Wapato_Inventory[[#This Row],[ln_acres]]*Wapato_Inventory[[#This Row],[coeff]])+Wapato_Inventory[[#This Row],[const]]</f>
        <v>7206.5966421906342</v>
      </c>
      <c r="S1008" t="s">
        <v>66</v>
      </c>
      <c r="T1008">
        <v>1</v>
      </c>
      <c r="U1008" t="s">
        <v>71</v>
      </c>
      <c r="V1008" t="s">
        <v>69</v>
      </c>
      <c r="W1008">
        <v>0</v>
      </c>
      <c r="X1008">
        <v>0</v>
      </c>
      <c r="Y1008">
        <v>38</v>
      </c>
      <c r="Z1008">
        <v>88</v>
      </c>
      <c r="AA1008">
        <v>90</v>
      </c>
      <c r="AB1008">
        <v>1000</v>
      </c>
      <c r="AC1008">
        <v>936</v>
      </c>
      <c r="AD1008">
        <v>936</v>
      </c>
      <c r="AE1008">
        <v>0</v>
      </c>
      <c r="AF1008">
        <v>0</v>
      </c>
      <c r="AG1008">
        <v>0</v>
      </c>
      <c r="AH1008">
        <v>0</v>
      </c>
      <c r="AI1008">
        <v>0</v>
      </c>
      <c r="AJ1008">
        <v>0</v>
      </c>
      <c r="AK1008">
        <v>0</v>
      </c>
      <c r="AL1008">
        <v>0</v>
      </c>
      <c r="AM1008">
        <v>0</v>
      </c>
      <c r="AN1008">
        <v>0</v>
      </c>
      <c r="AO1008">
        <v>0</v>
      </c>
      <c r="AP1008">
        <v>5</v>
      </c>
      <c r="AQ1008">
        <v>0</v>
      </c>
      <c r="AR1008">
        <v>0</v>
      </c>
      <c r="AS1008" t="s">
        <v>59</v>
      </c>
      <c r="AT1008">
        <v>1</v>
      </c>
      <c r="AU1008" t="s">
        <v>76</v>
      </c>
      <c r="AV1008" t="s">
        <v>61</v>
      </c>
      <c r="AW1008">
        <v>0</v>
      </c>
      <c r="AX1008">
        <v>3</v>
      </c>
      <c r="AY1008">
        <v>0</v>
      </c>
      <c r="AZ1008">
        <v>0</v>
      </c>
      <c r="BA1008">
        <v>100</v>
      </c>
      <c r="BB1008">
        <v>100</v>
      </c>
      <c r="BC1008">
        <v>100</v>
      </c>
      <c r="BD1008">
        <v>100</v>
      </c>
      <c r="BE1008">
        <v>1</v>
      </c>
      <c r="BF1008">
        <v>15000</v>
      </c>
      <c r="BG1008">
        <v>1000</v>
      </c>
      <c r="BH1008" s="7">
        <f>ROUND(Wapato_Inventory[[#This Row],[detatched_value]]*Lookups!$B$22*Lookups!$H$48,-2)</f>
        <v>0</v>
      </c>
      <c r="BI1008" s="7">
        <f>ROUND(((Wapato_Inventory[[#This Row],[land_extract]]*Lookups!$B$3) +(Lookups!$B$2*0.5))*Lookups!$H$48,-2)</f>
        <v>51800</v>
      </c>
      <c r="BJ1008" s="7">
        <f>IF(Wapato_Inventory[[#This Row],[bldg_style]]="",0,Lookups!$B$2*0.5)</f>
        <v>53765.27</v>
      </c>
      <c r="BK1008" s="7">
        <f>_xlfn.IFNA(VLOOKUP(Wapato_Inventory[[#This Row],[quality]],Lookups!$H$2:$J$14,3,FALSE),0)</f>
        <v>28034</v>
      </c>
      <c r="BL1008" s="7">
        <f>_xlfn.IFNA(VLOOKUP(Wapato_Inventory[[#This Row],[condition]],Lookups!$H$17:$J$24,3,FALSE),0)</f>
        <v>74543</v>
      </c>
      <c r="BM1008" s="7">
        <f>Wapato_Inventory[[#This Row],[Age]]*Lookups!$B$16</f>
        <v>-32619.461600000002</v>
      </c>
      <c r="BN1008" s="7">
        <f>Wapato_Inventory[[#This Row],[Main Floor]]*Lookups!$B$17</f>
        <v>39125.491704</v>
      </c>
      <c r="BO1008" s="7">
        <f>Wapato_Inventory[[#This Row],[Upper Floor]]*Lookups!$B$18</f>
        <v>0</v>
      </c>
      <c r="BP1008" s="7">
        <f>Wapato_Inventory[[#This Row],[Fin BSMT]]*Lookups!$B$19</f>
        <v>0</v>
      </c>
      <c r="BQ1008" s="7">
        <f>(Wapato_Inventory[[#This Row],[att_gar]]+Wapato_Inventory[[#This Row],[blt_gar]])*Lookups!$B$20</f>
        <v>0</v>
      </c>
      <c r="BR1008" s="7">
        <f>Wapato_Inventory[[#This Row],[Patio]]*Lookups!$B$21</f>
        <v>0</v>
      </c>
      <c r="BS1008" s="7">
        <f>SUM(Wapato_Inventory[[#This Row],[intercept]:[patio_value]])*Wapato_Inventory[[#This Row],[res_pct]]</f>
        <v>162848.30010399997</v>
      </c>
      <c r="BT1008" s="7">
        <f>Wapato_Inventory[[#This Row],[land_value]]</f>
        <v>51800</v>
      </c>
      <c r="BU1008" s="2">
        <f>_xlfn.IFNA(VLOOKUP(Wapato_Inventory[[#This Row],[quality]],Lookups!$A$28:$C$37,3,FALSE),1)</f>
        <v>0.96265813922927435</v>
      </c>
      <c r="BV1008" s="2">
        <f>_xlfn.IFNA(VLOOKUP(Wapato_Inventory[[#This Row],[condition]],Lookups!$A$41:$C$48,3,FALSE),1)</f>
        <v>0.98442438223270734</v>
      </c>
      <c r="BW1008" s="2">
        <f>IF(Wapato_Inventory[[#This Row],[decade]]="",1,_xlfn.IFNA(VLOOKUP(Wapato_Inventory[[#This Row],[decade]],Lookups!$F$28:$H$45,3,FALSE),1))</f>
        <v>0.94742695999815718</v>
      </c>
      <c r="BX1008" s="2">
        <f>_xlfn.IFNA(VLOOKUP(Wapato_Inventory[[#This Row],[living_area_range]],Lookups!$K$28:$M$37,3,FALSE),1)</f>
        <v>0.99022994770196116</v>
      </c>
      <c r="BY1008" s="2">
        <f>AVERAGE(Wapato_Inventory[[#This Row],[qual_adj]:[range_adj]])</f>
        <v>0.97118485729052495</v>
      </c>
      <c r="BZ1008" s="7">
        <f>(Wapato_Inventory[[#This Row],[sum_land]]-IF(Wapato_Inventory[[#This Row],[no_utilities]]=1,12000,0))/IF(Wapato_Inventory[[#This Row],[unbuildable]]=1,2,1)</f>
        <v>51800</v>
      </c>
      <c r="CA1008" s="7">
        <f>Wapato_Inventory[[#This Row],[pre_res]]*Wapato_Inventory[[#This Row],[overall_adj]]</f>
        <v>158155.80309650779</v>
      </c>
      <c r="CB1008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1008" s="3">
        <f>IF(ROUND(Wapato_Inventory[[#This Row],[adj_res]]*Lookups!$H$48,-2)&lt;Wapato_Inventory[[#This Row],[min_res]],Wapato_Inventory[[#This Row],[min_res]],ROUND(Wapato_Inventory[[#This Row],[adj_res]]*Lookups!$H$48,-2))</f>
        <v>150200</v>
      </c>
      <c r="CD1008" s="3">
        <f>ROUND(Wapato_Inventory[[#This Row],[det_value]]*Lookups!$H$48,-2)</f>
        <v>0</v>
      </c>
      <c r="CE1008" s="3">
        <f>Wapato_Inventory[[#This Row],[final_res]]+Wapato_Inventory[[#This Row],[final_det]]</f>
        <v>150200</v>
      </c>
      <c r="CF1008" s="3">
        <f>Wapato_Inventory[[#This Row],[crop_value]]+Wapato_Inventory[[#This Row],[final_land]]+Wapato_Inventory[[#This Row],[final_imp]]</f>
        <v>199400</v>
      </c>
      <c r="CH1008" t="str">
        <f t="shared" si="15"/>
        <v>update valuation set market_land =49200, market_bldg=150200, market_total =199400, market_mdno =405, market_date ='9/10/2023' where link_id = (select link_id from parcel where parcel_year = '2024' and parcel_id = '19111523444');</v>
      </c>
    </row>
    <row r="1009" spans="1:86" x14ac:dyDescent="0.25">
      <c r="A1009">
        <v>19111523445</v>
      </c>
      <c r="B1009">
        <v>0.08</v>
      </c>
      <c r="C1009">
        <v>3540</v>
      </c>
      <c r="D1009" t="s">
        <v>144</v>
      </c>
      <c r="E1009" t="s">
        <v>54</v>
      </c>
      <c r="F1009" t="s">
        <v>54</v>
      </c>
      <c r="G1009">
        <v>3</v>
      </c>
      <c r="H1009" t="s">
        <v>55</v>
      </c>
      <c r="I1009">
        <v>88000</v>
      </c>
      <c r="J1009">
        <v>27900</v>
      </c>
      <c r="K1009">
        <v>0.08</v>
      </c>
      <c r="L1009">
        <f>IF(Wapato_Inventory[[#This Row],[parcel_acres]]-Wapato_Inventory[[#This Row],[non_valued_acres]] =0,0,LN(Wapato_Inventory[[#This Row],[parcel_acres]]-Wapato_Inventory[[#This Row],[non_valued_acres]]))</f>
        <v>-2.5257286443082556</v>
      </c>
      <c r="M1009">
        <v>0</v>
      </c>
      <c r="N1009">
        <v>0</v>
      </c>
      <c r="O1009">
        <v>0</v>
      </c>
      <c r="P1009">
        <v>27904.037</v>
      </c>
      <c r="Q1009">
        <v>74398</v>
      </c>
      <c r="R1009" s="3">
        <f>(Wapato_Inventory[[#This Row],[ln_acres]]*Wapato_Inventory[[#This Row],[coeff]])+Wapato_Inventory[[#This Row],[const]]</f>
        <v>3919.9744572625932</v>
      </c>
      <c r="S1009" t="s">
        <v>66</v>
      </c>
      <c r="T1009">
        <v>1</v>
      </c>
      <c r="U1009" t="s">
        <v>71</v>
      </c>
      <c r="V1009" t="s">
        <v>68</v>
      </c>
      <c r="W1009">
        <v>0</v>
      </c>
      <c r="X1009">
        <v>0</v>
      </c>
      <c r="Y1009">
        <v>55</v>
      </c>
      <c r="Z1009">
        <v>98</v>
      </c>
      <c r="AA1009">
        <v>100</v>
      </c>
      <c r="AB1009">
        <v>1000</v>
      </c>
      <c r="AC1009">
        <v>700</v>
      </c>
      <c r="AD1009">
        <v>700</v>
      </c>
      <c r="AE1009">
        <v>0</v>
      </c>
      <c r="AF1009">
        <v>0</v>
      </c>
      <c r="AG1009">
        <v>0</v>
      </c>
      <c r="AH1009">
        <v>0</v>
      </c>
      <c r="AI1009">
        <v>0</v>
      </c>
      <c r="AJ1009">
        <v>0</v>
      </c>
      <c r="AK1009">
        <v>0</v>
      </c>
      <c r="AL1009">
        <v>0</v>
      </c>
      <c r="AM1009">
        <v>0</v>
      </c>
      <c r="AN1009">
        <v>0</v>
      </c>
      <c r="AO1009">
        <v>48</v>
      </c>
      <c r="AP1009">
        <v>5</v>
      </c>
      <c r="AQ1009">
        <v>0</v>
      </c>
      <c r="AR1009">
        <v>0</v>
      </c>
      <c r="AS1009" t="s">
        <v>59</v>
      </c>
      <c r="AT1009">
        <v>0</v>
      </c>
      <c r="AU1009" t="s">
        <v>80</v>
      </c>
      <c r="AV1009" t="s">
        <v>77</v>
      </c>
      <c r="AW1009">
        <v>0</v>
      </c>
      <c r="AX1009">
        <v>2</v>
      </c>
      <c r="AY1009">
        <v>0</v>
      </c>
      <c r="AZ1009">
        <v>0</v>
      </c>
      <c r="BA1009">
        <v>100</v>
      </c>
      <c r="BB1009">
        <v>100</v>
      </c>
      <c r="BC1009">
        <v>100</v>
      </c>
      <c r="BD1009">
        <v>100</v>
      </c>
      <c r="BE1009">
        <v>1</v>
      </c>
      <c r="BF1009">
        <v>15000</v>
      </c>
      <c r="BG1009">
        <v>1000</v>
      </c>
      <c r="BH1009" s="7">
        <f>ROUND(Wapato_Inventory[[#This Row],[detatched_value]]*Lookups!$B$22*Lookups!$H$48,-2)</f>
        <v>0</v>
      </c>
      <c r="BI1009" s="7">
        <f>ROUND(((Wapato_Inventory[[#This Row],[land_extract]]*Lookups!$B$3) +(Lookups!$B$2*0.5))*Lookups!$H$48,-2)</f>
        <v>51500</v>
      </c>
      <c r="BJ1009" s="7">
        <f>IF(Wapato_Inventory[[#This Row],[bldg_style]]="",0,Lookups!$B$2*0.5)</f>
        <v>53765.27</v>
      </c>
      <c r="BK1009" s="7">
        <f>_xlfn.IFNA(VLOOKUP(Wapato_Inventory[[#This Row],[quality]],Lookups!$H$2:$J$14,3,FALSE),0)</f>
        <v>28034</v>
      </c>
      <c r="BL1009" s="7">
        <f>_xlfn.IFNA(VLOOKUP(Wapato_Inventory[[#This Row],[condition]],Lookups!$H$17:$J$24,3,FALSE),0)</f>
        <v>52231</v>
      </c>
      <c r="BM1009" s="7">
        <f>Wapato_Inventory[[#This Row],[Age]]*Lookups!$B$16</f>
        <v>-36326.2186</v>
      </c>
      <c r="BN1009" s="7">
        <f>Wapato_Inventory[[#This Row],[Main Floor]]*Lookups!$B$17</f>
        <v>29260.5173</v>
      </c>
      <c r="BO1009" s="7">
        <f>Wapato_Inventory[[#This Row],[Upper Floor]]*Lookups!$B$18</f>
        <v>0</v>
      </c>
      <c r="BP1009" s="7">
        <f>Wapato_Inventory[[#This Row],[Fin BSMT]]*Lookups!$B$19</f>
        <v>0</v>
      </c>
      <c r="BQ1009" s="7">
        <f>(Wapato_Inventory[[#This Row],[att_gar]]+Wapato_Inventory[[#This Row],[blt_gar]])*Lookups!$B$20</f>
        <v>0</v>
      </c>
      <c r="BR1009" s="7">
        <f>Wapato_Inventory[[#This Row],[Patio]]*Lookups!$B$21</f>
        <v>0</v>
      </c>
      <c r="BS1009" s="7">
        <f>SUM(Wapato_Inventory[[#This Row],[intercept]:[patio_value]])*Wapato_Inventory[[#This Row],[res_pct]]</f>
        <v>126964.5687</v>
      </c>
      <c r="BT1009" s="7">
        <f>Wapato_Inventory[[#This Row],[land_value]]</f>
        <v>51500</v>
      </c>
      <c r="BU1009" s="2">
        <f>_xlfn.IFNA(VLOOKUP(Wapato_Inventory[[#This Row],[quality]],Lookups!$A$28:$C$37,3,FALSE),1)</f>
        <v>0.96265813922927435</v>
      </c>
      <c r="BV1009" s="2">
        <f>_xlfn.IFNA(VLOOKUP(Wapato_Inventory[[#This Row],[condition]],Lookups!$A$41:$C$48,3,FALSE),1)</f>
        <v>0.9832333997567807</v>
      </c>
      <c r="BW1009" s="2">
        <f>IF(Wapato_Inventory[[#This Row],[decade]]="",1,_xlfn.IFNA(VLOOKUP(Wapato_Inventory[[#This Row],[decade]],Lookups!$F$28:$H$45,3,FALSE),1))</f>
        <v>1.0114203040664467</v>
      </c>
      <c r="BX1009" s="2">
        <f>_xlfn.IFNA(VLOOKUP(Wapato_Inventory[[#This Row],[living_area_range]],Lookups!$K$28:$M$37,3,FALSE),1)</f>
        <v>0.99022994770196116</v>
      </c>
      <c r="BY1009" s="2">
        <f>AVERAGE(Wapato_Inventory[[#This Row],[qual_adj]:[range_adj]])</f>
        <v>0.98688544768861564</v>
      </c>
      <c r="BZ1009" s="7">
        <f>(Wapato_Inventory[[#This Row],[sum_land]]-IF(Wapato_Inventory[[#This Row],[no_utilities]]=1,12000,0))/IF(Wapato_Inventory[[#This Row],[unbuildable]]=1,2,1)</f>
        <v>51500</v>
      </c>
      <c r="CA1009" s="7">
        <f>Wapato_Inventory[[#This Row],[pre_res]]*Wapato_Inventory[[#This Row],[overall_adj]]</f>
        <v>125299.48522209151</v>
      </c>
      <c r="CB1009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1009" s="3">
        <f>IF(ROUND(Wapato_Inventory[[#This Row],[adj_res]]*Lookups!$H$48,-2)&lt;Wapato_Inventory[[#This Row],[min_res]],Wapato_Inventory[[#This Row],[min_res]],ROUND(Wapato_Inventory[[#This Row],[adj_res]]*Lookups!$H$48,-2))</f>
        <v>119000</v>
      </c>
      <c r="CD1009" s="3">
        <f>ROUND(Wapato_Inventory[[#This Row],[det_value]]*Lookups!$H$48,-2)</f>
        <v>0</v>
      </c>
      <c r="CE1009" s="3">
        <f>Wapato_Inventory[[#This Row],[final_res]]+Wapato_Inventory[[#This Row],[final_det]]</f>
        <v>119000</v>
      </c>
      <c r="CF1009" s="3">
        <f>Wapato_Inventory[[#This Row],[crop_value]]+Wapato_Inventory[[#This Row],[final_land]]+Wapato_Inventory[[#This Row],[final_imp]]</f>
        <v>167900</v>
      </c>
      <c r="CH1009" t="str">
        <f t="shared" si="15"/>
        <v>update valuation set market_land =48900, market_bldg=119000, market_total =167900, market_mdno =405, market_date ='9/10/2023' where link_id = (select link_id from parcel where parcel_year = '2024' and parcel_id = '19111523445');</v>
      </c>
    </row>
    <row r="1010" spans="1:86" x14ac:dyDescent="0.25">
      <c r="A1010">
        <v>19111523446</v>
      </c>
      <c r="B1010">
        <v>0.1</v>
      </c>
      <c r="C1010">
        <v>4147</v>
      </c>
      <c r="D1010" t="s">
        <v>144</v>
      </c>
      <c r="E1010" t="s">
        <v>54</v>
      </c>
      <c r="F1010" t="s">
        <v>54</v>
      </c>
      <c r="G1010">
        <v>3</v>
      </c>
      <c r="H1010" t="s">
        <v>55</v>
      </c>
      <c r="I1010">
        <v>56500</v>
      </c>
      <c r="J1010">
        <v>29500</v>
      </c>
      <c r="K1010">
        <v>0.1</v>
      </c>
      <c r="L1010">
        <f>IF(Wapato_Inventory[[#This Row],[parcel_acres]]-Wapato_Inventory[[#This Row],[non_valued_acres]] =0,0,LN(Wapato_Inventory[[#This Row],[parcel_acres]]-Wapato_Inventory[[#This Row],[non_valued_acres]]))</f>
        <v>-2.3025850929940455</v>
      </c>
      <c r="M1010">
        <v>0</v>
      </c>
      <c r="N1010">
        <v>0</v>
      </c>
      <c r="O1010">
        <v>0</v>
      </c>
      <c r="P1010">
        <v>27904.037</v>
      </c>
      <c r="Q1010">
        <v>74398</v>
      </c>
      <c r="R1010" s="3">
        <f>(Wapato_Inventory[[#This Row],[ln_acres]]*Wapato_Inventory[[#This Row],[coeff]])+Wapato_Inventory[[#This Row],[const]]</f>
        <v>10146.580369445714</v>
      </c>
      <c r="S1010" t="s">
        <v>66</v>
      </c>
      <c r="T1010">
        <v>1</v>
      </c>
      <c r="U1010" t="s">
        <v>78</v>
      </c>
      <c r="V1010" t="s">
        <v>84</v>
      </c>
      <c r="W1010">
        <v>0</v>
      </c>
      <c r="X1010">
        <v>0</v>
      </c>
      <c r="Y1010">
        <v>52</v>
      </c>
      <c r="Z1010">
        <v>88</v>
      </c>
      <c r="AA1010">
        <v>90</v>
      </c>
      <c r="AB1010">
        <v>1000</v>
      </c>
      <c r="AC1010">
        <v>938</v>
      </c>
      <c r="AD1010">
        <v>938</v>
      </c>
      <c r="AE1010">
        <v>0</v>
      </c>
      <c r="AF1010">
        <v>0</v>
      </c>
      <c r="AG1010">
        <v>0</v>
      </c>
      <c r="AH1010">
        <v>0</v>
      </c>
      <c r="AI1010">
        <v>0</v>
      </c>
      <c r="AJ1010">
        <v>0</v>
      </c>
      <c r="AK1010">
        <v>0</v>
      </c>
      <c r="AL1010">
        <v>0</v>
      </c>
      <c r="AM1010">
        <v>24</v>
      </c>
      <c r="AN1010">
        <v>0</v>
      </c>
      <c r="AO1010">
        <v>24</v>
      </c>
      <c r="AP1010">
        <v>5</v>
      </c>
      <c r="AQ1010">
        <v>0</v>
      </c>
      <c r="AR1010">
        <v>0</v>
      </c>
      <c r="AS1010" t="s">
        <v>59</v>
      </c>
      <c r="AT1010">
        <v>0</v>
      </c>
      <c r="AU1010" t="s">
        <v>80</v>
      </c>
      <c r="AV1010" t="s">
        <v>147</v>
      </c>
      <c r="AW1010">
        <v>0</v>
      </c>
      <c r="AX1010">
        <v>3</v>
      </c>
      <c r="AY1010">
        <v>0</v>
      </c>
      <c r="AZ1010">
        <v>0</v>
      </c>
      <c r="BA1010">
        <v>100</v>
      </c>
      <c r="BB1010">
        <v>100</v>
      </c>
      <c r="BC1010">
        <v>100</v>
      </c>
      <c r="BD1010">
        <v>91</v>
      </c>
      <c r="BE1010">
        <v>0.91</v>
      </c>
      <c r="BF1010">
        <v>15000</v>
      </c>
      <c r="BG1010">
        <v>1000</v>
      </c>
      <c r="BH1010" s="7">
        <f>ROUND(Wapato_Inventory[[#This Row],[detatched_value]]*Lookups!$B$22*Lookups!$H$48,-2)</f>
        <v>0</v>
      </c>
      <c r="BI1010" s="7">
        <f>ROUND(((Wapato_Inventory[[#This Row],[land_extract]]*Lookups!$B$3) +(Lookups!$B$2*0.5))*Lookups!$H$48,-2)</f>
        <v>52100</v>
      </c>
      <c r="BJ1010" s="7">
        <f>IF(Wapato_Inventory[[#This Row],[bldg_style]]="",0,Lookups!$B$2*0.5)</f>
        <v>53765.27</v>
      </c>
      <c r="BK1010" s="7">
        <f>_xlfn.IFNA(VLOOKUP(Wapato_Inventory[[#This Row],[quality]],Lookups!$H$2:$J$14,3,FALSE),0)</f>
        <v>23424</v>
      </c>
      <c r="BL1010" s="7">
        <f>_xlfn.IFNA(VLOOKUP(Wapato_Inventory[[#This Row],[condition]],Lookups!$H$17:$J$24,3,FALSE),0)</f>
        <v>0</v>
      </c>
      <c r="BM1010" s="7">
        <f>Wapato_Inventory[[#This Row],[Age]]*Lookups!$B$16</f>
        <v>-32619.461600000002</v>
      </c>
      <c r="BN1010" s="7">
        <f>Wapato_Inventory[[#This Row],[Main Floor]]*Lookups!$B$17</f>
        <v>39209.093181999997</v>
      </c>
      <c r="BO1010" s="7">
        <f>Wapato_Inventory[[#This Row],[Upper Floor]]*Lookups!$B$18</f>
        <v>0</v>
      </c>
      <c r="BP1010" s="7">
        <f>Wapato_Inventory[[#This Row],[Fin BSMT]]*Lookups!$B$19</f>
        <v>0</v>
      </c>
      <c r="BQ1010" s="7">
        <f>(Wapato_Inventory[[#This Row],[att_gar]]+Wapato_Inventory[[#This Row],[blt_gar]])*Lookups!$B$20</f>
        <v>0</v>
      </c>
      <c r="BR1010" s="7">
        <f>Wapato_Inventory[[#This Row],[Patio]]*Lookups!$B$21</f>
        <v>1039.775496</v>
      </c>
      <c r="BS1010" s="7">
        <f>SUM(Wapato_Inventory[[#This Row],[intercept]:[patio_value]])*Wapato_Inventory[[#This Row],[res_pct]]</f>
        <v>77184.996140980002</v>
      </c>
      <c r="BT1010" s="7">
        <f>Wapato_Inventory[[#This Row],[land_value]]</f>
        <v>52100</v>
      </c>
      <c r="BU1010" s="2">
        <f>_xlfn.IFNA(VLOOKUP(Wapato_Inventory[[#This Row],[quality]],Lookups!$A$28:$C$37,3,FALSE),1)</f>
        <v>1.0091195562373767</v>
      </c>
      <c r="BV1010" s="2">
        <f>_xlfn.IFNA(VLOOKUP(Wapato_Inventory[[#This Row],[condition]],Lookups!$A$41:$C$48,3,FALSE),1)</f>
        <v>1.0000035546274355</v>
      </c>
      <c r="BW1010" s="2">
        <f>IF(Wapato_Inventory[[#This Row],[decade]]="",1,_xlfn.IFNA(VLOOKUP(Wapato_Inventory[[#This Row],[decade]],Lookups!$F$28:$H$45,3,FALSE),1))</f>
        <v>0.94742695999815718</v>
      </c>
      <c r="BX1010" s="2">
        <f>_xlfn.IFNA(VLOOKUP(Wapato_Inventory[[#This Row],[living_area_range]],Lookups!$K$28:$M$37,3,FALSE),1)</f>
        <v>0.99022994770196116</v>
      </c>
      <c r="BY1010" s="2">
        <f>AVERAGE(Wapato_Inventory[[#This Row],[qual_adj]:[range_adj]])</f>
        <v>0.98669500464123261</v>
      </c>
      <c r="BZ1010" s="7">
        <f>(Wapato_Inventory[[#This Row],[sum_land]]-IF(Wapato_Inventory[[#This Row],[no_utilities]]=1,12000,0))/IF(Wapato_Inventory[[#This Row],[unbuildable]]=1,2,1)</f>
        <v>52100</v>
      </c>
      <c r="CA1010" s="7">
        <f>Wapato_Inventory[[#This Row],[pre_res]]*Wapato_Inventory[[#This Row],[overall_adj]]</f>
        <v>76158.050125557784</v>
      </c>
      <c r="CB1010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1010" s="3">
        <f>IF(ROUND(Wapato_Inventory[[#This Row],[adj_res]]*Lookups!$H$48,-2)&lt;Wapato_Inventory[[#This Row],[min_res]],Wapato_Inventory[[#This Row],[min_res]],ROUND(Wapato_Inventory[[#This Row],[adj_res]]*Lookups!$H$48,-2))</f>
        <v>72400</v>
      </c>
      <c r="CD1010" s="3">
        <f>ROUND(Wapato_Inventory[[#This Row],[det_value]]*Lookups!$H$48,-2)</f>
        <v>0</v>
      </c>
      <c r="CE1010" s="3">
        <f>Wapato_Inventory[[#This Row],[final_res]]+Wapato_Inventory[[#This Row],[final_det]]</f>
        <v>72400</v>
      </c>
      <c r="CF1010" s="3">
        <f>Wapato_Inventory[[#This Row],[crop_value]]+Wapato_Inventory[[#This Row],[final_land]]+Wapato_Inventory[[#This Row],[final_imp]]</f>
        <v>121900</v>
      </c>
      <c r="CH1010" t="str">
        <f t="shared" si="15"/>
        <v>update valuation set market_land =49500, market_bldg=72400, market_total =121900, market_mdno =405, market_date ='9/10/2023' where link_id = (select link_id from parcel where parcel_year = '2024' and parcel_id = '19111523446');</v>
      </c>
    </row>
    <row r="1011" spans="1:86" x14ac:dyDescent="0.25">
      <c r="A1011">
        <v>19111523447</v>
      </c>
      <c r="B1011">
        <v>0.9</v>
      </c>
      <c r="C1011">
        <v>39082</v>
      </c>
      <c r="D1011" t="s">
        <v>144</v>
      </c>
      <c r="E1011" t="s">
        <v>54</v>
      </c>
      <c r="F1011" t="s">
        <v>54</v>
      </c>
      <c r="G1011">
        <v>3</v>
      </c>
      <c r="H1011" t="s">
        <v>55</v>
      </c>
      <c r="I1011">
        <v>689300</v>
      </c>
      <c r="J1011">
        <v>45200</v>
      </c>
      <c r="K1011">
        <v>0.9</v>
      </c>
      <c r="L1011">
        <f>IF(Wapato_Inventory[[#This Row],[parcel_acres]]-Wapato_Inventory[[#This Row],[non_valued_acres]] =0,0,LN(Wapato_Inventory[[#This Row],[parcel_acres]]-Wapato_Inventory[[#This Row],[non_valued_acres]]))</f>
        <v>-0.10536051565782628</v>
      </c>
      <c r="M1011">
        <v>0</v>
      </c>
      <c r="N1011">
        <v>0</v>
      </c>
      <c r="O1011">
        <v>0</v>
      </c>
      <c r="P1011">
        <v>27904.037</v>
      </c>
      <c r="Q1011">
        <v>74398</v>
      </c>
      <c r="R1011" s="3">
        <f>(Wapato_Inventory[[#This Row],[ln_acres]]*Wapato_Inventory[[#This Row],[coeff]])+Wapato_Inventory[[#This Row],[const]]</f>
        <v>71458.016272744935</v>
      </c>
      <c r="S1011" t="s">
        <v>56</v>
      </c>
      <c r="T1011">
        <v>2</v>
      </c>
      <c r="U1011" t="s">
        <v>67</v>
      </c>
      <c r="V1011" t="s">
        <v>69</v>
      </c>
      <c r="W1011">
        <v>0</v>
      </c>
      <c r="X1011">
        <v>0</v>
      </c>
      <c r="Y1011">
        <v>48</v>
      </c>
      <c r="Z1011">
        <v>63</v>
      </c>
      <c r="AA1011">
        <v>70</v>
      </c>
      <c r="AB1011">
        <v>3000</v>
      </c>
      <c r="AC1011">
        <v>2970</v>
      </c>
      <c r="AD1011">
        <v>2052</v>
      </c>
      <c r="AE1011">
        <v>918</v>
      </c>
      <c r="AF1011">
        <v>0</v>
      </c>
      <c r="AG1011">
        <v>0</v>
      </c>
      <c r="AH1011">
        <v>0</v>
      </c>
      <c r="AI1011">
        <v>1984</v>
      </c>
      <c r="AJ1011">
        <v>0</v>
      </c>
      <c r="AK1011">
        <v>448</v>
      </c>
      <c r="AL1011">
        <v>0</v>
      </c>
      <c r="AM1011">
        <v>0</v>
      </c>
      <c r="AN1011">
        <v>0</v>
      </c>
      <c r="AO1011">
        <v>0</v>
      </c>
      <c r="AP1011">
        <v>7</v>
      </c>
      <c r="AQ1011">
        <v>1</v>
      </c>
      <c r="AR1011">
        <v>0</v>
      </c>
      <c r="AS1011" t="s">
        <v>59</v>
      </c>
      <c r="AT1011">
        <v>1</v>
      </c>
      <c r="AU1011" t="s">
        <v>64</v>
      </c>
      <c r="AV1011" t="s">
        <v>65</v>
      </c>
      <c r="AW1011">
        <v>1</v>
      </c>
      <c r="AX1011">
        <v>4</v>
      </c>
      <c r="AY1011">
        <v>0</v>
      </c>
      <c r="AZ1011">
        <v>156700</v>
      </c>
      <c r="BA1011">
        <v>100</v>
      </c>
      <c r="BB1011">
        <v>100</v>
      </c>
      <c r="BC1011">
        <v>100</v>
      </c>
      <c r="BD1011">
        <v>100</v>
      </c>
      <c r="BE1011">
        <v>1</v>
      </c>
      <c r="BF1011">
        <v>15000</v>
      </c>
      <c r="BG1011">
        <v>1000</v>
      </c>
      <c r="BH1011" s="7">
        <f>ROUND(Wapato_Inventory[[#This Row],[detatched_value]]*Lookups!$B$22*Lookups!$H$48,-2)</f>
        <v>140000</v>
      </c>
      <c r="BI1011" s="7">
        <f>ROUND(((Wapato_Inventory[[#This Row],[land_extract]]*Lookups!$B$3) +(Lookups!$B$2*0.5))*Lookups!$H$48,-2)</f>
        <v>58000</v>
      </c>
      <c r="BJ1011" s="7">
        <f>IF(Wapato_Inventory[[#This Row],[bldg_style]]="",0,Lookups!$B$2*0.5)</f>
        <v>53765.27</v>
      </c>
      <c r="BK1011" s="7">
        <f>_xlfn.IFNA(VLOOKUP(Wapato_Inventory[[#This Row],[quality]],Lookups!$H$2:$J$14,3,FALSE),0)</f>
        <v>50405</v>
      </c>
      <c r="BL1011" s="7">
        <f>_xlfn.IFNA(VLOOKUP(Wapato_Inventory[[#This Row],[condition]],Lookups!$H$17:$J$24,3,FALSE),0)</f>
        <v>74543</v>
      </c>
      <c r="BM1011" s="7">
        <f>Wapato_Inventory[[#This Row],[Age]]*Lookups!$B$16</f>
        <v>-23352.569100000001</v>
      </c>
      <c r="BN1011" s="7">
        <f>Wapato_Inventory[[#This Row],[Main Floor]]*Lookups!$B$17</f>
        <v>85775.116427999994</v>
      </c>
      <c r="BO1011" s="7">
        <f>Wapato_Inventory[[#This Row],[Upper Floor]]*Lookups!$B$18</f>
        <v>45533.845602000001</v>
      </c>
      <c r="BP1011" s="7">
        <f>Wapato_Inventory[[#This Row],[Fin BSMT]]*Lookups!$B$19</f>
        <v>0</v>
      </c>
      <c r="BQ1011" s="7">
        <f>(Wapato_Inventory[[#This Row],[att_gar]]+Wapato_Inventory[[#This Row],[blt_gar]])*Lookups!$B$20</f>
        <v>73425.363968000005</v>
      </c>
      <c r="BR1011" s="7">
        <f>Wapato_Inventory[[#This Row],[Patio]]*Lookups!$B$21</f>
        <v>0</v>
      </c>
      <c r="BS1011" s="7">
        <f>SUM(Wapato_Inventory[[#This Row],[intercept]:[patio_value]])*Wapato_Inventory[[#This Row],[res_pct]]</f>
        <v>360095.02689799998</v>
      </c>
      <c r="BT1011" s="7">
        <f>Wapato_Inventory[[#This Row],[land_value]]</f>
        <v>58000</v>
      </c>
      <c r="BU1011" s="2">
        <f>_xlfn.IFNA(VLOOKUP(Wapato_Inventory[[#This Row],[quality]],Lookups!$A$28:$C$37,3,FALSE),1)</f>
        <v>0.97993206410140754</v>
      </c>
      <c r="BV1011" s="2">
        <f>_xlfn.IFNA(VLOOKUP(Wapato_Inventory[[#This Row],[condition]],Lookups!$A$41:$C$48,3,FALSE),1)</f>
        <v>0.98442438223270734</v>
      </c>
      <c r="BW1011" s="2">
        <f>IF(Wapato_Inventory[[#This Row],[decade]]="",1,_xlfn.IFNA(VLOOKUP(Wapato_Inventory[[#This Row],[decade]],Lookups!$F$28:$H$45,3,FALSE),1))</f>
        <v>1.0012715221492001</v>
      </c>
      <c r="BX1011" s="2">
        <f>_xlfn.IFNA(VLOOKUP(Wapato_Inventory[[#This Row],[living_area_range]],Lookups!$K$28:$M$37,3,FALSE),1)</f>
        <v>1.0155869662067822</v>
      </c>
      <c r="BY1011" s="2">
        <f>AVERAGE(Wapato_Inventory[[#This Row],[qual_adj]:[range_adj]])</f>
        <v>0.99530373367252434</v>
      </c>
      <c r="BZ1011" s="7">
        <f>(Wapato_Inventory[[#This Row],[sum_land]]-IF(Wapato_Inventory[[#This Row],[no_utilities]]=1,12000,0))/IF(Wapato_Inventory[[#This Row],[unbuildable]]=1,2,1)</f>
        <v>58000</v>
      </c>
      <c r="CA1011" s="7">
        <f>Wapato_Inventory[[#This Row],[pre_res]]*Wapato_Inventory[[#This Row],[overall_adj]]</f>
        <v>358403.92474848748</v>
      </c>
      <c r="CB1011" s="3">
        <f>IF(ROUND(Wapato_Inventory[[#This Row],[adj_land]]*Lookups!$H$48,-2)&lt;Wapato_Inventory[[#This Row],[min_land]],Wapato_Inventory[[#This Row],[min_land]],ROUND(Wapato_Inventory[[#This Row],[adj_land]]*Lookups!$H$48,-2))</f>
        <v>55100</v>
      </c>
      <c r="CC1011" s="3">
        <f>IF(ROUND(Wapato_Inventory[[#This Row],[adj_res]]*Lookups!$H$48,-2)&lt;Wapato_Inventory[[#This Row],[min_res]],Wapato_Inventory[[#This Row],[min_res]],ROUND(Wapato_Inventory[[#This Row],[adj_res]]*Lookups!$H$48,-2))</f>
        <v>340500</v>
      </c>
      <c r="CD1011" s="3">
        <f>ROUND(Wapato_Inventory[[#This Row],[det_value]]*Lookups!$H$48,-2)</f>
        <v>133000</v>
      </c>
      <c r="CE1011" s="3">
        <f>Wapato_Inventory[[#This Row],[final_res]]+Wapato_Inventory[[#This Row],[final_det]]</f>
        <v>473500</v>
      </c>
      <c r="CF1011" s="3">
        <f>Wapato_Inventory[[#This Row],[crop_value]]+Wapato_Inventory[[#This Row],[final_land]]+Wapato_Inventory[[#This Row],[final_imp]]</f>
        <v>528600</v>
      </c>
      <c r="CH1011" t="str">
        <f t="shared" si="15"/>
        <v>update valuation set market_land =55100, market_bldg=473500, market_total =528600, market_mdno =405, market_date ='9/10/2023' where link_id = (select link_id from parcel where parcel_year = '2024' and parcel_id = '19111523447');</v>
      </c>
    </row>
    <row r="1012" spans="1:86" x14ac:dyDescent="0.25">
      <c r="A1012">
        <v>19111523448</v>
      </c>
      <c r="B1012">
        <v>0.85</v>
      </c>
      <c r="C1012">
        <v>37118</v>
      </c>
      <c r="D1012" t="s">
        <v>144</v>
      </c>
      <c r="E1012" t="s">
        <v>54</v>
      </c>
      <c r="F1012" t="s">
        <v>54</v>
      </c>
      <c r="G1012">
        <v>3</v>
      </c>
      <c r="H1012" t="s">
        <v>55</v>
      </c>
      <c r="I1012">
        <v>203100</v>
      </c>
      <c r="J1012">
        <v>44800</v>
      </c>
      <c r="K1012">
        <v>0.85</v>
      </c>
      <c r="L1012">
        <f>IF(Wapato_Inventory[[#This Row],[parcel_acres]]-Wapato_Inventory[[#This Row],[non_valued_acres]] =0,0,LN(Wapato_Inventory[[#This Row],[parcel_acres]]-Wapato_Inventory[[#This Row],[non_valued_acres]]))</f>
        <v>-0.16251892949777494</v>
      </c>
      <c r="M1012">
        <v>0</v>
      </c>
      <c r="N1012">
        <v>0</v>
      </c>
      <c r="O1012">
        <v>0</v>
      </c>
      <c r="P1012">
        <v>27904.037</v>
      </c>
      <c r="Q1012">
        <v>74398</v>
      </c>
      <c r="R1012" s="3">
        <f>(Wapato_Inventory[[#This Row],[ln_acres]]*Wapato_Inventory[[#This Row],[coeff]])+Wapato_Inventory[[#This Row],[const]]</f>
        <v>69863.065778093704</v>
      </c>
      <c r="S1012" t="s">
        <v>66</v>
      </c>
      <c r="T1012">
        <v>1</v>
      </c>
      <c r="U1012" t="s">
        <v>75</v>
      </c>
      <c r="V1012" t="s">
        <v>68</v>
      </c>
      <c r="W1012">
        <v>0</v>
      </c>
      <c r="X1012">
        <v>0</v>
      </c>
      <c r="Y1012">
        <v>51</v>
      </c>
      <c r="Z1012">
        <v>83</v>
      </c>
      <c r="AA1012">
        <v>90</v>
      </c>
      <c r="AB1012">
        <v>1500</v>
      </c>
      <c r="AC1012">
        <v>1260</v>
      </c>
      <c r="AD1012">
        <v>1260</v>
      </c>
      <c r="AE1012">
        <v>0</v>
      </c>
      <c r="AF1012">
        <v>0</v>
      </c>
      <c r="AG1012">
        <v>0</v>
      </c>
      <c r="AH1012">
        <v>0</v>
      </c>
      <c r="AI1012">
        <v>0</v>
      </c>
      <c r="AJ1012">
        <v>0</v>
      </c>
      <c r="AK1012">
        <v>0</v>
      </c>
      <c r="AL1012">
        <v>0</v>
      </c>
      <c r="AM1012">
        <v>210</v>
      </c>
      <c r="AN1012">
        <v>0</v>
      </c>
      <c r="AO1012">
        <v>210</v>
      </c>
      <c r="AP1012">
        <v>5</v>
      </c>
      <c r="AQ1012">
        <v>0</v>
      </c>
      <c r="AR1012">
        <v>0</v>
      </c>
      <c r="AS1012" t="s">
        <v>59</v>
      </c>
      <c r="AT1012">
        <v>1</v>
      </c>
      <c r="AU1012" t="s">
        <v>60</v>
      </c>
      <c r="AV1012" t="s">
        <v>61</v>
      </c>
      <c r="AW1012">
        <v>1</v>
      </c>
      <c r="AX1012">
        <v>3</v>
      </c>
      <c r="AY1012">
        <v>0</v>
      </c>
      <c r="AZ1012">
        <v>18400</v>
      </c>
      <c r="BA1012">
        <v>100</v>
      </c>
      <c r="BB1012">
        <v>100</v>
      </c>
      <c r="BC1012">
        <v>100</v>
      </c>
      <c r="BD1012">
        <v>100</v>
      </c>
      <c r="BE1012">
        <v>1</v>
      </c>
      <c r="BF1012">
        <v>15000</v>
      </c>
      <c r="BG1012">
        <v>1000</v>
      </c>
      <c r="BH1012" s="7">
        <f>ROUND(Wapato_Inventory[[#This Row],[detatched_value]]*Lookups!$B$22*Lookups!$H$48,-2)</f>
        <v>16400</v>
      </c>
      <c r="BI1012" s="7">
        <f>ROUND(((Wapato_Inventory[[#This Row],[land_extract]]*Lookups!$B$3) +(Lookups!$B$2*0.5))*Lookups!$H$48,-2)</f>
        <v>57800</v>
      </c>
      <c r="BJ1012" s="7">
        <f>IF(Wapato_Inventory[[#This Row],[bldg_style]]="",0,Lookups!$B$2*0.5)</f>
        <v>53765.27</v>
      </c>
      <c r="BK1012" s="7">
        <f>_xlfn.IFNA(VLOOKUP(Wapato_Inventory[[#This Row],[quality]],Lookups!$H$2:$J$14,3,FALSE),0)</f>
        <v>48043</v>
      </c>
      <c r="BL1012" s="7">
        <f>_xlfn.IFNA(VLOOKUP(Wapato_Inventory[[#This Row],[condition]],Lookups!$H$17:$J$24,3,FALSE),0)</f>
        <v>52231</v>
      </c>
      <c r="BM1012" s="7">
        <f>Wapato_Inventory[[#This Row],[Age]]*Lookups!$B$16</f>
        <v>-30766.0831</v>
      </c>
      <c r="BN1012" s="7">
        <f>Wapato_Inventory[[#This Row],[Main Floor]]*Lookups!$B$17</f>
        <v>52668.931140000001</v>
      </c>
      <c r="BO1012" s="7">
        <f>Wapato_Inventory[[#This Row],[Upper Floor]]*Lookups!$B$18</f>
        <v>0</v>
      </c>
      <c r="BP1012" s="7">
        <f>Wapato_Inventory[[#This Row],[Fin BSMT]]*Lookups!$B$19</f>
        <v>0</v>
      </c>
      <c r="BQ1012" s="7">
        <f>(Wapato_Inventory[[#This Row],[att_gar]]+Wapato_Inventory[[#This Row],[blt_gar]])*Lookups!$B$20</f>
        <v>0</v>
      </c>
      <c r="BR1012" s="7">
        <f>Wapato_Inventory[[#This Row],[Patio]]*Lookups!$B$21</f>
        <v>9098.0355899999995</v>
      </c>
      <c r="BS1012" s="7">
        <f>SUM(Wapato_Inventory[[#This Row],[intercept]:[patio_value]])*Wapato_Inventory[[#This Row],[res_pct]]</f>
        <v>185040.15362999996</v>
      </c>
      <c r="BT1012" s="7">
        <f>Wapato_Inventory[[#This Row],[land_value]]</f>
        <v>57800</v>
      </c>
      <c r="BU1012" s="2">
        <f>_xlfn.IFNA(VLOOKUP(Wapato_Inventory[[#This Row],[quality]],Lookups!$A$28:$C$37,3,FALSE),1)</f>
        <v>0.98196844879778955</v>
      </c>
      <c r="BV1012" s="2">
        <f>_xlfn.IFNA(VLOOKUP(Wapato_Inventory[[#This Row],[condition]],Lookups!$A$41:$C$48,3,FALSE),1)</f>
        <v>0.9832333997567807</v>
      </c>
      <c r="BW1012" s="2">
        <f>IF(Wapato_Inventory[[#This Row],[decade]]="",1,_xlfn.IFNA(VLOOKUP(Wapato_Inventory[[#This Row],[decade]],Lookups!$F$28:$H$45,3,FALSE),1))</f>
        <v>0.94742695999815718</v>
      </c>
      <c r="BX1012" s="2">
        <f>_xlfn.IFNA(VLOOKUP(Wapato_Inventory[[#This Row],[living_area_range]],Lookups!$K$28:$M$37,3,FALSE),1)</f>
        <v>1.0061411172456287</v>
      </c>
      <c r="BY1012" s="2">
        <f>AVERAGE(Wapato_Inventory[[#This Row],[qual_adj]:[range_adj]])</f>
        <v>0.97969248144958898</v>
      </c>
      <c r="BZ1012" s="7">
        <f>(Wapato_Inventory[[#This Row],[sum_land]]-IF(Wapato_Inventory[[#This Row],[no_utilities]]=1,12000,0))/IF(Wapato_Inventory[[#This Row],[unbuildable]]=1,2,1)</f>
        <v>57800</v>
      </c>
      <c r="CA1012" s="7">
        <f>Wapato_Inventory[[#This Row],[pre_res]]*Wapato_Inventory[[#This Row],[overall_adj]]</f>
        <v>181282.44727758784</v>
      </c>
      <c r="CB1012" s="3">
        <f>IF(ROUND(Wapato_Inventory[[#This Row],[adj_land]]*Lookups!$H$48,-2)&lt;Wapato_Inventory[[#This Row],[min_land]],Wapato_Inventory[[#This Row],[min_land]],ROUND(Wapato_Inventory[[#This Row],[adj_land]]*Lookups!$H$48,-2))</f>
        <v>54900</v>
      </c>
      <c r="CC1012" s="3">
        <f>IF(ROUND(Wapato_Inventory[[#This Row],[adj_res]]*Lookups!$H$48,-2)&lt;Wapato_Inventory[[#This Row],[min_res]],Wapato_Inventory[[#This Row],[min_res]],ROUND(Wapato_Inventory[[#This Row],[adj_res]]*Lookups!$H$48,-2))</f>
        <v>172200</v>
      </c>
      <c r="CD1012" s="3">
        <f>ROUND(Wapato_Inventory[[#This Row],[det_value]]*Lookups!$H$48,-2)</f>
        <v>15600</v>
      </c>
      <c r="CE1012" s="3">
        <f>Wapato_Inventory[[#This Row],[final_res]]+Wapato_Inventory[[#This Row],[final_det]]</f>
        <v>187800</v>
      </c>
      <c r="CF1012" s="3">
        <f>Wapato_Inventory[[#This Row],[crop_value]]+Wapato_Inventory[[#This Row],[final_land]]+Wapato_Inventory[[#This Row],[final_imp]]</f>
        <v>242700</v>
      </c>
      <c r="CH1012" t="str">
        <f t="shared" si="15"/>
        <v>update valuation set market_land =54900, market_bldg=187800, market_total =242700, market_mdno =405, market_date ='9/10/2023' where link_id = (select link_id from parcel where parcel_year = '2024' and parcel_id = '19111523448');</v>
      </c>
    </row>
    <row r="1013" spans="1:86" x14ac:dyDescent="0.25">
      <c r="A1013">
        <v>19111523450</v>
      </c>
      <c r="B1013">
        <v>0.39</v>
      </c>
      <c r="C1013">
        <v>16840</v>
      </c>
      <c r="D1013" t="s">
        <v>144</v>
      </c>
      <c r="E1013" t="s">
        <v>54</v>
      </c>
      <c r="F1013" t="s">
        <v>54</v>
      </c>
      <c r="G1013">
        <v>3</v>
      </c>
      <c r="H1013" t="s">
        <v>55</v>
      </c>
      <c r="I1013">
        <v>180800</v>
      </c>
      <c r="J1013">
        <v>39100</v>
      </c>
      <c r="K1013">
        <v>0.39</v>
      </c>
      <c r="L1013">
        <f>IF(Wapato_Inventory[[#This Row],[parcel_acres]]-Wapato_Inventory[[#This Row],[non_valued_acres]] =0,0,LN(Wapato_Inventory[[#This Row],[parcel_acres]]-Wapato_Inventory[[#This Row],[non_valued_acres]]))</f>
        <v>-0.94160853985844495</v>
      </c>
      <c r="M1013">
        <v>0</v>
      </c>
      <c r="N1013">
        <v>0</v>
      </c>
      <c r="O1013">
        <v>0</v>
      </c>
      <c r="P1013">
        <v>27904.037</v>
      </c>
      <c r="Q1013">
        <v>74398</v>
      </c>
      <c r="R1013" s="3">
        <f>(Wapato_Inventory[[#This Row],[ln_acres]]*Wapato_Inventory[[#This Row],[coeff]])+Wapato_Inventory[[#This Row],[const]]</f>
        <v>48123.320464273973</v>
      </c>
      <c r="S1013" t="s">
        <v>66</v>
      </c>
      <c r="T1013">
        <v>1</v>
      </c>
      <c r="U1013" t="s">
        <v>78</v>
      </c>
      <c r="V1013" t="s">
        <v>70</v>
      </c>
      <c r="W1013">
        <v>0</v>
      </c>
      <c r="X1013">
        <v>0</v>
      </c>
      <c r="Y1013">
        <v>53</v>
      </c>
      <c r="Z1013">
        <v>93</v>
      </c>
      <c r="AA1013">
        <v>100</v>
      </c>
      <c r="AB1013">
        <v>1000</v>
      </c>
      <c r="AC1013">
        <v>880</v>
      </c>
      <c r="AD1013">
        <v>880</v>
      </c>
      <c r="AE1013">
        <v>0</v>
      </c>
      <c r="AF1013">
        <v>0</v>
      </c>
      <c r="AG1013">
        <v>0</v>
      </c>
      <c r="AH1013">
        <v>0</v>
      </c>
      <c r="AI1013">
        <v>0</v>
      </c>
      <c r="AJ1013">
        <v>0</v>
      </c>
      <c r="AK1013">
        <v>0</v>
      </c>
      <c r="AL1013">
        <v>0</v>
      </c>
      <c r="AM1013">
        <v>0</v>
      </c>
      <c r="AN1013">
        <v>0</v>
      </c>
      <c r="AO1013">
        <v>0</v>
      </c>
      <c r="AP1013">
        <v>5</v>
      </c>
      <c r="AQ1013">
        <v>0</v>
      </c>
      <c r="AR1013">
        <v>0</v>
      </c>
      <c r="AS1013" t="s">
        <v>59</v>
      </c>
      <c r="AT1013">
        <v>1</v>
      </c>
      <c r="AU1013" t="s">
        <v>76</v>
      </c>
      <c r="AV1013" t="s">
        <v>61</v>
      </c>
      <c r="AW1013">
        <v>0</v>
      </c>
      <c r="AX1013">
        <v>2</v>
      </c>
      <c r="AY1013">
        <v>0</v>
      </c>
      <c r="AZ1013">
        <v>12900</v>
      </c>
      <c r="BA1013">
        <v>100</v>
      </c>
      <c r="BB1013">
        <v>100</v>
      </c>
      <c r="BC1013">
        <v>100</v>
      </c>
      <c r="BD1013">
        <v>100</v>
      </c>
      <c r="BE1013">
        <v>1</v>
      </c>
      <c r="BF1013">
        <v>15000</v>
      </c>
      <c r="BG1013">
        <v>1000</v>
      </c>
      <c r="BH1013" s="7">
        <f>ROUND(Wapato_Inventory[[#This Row],[detatched_value]]*Lookups!$B$22*Lookups!$H$48,-2)</f>
        <v>11500</v>
      </c>
      <c r="BI1013" s="7">
        <f>ROUND(((Wapato_Inventory[[#This Row],[land_extract]]*Lookups!$B$3) +(Lookups!$B$2*0.5))*Lookups!$H$48,-2)</f>
        <v>55700</v>
      </c>
      <c r="BJ1013" s="7">
        <f>IF(Wapato_Inventory[[#This Row],[bldg_style]]="",0,Lookups!$B$2*0.5)</f>
        <v>53765.27</v>
      </c>
      <c r="BK1013" s="7">
        <f>_xlfn.IFNA(VLOOKUP(Wapato_Inventory[[#This Row],[quality]],Lookups!$H$2:$J$14,3,FALSE),0)</f>
        <v>23424</v>
      </c>
      <c r="BL1013" s="7">
        <f>_xlfn.IFNA(VLOOKUP(Wapato_Inventory[[#This Row],[condition]],Lookups!$H$17:$J$24,3,FALSE),0)</f>
        <v>84338</v>
      </c>
      <c r="BM1013" s="7">
        <f>Wapato_Inventory[[#This Row],[Age]]*Lookups!$B$16</f>
        <v>-34472.840100000001</v>
      </c>
      <c r="BN1013" s="7">
        <f>Wapato_Inventory[[#This Row],[Main Floor]]*Lookups!$B$17</f>
        <v>36784.650320000001</v>
      </c>
      <c r="BO1013" s="7">
        <f>Wapato_Inventory[[#This Row],[Upper Floor]]*Lookups!$B$18</f>
        <v>0</v>
      </c>
      <c r="BP1013" s="7">
        <f>Wapato_Inventory[[#This Row],[Fin BSMT]]*Lookups!$B$19</f>
        <v>0</v>
      </c>
      <c r="BQ1013" s="7">
        <f>(Wapato_Inventory[[#This Row],[att_gar]]+Wapato_Inventory[[#This Row],[blt_gar]])*Lookups!$B$20</f>
        <v>0</v>
      </c>
      <c r="BR1013" s="7">
        <f>Wapato_Inventory[[#This Row],[Patio]]*Lookups!$B$21</f>
        <v>0</v>
      </c>
      <c r="BS1013" s="7">
        <f>SUM(Wapato_Inventory[[#This Row],[intercept]:[patio_value]])*Wapato_Inventory[[#This Row],[res_pct]]</f>
        <v>163839.08022</v>
      </c>
      <c r="BT1013" s="7">
        <f>Wapato_Inventory[[#This Row],[land_value]]</f>
        <v>55700</v>
      </c>
      <c r="BU1013" s="2">
        <f>_xlfn.IFNA(VLOOKUP(Wapato_Inventory[[#This Row],[quality]],Lookups!$A$28:$C$37,3,FALSE),1)</f>
        <v>1.0091195562373767</v>
      </c>
      <c r="BV1013" s="2">
        <f>_xlfn.IFNA(VLOOKUP(Wapato_Inventory[[#This Row],[condition]],Lookups!$A$41:$C$48,3,FALSE),1)</f>
        <v>0.99478075210508476</v>
      </c>
      <c r="BW1013" s="2">
        <f>IF(Wapato_Inventory[[#This Row],[decade]]="",1,_xlfn.IFNA(VLOOKUP(Wapato_Inventory[[#This Row],[decade]],Lookups!$F$28:$H$45,3,FALSE),1))</f>
        <v>1.0114203040664467</v>
      </c>
      <c r="BX1013" s="2">
        <f>_xlfn.IFNA(VLOOKUP(Wapato_Inventory[[#This Row],[living_area_range]],Lookups!$K$28:$M$37,3,FALSE),1)</f>
        <v>0.99022994770196116</v>
      </c>
      <c r="BY1013" s="2">
        <f>AVERAGE(Wapato_Inventory[[#This Row],[qual_adj]:[range_adj]])</f>
        <v>1.0013876400277173</v>
      </c>
      <c r="BZ1013" s="7">
        <f>(Wapato_Inventory[[#This Row],[sum_land]]-IF(Wapato_Inventory[[#This Row],[no_utilities]]=1,12000,0))/IF(Wapato_Inventory[[#This Row],[unbuildable]]=1,2,1)</f>
        <v>55700</v>
      </c>
      <c r="CA1013" s="7">
        <f>Wapato_Inventory[[#This Row],[pre_res]]*Wapato_Inventory[[#This Row],[overall_adj]]</f>
        <v>164066.42988581766</v>
      </c>
      <c r="CB1013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1013" s="3">
        <f>IF(ROUND(Wapato_Inventory[[#This Row],[adj_res]]*Lookups!$H$48,-2)&lt;Wapato_Inventory[[#This Row],[min_res]],Wapato_Inventory[[#This Row],[min_res]],ROUND(Wapato_Inventory[[#This Row],[adj_res]]*Lookups!$H$48,-2))</f>
        <v>155900</v>
      </c>
      <c r="CD1013" s="3">
        <f>ROUND(Wapato_Inventory[[#This Row],[det_value]]*Lookups!$H$48,-2)</f>
        <v>10900</v>
      </c>
      <c r="CE1013" s="3">
        <f>Wapato_Inventory[[#This Row],[final_res]]+Wapato_Inventory[[#This Row],[final_det]]</f>
        <v>166800</v>
      </c>
      <c r="CF1013" s="3">
        <f>Wapato_Inventory[[#This Row],[crop_value]]+Wapato_Inventory[[#This Row],[final_land]]+Wapato_Inventory[[#This Row],[final_imp]]</f>
        <v>219700</v>
      </c>
      <c r="CH1013" t="str">
        <f t="shared" si="15"/>
        <v>update valuation set market_land =52900, market_bldg=166800, market_total =219700, market_mdno =405, market_date ='9/10/2023' where link_id = (select link_id from parcel where parcel_year = '2024' and parcel_id = '19111523450');</v>
      </c>
    </row>
    <row r="1014" spans="1:86" x14ac:dyDescent="0.25">
      <c r="A1014">
        <v>19111523452</v>
      </c>
      <c r="B1014">
        <v>0.23</v>
      </c>
      <c r="C1014">
        <v>9820</v>
      </c>
      <c r="D1014" t="s">
        <v>144</v>
      </c>
      <c r="E1014" t="s">
        <v>54</v>
      </c>
      <c r="F1014" t="s">
        <v>54</v>
      </c>
      <c r="G1014">
        <v>3</v>
      </c>
      <c r="H1014" t="s">
        <v>55</v>
      </c>
      <c r="I1014">
        <v>144400</v>
      </c>
      <c r="J1014">
        <v>35500</v>
      </c>
      <c r="K1014">
        <v>0.23</v>
      </c>
      <c r="L1014">
        <f>IF(Wapato_Inventory[[#This Row],[parcel_acres]]-Wapato_Inventory[[#This Row],[non_valued_acres]] =0,0,LN(Wapato_Inventory[[#This Row],[parcel_acres]]-Wapato_Inventory[[#This Row],[non_valued_acres]]))</f>
        <v>-1.4696759700589417</v>
      </c>
      <c r="M1014">
        <v>0</v>
      </c>
      <c r="N1014">
        <v>0</v>
      </c>
      <c r="O1014">
        <v>0</v>
      </c>
      <c r="P1014">
        <v>27904.037</v>
      </c>
      <c r="Q1014">
        <v>74398</v>
      </c>
      <c r="R1014" s="3">
        <f>(Wapato_Inventory[[#This Row],[ln_acres]]*Wapato_Inventory[[#This Row],[coeff]])+Wapato_Inventory[[#This Row],[const]]</f>
        <v>33388.107353464402</v>
      </c>
      <c r="S1014" t="s">
        <v>62</v>
      </c>
      <c r="T1014">
        <v>1</v>
      </c>
      <c r="U1014" t="s">
        <v>71</v>
      </c>
      <c r="V1014" t="s">
        <v>68</v>
      </c>
      <c r="W1014">
        <v>0</v>
      </c>
      <c r="X1014">
        <v>0</v>
      </c>
      <c r="Y1014">
        <v>55</v>
      </c>
      <c r="Z1014">
        <v>98</v>
      </c>
      <c r="AA1014">
        <v>100</v>
      </c>
      <c r="AB1014">
        <v>1500</v>
      </c>
      <c r="AC1014">
        <v>1470</v>
      </c>
      <c r="AD1014">
        <v>1470</v>
      </c>
      <c r="AE1014">
        <v>0</v>
      </c>
      <c r="AF1014">
        <v>0</v>
      </c>
      <c r="AG1014">
        <v>0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0</v>
      </c>
      <c r="AN1014">
        <v>0</v>
      </c>
      <c r="AO1014">
        <v>0</v>
      </c>
      <c r="AP1014">
        <v>5</v>
      </c>
      <c r="AQ1014">
        <v>0</v>
      </c>
      <c r="AR1014">
        <v>0</v>
      </c>
      <c r="AS1014" t="s">
        <v>59</v>
      </c>
      <c r="AT1014">
        <v>1</v>
      </c>
      <c r="AU1014" t="s">
        <v>64</v>
      </c>
      <c r="AV1014" t="s">
        <v>61</v>
      </c>
      <c r="AW1014">
        <v>0</v>
      </c>
      <c r="AX1014">
        <v>2</v>
      </c>
      <c r="AY1014">
        <v>0</v>
      </c>
      <c r="AZ1014">
        <v>0</v>
      </c>
      <c r="BA1014">
        <v>100</v>
      </c>
      <c r="BB1014">
        <v>100</v>
      </c>
      <c r="BC1014">
        <v>100</v>
      </c>
      <c r="BD1014">
        <v>100</v>
      </c>
      <c r="BE1014">
        <v>1</v>
      </c>
      <c r="BF1014">
        <v>15000</v>
      </c>
      <c r="BG1014">
        <v>1000</v>
      </c>
      <c r="BH1014" s="7">
        <f>ROUND(Wapato_Inventory[[#This Row],[detatched_value]]*Lookups!$B$22*Lookups!$H$48,-2)</f>
        <v>0</v>
      </c>
      <c r="BI1014" s="7">
        <f>ROUND(((Wapato_Inventory[[#This Row],[land_extract]]*Lookups!$B$3) +(Lookups!$B$2*0.5))*Lookups!$H$48,-2)</f>
        <v>54300</v>
      </c>
      <c r="BJ1014" s="7">
        <f>IF(Wapato_Inventory[[#This Row],[bldg_style]]="",0,Lookups!$B$2*0.5)</f>
        <v>53765.27</v>
      </c>
      <c r="BK1014" s="7">
        <f>_xlfn.IFNA(VLOOKUP(Wapato_Inventory[[#This Row],[quality]],Lookups!$H$2:$J$14,3,FALSE),0)</f>
        <v>28034</v>
      </c>
      <c r="BL1014" s="7">
        <f>_xlfn.IFNA(VLOOKUP(Wapato_Inventory[[#This Row],[condition]],Lookups!$H$17:$J$24,3,FALSE),0)</f>
        <v>52231</v>
      </c>
      <c r="BM1014" s="7">
        <f>Wapato_Inventory[[#This Row],[Age]]*Lookups!$B$16</f>
        <v>-36326.2186</v>
      </c>
      <c r="BN1014" s="7">
        <f>Wapato_Inventory[[#This Row],[Main Floor]]*Lookups!$B$17</f>
        <v>61447.086329999998</v>
      </c>
      <c r="BO1014" s="7">
        <f>Wapato_Inventory[[#This Row],[Upper Floor]]*Lookups!$B$18</f>
        <v>0</v>
      </c>
      <c r="BP1014" s="7">
        <f>Wapato_Inventory[[#This Row],[Fin BSMT]]*Lookups!$B$19</f>
        <v>0</v>
      </c>
      <c r="BQ1014" s="7">
        <f>(Wapato_Inventory[[#This Row],[att_gar]]+Wapato_Inventory[[#This Row],[blt_gar]])*Lookups!$B$20</f>
        <v>0</v>
      </c>
      <c r="BR1014" s="7">
        <f>Wapato_Inventory[[#This Row],[Patio]]*Lookups!$B$21</f>
        <v>0</v>
      </c>
      <c r="BS1014" s="7">
        <f>SUM(Wapato_Inventory[[#This Row],[intercept]:[patio_value]])*Wapato_Inventory[[#This Row],[res_pct]]</f>
        <v>159151.13772999999</v>
      </c>
      <c r="BT1014" s="7">
        <f>Wapato_Inventory[[#This Row],[land_value]]</f>
        <v>54300</v>
      </c>
      <c r="BU1014" s="2">
        <f>_xlfn.IFNA(VLOOKUP(Wapato_Inventory[[#This Row],[quality]],Lookups!$A$28:$C$37,3,FALSE),1)</f>
        <v>0.96265813922927435</v>
      </c>
      <c r="BV1014" s="2">
        <f>_xlfn.IFNA(VLOOKUP(Wapato_Inventory[[#This Row],[condition]],Lookups!$A$41:$C$48,3,FALSE),1)</f>
        <v>0.9832333997567807</v>
      </c>
      <c r="BW1014" s="2">
        <f>IF(Wapato_Inventory[[#This Row],[decade]]="",1,_xlfn.IFNA(VLOOKUP(Wapato_Inventory[[#This Row],[decade]],Lookups!$F$28:$H$45,3,FALSE),1))</f>
        <v>1.0114203040664467</v>
      </c>
      <c r="BX1014" s="2">
        <f>_xlfn.IFNA(VLOOKUP(Wapato_Inventory[[#This Row],[living_area_range]],Lookups!$K$28:$M$37,3,FALSE),1)</f>
        <v>1.0061411172456287</v>
      </c>
      <c r="BY1014" s="2">
        <f>AVERAGE(Wapato_Inventory[[#This Row],[qual_adj]:[range_adj]])</f>
        <v>0.99086324007453253</v>
      </c>
      <c r="BZ1014" s="7">
        <f>(Wapato_Inventory[[#This Row],[sum_land]]-IF(Wapato_Inventory[[#This Row],[no_utilities]]=1,12000,0))/IF(Wapato_Inventory[[#This Row],[unbuildable]]=1,2,1)</f>
        <v>54300</v>
      </c>
      <c r="CA1014" s="7">
        <f>Wapato_Inventory[[#This Row],[pre_res]]*Wapato_Inventory[[#This Row],[overall_adj]]</f>
        <v>157697.01199269597</v>
      </c>
      <c r="CB1014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1014" s="3">
        <f>IF(ROUND(Wapato_Inventory[[#This Row],[adj_res]]*Lookups!$H$48,-2)&lt;Wapato_Inventory[[#This Row],[min_res]],Wapato_Inventory[[#This Row],[min_res]],ROUND(Wapato_Inventory[[#This Row],[adj_res]]*Lookups!$H$48,-2))</f>
        <v>149800</v>
      </c>
      <c r="CD1014" s="3">
        <f>ROUND(Wapato_Inventory[[#This Row],[det_value]]*Lookups!$H$48,-2)</f>
        <v>0</v>
      </c>
      <c r="CE1014" s="3">
        <f>Wapato_Inventory[[#This Row],[final_res]]+Wapato_Inventory[[#This Row],[final_det]]</f>
        <v>149800</v>
      </c>
      <c r="CF1014" s="3">
        <f>Wapato_Inventory[[#This Row],[crop_value]]+Wapato_Inventory[[#This Row],[final_land]]+Wapato_Inventory[[#This Row],[final_imp]]</f>
        <v>201400</v>
      </c>
      <c r="CH1014" t="str">
        <f t="shared" si="15"/>
        <v>update valuation set market_land =51600, market_bldg=149800, market_total =201400, market_mdno =405, market_date ='9/10/2023' where link_id = (select link_id from parcel where parcel_year = '2024' and parcel_id = '19111523452');</v>
      </c>
    </row>
    <row r="1015" spans="1:86" x14ac:dyDescent="0.25">
      <c r="A1015">
        <v>19111523453</v>
      </c>
      <c r="B1015">
        <v>0.15</v>
      </c>
      <c r="C1015">
        <v>6484</v>
      </c>
      <c r="D1015" t="s">
        <v>144</v>
      </c>
      <c r="E1015" t="s">
        <v>54</v>
      </c>
      <c r="F1015" t="s">
        <v>54</v>
      </c>
      <c r="G1015">
        <v>3</v>
      </c>
      <c r="H1015" t="s">
        <v>55</v>
      </c>
      <c r="I1015">
        <v>162300</v>
      </c>
      <c r="J1015">
        <v>32300</v>
      </c>
      <c r="K1015">
        <v>0.15</v>
      </c>
      <c r="L1015">
        <f>IF(Wapato_Inventory[[#This Row],[parcel_acres]]-Wapato_Inventory[[#This Row],[non_valued_acres]] =0,0,LN(Wapato_Inventory[[#This Row],[parcel_acres]]-Wapato_Inventory[[#This Row],[non_valued_acres]]))</f>
        <v>-1.8971199848858813</v>
      </c>
      <c r="M1015">
        <v>0</v>
      </c>
      <c r="N1015">
        <v>0</v>
      </c>
      <c r="O1015">
        <v>0</v>
      </c>
      <c r="P1015">
        <v>27904.037</v>
      </c>
      <c r="Q1015">
        <v>74398</v>
      </c>
      <c r="R1015" s="3">
        <f>(Wapato_Inventory[[#This Row],[ln_acres]]*Wapato_Inventory[[#This Row],[coeff]])+Wapato_Inventory[[#This Row],[const]]</f>
        <v>21460.693748304926</v>
      </c>
      <c r="S1015" t="s">
        <v>66</v>
      </c>
      <c r="T1015">
        <v>1</v>
      </c>
      <c r="U1015" t="s">
        <v>75</v>
      </c>
      <c r="V1015" t="s">
        <v>69</v>
      </c>
      <c r="W1015">
        <v>0</v>
      </c>
      <c r="X1015">
        <v>0</v>
      </c>
      <c r="Y1015">
        <v>53</v>
      </c>
      <c r="Z1015">
        <v>93</v>
      </c>
      <c r="AA1015">
        <v>100</v>
      </c>
      <c r="AB1015">
        <v>1000</v>
      </c>
      <c r="AC1015">
        <v>912</v>
      </c>
      <c r="AD1015">
        <v>912</v>
      </c>
      <c r="AE1015">
        <v>0</v>
      </c>
      <c r="AF1015">
        <v>0</v>
      </c>
      <c r="AG1015">
        <v>0</v>
      </c>
      <c r="AH1015">
        <v>0</v>
      </c>
      <c r="AI1015">
        <v>0</v>
      </c>
      <c r="AJ1015">
        <v>0</v>
      </c>
      <c r="AK1015">
        <v>182</v>
      </c>
      <c r="AL1015">
        <v>0</v>
      </c>
      <c r="AM1015">
        <v>240</v>
      </c>
      <c r="AN1015">
        <v>60</v>
      </c>
      <c r="AO1015">
        <v>320</v>
      </c>
      <c r="AP1015">
        <v>5</v>
      </c>
      <c r="AQ1015">
        <v>0</v>
      </c>
      <c r="AR1015">
        <v>0</v>
      </c>
      <c r="AS1015" t="s">
        <v>59</v>
      </c>
      <c r="AT1015">
        <v>1</v>
      </c>
      <c r="AU1015" t="s">
        <v>76</v>
      </c>
      <c r="AV1015" t="s">
        <v>61</v>
      </c>
      <c r="AW1015">
        <v>0</v>
      </c>
      <c r="AX1015">
        <v>2</v>
      </c>
      <c r="AY1015">
        <v>0</v>
      </c>
      <c r="AZ1015">
        <v>0</v>
      </c>
      <c r="BA1015">
        <v>100</v>
      </c>
      <c r="BB1015">
        <v>100</v>
      </c>
      <c r="BC1015">
        <v>100</v>
      </c>
      <c r="BD1015">
        <v>100</v>
      </c>
      <c r="BE1015">
        <v>1</v>
      </c>
      <c r="BF1015">
        <v>15000</v>
      </c>
      <c r="BG1015">
        <v>1000</v>
      </c>
      <c r="BH1015" s="7">
        <f>ROUND(Wapato_Inventory[[#This Row],[detatched_value]]*Lookups!$B$22*Lookups!$H$48,-2)</f>
        <v>0</v>
      </c>
      <c r="BI1015" s="7">
        <f>ROUND(((Wapato_Inventory[[#This Row],[land_extract]]*Lookups!$B$3) +(Lookups!$B$2*0.5))*Lookups!$H$48,-2)</f>
        <v>53100</v>
      </c>
      <c r="BJ1015" s="7">
        <f>IF(Wapato_Inventory[[#This Row],[bldg_style]]="",0,Lookups!$B$2*0.5)</f>
        <v>53765.27</v>
      </c>
      <c r="BK1015" s="7">
        <f>_xlfn.IFNA(VLOOKUP(Wapato_Inventory[[#This Row],[quality]],Lookups!$H$2:$J$14,3,FALSE),0)</f>
        <v>48043</v>
      </c>
      <c r="BL1015" s="7">
        <f>_xlfn.IFNA(VLOOKUP(Wapato_Inventory[[#This Row],[condition]],Lookups!$H$17:$J$24,3,FALSE),0)</f>
        <v>74543</v>
      </c>
      <c r="BM1015" s="7">
        <f>Wapato_Inventory[[#This Row],[Age]]*Lookups!$B$16</f>
        <v>-34472.840100000001</v>
      </c>
      <c r="BN1015" s="7">
        <f>Wapato_Inventory[[#This Row],[Main Floor]]*Lookups!$B$17</f>
        <v>38122.273968000001</v>
      </c>
      <c r="BO1015" s="7">
        <f>Wapato_Inventory[[#This Row],[Upper Floor]]*Lookups!$B$18</f>
        <v>0</v>
      </c>
      <c r="BP1015" s="7">
        <f>Wapato_Inventory[[#This Row],[Fin BSMT]]*Lookups!$B$19</f>
        <v>0</v>
      </c>
      <c r="BQ1015" s="7">
        <f>(Wapato_Inventory[[#This Row],[att_gar]]+Wapato_Inventory[[#This Row],[blt_gar]])*Lookups!$B$20</f>
        <v>0</v>
      </c>
      <c r="BR1015" s="7">
        <f>Wapato_Inventory[[#This Row],[Patio]]*Lookups!$B$21</f>
        <v>10397.75496</v>
      </c>
      <c r="BS1015" s="7">
        <f>SUM(Wapato_Inventory[[#This Row],[intercept]:[patio_value]])*Wapato_Inventory[[#This Row],[res_pct]]</f>
        <v>190398.45882799997</v>
      </c>
      <c r="BT1015" s="7">
        <f>Wapato_Inventory[[#This Row],[land_value]]</f>
        <v>53100</v>
      </c>
      <c r="BU1015" s="2">
        <f>_xlfn.IFNA(VLOOKUP(Wapato_Inventory[[#This Row],[quality]],Lookups!$A$28:$C$37,3,FALSE),1)</f>
        <v>0.98196844879778955</v>
      </c>
      <c r="BV1015" s="2">
        <f>_xlfn.IFNA(VLOOKUP(Wapato_Inventory[[#This Row],[condition]],Lookups!$A$41:$C$48,3,FALSE),1)</f>
        <v>0.98442438223270734</v>
      </c>
      <c r="BW1015" s="2">
        <f>IF(Wapato_Inventory[[#This Row],[decade]]="",1,_xlfn.IFNA(VLOOKUP(Wapato_Inventory[[#This Row],[decade]],Lookups!$F$28:$H$45,3,FALSE),1))</f>
        <v>1.0114203040664467</v>
      </c>
      <c r="BX1015" s="2">
        <f>_xlfn.IFNA(VLOOKUP(Wapato_Inventory[[#This Row],[living_area_range]],Lookups!$K$28:$M$37,3,FALSE),1)</f>
        <v>0.99022994770196116</v>
      </c>
      <c r="BY1015" s="2">
        <f>AVERAGE(Wapato_Inventory[[#This Row],[qual_adj]:[range_adj]])</f>
        <v>0.99201077069972621</v>
      </c>
      <c r="BZ1015" s="7">
        <f>(Wapato_Inventory[[#This Row],[sum_land]]-IF(Wapato_Inventory[[#This Row],[no_utilities]]=1,12000,0))/IF(Wapato_Inventory[[#This Row],[unbuildable]]=1,2,1)</f>
        <v>53100</v>
      </c>
      <c r="CA1015" s="7">
        <f>Wapato_Inventory[[#This Row],[pre_res]]*Wapato_Inventory[[#This Row],[overall_adj]]</f>
        <v>188877.32188200435</v>
      </c>
      <c r="CB101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015" s="3">
        <f>IF(ROUND(Wapato_Inventory[[#This Row],[adj_res]]*Lookups!$H$48,-2)&lt;Wapato_Inventory[[#This Row],[min_res]],Wapato_Inventory[[#This Row],[min_res]],ROUND(Wapato_Inventory[[#This Row],[adj_res]]*Lookups!$H$48,-2))</f>
        <v>179400</v>
      </c>
      <c r="CD1015" s="3">
        <f>ROUND(Wapato_Inventory[[#This Row],[det_value]]*Lookups!$H$48,-2)</f>
        <v>0</v>
      </c>
      <c r="CE1015" s="3">
        <f>Wapato_Inventory[[#This Row],[final_res]]+Wapato_Inventory[[#This Row],[final_det]]</f>
        <v>179400</v>
      </c>
      <c r="CF1015" s="3">
        <f>Wapato_Inventory[[#This Row],[crop_value]]+Wapato_Inventory[[#This Row],[final_land]]+Wapato_Inventory[[#This Row],[final_imp]]</f>
        <v>229800</v>
      </c>
      <c r="CH1015" t="str">
        <f t="shared" si="15"/>
        <v>update valuation set market_land =50400, market_bldg=179400, market_total =229800, market_mdno =405, market_date ='9/10/2023' where link_id = (select link_id from parcel where parcel_year = '2024' and parcel_id = '19111523453');</v>
      </c>
    </row>
    <row r="1016" spans="1:86" x14ac:dyDescent="0.25">
      <c r="A1016">
        <v>19111523454</v>
      </c>
      <c r="B1016">
        <v>0.23</v>
      </c>
      <c r="C1016">
        <v>10071</v>
      </c>
      <c r="D1016" t="s">
        <v>144</v>
      </c>
      <c r="E1016" t="s">
        <v>54</v>
      </c>
      <c r="F1016" t="s">
        <v>54</v>
      </c>
      <c r="G1016">
        <v>3</v>
      </c>
      <c r="H1016" t="s">
        <v>55</v>
      </c>
      <c r="I1016">
        <v>63400</v>
      </c>
      <c r="J1016">
        <v>35500</v>
      </c>
      <c r="K1016">
        <v>0.23</v>
      </c>
      <c r="L1016">
        <f>IF(Wapato_Inventory[[#This Row],[parcel_acres]]-Wapato_Inventory[[#This Row],[non_valued_acres]] =0,0,LN(Wapato_Inventory[[#This Row],[parcel_acres]]-Wapato_Inventory[[#This Row],[non_valued_acres]]))</f>
        <v>-1.4696759700589417</v>
      </c>
      <c r="M1016">
        <v>0</v>
      </c>
      <c r="N1016">
        <v>0</v>
      </c>
      <c r="O1016">
        <v>0</v>
      </c>
      <c r="P1016">
        <v>27904.037</v>
      </c>
      <c r="Q1016">
        <v>74398</v>
      </c>
      <c r="R1016" s="3">
        <f>(Wapato_Inventory[[#This Row],[ln_acres]]*Wapato_Inventory[[#This Row],[coeff]])+Wapato_Inventory[[#This Row],[const]]</f>
        <v>33388.107353464402</v>
      </c>
      <c r="S1016" t="s">
        <v>66</v>
      </c>
      <c r="T1016">
        <v>2</v>
      </c>
      <c r="U1016" t="s">
        <v>71</v>
      </c>
      <c r="V1016" t="s">
        <v>84</v>
      </c>
      <c r="W1016">
        <v>0</v>
      </c>
      <c r="X1016">
        <v>0</v>
      </c>
      <c r="Y1016">
        <v>57</v>
      </c>
      <c r="Z1016">
        <v>103</v>
      </c>
      <c r="AA1016">
        <v>110</v>
      </c>
      <c r="AB1016">
        <v>1500</v>
      </c>
      <c r="AC1016">
        <v>1152</v>
      </c>
      <c r="AD1016">
        <v>720</v>
      </c>
      <c r="AE1016">
        <v>432</v>
      </c>
      <c r="AF1016">
        <v>0</v>
      </c>
      <c r="AG1016">
        <v>0</v>
      </c>
      <c r="AH1016">
        <v>0</v>
      </c>
      <c r="AI1016">
        <v>0</v>
      </c>
      <c r="AJ1016">
        <v>0</v>
      </c>
      <c r="AK1016">
        <v>400</v>
      </c>
      <c r="AL1016">
        <v>0</v>
      </c>
      <c r="AM1016">
        <v>0</v>
      </c>
      <c r="AN1016">
        <v>0</v>
      </c>
      <c r="AO1016">
        <v>0</v>
      </c>
      <c r="AP1016">
        <v>5</v>
      </c>
      <c r="AQ1016">
        <v>1</v>
      </c>
      <c r="AR1016">
        <v>0</v>
      </c>
      <c r="AS1016" t="s">
        <v>59</v>
      </c>
      <c r="AT1016">
        <v>1</v>
      </c>
      <c r="AU1016" t="s">
        <v>72</v>
      </c>
      <c r="AV1016" t="s">
        <v>61</v>
      </c>
      <c r="AW1016">
        <v>0</v>
      </c>
      <c r="AX1016">
        <v>4</v>
      </c>
      <c r="AY1016">
        <v>0</v>
      </c>
      <c r="AZ1016">
        <v>0</v>
      </c>
      <c r="BA1016">
        <v>100</v>
      </c>
      <c r="BB1016">
        <v>100</v>
      </c>
      <c r="BC1016">
        <v>100</v>
      </c>
      <c r="BD1016">
        <v>100</v>
      </c>
      <c r="BE1016">
        <v>1</v>
      </c>
      <c r="BF1016">
        <v>15000</v>
      </c>
      <c r="BG1016">
        <v>1000</v>
      </c>
      <c r="BH1016" s="7">
        <f>ROUND(Wapato_Inventory[[#This Row],[detatched_value]]*Lookups!$B$22*Lookups!$H$48,-2)</f>
        <v>0</v>
      </c>
      <c r="BI1016" s="7">
        <f>ROUND(((Wapato_Inventory[[#This Row],[land_extract]]*Lookups!$B$3) +(Lookups!$B$2*0.5))*Lookups!$H$48,-2)</f>
        <v>54300</v>
      </c>
      <c r="BJ1016" s="7">
        <f>IF(Wapato_Inventory[[#This Row],[bldg_style]]="",0,Lookups!$B$2*0.5)</f>
        <v>53765.27</v>
      </c>
      <c r="BK1016" s="7">
        <f>_xlfn.IFNA(VLOOKUP(Wapato_Inventory[[#This Row],[quality]],Lookups!$H$2:$J$14,3,FALSE),0)</f>
        <v>28034</v>
      </c>
      <c r="BL1016" s="7">
        <f>_xlfn.IFNA(VLOOKUP(Wapato_Inventory[[#This Row],[condition]],Lookups!$H$17:$J$24,3,FALSE),0)</f>
        <v>0</v>
      </c>
      <c r="BM1016" s="7">
        <f>Wapato_Inventory[[#This Row],[Age]]*Lookups!$B$16</f>
        <v>-38179.597099999999</v>
      </c>
      <c r="BN1016" s="7">
        <f>Wapato_Inventory[[#This Row],[Main Floor]]*Lookups!$B$17</f>
        <v>30096.532080000001</v>
      </c>
      <c r="BO1016" s="7">
        <f>Wapato_Inventory[[#This Row],[Upper Floor]]*Lookups!$B$18</f>
        <v>21427.692048000001</v>
      </c>
      <c r="BP1016" s="7">
        <f>Wapato_Inventory[[#This Row],[Fin BSMT]]*Lookups!$B$19</f>
        <v>0</v>
      </c>
      <c r="BQ1016" s="7">
        <f>(Wapato_Inventory[[#This Row],[att_gar]]+Wapato_Inventory[[#This Row],[blt_gar]])*Lookups!$B$20</f>
        <v>0</v>
      </c>
      <c r="BR1016" s="7">
        <f>Wapato_Inventory[[#This Row],[Patio]]*Lookups!$B$21</f>
        <v>0</v>
      </c>
      <c r="BS1016" s="7">
        <f>SUM(Wapato_Inventory[[#This Row],[intercept]:[patio_value]])*Wapato_Inventory[[#This Row],[res_pct]]</f>
        <v>95143.897027999992</v>
      </c>
      <c r="BT1016" s="7">
        <f>Wapato_Inventory[[#This Row],[land_value]]</f>
        <v>54300</v>
      </c>
      <c r="BU1016" s="2">
        <f>_xlfn.IFNA(VLOOKUP(Wapato_Inventory[[#This Row],[quality]],Lookups!$A$28:$C$37,3,FALSE),1)</f>
        <v>0.96265813922927435</v>
      </c>
      <c r="BV1016" s="2">
        <f>_xlfn.IFNA(VLOOKUP(Wapato_Inventory[[#This Row],[condition]],Lookups!$A$41:$C$48,3,FALSE),1)</f>
        <v>1.0000035546274355</v>
      </c>
      <c r="BW1016" s="2">
        <f>IF(Wapato_Inventory[[#This Row],[decade]]="",1,_xlfn.IFNA(VLOOKUP(Wapato_Inventory[[#This Row],[decade]],Lookups!$F$28:$H$45,3,FALSE),1))</f>
        <v>0.93664589651353292</v>
      </c>
      <c r="BX1016" s="2">
        <f>_xlfn.IFNA(VLOOKUP(Wapato_Inventory[[#This Row],[living_area_range]],Lookups!$K$28:$M$37,3,FALSE),1)</f>
        <v>1.0061411172456287</v>
      </c>
      <c r="BY1016" s="2">
        <f>AVERAGE(Wapato_Inventory[[#This Row],[qual_adj]:[range_adj]])</f>
        <v>0.97636217690396787</v>
      </c>
      <c r="BZ1016" s="7">
        <f>(Wapato_Inventory[[#This Row],[sum_land]]-IF(Wapato_Inventory[[#This Row],[no_utilities]]=1,12000,0))/IF(Wapato_Inventory[[#This Row],[unbuildable]]=1,2,1)</f>
        <v>54300</v>
      </c>
      <c r="CA1016" s="7">
        <f>Wapato_Inventory[[#This Row],[pre_res]]*Wapato_Inventory[[#This Row],[overall_adj]]</f>
        <v>92894.902421385035</v>
      </c>
      <c r="CB1016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1016" s="3">
        <f>IF(ROUND(Wapato_Inventory[[#This Row],[adj_res]]*Lookups!$H$48,-2)&lt;Wapato_Inventory[[#This Row],[min_res]],Wapato_Inventory[[#This Row],[min_res]],ROUND(Wapato_Inventory[[#This Row],[adj_res]]*Lookups!$H$48,-2))</f>
        <v>88300</v>
      </c>
      <c r="CD1016" s="3">
        <f>ROUND(Wapato_Inventory[[#This Row],[det_value]]*Lookups!$H$48,-2)</f>
        <v>0</v>
      </c>
      <c r="CE1016" s="3">
        <f>Wapato_Inventory[[#This Row],[final_res]]+Wapato_Inventory[[#This Row],[final_det]]</f>
        <v>88300</v>
      </c>
      <c r="CF1016" s="3">
        <f>Wapato_Inventory[[#This Row],[crop_value]]+Wapato_Inventory[[#This Row],[final_land]]+Wapato_Inventory[[#This Row],[final_imp]]</f>
        <v>139900</v>
      </c>
      <c r="CH1016" t="str">
        <f t="shared" si="15"/>
        <v>update valuation set market_land =51600, market_bldg=88300, market_total =139900, market_mdno =405, market_date ='9/10/2023' where link_id = (select link_id from parcel where parcel_year = '2024' and parcel_id = '19111523454');</v>
      </c>
    </row>
    <row r="1017" spans="1:86" x14ac:dyDescent="0.25">
      <c r="A1017">
        <v>19111523455</v>
      </c>
      <c r="B1017">
        <v>0.15</v>
      </c>
      <c r="C1017">
        <v>6480</v>
      </c>
      <c r="D1017" t="s">
        <v>144</v>
      </c>
      <c r="E1017" t="s">
        <v>54</v>
      </c>
      <c r="F1017" t="s">
        <v>54</v>
      </c>
      <c r="G1017">
        <v>3</v>
      </c>
      <c r="H1017" t="s">
        <v>55</v>
      </c>
      <c r="I1017">
        <v>113800</v>
      </c>
      <c r="J1017">
        <v>32300</v>
      </c>
      <c r="K1017">
        <v>0.15</v>
      </c>
      <c r="L1017">
        <f>IF(Wapato_Inventory[[#This Row],[parcel_acres]]-Wapato_Inventory[[#This Row],[non_valued_acres]] =0,0,LN(Wapato_Inventory[[#This Row],[parcel_acres]]-Wapato_Inventory[[#This Row],[non_valued_acres]]))</f>
        <v>-1.8971199848858813</v>
      </c>
      <c r="M1017">
        <v>0</v>
      </c>
      <c r="N1017">
        <v>0</v>
      </c>
      <c r="O1017">
        <v>0</v>
      </c>
      <c r="P1017">
        <v>27904.037</v>
      </c>
      <c r="Q1017">
        <v>74398</v>
      </c>
      <c r="R1017" s="3">
        <f>(Wapato_Inventory[[#This Row],[ln_acres]]*Wapato_Inventory[[#This Row],[coeff]])+Wapato_Inventory[[#This Row],[const]]</f>
        <v>21460.693748304926</v>
      </c>
      <c r="S1017" t="s">
        <v>66</v>
      </c>
      <c r="T1017">
        <v>1</v>
      </c>
      <c r="U1017" t="s">
        <v>78</v>
      </c>
      <c r="V1017" t="s">
        <v>68</v>
      </c>
      <c r="W1017">
        <v>0</v>
      </c>
      <c r="X1017">
        <v>0</v>
      </c>
      <c r="Y1017">
        <v>55</v>
      </c>
      <c r="Z1017">
        <v>98</v>
      </c>
      <c r="AA1017">
        <v>100</v>
      </c>
      <c r="AB1017">
        <v>1000</v>
      </c>
      <c r="AC1017">
        <v>872</v>
      </c>
      <c r="AD1017">
        <v>872</v>
      </c>
      <c r="AE1017">
        <v>0</v>
      </c>
      <c r="AF1017">
        <v>0</v>
      </c>
      <c r="AG1017">
        <v>0</v>
      </c>
      <c r="AH1017">
        <v>0</v>
      </c>
      <c r="AI1017">
        <v>0</v>
      </c>
      <c r="AJ1017">
        <v>0</v>
      </c>
      <c r="AK1017">
        <v>940</v>
      </c>
      <c r="AL1017">
        <v>0</v>
      </c>
      <c r="AM1017">
        <v>0</v>
      </c>
      <c r="AN1017">
        <v>16</v>
      </c>
      <c r="AO1017">
        <v>0</v>
      </c>
      <c r="AP1017">
        <v>7</v>
      </c>
      <c r="AQ1017">
        <v>0</v>
      </c>
      <c r="AR1017">
        <v>0</v>
      </c>
      <c r="AS1017" t="s">
        <v>59</v>
      </c>
      <c r="AT1017">
        <v>0</v>
      </c>
      <c r="AU1017" t="s">
        <v>80</v>
      </c>
      <c r="AV1017" t="s">
        <v>77</v>
      </c>
      <c r="AW1017">
        <v>0</v>
      </c>
      <c r="AX1017">
        <v>2</v>
      </c>
      <c r="AY1017">
        <v>0</v>
      </c>
      <c r="AZ1017">
        <v>8300</v>
      </c>
      <c r="BA1017">
        <v>100</v>
      </c>
      <c r="BB1017">
        <v>100</v>
      </c>
      <c r="BC1017">
        <v>100</v>
      </c>
      <c r="BD1017">
        <v>100</v>
      </c>
      <c r="BE1017">
        <v>1</v>
      </c>
      <c r="BF1017">
        <v>15000</v>
      </c>
      <c r="BG1017">
        <v>1000</v>
      </c>
      <c r="BH1017" s="7">
        <f>ROUND(Wapato_Inventory[[#This Row],[detatched_value]]*Lookups!$B$22*Lookups!$H$48,-2)</f>
        <v>7400</v>
      </c>
      <c r="BI1017" s="7">
        <f>ROUND(((Wapato_Inventory[[#This Row],[land_extract]]*Lookups!$B$3) +(Lookups!$B$2*0.5))*Lookups!$H$48,-2)</f>
        <v>53100</v>
      </c>
      <c r="BJ1017" s="7">
        <f>IF(Wapato_Inventory[[#This Row],[bldg_style]]="",0,Lookups!$B$2*0.5)</f>
        <v>53765.27</v>
      </c>
      <c r="BK1017" s="7">
        <f>_xlfn.IFNA(VLOOKUP(Wapato_Inventory[[#This Row],[quality]],Lookups!$H$2:$J$14,3,FALSE),0)</f>
        <v>23424</v>
      </c>
      <c r="BL1017" s="7">
        <f>_xlfn.IFNA(VLOOKUP(Wapato_Inventory[[#This Row],[condition]],Lookups!$H$17:$J$24,3,FALSE),0)</f>
        <v>52231</v>
      </c>
      <c r="BM1017" s="7">
        <f>Wapato_Inventory[[#This Row],[Age]]*Lookups!$B$16</f>
        <v>-36326.2186</v>
      </c>
      <c r="BN1017" s="7">
        <f>Wapato_Inventory[[#This Row],[Main Floor]]*Lookups!$B$17</f>
        <v>36450.244407999999</v>
      </c>
      <c r="BO1017" s="7">
        <f>Wapato_Inventory[[#This Row],[Upper Floor]]*Lookups!$B$18</f>
        <v>0</v>
      </c>
      <c r="BP1017" s="7">
        <f>Wapato_Inventory[[#This Row],[Fin BSMT]]*Lookups!$B$19</f>
        <v>0</v>
      </c>
      <c r="BQ1017" s="7">
        <f>(Wapato_Inventory[[#This Row],[att_gar]]+Wapato_Inventory[[#This Row],[blt_gar]])*Lookups!$B$20</f>
        <v>0</v>
      </c>
      <c r="BR1017" s="7">
        <f>Wapato_Inventory[[#This Row],[Patio]]*Lookups!$B$21</f>
        <v>0</v>
      </c>
      <c r="BS1017" s="7">
        <f>SUM(Wapato_Inventory[[#This Row],[intercept]:[patio_value]])*Wapato_Inventory[[#This Row],[res_pct]]</f>
        <v>129544.295808</v>
      </c>
      <c r="BT1017" s="7">
        <f>Wapato_Inventory[[#This Row],[land_value]]</f>
        <v>53100</v>
      </c>
      <c r="BU1017" s="2">
        <f>_xlfn.IFNA(VLOOKUP(Wapato_Inventory[[#This Row],[quality]],Lookups!$A$28:$C$37,3,FALSE),1)</f>
        <v>1.0091195562373767</v>
      </c>
      <c r="BV1017" s="2">
        <f>_xlfn.IFNA(VLOOKUP(Wapato_Inventory[[#This Row],[condition]],Lookups!$A$41:$C$48,3,FALSE),1)</f>
        <v>0.9832333997567807</v>
      </c>
      <c r="BW1017" s="2">
        <f>IF(Wapato_Inventory[[#This Row],[decade]]="",1,_xlfn.IFNA(VLOOKUP(Wapato_Inventory[[#This Row],[decade]],Lookups!$F$28:$H$45,3,FALSE),1))</f>
        <v>1.0114203040664467</v>
      </c>
      <c r="BX1017" s="2">
        <f>_xlfn.IFNA(VLOOKUP(Wapato_Inventory[[#This Row],[living_area_range]],Lookups!$K$28:$M$37,3,FALSE),1)</f>
        <v>0.99022994770196116</v>
      </c>
      <c r="BY1017" s="2">
        <f>AVERAGE(Wapato_Inventory[[#This Row],[qual_adj]:[range_adj]])</f>
        <v>0.99850080194064128</v>
      </c>
      <c r="BZ1017" s="7">
        <f>(Wapato_Inventory[[#This Row],[sum_land]]-IF(Wapato_Inventory[[#This Row],[no_utilities]]=1,12000,0))/IF(Wapato_Inventory[[#This Row],[unbuildable]]=1,2,1)</f>
        <v>53100</v>
      </c>
      <c r="CA1017" s="7">
        <f>Wapato_Inventory[[#This Row],[pre_res]]*Wapato_Inventory[[#This Row],[overall_adj]]</f>
        <v>129350.08325112365</v>
      </c>
      <c r="CB1017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017" s="3">
        <f>IF(ROUND(Wapato_Inventory[[#This Row],[adj_res]]*Lookups!$H$48,-2)&lt;Wapato_Inventory[[#This Row],[min_res]],Wapato_Inventory[[#This Row],[min_res]],ROUND(Wapato_Inventory[[#This Row],[adj_res]]*Lookups!$H$48,-2))</f>
        <v>122900</v>
      </c>
      <c r="CD1017" s="3">
        <f>ROUND(Wapato_Inventory[[#This Row],[det_value]]*Lookups!$H$48,-2)</f>
        <v>7000</v>
      </c>
      <c r="CE1017" s="3">
        <f>Wapato_Inventory[[#This Row],[final_res]]+Wapato_Inventory[[#This Row],[final_det]]</f>
        <v>129900</v>
      </c>
      <c r="CF1017" s="3">
        <f>Wapato_Inventory[[#This Row],[crop_value]]+Wapato_Inventory[[#This Row],[final_land]]+Wapato_Inventory[[#This Row],[final_imp]]</f>
        <v>180300</v>
      </c>
      <c r="CH1017" t="str">
        <f t="shared" si="15"/>
        <v>update valuation set market_land =50400, market_bldg=129900, market_total =180300, market_mdno =405, market_date ='9/10/2023' where link_id = (select link_id from parcel where parcel_year = '2024' and parcel_id = '19111523455');</v>
      </c>
    </row>
    <row r="1018" spans="1:86" x14ac:dyDescent="0.25">
      <c r="A1018">
        <v>19111523456</v>
      </c>
      <c r="B1018">
        <v>0.1</v>
      </c>
      <c r="C1018">
        <v>4320</v>
      </c>
      <c r="D1018" t="s">
        <v>144</v>
      </c>
      <c r="E1018" t="s">
        <v>54</v>
      </c>
      <c r="F1018" t="s">
        <v>54</v>
      </c>
      <c r="G1018">
        <v>3</v>
      </c>
      <c r="H1018" t="s">
        <v>55</v>
      </c>
      <c r="I1018">
        <v>112100</v>
      </c>
      <c r="J1018">
        <v>29500</v>
      </c>
      <c r="K1018">
        <v>0.1</v>
      </c>
      <c r="L1018">
        <f>IF(Wapato_Inventory[[#This Row],[parcel_acres]]-Wapato_Inventory[[#This Row],[non_valued_acres]] =0,0,LN(Wapato_Inventory[[#This Row],[parcel_acres]]-Wapato_Inventory[[#This Row],[non_valued_acres]]))</f>
        <v>-2.3025850929940455</v>
      </c>
      <c r="M1018">
        <v>0</v>
      </c>
      <c r="N1018">
        <v>0</v>
      </c>
      <c r="O1018">
        <v>0</v>
      </c>
      <c r="P1018">
        <v>27904.037</v>
      </c>
      <c r="Q1018">
        <v>74398</v>
      </c>
      <c r="R1018" s="3">
        <f>(Wapato_Inventory[[#This Row],[ln_acres]]*Wapato_Inventory[[#This Row],[coeff]])+Wapato_Inventory[[#This Row],[const]]</f>
        <v>10146.580369445714</v>
      </c>
      <c r="S1018" t="s">
        <v>66</v>
      </c>
      <c r="T1018">
        <v>1</v>
      </c>
      <c r="U1018" t="s">
        <v>71</v>
      </c>
      <c r="V1018" t="s">
        <v>73</v>
      </c>
      <c r="W1018">
        <v>0</v>
      </c>
      <c r="X1018">
        <v>0</v>
      </c>
      <c r="Y1018">
        <v>57</v>
      </c>
      <c r="Z1018">
        <v>103</v>
      </c>
      <c r="AA1018">
        <v>110</v>
      </c>
      <c r="AB1018">
        <v>1500</v>
      </c>
      <c r="AC1018">
        <v>1008</v>
      </c>
      <c r="AD1018">
        <v>1008</v>
      </c>
      <c r="AE1018">
        <v>0</v>
      </c>
      <c r="AF1018">
        <v>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0</v>
      </c>
      <c r="AM1018">
        <v>128</v>
      </c>
      <c r="AN1018">
        <v>0</v>
      </c>
      <c r="AO1018">
        <v>128</v>
      </c>
      <c r="AP1018">
        <v>5</v>
      </c>
      <c r="AQ1018">
        <v>0</v>
      </c>
      <c r="AR1018">
        <v>0</v>
      </c>
      <c r="AS1018" t="s">
        <v>59</v>
      </c>
      <c r="AT1018">
        <v>1</v>
      </c>
      <c r="AU1018" t="s">
        <v>72</v>
      </c>
      <c r="AV1018" t="s">
        <v>61</v>
      </c>
      <c r="AW1018">
        <v>0</v>
      </c>
      <c r="AX1018">
        <v>2</v>
      </c>
      <c r="AY1018">
        <v>0</v>
      </c>
      <c r="AZ1018">
        <v>17300</v>
      </c>
      <c r="BA1018">
        <v>100</v>
      </c>
      <c r="BB1018">
        <v>100</v>
      </c>
      <c r="BC1018">
        <v>100</v>
      </c>
      <c r="BD1018">
        <v>100</v>
      </c>
      <c r="BE1018">
        <v>1</v>
      </c>
      <c r="BF1018">
        <v>15000</v>
      </c>
      <c r="BG1018">
        <v>1000</v>
      </c>
      <c r="BH1018" s="7">
        <f>ROUND(Wapato_Inventory[[#This Row],[detatched_value]]*Lookups!$B$22*Lookups!$H$48,-2)</f>
        <v>15500</v>
      </c>
      <c r="BI1018" s="7">
        <f>ROUND(((Wapato_Inventory[[#This Row],[land_extract]]*Lookups!$B$3) +(Lookups!$B$2*0.5))*Lookups!$H$48,-2)</f>
        <v>52100</v>
      </c>
      <c r="BJ1018" s="7">
        <f>IF(Wapato_Inventory[[#This Row],[bldg_style]]="",0,Lookups!$B$2*0.5)</f>
        <v>53765.27</v>
      </c>
      <c r="BK1018" s="7">
        <f>_xlfn.IFNA(VLOOKUP(Wapato_Inventory[[#This Row],[quality]],Lookups!$H$2:$J$14,3,FALSE),0)</f>
        <v>28034</v>
      </c>
      <c r="BL1018" s="7">
        <f>_xlfn.IFNA(VLOOKUP(Wapato_Inventory[[#This Row],[condition]],Lookups!$H$17:$J$24,3,FALSE),0)</f>
        <v>16276</v>
      </c>
      <c r="BM1018" s="7">
        <f>Wapato_Inventory[[#This Row],[Age]]*Lookups!$B$16</f>
        <v>-38179.597099999999</v>
      </c>
      <c r="BN1018" s="7">
        <f>Wapato_Inventory[[#This Row],[Main Floor]]*Lookups!$B$17</f>
        <v>42135.144912000003</v>
      </c>
      <c r="BO1018" s="7">
        <f>Wapato_Inventory[[#This Row],[Upper Floor]]*Lookups!$B$18</f>
        <v>0</v>
      </c>
      <c r="BP1018" s="7">
        <f>Wapato_Inventory[[#This Row],[Fin BSMT]]*Lookups!$B$19</f>
        <v>0</v>
      </c>
      <c r="BQ1018" s="7">
        <f>(Wapato_Inventory[[#This Row],[att_gar]]+Wapato_Inventory[[#This Row],[blt_gar]])*Lookups!$B$20</f>
        <v>0</v>
      </c>
      <c r="BR1018" s="7">
        <f>Wapato_Inventory[[#This Row],[Patio]]*Lookups!$B$21</f>
        <v>5545.4693120000002</v>
      </c>
      <c r="BS1018" s="7">
        <f>SUM(Wapato_Inventory[[#This Row],[intercept]:[patio_value]])*Wapato_Inventory[[#This Row],[res_pct]]</f>
        <v>107576.28712399999</v>
      </c>
      <c r="BT1018" s="7">
        <f>Wapato_Inventory[[#This Row],[land_value]]</f>
        <v>52100</v>
      </c>
      <c r="BU1018" s="2">
        <f>_xlfn.IFNA(VLOOKUP(Wapato_Inventory[[#This Row],[quality]],Lookups!$A$28:$C$37,3,FALSE),1)</f>
        <v>0.96265813922927435</v>
      </c>
      <c r="BV1018" s="2">
        <f>_xlfn.IFNA(VLOOKUP(Wapato_Inventory[[#This Row],[condition]],Lookups!$A$41:$C$48,3,FALSE),1)</f>
        <v>0.93399385491337139</v>
      </c>
      <c r="BW1018" s="2">
        <f>IF(Wapato_Inventory[[#This Row],[decade]]="",1,_xlfn.IFNA(VLOOKUP(Wapato_Inventory[[#This Row],[decade]],Lookups!$F$28:$H$45,3,FALSE),1))</f>
        <v>0.93664589651353292</v>
      </c>
      <c r="BX1018" s="2">
        <f>_xlfn.IFNA(VLOOKUP(Wapato_Inventory[[#This Row],[living_area_range]],Lookups!$K$28:$M$37,3,FALSE),1)</f>
        <v>1.0061411172456287</v>
      </c>
      <c r="BY1018" s="2">
        <f>AVERAGE(Wapato_Inventory[[#This Row],[qual_adj]:[range_adj]])</f>
        <v>0.95985975197545192</v>
      </c>
      <c r="BZ1018" s="7">
        <f>(Wapato_Inventory[[#This Row],[sum_land]]-IF(Wapato_Inventory[[#This Row],[no_utilities]]=1,12000,0))/IF(Wapato_Inventory[[#This Row],[unbuildable]]=1,2,1)</f>
        <v>52100</v>
      </c>
      <c r="CA1018" s="7">
        <f>Wapato_Inventory[[#This Row],[pre_res]]*Wapato_Inventory[[#This Row],[overall_adj]]</f>
        <v>103258.14827728264</v>
      </c>
      <c r="CB1018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1018" s="3">
        <f>IF(ROUND(Wapato_Inventory[[#This Row],[adj_res]]*Lookups!$H$48,-2)&lt;Wapato_Inventory[[#This Row],[min_res]],Wapato_Inventory[[#This Row],[min_res]],ROUND(Wapato_Inventory[[#This Row],[adj_res]]*Lookups!$H$48,-2))</f>
        <v>98100</v>
      </c>
      <c r="CD1018" s="3">
        <f>ROUND(Wapato_Inventory[[#This Row],[det_value]]*Lookups!$H$48,-2)</f>
        <v>14700</v>
      </c>
      <c r="CE1018" s="3">
        <f>Wapato_Inventory[[#This Row],[final_res]]+Wapato_Inventory[[#This Row],[final_det]]</f>
        <v>112800</v>
      </c>
      <c r="CF1018" s="3">
        <f>Wapato_Inventory[[#This Row],[crop_value]]+Wapato_Inventory[[#This Row],[final_land]]+Wapato_Inventory[[#This Row],[final_imp]]</f>
        <v>162300</v>
      </c>
      <c r="CH1018" t="str">
        <f t="shared" si="15"/>
        <v>update valuation set market_land =49500, market_bldg=112800, market_total =162300, market_mdno =405, market_date ='9/10/2023' where link_id = (select link_id from parcel where parcel_year = '2024' and parcel_id = '19111523456');</v>
      </c>
    </row>
    <row r="1019" spans="1:86" x14ac:dyDescent="0.25">
      <c r="A1019">
        <v>19111523458</v>
      </c>
      <c r="B1019">
        <v>0.21</v>
      </c>
      <c r="C1019">
        <v>9290</v>
      </c>
      <c r="D1019" t="s">
        <v>144</v>
      </c>
      <c r="E1019" t="s">
        <v>54</v>
      </c>
      <c r="F1019" t="s">
        <v>54</v>
      </c>
      <c r="G1019">
        <v>3</v>
      </c>
      <c r="H1019" t="s">
        <v>55</v>
      </c>
      <c r="I1019">
        <v>107600</v>
      </c>
      <c r="J1019">
        <v>34800</v>
      </c>
      <c r="K1019">
        <v>0.21</v>
      </c>
      <c r="L1019">
        <f>IF(Wapato_Inventory[[#This Row],[parcel_acres]]-Wapato_Inventory[[#This Row],[non_valued_acres]] =0,0,LN(Wapato_Inventory[[#This Row],[parcel_acres]]-Wapato_Inventory[[#This Row],[non_valued_acres]]))</f>
        <v>-1.5606477482646683</v>
      </c>
      <c r="M1019">
        <v>0</v>
      </c>
      <c r="N1019">
        <v>0</v>
      </c>
      <c r="O1019">
        <v>0</v>
      </c>
      <c r="P1019">
        <v>27904.037</v>
      </c>
      <c r="Q1019">
        <v>74398</v>
      </c>
      <c r="R1019" s="3">
        <f>(Wapato_Inventory[[#This Row],[ln_acres]]*Wapato_Inventory[[#This Row],[coeff]])+Wapato_Inventory[[#This Row],[const]]</f>
        <v>30849.627488456012</v>
      </c>
      <c r="S1019" t="s">
        <v>66</v>
      </c>
      <c r="T1019">
        <v>1</v>
      </c>
      <c r="U1019" t="s">
        <v>71</v>
      </c>
      <c r="V1019" t="s">
        <v>68</v>
      </c>
      <c r="W1019">
        <v>0</v>
      </c>
      <c r="X1019">
        <v>0</v>
      </c>
      <c r="Y1019">
        <v>50</v>
      </c>
      <c r="Z1019">
        <v>73</v>
      </c>
      <c r="AA1019">
        <v>80</v>
      </c>
      <c r="AB1019">
        <v>1000</v>
      </c>
      <c r="AC1019">
        <v>864</v>
      </c>
      <c r="AD1019">
        <v>864</v>
      </c>
      <c r="AE1019">
        <v>0</v>
      </c>
      <c r="AF1019">
        <v>0</v>
      </c>
      <c r="AG1019">
        <v>0</v>
      </c>
      <c r="AH1019">
        <v>0</v>
      </c>
      <c r="AI1019">
        <v>0</v>
      </c>
      <c r="AJ1019">
        <v>0</v>
      </c>
      <c r="AK1019">
        <v>0</v>
      </c>
      <c r="AL1019">
        <v>0</v>
      </c>
      <c r="AM1019">
        <v>216</v>
      </c>
      <c r="AN1019">
        <v>0</v>
      </c>
      <c r="AO1019">
        <v>216</v>
      </c>
      <c r="AP1019">
        <v>5</v>
      </c>
      <c r="AQ1019">
        <v>0</v>
      </c>
      <c r="AR1019">
        <v>0</v>
      </c>
      <c r="AS1019" t="s">
        <v>59</v>
      </c>
      <c r="AT1019">
        <v>0</v>
      </c>
      <c r="AU1019" t="s">
        <v>80</v>
      </c>
      <c r="AV1019" t="s">
        <v>77</v>
      </c>
      <c r="AW1019">
        <v>0</v>
      </c>
      <c r="AX1019">
        <v>2</v>
      </c>
      <c r="AY1019">
        <v>0</v>
      </c>
      <c r="AZ1019">
        <v>0</v>
      </c>
      <c r="BA1019">
        <v>100</v>
      </c>
      <c r="BB1019">
        <v>100</v>
      </c>
      <c r="BC1019">
        <v>100</v>
      </c>
      <c r="BD1019">
        <v>100</v>
      </c>
      <c r="BE1019">
        <v>1</v>
      </c>
      <c r="BF1019">
        <v>15000</v>
      </c>
      <c r="BG1019">
        <v>1000</v>
      </c>
      <c r="BH1019" s="7">
        <f>ROUND(Wapato_Inventory[[#This Row],[detatched_value]]*Lookups!$B$22*Lookups!$H$48,-2)</f>
        <v>0</v>
      </c>
      <c r="BI1019" s="7">
        <f>ROUND(((Wapato_Inventory[[#This Row],[land_extract]]*Lookups!$B$3) +(Lookups!$B$2*0.5))*Lookups!$H$48,-2)</f>
        <v>54100</v>
      </c>
      <c r="BJ1019" s="7">
        <f>IF(Wapato_Inventory[[#This Row],[bldg_style]]="",0,Lookups!$B$2*0.5)</f>
        <v>53765.27</v>
      </c>
      <c r="BK1019" s="7">
        <f>_xlfn.IFNA(VLOOKUP(Wapato_Inventory[[#This Row],[quality]],Lookups!$H$2:$J$14,3,FALSE),0)</f>
        <v>28034</v>
      </c>
      <c r="BL1019" s="7">
        <f>_xlfn.IFNA(VLOOKUP(Wapato_Inventory[[#This Row],[condition]],Lookups!$H$17:$J$24,3,FALSE),0)</f>
        <v>52231</v>
      </c>
      <c r="BM1019" s="7">
        <f>Wapato_Inventory[[#This Row],[Age]]*Lookups!$B$16</f>
        <v>-27059.326100000002</v>
      </c>
      <c r="BN1019" s="7">
        <f>Wapato_Inventory[[#This Row],[Main Floor]]*Lookups!$B$17</f>
        <v>36115.838495999997</v>
      </c>
      <c r="BO1019" s="7">
        <f>Wapato_Inventory[[#This Row],[Upper Floor]]*Lookups!$B$18</f>
        <v>0</v>
      </c>
      <c r="BP1019" s="7">
        <f>Wapato_Inventory[[#This Row],[Fin BSMT]]*Lookups!$B$19</f>
        <v>0</v>
      </c>
      <c r="BQ1019" s="7">
        <f>(Wapato_Inventory[[#This Row],[att_gar]]+Wapato_Inventory[[#This Row],[blt_gar]])*Lookups!$B$20</f>
        <v>0</v>
      </c>
      <c r="BR1019" s="7">
        <f>Wapato_Inventory[[#This Row],[Patio]]*Lookups!$B$21</f>
        <v>9357.979464</v>
      </c>
      <c r="BS1019" s="7">
        <f>SUM(Wapato_Inventory[[#This Row],[intercept]:[patio_value]])*Wapato_Inventory[[#This Row],[res_pct]]</f>
        <v>152444.76186</v>
      </c>
      <c r="BT1019" s="7">
        <f>Wapato_Inventory[[#This Row],[land_value]]</f>
        <v>54100</v>
      </c>
      <c r="BU1019" s="2">
        <f>_xlfn.IFNA(VLOOKUP(Wapato_Inventory[[#This Row],[quality]],Lookups!$A$28:$C$37,3,FALSE),1)</f>
        <v>0.96265813922927435</v>
      </c>
      <c r="BV1019" s="2">
        <f>_xlfn.IFNA(VLOOKUP(Wapato_Inventory[[#This Row],[condition]],Lookups!$A$41:$C$48,3,FALSE),1)</f>
        <v>0.9832333997567807</v>
      </c>
      <c r="BW1019" s="2">
        <f>IF(Wapato_Inventory[[#This Row],[decade]]="",1,_xlfn.IFNA(VLOOKUP(Wapato_Inventory[[#This Row],[decade]],Lookups!$F$28:$H$45,3,FALSE),1))</f>
        <v>0.8438929209510081</v>
      </c>
      <c r="BX1019" s="2">
        <f>_xlfn.IFNA(VLOOKUP(Wapato_Inventory[[#This Row],[living_area_range]],Lookups!$K$28:$M$37,3,FALSE),1)</f>
        <v>0.99022994770196116</v>
      </c>
      <c r="BY1019" s="2">
        <f>AVERAGE(Wapato_Inventory[[#This Row],[qual_adj]:[range_adj]])</f>
        <v>0.94500360190975607</v>
      </c>
      <c r="BZ1019" s="7">
        <f>(Wapato_Inventory[[#This Row],[sum_land]]-IF(Wapato_Inventory[[#This Row],[no_utilities]]=1,12000,0))/IF(Wapato_Inventory[[#This Row],[unbuildable]]=1,2,1)</f>
        <v>54100</v>
      </c>
      <c r="CA1019" s="7">
        <f>Wapato_Inventory[[#This Row],[pre_res]]*Wapato_Inventory[[#This Row],[overall_adj]]</f>
        <v>144060.84904997502</v>
      </c>
      <c r="CB1019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019" s="3">
        <f>IF(ROUND(Wapato_Inventory[[#This Row],[adj_res]]*Lookups!$H$48,-2)&lt;Wapato_Inventory[[#This Row],[min_res]],Wapato_Inventory[[#This Row],[min_res]],ROUND(Wapato_Inventory[[#This Row],[adj_res]]*Lookups!$H$48,-2))</f>
        <v>136900</v>
      </c>
      <c r="CD1019" s="3">
        <f>ROUND(Wapato_Inventory[[#This Row],[det_value]]*Lookups!$H$48,-2)</f>
        <v>0</v>
      </c>
      <c r="CE1019" s="3">
        <f>Wapato_Inventory[[#This Row],[final_res]]+Wapato_Inventory[[#This Row],[final_det]]</f>
        <v>136900</v>
      </c>
      <c r="CF1019" s="3">
        <f>Wapato_Inventory[[#This Row],[crop_value]]+Wapato_Inventory[[#This Row],[final_land]]+Wapato_Inventory[[#This Row],[final_imp]]</f>
        <v>188300</v>
      </c>
      <c r="CH1019" t="str">
        <f t="shared" si="15"/>
        <v>update valuation set market_land =51400, market_bldg=136900, market_total =188300, market_mdno =405, market_date ='9/10/2023' where link_id = (select link_id from parcel where parcel_year = '2024' and parcel_id = '19111523458');</v>
      </c>
    </row>
    <row r="1020" spans="1:86" x14ac:dyDescent="0.25">
      <c r="A1020">
        <v>19111523459</v>
      </c>
      <c r="B1020">
        <v>0.21</v>
      </c>
      <c r="C1020">
        <v>9285</v>
      </c>
      <c r="D1020" t="s">
        <v>144</v>
      </c>
      <c r="E1020" t="s">
        <v>54</v>
      </c>
      <c r="F1020" t="s">
        <v>54</v>
      </c>
      <c r="G1020">
        <v>3</v>
      </c>
      <c r="H1020" t="s">
        <v>55</v>
      </c>
      <c r="I1020">
        <v>82900</v>
      </c>
      <c r="J1020">
        <v>34800</v>
      </c>
      <c r="K1020">
        <v>0.21</v>
      </c>
      <c r="L1020">
        <f>IF(Wapato_Inventory[[#This Row],[parcel_acres]]-Wapato_Inventory[[#This Row],[non_valued_acres]] =0,0,LN(Wapato_Inventory[[#This Row],[parcel_acres]]-Wapato_Inventory[[#This Row],[non_valued_acres]]))</f>
        <v>-1.5606477482646683</v>
      </c>
      <c r="M1020">
        <v>0</v>
      </c>
      <c r="N1020">
        <v>0</v>
      </c>
      <c r="O1020">
        <v>0</v>
      </c>
      <c r="P1020">
        <v>27904.037</v>
      </c>
      <c r="Q1020">
        <v>74398</v>
      </c>
      <c r="R1020" s="3">
        <f>(Wapato_Inventory[[#This Row],[ln_acres]]*Wapato_Inventory[[#This Row],[coeff]])+Wapato_Inventory[[#This Row],[const]]</f>
        <v>30849.627488456012</v>
      </c>
      <c r="S1020" t="s">
        <v>56</v>
      </c>
      <c r="T1020">
        <v>2</v>
      </c>
      <c r="U1020" t="s">
        <v>71</v>
      </c>
      <c r="V1020" t="s">
        <v>73</v>
      </c>
      <c r="W1020">
        <v>0</v>
      </c>
      <c r="X1020">
        <v>0</v>
      </c>
      <c r="Y1020">
        <v>63</v>
      </c>
      <c r="Z1020">
        <v>111</v>
      </c>
      <c r="AA1020">
        <v>120</v>
      </c>
      <c r="AB1020">
        <v>1500</v>
      </c>
      <c r="AC1020">
        <v>1440</v>
      </c>
      <c r="AD1020">
        <v>720</v>
      </c>
      <c r="AE1020">
        <v>720</v>
      </c>
      <c r="AF1020">
        <v>0</v>
      </c>
      <c r="AG1020">
        <v>0</v>
      </c>
      <c r="AH1020">
        <v>0</v>
      </c>
      <c r="AI1020">
        <v>0</v>
      </c>
      <c r="AJ1020">
        <v>0</v>
      </c>
      <c r="AK1020">
        <v>0</v>
      </c>
      <c r="AL1020">
        <v>0</v>
      </c>
      <c r="AM1020">
        <v>0</v>
      </c>
      <c r="AN1020">
        <v>240</v>
      </c>
      <c r="AO1020">
        <v>0</v>
      </c>
      <c r="AP1020">
        <v>5</v>
      </c>
      <c r="AQ1020">
        <v>0</v>
      </c>
      <c r="AR1020">
        <v>0</v>
      </c>
      <c r="AS1020" t="s">
        <v>59</v>
      </c>
      <c r="AT1020">
        <v>0</v>
      </c>
      <c r="AU1020" t="s">
        <v>80</v>
      </c>
      <c r="AV1020" t="s">
        <v>77</v>
      </c>
      <c r="AW1020">
        <v>0</v>
      </c>
      <c r="AX1020">
        <v>3</v>
      </c>
      <c r="AY1020">
        <v>0</v>
      </c>
      <c r="AZ1020">
        <v>0</v>
      </c>
      <c r="BA1020">
        <v>100</v>
      </c>
      <c r="BB1020">
        <v>100</v>
      </c>
      <c r="BC1020">
        <v>100</v>
      </c>
      <c r="BD1020">
        <v>100</v>
      </c>
      <c r="BE1020">
        <v>1</v>
      </c>
      <c r="BF1020">
        <v>15000</v>
      </c>
      <c r="BG1020">
        <v>1000</v>
      </c>
      <c r="BH1020" s="7">
        <f>ROUND(Wapato_Inventory[[#This Row],[detatched_value]]*Lookups!$B$22*Lookups!$H$48,-2)</f>
        <v>0</v>
      </c>
      <c r="BI1020" s="7">
        <f>ROUND(((Wapato_Inventory[[#This Row],[land_extract]]*Lookups!$B$3) +(Lookups!$B$2*0.5))*Lookups!$H$48,-2)</f>
        <v>54100</v>
      </c>
      <c r="BJ1020" s="7">
        <f>IF(Wapato_Inventory[[#This Row],[bldg_style]]="",0,Lookups!$B$2*0.5)</f>
        <v>53765.27</v>
      </c>
      <c r="BK1020" s="7">
        <f>_xlfn.IFNA(VLOOKUP(Wapato_Inventory[[#This Row],[quality]],Lookups!$H$2:$J$14,3,FALSE),0)</f>
        <v>28034</v>
      </c>
      <c r="BL1020" s="7">
        <f>_xlfn.IFNA(VLOOKUP(Wapato_Inventory[[#This Row],[condition]],Lookups!$H$17:$J$24,3,FALSE),0)</f>
        <v>16276</v>
      </c>
      <c r="BM1020" s="7">
        <f>Wapato_Inventory[[#This Row],[Age]]*Lookups!$B$16</f>
        <v>-41145.002699999997</v>
      </c>
      <c r="BN1020" s="7">
        <f>Wapato_Inventory[[#This Row],[Main Floor]]*Lookups!$B$17</f>
        <v>30096.532080000001</v>
      </c>
      <c r="BO1020" s="7">
        <f>Wapato_Inventory[[#This Row],[Upper Floor]]*Lookups!$B$18</f>
        <v>35712.820080000005</v>
      </c>
      <c r="BP1020" s="7">
        <f>Wapato_Inventory[[#This Row],[Fin BSMT]]*Lookups!$B$19</f>
        <v>0</v>
      </c>
      <c r="BQ1020" s="7">
        <f>(Wapato_Inventory[[#This Row],[att_gar]]+Wapato_Inventory[[#This Row],[blt_gar]])*Lookups!$B$20</f>
        <v>0</v>
      </c>
      <c r="BR1020" s="7">
        <f>Wapato_Inventory[[#This Row],[Patio]]*Lookups!$B$21</f>
        <v>0</v>
      </c>
      <c r="BS1020" s="7">
        <f>SUM(Wapato_Inventory[[#This Row],[intercept]:[patio_value]])*Wapato_Inventory[[#This Row],[res_pct]]</f>
        <v>122739.61946</v>
      </c>
      <c r="BT1020" s="7">
        <f>Wapato_Inventory[[#This Row],[land_value]]</f>
        <v>54100</v>
      </c>
      <c r="BU1020" s="2">
        <f>_xlfn.IFNA(VLOOKUP(Wapato_Inventory[[#This Row],[quality]],Lookups!$A$28:$C$37,3,FALSE),1)</f>
        <v>0.96265813922927435</v>
      </c>
      <c r="BV1020" s="2">
        <f>_xlfn.IFNA(VLOOKUP(Wapato_Inventory[[#This Row],[condition]],Lookups!$A$41:$C$48,3,FALSE),1)</f>
        <v>0.93399385491337139</v>
      </c>
      <c r="BW1020" s="2">
        <f>IF(Wapato_Inventory[[#This Row],[decade]]="",1,_xlfn.IFNA(VLOOKUP(Wapato_Inventory[[#This Row],[decade]],Lookups!$F$28:$H$45,3,FALSE),1))</f>
        <v>0.93664589651353292</v>
      </c>
      <c r="BX1020" s="2">
        <f>_xlfn.IFNA(VLOOKUP(Wapato_Inventory[[#This Row],[living_area_range]],Lookups!$K$28:$M$37,3,FALSE),1)</f>
        <v>1.0061411172456287</v>
      </c>
      <c r="BY1020" s="2">
        <f>AVERAGE(Wapato_Inventory[[#This Row],[qual_adj]:[range_adj]])</f>
        <v>0.95985975197545192</v>
      </c>
      <c r="BZ1020" s="7">
        <f>(Wapato_Inventory[[#This Row],[sum_land]]-IF(Wapato_Inventory[[#This Row],[no_utilities]]=1,12000,0))/IF(Wapato_Inventory[[#This Row],[unbuildable]]=1,2,1)</f>
        <v>54100</v>
      </c>
      <c r="CA1020" s="7">
        <f>Wapato_Inventory[[#This Row],[pre_res]]*Wapato_Inventory[[#This Row],[overall_adj]]</f>
        <v>117812.82069243696</v>
      </c>
      <c r="CB1020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020" s="3">
        <f>IF(ROUND(Wapato_Inventory[[#This Row],[adj_res]]*Lookups!$H$48,-2)&lt;Wapato_Inventory[[#This Row],[min_res]],Wapato_Inventory[[#This Row],[min_res]],ROUND(Wapato_Inventory[[#This Row],[adj_res]]*Lookups!$H$48,-2))</f>
        <v>111900</v>
      </c>
      <c r="CD1020" s="3">
        <f>ROUND(Wapato_Inventory[[#This Row],[det_value]]*Lookups!$H$48,-2)</f>
        <v>0</v>
      </c>
      <c r="CE1020" s="3">
        <f>Wapato_Inventory[[#This Row],[final_res]]+Wapato_Inventory[[#This Row],[final_det]]</f>
        <v>111900</v>
      </c>
      <c r="CF1020" s="3">
        <f>Wapato_Inventory[[#This Row],[crop_value]]+Wapato_Inventory[[#This Row],[final_land]]+Wapato_Inventory[[#This Row],[final_imp]]</f>
        <v>163300</v>
      </c>
      <c r="CH1020" t="str">
        <f t="shared" si="15"/>
        <v>update valuation set market_land =51400, market_bldg=111900, market_total =163300, market_mdno =405, market_date ='9/10/2023' where link_id = (select link_id from parcel where parcel_year = '2024' and parcel_id = '19111523459');</v>
      </c>
    </row>
    <row r="1021" spans="1:86" x14ac:dyDescent="0.25">
      <c r="A1021">
        <v>19111523460</v>
      </c>
      <c r="B1021">
        <v>0.19</v>
      </c>
      <c r="C1021">
        <v>8422</v>
      </c>
      <c r="D1021" t="s">
        <v>144</v>
      </c>
      <c r="E1021" t="s">
        <v>54</v>
      </c>
      <c r="F1021" t="s">
        <v>54</v>
      </c>
      <c r="G1021">
        <v>3</v>
      </c>
      <c r="H1021" t="s">
        <v>55</v>
      </c>
      <c r="I1021">
        <v>55900</v>
      </c>
      <c r="J1021">
        <v>34100</v>
      </c>
      <c r="K1021">
        <v>0.19</v>
      </c>
      <c r="L1021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21">
        <v>0</v>
      </c>
      <c r="N1021">
        <v>0</v>
      </c>
      <c r="O1021">
        <v>0</v>
      </c>
      <c r="P1021">
        <v>27904.037</v>
      </c>
      <c r="Q1021">
        <v>74398</v>
      </c>
      <c r="R1021" s="3">
        <f>(Wapato_Inventory[[#This Row],[ln_acres]]*Wapato_Inventory[[#This Row],[coeff]])+Wapato_Inventory[[#This Row],[const]]</f>
        <v>28056.894957794</v>
      </c>
      <c r="S1021" t="s">
        <v>66</v>
      </c>
      <c r="T1021">
        <v>1</v>
      </c>
      <c r="U1021" t="s">
        <v>78</v>
      </c>
      <c r="V1021" t="s">
        <v>84</v>
      </c>
      <c r="W1021">
        <v>0</v>
      </c>
      <c r="X1021">
        <v>0</v>
      </c>
      <c r="Y1021">
        <v>57</v>
      </c>
      <c r="Z1021">
        <v>103</v>
      </c>
      <c r="AA1021">
        <v>110</v>
      </c>
      <c r="AB1021">
        <v>1000</v>
      </c>
      <c r="AC1021">
        <v>784</v>
      </c>
      <c r="AD1021">
        <v>784</v>
      </c>
      <c r="AE1021">
        <v>0</v>
      </c>
      <c r="AF1021">
        <v>0</v>
      </c>
      <c r="AG1021">
        <v>0</v>
      </c>
      <c r="AH1021">
        <v>0</v>
      </c>
      <c r="AI1021">
        <v>0</v>
      </c>
      <c r="AJ1021">
        <v>0</v>
      </c>
      <c r="AK1021">
        <v>0</v>
      </c>
      <c r="AL1021">
        <v>0</v>
      </c>
      <c r="AM1021">
        <v>0</v>
      </c>
      <c r="AN1021">
        <v>0</v>
      </c>
      <c r="AO1021">
        <v>0</v>
      </c>
      <c r="AP1021">
        <v>5</v>
      </c>
      <c r="AQ1021">
        <v>0</v>
      </c>
      <c r="AR1021">
        <v>0</v>
      </c>
      <c r="AS1021" t="s">
        <v>59</v>
      </c>
      <c r="AT1021">
        <v>0</v>
      </c>
      <c r="AU1021" t="s">
        <v>80</v>
      </c>
      <c r="AV1021" t="s">
        <v>77</v>
      </c>
      <c r="AW1021">
        <v>0</v>
      </c>
      <c r="AX1021">
        <v>1</v>
      </c>
      <c r="AY1021">
        <v>0</v>
      </c>
      <c r="AZ1021">
        <v>5300</v>
      </c>
      <c r="BA1021">
        <v>100</v>
      </c>
      <c r="BB1021">
        <v>100</v>
      </c>
      <c r="BC1021">
        <v>100</v>
      </c>
      <c r="BD1021">
        <v>100</v>
      </c>
      <c r="BE1021">
        <v>1</v>
      </c>
      <c r="BF1021">
        <v>15000</v>
      </c>
      <c r="BG1021">
        <v>1000</v>
      </c>
      <c r="BH1021" s="7">
        <f>ROUND(Wapato_Inventory[[#This Row],[detatched_value]]*Lookups!$B$22*Lookups!$H$48,-2)</f>
        <v>4700</v>
      </c>
      <c r="BI1021" s="7">
        <f>ROUND(((Wapato_Inventory[[#This Row],[land_extract]]*Lookups!$B$3) +(Lookups!$B$2*0.5))*Lookups!$H$48,-2)</f>
        <v>53800</v>
      </c>
      <c r="BJ1021" s="7">
        <f>IF(Wapato_Inventory[[#This Row],[bldg_style]]="",0,Lookups!$B$2*0.5)</f>
        <v>53765.27</v>
      </c>
      <c r="BK1021" s="7">
        <f>_xlfn.IFNA(VLOOKUP(Wapato_Inventory[[#This Row],[quality]],Lookups!$H$2:$J$14,3,FALSE),0)</f>
        <v>23424</v>
      </c>
      <c r="BL1021" s="7">
        <f>_xlfn.IFNA(VLOOKUP(Wapato_Inventory[[#This Row],[condition]],Lookups!$H$17:$J$24,3,FALSE),0)</f>
        <v>0</v>
      </c>
      <c r="BM1021" s="7">
        <f>Wapato_Inventory[[#This Row],[Age]]*Lookups!$B$16</f>
        <v>-38179.597099999999</v>
      </c>
      <c r="BN1021" s="7">
        <f>Wapato_Inventory[[#This Row],[Main Floor]]*Lookups!$B$17</f>
        <v>32771.779375999999</v>
      </c>
      <c r="BO1021" s="7">
        <f>Wapato_Inventory[[#This Row],[Upper Floor]]*Lookups!$B$18</f>
        <v>0</v>
      </c>
      <c r="BP1021" s="7">
        <f>Wapato_Inventory[[#This Row],[Fin BSMT]]*Lookups!$B$19</f>
        <v>0</v>
      </c>
      <c r="BQ1021" s="7">
        <f>(Wapato_Inventory[[#This Row],[att_gar]]+Wapato_Inventory[[#This Row],[blt_gar]])*Lookups!$B$20</f>
        <v>0</v>
      </c>
      <c r="BR1021" s="7">
        <f>Wapato_Inventory[[#This Row],[Patio]]*Lookups!$B$21</f>
        <v>0</v>
      </c>
      <c r="BS1021" s="7">
        <f>SUM(Wapato_Inventory[[#This Row],[intercept]:[patio_value]])*Wapato_Inventory[[#This Row],[res_pct]]</f>
        <v>71781.452275999996</v>
      </c>
      <c r="BT1021" s="7">
        <f>Wapato_Inventory[[#This Row],[land_value]]</f>
        <v>53800</v>
      </c>
      <c r="BU1021" s="2">
        <f>_xlfn.IFNA(VLOOKUP(Wapato_Inventory[[#This Row],[quality]],Lookups!$A$28:$C$37,3,FALSE),1)</f>
        <v>1.0091195562373767</v>
      </c>
      <c r="BV1021" s="2">
        <f>_xlfn.IFNA(VLOOKUP(Wapato_Inventory[[#This Row],[condition]],Lookups!$A$41:$C$48,3,FALSE),1)</f>
        <v>1.0000035546274355</v>
      </c>
      <c r="BW1021" s="2">
        <f>IF(Wapato_Inventory[[#This Row],[decade]]="",1,_xlfn.IFNA(VLOOKUP(Wapato_Inventory[[#This Row],[decade]],Lookups!$F$28:$H$45,3,FALSE),1))</f>
        <v>0.93664589651353292</v>
      </c>
      <c r="BX1021" s="2">
        <f>_xlfn.IFNA(VLOOKUP(Wapato_Inventory[[#This Row],[living_area_range]],Lookups!$K$28:$M$37,3,FALSE),1)</f>
        <v>0.99022994770196116</v>
      </c>
      <c r="BY1021" s="2">
        <f>AVERAGE(Wapato_Inventory[[#This Row],[qual_adj]:[range_adj]])</f>
        <v>0.98399973877007663</v>
      </c>
      <c r="BZ1021" s="7">
        <f>(Wapato_Inventory[[#This Row],[sum_land]]-IF(Wapato_Inventory[[#This Row],[no_utilities]]=1,12000,0))/IF(Wapato_Inventory[[#This Row],[unbuildable]]=1,2,1)</f>
        <v>53800</v>
      </c>
      <c r="CA1021" s="7">
        <f>Wapato_Inventory[[#This Row],[pre_res]]*Wapato_Inventory[[#This Row],[overall_adj]]</f>
        <v>70632.930288120726</v>
      </c>
      <c r="CB1021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21" s="3">
        <f>IF(ROUND(Wapato_Inventory[[#This Row],[adj_res]]*Lookups!$H$48,-2)&lt;Wapato_Inventory[[#This Row],[min_res]],Wapato_Inventory[[#This Row],[min_res]],ROUND(Wapato_Inventory[[#This Row],[adj_res]]*Lookups!$H$48,-2))</f>
        <v>67100</v>
      </c>
      <c r="CD1021" s="3">
        <f>ROUND(Wapato_Inventory[[#This Row],[det_value]]*Lookups!$H$48,-2)</f>
        <v>4500</v>
      </c>
      <c r="CE1021" s="3">
        <f>Wapato_Inventory[[#This Row],[final_res]]+Wapato_Inventory[[#This Row],[final_det]]</f>
        <v>71600</v>
      </c>
      <c r="CF1021" s="3">
        <f>Wapato_Inventory[[#This Row],[crop_value]]+Wapato_Inventory[[#This Row],[final_land]]+Wapato_Inventory[[#This Row],[final_imp]]</f>
        <v>122700</v>
      </c>
      <c r="CH1021" t="str">
        <f t="shared" si="15"/>
        <v>update valuation set market_land =51100, market_bldg=71600, market_total =122700, market_mdno =405, market_date ='9/10/2023' where link_id = (select link_id from parcel where parcel_year = '2024' and parcel_id = '19111523460');</v>
      </c>
    </row>
    <row r="1022" spans="1:86" x14ac:dyDescent="0.25">
      <c r="A1022">
        <v>19111523461</v>
      </c>
      <c r="B1022">
        <v>0.23</v>
      </c>
      <c r="C1022">
        <v>10148</v>
      </c>
      <c r="D1022" t="s">
        <v>144</v>
      </c>
      <c r="E1022" t="s">
        <v>54</v>
      </c>
      <c r="F1022" t="s">
        <v>54</v>
      </c>
      <c r="G1022">
        <v>3</v>
      </c>
      <c r="H1022" t="s">
        <v>55</v>
      </c>
      <c r="I1022">
        <v>172800</v>
      </c>
      <c r="J1022">
        <v>35500</v>
      </c>
      <c r="K1022">
        <v>0.23</v>
      </c>
      <c r="L1022">
        <f>IF(Wapato_Inventory[[#This Row],[parcel_acres]]-Wapato_Inventory[[#This Row],[non_valued_acres]] =0,0,LN(Wapato_Inventory[[#This Row],[parcel_acres]]-Wapato_Inventory[[#This Row],[non_valued_acres]]))</f>
        <v>-1.4696759700589417</v>
      </c>
      <c r="M1022">
        <v>0</v>
      </c>
      <c r="N1022">
        <v>0</v>
      </c>
      <c r="O1022">
        <v>0</v>
      </c>
      <c r="P1022">
        <v>27904.037</v>
      </c>
      <c r="Q1022">
        <v>74398</v>
      </c>
      <c r="R1022" s="3">
        <f>(Wapato_Inventory[[#This Row],[ln_acres]]*Wapato_Inventory[[#This Row],[coeff]])+Wapato_Inventory[[#This Row],[const]]</f>
        <v>33388.107353464402</v>
      </c>
      <c r="S1022" t="s">
        <v>56</v>
      </c>
      <c r="T1022">
        <v>2</v>
      </c>
      <c r="U1022" t="s">
        <v>75</v>
      </c>
      <c r="V1022" t="s">
        <v>68</v>
      </c>
      <c r="W1022">
        <v>0</v>
      </c>
      <c r="X1022">
        <v>0</v>
      </c>
      <c r="Y1022">
        <v>53</v>
      </c>
      <c r="Z1022">
        <v>93</v>
      </c>
      <c r="AA1022">
        <v>100</v>
      </c>
      <c r="AB1022">
        <v>1500</v>
      </c>
      <c r="AC1022">
        <v>1408</v>
      </c>
      <c r="AD1022">
        <v>958</v>
      </c>
      <c r="AE1022">
        <v>450</v>
      </c>
      <c r="AF1022">
        <v>0</v>
      </c>
      <c r="AG1022">
        <v>0</v>
      </c>
      <c r="AH1022">
        <v>0</v>
      </c>
      <c r="AI1022">
        <v>204</v>
      </c>
      <c r="AJ1022">
        <v>0</v>
      </c>
      <c r="AK1022">
        <v>0</v>
      </c>
      <c r="AL1022">
        <v>0</v>
      </c>
      <c r="AM1022">
        <v>92</v>
      </c>
      <c r="AN1022">
        <v>0</v>
      </c>
      <c r="AO1022">
        <v>20</v>
      </c>
      <c r="AP1022">
        <v>7</v>
      </c>
      <c r="AQ1022">
        <v>0</v>
      </c>
      <c r="AR1022">
        <v>0</v>
      </c>
      <c r="AS1022" t="s">
        <v>59</v>
      </c>
      <c r="AT1022">
        <v>1</v>
      </c>
      <c r="AU1022" t="s">
        <v>64</v>
      </c>
      <c r="AV1022" t="s">
        <v>61</v>
      </c>
      <c r="AW1022">
        <v>0</v>
      </c>
      <c r="AX1022">
        <v>3</v>
      </c>
      <c r="AY1022">
        <v>0</v>
      </c>
      <c r="AZ1022">
        <v>0</v>
      </c>
      <c r="BA1022">
        <v>100</v>
      </c>
      <c r="BB1022">
        <v>100</v>
      </c>
      <c r="BC1022">
        <v>100</v>
      </c>
      <c r="BD1022">
        <v>100</v>
      </c>
      <c r="BE1022">
        <v>1</v>
      </c>
      <c r="BF1022">
        <v>15000</v>
      </c>
      <c r="BG1022">
        <v>1000</v>
      </c>
      <c r="BH1022" s="7">
        <f>ROUND(Wapato_Inventory[[#This Row],[detatched_value]]*Lookups!$B$22*Lookups!$H$48,-2)</f>
        <v>0</v>
      </c>
      <c r="BI1022" s="7">
        <f>ROUND(((Wapato_Inventory[[#This Row],[land_extract]]*Lookups!$B$3) +(Lookups!$B$2*0.5))*Lookups!$H$48,-2)</f>
        <v>54300</v>
      </c>
      <c r="BJ1022" s="7">
        <f>IF(Wapato_Inventory[[#This Row],[bldg_style]]="",0,Lookups!$B$2*0.5)</f>
        <v>53765.27</v>
      </c>
      <c r="BK1022" s="7">
        <f>_xlfn.IFNA(VLOOKUP(Wapato_Inventory[[#This Row],[quality]],Lookups!$H$2:$J$14,3,FALSE),0)</f>
        <v>48043</v>
      </c>
      <c r="BL1022" s="7">
        <f>_xlfn.IFNA(VLOOKUP(Wapato_Inventory[[#This Row],[condition]],Lookups!$H$17:$J$24,3,FALSE),0)</f>
        <v>52231</v>
      </c>
      <c r="BM1022" s="7">
        <f>Wapato_Inventory[[#This Row],[Age]]*Lookups!$B$16</f>
        <v>-34472.840100000001</v>
      </c>
      <c r="BN1022" s="7">
        <f>Wapato_Inventory[[#This Row],[Main Floor]]*Lookups!$B$17</f>
        <v>40045.107962000002</v>
      </c>
      <c r="BO1022" s="7">
        <f>Wapato_Inventory[[#This Row],[Upper Floor]]*Lookups!$B$18</f>
        <v>22320.512550000003</v>
      </c>
      <c r="BP1022" s="7">
        <f>Wapato_Inventory[[#This Row],[Fin BSMT]]*Lookups!$B$19</f>
        <v>0</v>
      </c>
      <c r="BQ1022" s="7">
        <f>(Wapato_Inventory[[#This Row],[att_gar]]+Wapato_Inventory[[#This Row],[blt_gar]])*Lookups!$B$20</f>
        <v>7549.7854080000006</v>
      </c>
      <c r="BR1022" s="7">
        <f>Wapato_Inventory[[#This Row],[Patio]]*Lookups!$B$21</f>
        <v>3985.8060680000003</v>
      </c>
      <c r="BS1022" s="7">
        <f>SUM(Wapato_Inventory[[#This Row],[intercept]:[patio_value]])*Wapato_Inventory[[#This Row],[res_pct]]</f>
        <v>193467.64188800001</v>
      </c>
      <c r="BT1022" s="7">
        <f>Wapato_Inventory[[#This Row],[land_value]]</f>
        <v>54300</v>
      </c>
      <c r="BU1022" s="2">
        <f>_xlfn.IFNA(VLOOKUP(Wapato_Inventory[[#This Row],[quality]],Lookups!$A$28:$C$37,3,FALSE),1)</f>
        <v>0.98196844879778955</v>
      </c>
      <c r="BV1022" s="2">
        <f>_xlfn.IFNA(VLOOKUP(Wapato_Inventory[[#This Row],[condition]],Lookups!$A$41:$C$48,3,FALSE),1)</f>
        <v>0.9832333997567807</v>
      </c>
      <c r="BW1022" s="2">
        <f>IF(Wapato_Inventory[[#This Row],[decade]]="",1,_xlfn.IFNA(VLOOKUP(Wapato_Inventory[[#This Row],[decade]],Lookups!$F$28:$H$45,3,FALSE),1))</f>
        <v>1.0114203040664467</v>
      </c>
      <c r="BX1022" s="2">
        <f>_xlfn.IFNA(VLOOKUP(Wapato_Inventory[[#This Row],[living_area_range]],Lookups!$K$28:$M$37,3,FALSE),1)</f>
        <v>1.0061411172456287</v>
      </c>
      <c r="BY1022" s="2">
        <f>AVERAGE(Wapato_Inventory[[#This Row],[qual_adj]:[range_adj]])</f>
        <v>0.99569081746666144</v>
      </c>
      <c r="BZ1022" s="7">
        <f>(Wapato_Inventory[[#This Row],[sum_land]]-IF(Wapato_Inventory[[#This Row],[no_utilities]]=1,12000,0))/IF(Wapato_Inventory[[#This Row],[unbuildable]]=1,2,1)</f>
        <v>54300</v>
      </c>
      <c r="CA1022" s="7">
        <f>Wapato_Inventory[[#This Row],[pre_res]]*Wapato_Inventory[[#This Row],[overall_adj]]</f>
        <v>192633.95450481004</v>
      </c>
      <c r="CB1022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1022" s="3">
        <f>IF(ROUND(Wapato_Inventory[[#This Row],[adj_res]]*Lookups!$H$48,-2)&lt;Wapato_Inventory[[#This Row],[min_res]],Wapato_Inventory[[#This Row],[min_res]],ROUND(Wapato_Inventory[[#This Row],[adj_res]]*Lookups!$H$48,-2))</f>
        <v>183000</v>
      </c>
      <c r="CD1022" s="3">
        <f>ROUND(Wapato_Inventory[[#This Row],[det_value]]*Lookups!$H$48,-2)</f>
        <v>0</v>
      </c>
      <c r="CE1022" s="3">
        <f>Wapato_Inventory[[#This Row],[final_res]]+Wapato_Inventory[[#This Row],[final_det]]</f>
        <v>183000</v>
      </c>
      <c r="CF1022" s="3">
        <f>Wapato_Inventory[[#This Row],[crop_value]]+Wapato_Inventory[[#This Row],[final_land]]+Wapato_Inventory[[#This Row],[final_imp]]</f>
        <v>234600</v>
      </c>
      <c r="CH1022" t="str">
        <f t="shared" si="15"/>
        <v>update valuation set market_land =51600, market_bldg=183000, market_total =234600, market_mdno =405, market_date ='9/10/2023' where link_id = (select link_id from parcel where parcel_year = '2024' and parcel_id = '19111523461');</v>
      </c>
    </row>
    <row r="1023" spans="1:86" x14ac:dyDescent="0.25">
      <c r="A1023">
        <v>19111523462</v>
      </c>
      <c r="B1023">
        <v>0.21</v>
      </c>
      <c r="C1023">
        <v>9325</v>
      </c>
      <c r="D1023" t="s">
        <v>144</v>
      </c>
      <c r="E1023" t="s">
        <v>54</v>
      </c>
      <c r="F1023" t="s">
        <v>54</v>
      </c>
      <c r="G1023">
        <v>3</v>
      </c>
      <c r="H1023" t="s">
        <v>55</v>
      </c>
      <c r="I1023">
        <v>141300</v>
      </c>
      <c r="J1023">
        <v>34800</v>
      </c>
      <c r="K1023">
        <v>0.21</v>
      </c>
      <c r="L1023">
        <f>IF(Wapato_Inventory[[#This Row],[parcel_acres]]-Wapato_Inventory[[#This Row],[non_valued_acres]] =0,0,LN(Wapato_Inventory[[#This Row],[parcel_acres]]-Wapato_Inventory[[#This Row],[non_valued_acres]]))</f>
        <v>-1.5606477482646683</v>
      </c>
      <c r="M1023">
        <v>0</v>
      </c>
      <c r="N1023">
        <v>0</v>
      </c>
      <c r="O1023">
        <v>0</v>
      </c>
      <c r="P1023">
        <v>27904.037</v>
      </c>
      <c r="Q1023">
        <v>74398</v>
      </c>
      <c r="R1023" s="3">
        <f>(Wapato_Inventory[[#This Row],[ln_acres]]*Wapato_Inventory[[#This Row],[coeff]])+Wapato_Inventory[[#This Row],[const]]</f>
        <v>30849.627488456012</v>
      </c>
      <c r="S1023" t="s">
        <v>66</v>
      </c>
      <c r="T1023">
        <v>1</v>
      </c>
      <c r="U1023" t="s">
        <v>71</v>
      </c>
      <c r="V1023" t="s">
        <v>68</v>
      </c>
      <c r="W1023">
        <v>0</v>
      </c>
      <c r="X1023">
        <v>0</v>
      </c>
      <c r="Y1023">
        <v>53</v>
      </c>
      <c r="Z1023">
        <v>93</v>
      </c>
      <c r="AA1023">
        <v>100</v>
      </c>
      <c r="AB1023">
        <v>1500</v>
      </c>
      <c r="AC1023">
        <v>1448</v>
      </c>
      <c r="AD1023">
        <v>1448</v>
      </c>
      <c r="AE1023">
        <v>0</v>
      </c>
      <c r="AF1023">
        <v>0</v>
      </c>
      <c r="AG1023">
        <v>0</v>
      </c>
      <c r="AH1023">
        <v>0</v>
      </c>
      <c r="AI1023">
        <v>0</v>
      </c>
      <c r="AJ1023">
        <v>0</v>
      </c>
      <c r="AK1023">
        <v>0</v>
      </c>
      <c r="AL1023">
        <v>240</v>
      </c>
      <c r="AM1023">
        <v>0</v>
      </c>
      <c r="AN1023">
        <v>0</v>
      </c>
      <c r="AO1023">
        <v>0</v>
      </c>
      <c r="AP1023">
        <v>5</v>
      </c>
      <c r="AQ1023">
        <v>0</v>
      </c>
      <c r="AR1023">
        <v>0</v>
      </c>
      <c r="AS1023" t="s">
        <v>59</v>
      </c>
      <c r="AT1023">
        <v>1</v>
      </c>
      <c r="AU1023" t="s">
        <v>72</v>
      </c>
      <c r="AV1023" t="s">
        <v>61</v>
      </c>
      <c r="AW1023">
        <v>0</v>
      </c>
      <c r="AX1023">
        <v>2</v>
      </c>
      <c r="AY1023">
        <v>0</v>
      </c>
      <c r="AZ1023">
        <v>0</v>
      </c>
      <c r="BA1023">
        <v>100</v>
      </c>
      <c r="BB1023">
        <v>100</v>
      </c>
      <c r="BC1023">
        <v>100</v>
      </c>
      <c r="BD1023">
        <v>100</v>
      </c>
      <c r="BE1023">
        <v>1</v>
      </c>
      <c r="BF1023">
        <v>15000</v>
      </c>
      <c r="BG1023">
        <v>1000</v>
      </c>
      <c r="BH1023" s="7">
        <f>ROUND(Wapato_Inventory[[#This Row],[detatched_value]]*Lookups!$B$22*Lookups!$H$48,-2)</f>
        <v>0</v>
      </c>
      <c r="BI1023" s="7">
        <f>ROUND(((Wapato_Inventory[[#This Row],[land_extract]]*Lookups!$B$3) +(Lookups!$B$2*0.5))*Lookups!$H$48,-2)</f>
        <v>54100</v>
      </c>
      <c r="BJ1023" s="7">
        <f>IF(Wapato_Inventory[[#This Row],[bldg_style]]="",0,Lookups!$B$2*0.5)</f>
        <v>53765.27</v>
      </c>
      <c r="BK1023" s="7">
        <f>_xlfn.IFNA(VLOOKUP(Wapato_Inventory[[#This Row],[quality]],Lookups!$H$2:$J$14,3,FALSE),0)</f>
        <v>28034</v>
      </c>
      <c r="BL1023" s="7">
        <f>_xlfn.IFNA(VLOOKUP(Wapato_Inventory[[#This Row],[condition]],Lookups!$H$17:$J$24,3,FALSE),0)</f>
        <v>52231</v>
      </c>
      <c r="BM1023" s="7">
        <f>Wapato_Inventory[[#This Row],[Age]]*Lookups!$B$16</f>
        <v>-34472.840100000001</v>
      </c>
      <c r="BN1023" s="7">
        <f>Wapato_Inventory[[#This Row],[Main Floor]]*Lookups!$B$17</f>
        <v>60527.470072000004</v>
      </c>
      <c r="BO1023" s="7">
        <f>Wapato_Inventory[[#This Row],[Upper Floor]]*Lookups!$B$18</f>
        <v>0</v>
      </c>
      <c r="BP1023" s="7">
        <f>Wapato_Inventory[[#This Row],[Fin BSMT]]*Lookups!$B$19</f>
        <v>0</v>
      </c>
      <c r="BQ1023" s="7">
        <f>(Wapato_Inventory[[#This Row],[att_gar]]+Wapato_Inventory[[#This Row],[blt_gar]])*Lookups!$B$20</f>
        <v>0</v>
      </c>
      <c r="BR1023" s="7">
        <f>Wapato_Inventory[[#This Row],[Patio]]*Lookups!$B$21</f>
        <v>0</v>
      </c>
      <c r="BS1023" s="7">
        <f>SUM(Wapato_Inventory[[#This Row],[intercept]:[patio_value]])*Wapato_Inventory[[#This Row],[res_pct]]</f>
        <v>160084.89997199998</v>
      </c>
      <c r="BT1023" s="7">
        <f>Wapato_Inventory[[#This Row],[land_value]]</f>
        <v>54100</v>
      </c>
      <c r="BU1023" s="2">
        <f>_xlfn.IFNA(VLOOKUP(Wapato_Inventory[[#This Row],[quality]],Lookups!$A$28:$C$37,3,FALSE),1)</f>
        <v>0.96265813922927435</v>
      </c>
      <c r="BV1023" s="2">
        <f>_xlfn.IFNA(VLOOKUP(Wapato_Inventory[[#This Row],[condition]],Lookups!$A$41:$C$48,3,FALSE),1)</f>
        <v>0.9832333997567807</v>
      </c>
      <c r="BW1023" s="2">
        <f>IF(Wapato_Inventory[[#This Row],[decade]]="",1,_xlfn.IFNA(VLOOKUP(Wapato_Inventory[[#This Row],[decade]],Lookups!$F$28:$H$45,3,FALSE),1))</f>
        <v>1.0114203040664467</v>
      </c>
      <c r="BX1023" s="2">
        <f>_xlfn.IFNA(VLOOKUP(Wapato_Inventory[[#This Row],[living_area_range]],Lookups!$K$28:$M$37,3,FALSE),1)</f>
        <v>1.0061411172456287</v>
      </c>
      <c r="BY1023" s="2">
        <f>AVERAGE(Wapato_Inventory[[#This Row],[qual_adj]:[range_adj]])</f>
        <v>0.99086324007453253</v>
      </c>
      <c r="BZ1023" s="7">
        <f>(Wapato_Inventory[[#This Row],[sum_land]]-IF(Wapato_Inventory[[#This Row],[no_utilities]]=1,12000,0))/IF(Wapato_Inventory[[#This Row],[unbuildable]]=1,2,1)</f>
        <v>54100</v>
      </c>
      <c r="CA1023" s="7">
        <f>Wapato_Inventory[[#This Row],[pre_res]]*Wapato_Inventory[[#This Row],[overall_adj]]</f>
        <v>158622.24267326333</v>
      </c>
      <c r="CB1023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023" s="3">
        <f>IF(ROUND(Wapato_Inventory[[#This Row],[adj_res]]*Lookups!$H$48,-2)&lt;Wapato_Inventory[[#This Row],[min_res]],Wapato_Inventory[[#This Row],[min_res]],ROUND(Wapato_Inventory[[#This Row],[adj_res]]*Lookups!$H$48,-2))</f>
        <v>150700</v>
      </c>
      <c r="CD1023" s="3">
        <f>ROUND(Wapato_Inventory[[#This Row],[det_value]]*Lookups!$H$48,-2)</f>
        <v>0</v>
      </c>
      <c r="CE1023" s="3">
        <f>Wapato_Inventory[[#This Row],[final_res]]+Wapato_Inventory[[#This Row],[final_det]]</f>
        <v>150700</v>
      </c>
      <c r="CF1023" s="3">
        <f>Wapato_Inventory[[#This Row],[crop_value]]+Wapato_Inventory[[#This Row],[final_land]]+Wapato_Inventory[[#This Row],[final_imp]]</f>
        <v>202100</v>
      </c>
      <c r="CH1023" t="str">
        <f t="shared" si="15"/>
        <v>update valuation set market_land =51400, market_bldg=150700, market_total =202100, market_mdno =405, market_date ='9/10/2023' where link_id = (select link_id from parcel where parcel_year = '2024' and parcel_id = '19111523462');</v>
      </c>
    </row>
    <row r="1024" spans="1:86" x14ac:dyDescent="0.25">
      <c r="A1024">
        <v>19111523463</v>
      </c>
      <c r="B1024">
        <v>0.21</v>
      </c>
      <c r="C1024">
        <v>9284</v>
      </c>
      <c r="D1024" t="s">
        <v>144</v>
      </c>
      <c r="E1024" t="s">
        <v>54</v>
      </c>
      <c r="F1024" t="s">
        <v>54</v>
      </c>
      <c r="G1024">
        <v>3</v>
      </c>
      <c r="H1024" t="s">
        <v>55</v>
      </c>
      <c r="I1024">
        <v>155200</v>
      </c>
      <c r="J1024">
        <v>34800</v>
      </c>
      <c r="K1024">
        <v>0.21</v>
      </c>
      <c r="L1024">
        <f>IF(Wapato_Inventory[[#This Row],[parcel_acres]]-Wapato_Inventory[[#This Row],[non_valued_acres]] =0,0,LN(Wapato_Inventory[[#This Row],[parcel_acres]]-Wapato_Inventory[[#This Row],[non_valued_acres]]))</f>
        <v>-1.5606477482646683</v>
      </c>
      <c r="M1024">
        <v>0</v>
      </c>
      <c r="N1024">
        <v>0</v>
      </c>
      <c r="O1024">
        <v>0</v>
      </c>
      <c r="P1024">
        <v>27904.037</v>
      </c>
      <c r="Q1024">
        <v>74398</v>
      </c>
      <c r="R1024" s="3">
        <f>(Wapato_Inventory[[#This Row],[ln_acres]]*Wapato_Inventory[[#This Row],[coeff]])+Wapato_Inventory[[#This Row],[const]]</f>
        <v>30849.627488456012</v>
      </c>
      <c r="S1024" t="s">
        <v>66</v>
      </c>
      <c r="T1024">
        <v>1</v>
      </c>
      <c r="U1024" t="s">
        <v>71</v>
      </c>
      <c r="V1024" t="s">
        <v>68</v>
      </c>
      <c r="W1024">
        <v>0</v>
      </c>
      <c r="X1024">
        <v>0</v>
      </c>
      <c r="Y1024">
        <v>55</v>
      </c>
      <c r="Z1024">
        <v>98</v>
      </c>
      <c r="AA1024">
        <v>100</v>
      </c>
      <c r="AB1024">
        <v>1500</v>
      </c>
      <c r="AC1024">
        <v>1176</v>
      </c>
      <c r="AD1024">
        <v>1176</v>
      </c>
      <c r="AE1024">
        <v>0</v>
      </c>
      <c r="AF1024">
        <v>0</v>
      </c>
      <c r="AG1024">
        <v>0</v>
      </c>
      <c r="AH1024">
        <v>0</v>
      </c>
      <c r="AI1024">
        <v>625</v>
      </c>
      <c r="AJ1024">
        <v>0</v>
      </c>
      <c r="AK1024">
        <v>240</v>
      </c>
      <c r="AL1024">
        <v>0</v>
      </c>
      <c r="AM1024">
        <v>90</v>
      </c>
      <c r="AN1024">
        <v>0</v>
      </c>
      <c r="AO1024">
        <v>90</v>
      </c>
      <c r="AP1024">
        <v>5</v>
      </c>
      <c r="AQ1024">
        <v>1</v>
      </c>
      <c r="AR1024">
        <v>0</v>
      </c>
      <c r="AS1024" t="s">
        <v>82</v>
      </c>
      <c r="AT1024">
        <v>1</v>
      </c>
      <c r="AU1024" t="s">
        <v>72</v>
      </c>
      <c r="AV1024" t="s">
        <v>61</v>
      </c>
      <c r="AW1024">
        <v>0</v>
      </c>
      <c r="AX1024">
        <v>3</v>
      </c>
      <c r="AY1024">
        <v>0</v>
      </c>
      <c r="AZ1024">
        <v>0</v>
      </c>
      <c r="BA1024">
        <v>100</v>
      </c>
      <c r="BB1024">
        <v>100</v>
      </c>
      <c r="BC1024">
        <v>100</v>
      </c>
      <c r="BD1024">
        <v>100</v>
      </c>
      <c r="BE1024">
        <v>1</v>
      </c>
      <c r="BF1024">
        <v>15000</v>
      </c>
      <c r="BG1024">
        <v>1000</v>
      </c>
      <c r="BH1024" s="7">
        <f>ROUND(Wapato_Inventory[[#This Row],[detatched_value]]*Lookups!$B$22*Lookups!$H$48,-2)</f>
        <v>0</v>
      </c>
      <c r="BI1024" s="7">
        <f>ROUND(((Wapato_Inventory[[#This Row],[land_extract]]*Lookups!$B$3) +(Lookups!$B$2*0.5))*Lookups!$H$48,-2)</f>
        <v>54100</v>
      </c>
      <c r="BJ1024" s="7">
        <f>IF(Wapato_Inventory[[#This Row],[bldg_style]]="",0,Lookups!$B$2*0.5)</f>
        <v>53765.27</v>
      </c>
      <c r="BK1024" s="7">
        <f>_xlfn.IFNA(VLOOKUP(Wapato_Inventory[[#This Row],[quality]],Lookups!$H$2:$J$14,3,FALSE),0)</f>
        <v>28034</v>
      </c>
      <c r="BL1024" s="7">
        <f>_xlfn.IFNA(VLOOKUP(Wapato_Inventory[[#This Row],[condition]],Lookups!$H$17:$J$24,3,FALSE),0)</f>
        <v>52231</v>
      </c>
      <c r="BM1024" s="7">
        <f>Wapato_Inventory[[#This Row],[Age]]*Lookups!$B$16</f>
        <v>-36326.2186</v>
      </c>
      <c r="BN1024" s="7">
        <f>Wapato_Inventory[[#This Row],[Main Floor]]*Lookups!$B$17</f>
        <v>49157.669064000002</v>
      </c>
      <c r="BO1024" s="7">
        <f>Wapato_Inventory[[#This Row],[Upper Floor]]*Lookups!$B$18</f>
        <v>0</v>
      </c>
      <c r="BP1024" s="7">
        <f>Wapato_Inventory[[#This Row],[Fin BSMT]]*Lookups!$B$19</f>
        <v>0</v>
      </c>
      <c r="BQ1024" s="7">
        <f>(Wapato_Inventory[[#This Row],[att_gar]]+Wapato_Inventory[[#This Row],[blt_gar]])*Lookups!$B$20</f>
        <v>23130.47</v>
      </c>
      <c r="BR1024" s="7">
        <f>Wapato_Inventory[[#This Row],[Patio]]*Lookups!$B$21</f>
        <v>3899.1581100000003</v>
      </c>
      <c r="BS1024" s="7">
        <f>SUM(Wapato_Inventory[[#This Row],[intercept]:[patio_value]])*Wapato_Inventory[[#This Row],[res_pct]]</f>
        <v>173891.348574</v>
      </c>
      <c r="BT1024" s="7">
        <f>Wapato_Inventory[[#This Row],[land_value]]</f>
        <v>54100</v>
      </c>
      <c r="BU1024" s="2">
        <f>_xlfn.IFNA(VLOOKUP(Wapato_Inventory[[#This Row],[quality]],Lookups!$A$28:$C$37,3,FALSE),1)</f>
        <v>0.96265813922927435</v>
      </c>
      <c r="BV1024" s="2">
        <f>_xlfn.IFNA(VLOOKUP(Wapato_Inventory[[#This Row],[condition]],Lookups!$A$41:$C$48,3,FALSE),1)</f>
        <v>0.9832333997567807</v>
      </c>
      <c r="BW1024" s="2">
        <f>IF(Wapato_Inventory[[#This Row],[decade]]="",1,_xlfn.IFNA(VLOOKUP(Wapato_Inventory[[#This Row],[decade]],Lookups!$F$28:$H$45,3,FALSE),1))</f>
        <v>1.0114203040664467</v>
      </c>
      <c r="BX1024" s="2">
        <f>_xlfn.IFNA(VLOOKUP(Wapato_Inventory[[#This Row],[living_area_range]],Lookups!$K$28:$M$37,3,FALSE),1)</f>
        <v>1.0061411172456287</v>
      </c>
      <c r="BY1024" s="2">
        <f>AVERAGE(Wapato_Inventory[[#This Row],[qual_adj]:[range_adj]])</f>
        <v>0.99086324007453253</v>
      </c>
      <c r="BZ1024" s="7">
        <f>(Wapato_Inventory[[#This Row],[sum_land]]-IF(Wapato_Inventory[[#This Row],[no_utilities]]=1,12000,0))/IF(Wapato_Inventory[[#This Row],[unbuildable]]=1,2,1)</f>
        <v>54100</v>
      </c>
      <c r="CA1024" s="7">
        <f>Wapato_Inventory[[#This Row],[pre_res]]*Wapato_Inventory[[#This Row],[overall_adj]]</f>
        <v>172302.54506896358</v>
      </c>
      <c r="CB1024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024" s="3">
        <f>IF(ROUND(Wapato_Inventory[[#This Row],[adj_res]]*Lookups!$H$48,-2)&lt;Wapato_Inventory[[#This Row],[min_res]],Wapato_Inventory[[#This Row],[min_res]],ROUND(Wapato_Inventory[[#This Row],[adj_res]]*Lookups!$H$48,-2))</f>
        <v>163700</v>
      </c>
      <c r="CD1024" s="3">
        <f>ROUND(Wapato_Inventory[[#This Row],[det_value]]*Lookups!$H$48,-2)</f>
        <v>0</v>
      </c>
      <c r="CE1024" s="3">
        <f>Wapato_Inventory[[#This Row],[final_res]]+Wapato_Inventory[[#This Row],[final_det]]</f>
        <v>163700</v>
      </c>
      <c r="CF1024" s="3">
        <f>Wapato_Inventory[[#This Row],[crop_value]]+Wapato_Inventory[[#This Row],[final_land]]+Wapato_Inventory[[#This Row],[final_imp]]</f>
        <v>215100</v>
      </c>
      <c r="CH1024" t="str">
        <f t="shared" si="15"/>
        <v>update valuation set market_land =51400, market_bldg=163700, market_total =215100, market_mdno =405, market_date ='9/10/2023' where link_id = (select link_id from parcel where parcel_year = '2024' and parcel_id = '19111523463');</v>
      </c>
    </row>
    <row r="1025" spans="1:86" x14ac:dyDescent="0.25">
      <c r="A1025">
        <v>19111523464</v>
      </c>
      <c r="B1025">
        <v>0.21</v>
      </c>
      <c r="C1025">
        <v>9283</v>
      </c>
      <c r="D1025" t="s">
        <v>144</v>
      </c>
      <c r="E1025" t="s">
        <v>54</v>
      </c>
      <c r="F1025" t="s">
        <v>54</v>
      </c>
      <c r="G1025">
        <v>3</v>
      </c>
      <c r="H1025" t="s">
        <v>55</v>
      </c>
      <c r="I1025">
        <v>128900</v>
      </c>
      <c r="J1025">
        <v>34800</v>
      </c>
      <c r="K1025">
        <v>0.21</v>
      </c>
      <c r="L1025">
        <f>IF(Wapato_Inventory[[#This Row],[parcel_acres]]-Wapato_Inventory[[#This Row],[non_valued_acres]] =0,0,LN(Wapato_Inventory[[#This Row],[parcel_acres]]-Wapato_Inventory[[#This Row],[non_valued_acres]]))</f>
        <v>-1.5606477482646683</v>
      </c>
      <c r="M1025">
        <v>0</v>
      </c>
      <c r="N1025">
        <v>0</v>
      </c>
      <c r="O1025">
        <v>0</v>
      </c>
      <c r="P1025">
        <v>27904.037</v>
      </c>
      <c r="Q1025">
        <v>74398</v>
      </c>
      <c r="R1025" s="3">
        <f>(Wapato_Inventory[[#This Row],[ln_acres]]*Wapato_Inventory[[#This Row],[coeff]])+Wapato_Inventory[[#This Row],[const]]</f>
        <v>30849.627488456012</v>
      </c>
      <c r="S1025" t="s">
        <v>66</v>
      </c>
      <c r="T1025">
        <v>1</v>
      </c>
      <c r="U1025" t="s">
        <v>67</v>
      </c>
      <c r="V1025" t="s">
        <v>68</v>
      </c>
      <c r="W1025">
        <v>0</v>
      </c>
      <c r="X1025">
        <v>0</v>
      </c>
      <c r="Y1025">
        <v>53</v>
      </c>
      <c r="Z1025">
        <v>93</v>
      </c>
      <c r="AA1025">
        <v>100</v>
      </c>
      <c r="AB1025">
        <v>1000</v>
      </c>
      <c r="AC1025">
        <v>999</v>
      </c>
      <c r="AD1025">
        <v>999</v>
      </c>
      <c r="AE1025">
        <v>0</v>
      </c>
      <c r="AF1025">
        <v>0</v>
      </c>
      <c r="AG1025">
        <v>0</v>
      </c>
      <c r="AH1025">
        <v>0</v>
      </c>
      <c r="AI1025">
        <v>0</v>
      </c>
      <c r="AJ1025">
        <v>0</v>
      </c>
      <c r="AK1025">
        <v>0</v>
      </c>
      <c r="AL1025">
        <v>0</v>
      </c>
      <c r="AM1025">
        <v>0</v>
      </c>
      <c r="AN1025">
        <v>35</v>
      </c>
      <c r="AO1025">
        <v>0</v>
      </c>
      <c r="AP1025">
        <v>5</v>
      </c>
      <c r="AQ1025">
        <v>0</v>
      </c>
      <c r="AR1025">
        <v>0</v>
      </c>
      <c r="AS1025" t="s">
        <v>82</v>
      </c>
      <c r="AT1025">
        <v>0</v>
      </c>
      <c r="AU1025" t="s">
        <v>80</v>
      </c>
      <c r="AV1025" t="s">
        <v>77</v>
      </c>
      <c r="AW1025">
        <v>0</v>
      </c>
      <c r="AX1025">
        <v>3</v>
      </c>
      <c r="AY1025">
        <v>0</v>
      </c>
      <c r="AZ1025">
        <v>0</v>
      </c>
      <c r="BA1025">
        <v>100</v>
      </c>
      <c r="BB1025">
        <v>100</v>
      </c>
      <c r="BC1025">
        <v>100</v>
      </c>
      <c r="BD1025">
        <v>100</v>
      </c>
      <c r="BE1025">
        <v>1</v>
      </c>
      <c r="BF1025">
        <v>15000</v>
      </c>
      <c r="BG1025">
        <v>1000</v>
      </c>
      <c r="BH1025" s="7">
        <f>ROUND(Wapato_Inventory[[#This Row],[detatched_value]]*Lookups!$B$22*Lookups!$H$48,-2)</f>
        <v>0</v>
      </c>
      <c r="BI1025" s="7">
        <f>ROUND(((Wapato_Inventory[[#This Row],[land_extract]]*Lookups!$B$3) +(Lookups!$B$2*0.5))*Lookups!$H$48,-2)</f>
        <v>54100</v>
      </c>
      <c r="BJ1025" s="7">
        <f>IF(Wapato_Inventory[[#This Row],[bldg_style]]="",0,Lookups!$B$2*0.5)</f>
        <v>53765.27</v>
      </c>
      <c r="BK1025" s="7">
        <f>_xlfn.IFNA(VLOOKUP(Wapato_Inventory[[#This Row],[quality]],Lookups!$H$2:$J$14,3,FALSE),0)</f>
        <v>50405</v>
      </c>
      <c r="BL1025" s="7">
        <f>_xlfn.IFNA(VLOOKUP(Wapato_Inventory[[#This Row],[condition]],Lookups!$H$17:$J$24,3,FALSE),0)</f>
        <v>52231</v>
      </c>
      <c r="BM1025" s="7">
        <f>Wapato_Inventory[[#This Row],[Age]]*Lookups!$B$16</f>
        <v>-34472.840100000001</v>
      </c>
      <c r="BN1025" s="7">
        <f>Wapato_Inventory[[#This Row],[Main Floor]]*Lookups!$B$17</f>
        <v>41758.938261000003</v>
      </c>
      <c r="BO1025" s="7">
        <f>Wapato_Inventory[[#This Row],[Upper Floor]]*Lookups!$B$18</f>
        <v>0</v>
      </c>
      <c r="BP1025" s="7">
        <f>Wapato_Inventory[[#This Row],[Fin BSMT]]*Lookups!$B$19</f>
        <v>0</v>
      </c>
      <c r="BQ1025" s="7">
        <f>(Wapato_Inventory[[#This Row],[att_gar]]+Wapato_Inventory[[#This Row],[blt_gar]])*Lookups!$B$20</f>
        <v>0</v>
      </c>
      <c r="BR1025" s="7">
        <f>Wapato_Inventory[[#This Row],[Patio]]*Lookups!$B$21</f>
        <v>0</v>
      </c>
      <c r="BS1025" s="7">
        <f>SUM(Wapato_Inventory[[#This Row],[intercept]:[patio_value]])*Wapato_Inventory[[#This Row],[res_pct]]</f>
        <v>163687.36816099999</v>
      </c>
      <c r="BT1025" s="7">
        <f>Wapato_Inventory[[#This Row],[land_value]]</f>
        <v>54100</v>
      </c>
      <c r="BU1025" s="2">
        <f>_xlfn.IFNA(VLOOKUP(Wapato_Inventory[[#This Row],[quality]],Lookups!$A$28:$C$37,3,FALSE),1)</f>
        <v>0.97993206410140754</v>
      </c>
      <c r="BV1025" s="2">
        <f>_xlfn.IFNA(VLOOKUP(Wapato_Inventory[[#This Row],[condition]],Lookups!$A$41:$C$48,3,FALSE),1)</f>
        <v>0.9832333997567807</v>
      </c>
      <c r="BW1025" s="2">
        <f>IF(Wapato_Inventory[[#This Row],[decade]]="",1,_xlfn.IFNA(VLOOKUP(Wapato_Inventory[[#This Row],[decade]],Lookups!$F$28:$H$45,3,FALSE),1))</f>
        <v>1.0114203040664467</v>
      </c>
      <c r="BX1025" s="2">
        <f>_xlfn.IFNA(VLOOKUP(Wapato_Inventory[[#This Row],[living_area_range]],Lookups!$K$28:$M$37,3,FALSE),1)</f>
        <v>0.99022994770196116</v>
      </c>
      <c r="BY1025" s="2">
        <f>AVERAGE(Wapato_Inventory[[#This Row],[qual_adj]:[range_adj]])</f>
        <v>0.9912039289066491</v>
      </c>
      <c r="BZ1025" s="7">
        <f>(Wapato_Inventory[[#This Row],[sum_land]]-IF(Wapato_Inventory[[#This Row],[no_utilities]]=1,12000,0))/IF(Wapato_Inventory[[#This Row],[unbuildable]]=1,2,1)</f>
        <v>54100</v>
      </c>
      <c r="CA1025" s="7">
        <f>Wapato_Inventory[[#This Row],[pre_res]]*Wapato_Inventory[[#This Row],[overall_adj]]</f>
        <v>162247.56243357234</v>
      </c>
      <c r="CB1025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025" s="3">
        <f>IF(ROUND(Wapato_Inventory[[#This Row],[adj_res]]*Lookups!$H$48,-2)&lt;Wapato_Inventory[[#This Row],[min_res]],Wapato_Inventory[[#This Row],[min_res]],ROUND(Wapato_Inventory[[#This Row],[adj_res]]*Lookups!$H$48,-2))</f>
        <v>154100</v>
      </c>
      <c r="CD1025" s="3">
        <f>ROUND(Wapato_Inventory[[#This Row],[det_value]]*Lookups!$H$48,-2)</f>
        <v>0</v>
      </c>
      <c r="CE1025" s="3">
        <f>Wapato_Inventory[[#This Row],[final_res]]+Wapato_Inventory[[#This Row],[final_det]]</f>
        <v>154100</v>
      </c>
      <c r="CF1025" s="3">
        <f>Wapato_Inventory[[#This Row],[crop_value]]+Wapato_Inventory[[#This Row],[final_land]]+Wapato_Inventory[[#This Row],[final_imp]]</f>
        <v>205500</v>
      </c>
      <c r="CH1025" t="str">
        <f t="shared" si="15"/>
        <v>update valuation set market_land =51400, market_bldg=154100, market_total =205500, market_mdno =405, market_date ='9/10/2023' where link_id = (select link_id from parcel where parcel_year = '2024' and parcel_id = '19111523464');</v>
      </c>
    </row>
    <row r="1026" spans="1:86" x14ac:dyDescent="0.25">
      <c r="A1026">
        <v>19111523465</v>
      </c>
      <c r="B1026">
        <v>0.21</v>
      </c>
      <c r="C1026">
        <v>9269</v>
      </c>
      <c r="D1026" t="s">
        <v>144</v>
      </c>
      <c r="E1026" t="s">
        <v>54</v>
      </c>
      <c r="F1026" t="s">
        <v>54</v>
      </c>
      <c r="G1026">
        <v>3</v>
      </c>
      <c r="H1026" t="s">
        <v>55</v>
      </c>
      <c r="I1026">
        <v>203000</v>
      </c>
      <c r="J1026">
        <v>34800</v>
      </c>
      <c r="K1026">
        <v>0.21</v>
      </c>
      <c r="L1026">
        <f>IF(Wapato_Inventory[[#This Row],[parcel_acres]]-Wapato_Inventory[[#This Row],[non_valued_acres]] =0,0,LN(Wapato_Inventory[[#This Row],[parcel_acres]]-Wapato_Inventory[[#This Row],[non_valued_acres]]))</f>
        <v>-1.5606477482646683</v>
      </c>
      <c r="M1026">
        <v>0</v>
      </c>
      <c r="N1026">
        <v>0</v>
      </c>
      <c r="O1026">
        <v>0</v>
      </c>
      <c r="P1026">
        <v>27904.037</v>
      </c>
      <c r="Q1026">
        <v>74398</v>
      </c>
      <c r="R1026" s="3">
        <f>(Wapato_Inventory[[#This Row],[ln_acres]]*Wapato_Inventory[[#This Row],[coeff]])+Wapato_Inventory[[#This Row],[const]]</f>
        <v>30849.627488456012</v>
      </c>
      <c r="S1026" t="s">
        <v>66</v>
      </c>
      <c r="T1026">
        <v>1</v>
      </c>
      <c r="U1026" t="s">
        <v>71</v>
      </c>
      <c r="V1026" t="s">
        <v>68</v>
      </c>
      <c r="W1026">
        <v>0</v>
      </c>
      <c r="X1026">
        <v>0</v>
      </c>
      <c r="Y1026">
        <v>51</v>
      </c>
      <c r="Z1026">
        <v>83</v>
      </c>
      <c r="AA1026">
        <v>90</v>
      </c>
      <c r="AB1026">
        <v>1000</v>
      </c>
      <c r="AC1026">
        <v>918</v>
      </c>
      <c r="AD1026">
        <v>918</v>
      </c>
      <c r="AE1026">
        <v>0</v>
      </c>
      <c r="AF1026">
        <v>0</v>
      </c>
      <c r="AG1026">
        <v>0</v>
      </c>
      <c r="AH1026">
        <v>0</v>
      </c>
      <c r="AI1026">
        <v>286</v>
      </c>
      <c r="AJ1026">
        <v>0</v>
      </c>
      <c r="AK1026">
        <v>325</v>
      </c>
      <c r="AL1026">
        <v>0</v>
      </c>
      <c r="AM1026">
        <v>0</v>
      </c>
      <c r="AN1026">
        <v>0</v>
      </c>
      <c r="AO1026">
        <v>0</v>
      </c>
      <c r="AP1026">
        <v>5</v>
      </c>
      <c r="AQ1026">
        <v>0</v>
      </c>
      <c r="AR1026">
        <v>0</v>
      </c>
      <c r="AS1026" t="s">
        <v>59</v>
      </c>
      <c r="AT1026">
        <v>0</v>
      </c>
      <c r="AU1026" t="s">
        <v>80</v>
      </c>
      <c r="AV1026" t="s">
        <v>77</v>
      </c>
      <c r="AW1026">
        <v>0</v>
      </c>
      <c r="AX1026">
        <v>2</v>
      </c>
      <c r="AY1026">
        <v>0</v>
      </c>
      <c r="AZ1026">
        <v>33800</v>
      </c>
      <c r="BA1026">
        <v>100</v>
      </c>
      <c r="BB1026">
        <v>100</v>
      </c>
      <c r="BC1026">
        <v>100</v>
      </c>
      <c r="BD1026">
        <v>100</v>
      </c>
      <c r="BE1026">
        <v>1</v>
      </c>
      <c r="BF1026">
        <v>15000</v>
      </c>
      <c r="BG1026">
        <v>1000</v>
      </c>
      <c r="BH1026" s="7">
        <f>ROUND(Wapato_Inventory[[#This Row],[detatched_value]]*Lookups!$B$22*Lookups!$H$48,-2)</f>
        <v>30200</v>
      </c>
      <c r="BI1026" s="7">
        <f>ROUND(((Wapato_Inventory[[#This Row],[land_extract]]*Lookups!$B$3) +(Lookups!$B$2*0.5))*Lookups!$H$48,-2)</f>
        <v>54100</v>
      </c>
      <c r="BJ1026" s="7">
        <f>IF(Wapato_Inventory[[#This Row],[bldg_style]]="",0,Lookups!$B$2*0.5)</f>
        <v>53765.27</v>
      </c>
      <c r="BK1026" s="7">
        <f>_xlfn.IFNA(VLOOKUP(Wapato_Inventory[[#This Row],[quality]],Lookups!$H$2:$J$14,3,FALSE),0)</f>
        <v>28034</v>
      </c>
      <c r="BL1026" s="7">
        <f>_xlfn.IFNA(VLOOKUP(Wapato_Inventory[[#This Row],[condition]],Lookups!$H$17:$J$24,3,FALSE),0)</f>
        <v>52231</v>
      </c>
      <c r="BM1026" s="7">
        <f>Wapato_Inventory[[#This Row],[Age]]*Lookups!$B$16</f>
        <v>-30766.0831</v>
      </c>
      <c r="BN1026" s="7">
        <f>Wapato_Inventory[[#This Row],[Main Floor]]*Lookups!$B$17</f>
        <v>38373.078401999999</v>
      </c>
      <c r="BO1026" s="7">
        <f>Wapato_Inventory[[#This Row],[Upper Floor]]*Lookups!$B$18</f>
        <v>0</v>
      </c>
      <c r="BP1026" s="7">
        <f>Wapato_Inventory[[#This Row],[Fin BSMT]]*Lookups!$B$19</f>
        <v>0</v>
      </c>
      <c r="BQ1026" s="7">
        <f>(Wapato_Inventory[[#This Row],[att_gar]]+Wapato_Inventory[[#This Row],[blt_gar]])*Lookups!$B$20</f>
        <v>10584.503072</v>
      </c>
      <c r="BR1026" s="7">
        <f>Wapato_Inventory[[#This Row],[Patio]]*Lookups!$B$21</f>
        <v>0</v>
      </c>
      <c r="BS1026" s="7">
        <f>SUM(Wapato_Inventory[[#This Row],[intercept]:[patio_value]])*Wapato_Inventory[[#This Row],[res_pct]]</f>
        <v>152221.76837399998</v>
      </c>
      <c r="BT1026" s="7">
        <f>Wapato_Inventory[[#This Row],[land_value]]</f>
        <v>54100</v>
      </c>
      <c r="BU1026" s="2">
        <f>_xlfn.IFNA(VLOOKUP(Wapato_Inventory[[#This Row],[quality]],Lookups!$A$28:$C$37,3,FALSE),1)</f>
        <v>0.96265813922927435</v>
      </c>
      <c r="BV1026" s="2">
        <f>_xlfn.IFNA(VLOOKUP(Wapato_Inventory[[#This Row],[condition]],Lookups!$A$41:$C$48,3,FALSE),1)</f>
        <v>0.9832333997567807</v>
      </c>
      <c r="BW1026" s="2">
        <f>IF(Wapato_Inventory[[#This Row],[decade]]="",1,_xlfn.IFNA(VLOOKUP(Wapato_Inventory[[#This Row],[decade]],Lookups!$F$28:$H$45,3,FALSE),1))</f>
        <v>0.94742695999815718</v>
      </c>
      <c r="BX1026" s="2">
        <f>_xlfn.IFNA(VLOOKUP(Wapato_Inventory[[#This Row],[living_area_range]],Lookups!$K$28:$M$37,3,FALSE),1)</f>
        <v>0.99022994770196116</v>
      </c>
      <c r="BY1026" s="2">
        <f>AVERAGE(Wapato_Inventory[[#This Row],[qual_adj]:[range_adj]])</f>
        <v>0.97088711167154329</v>
      </c>
      <c r="BZ1026" s="7">
        <f>(Wapato_Inventory[[#This Row],[sum_land]]-IF(Wapato_Inventory[[#This Row],[no_utilities]]=1,12000,0))/IF(Wapato_Inventory[[#This Row],[unbuildable]]=1,2,1)</f>
        <v>54100</v>
      </c>
      <c r="CA1026" s="7">
        <f>Wapato_Inventory[[#This Row],[pre_res]]*Wapato_Inventory[[#This Row],[overall_adj]]</f>
        <v>147790.15303016751</v>
      </c>
      <c r="CB1026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026" s="3">
        <f>IF(ROUND(Wapato_Inventory[[#This Row],[adj_res]]*Lookups!$H$48,-2)&lt;Wapato_Inventory[[#This Row],[min_res]],Wapato_Inventory[[#This Row],[min_res]],ROUND(Wapato_Inventory[[#This Row],[adj_res]]*Lookups!$H$48,-2))</f>
        <v>140400</v>
      </c>
      <c r="CD1026" s="3">
        <f>ROUND(Wapato_Inventory[[#This Row],[det_value]]*Lookups!$H$48,-2)</f>
        <v>28700</v>
      </c>
      <c r="CE1026" s="3">
        <f>Wapato_Inventory[[#This Row],[final_res]]+Wapato_Inventory[[#This Row],[final_det]]</f>
        <v>169100</v>
      </c>
      <c r="CF1026" s="3">
        <f>Wapato_Inventory[[#This Row],[crop_value]]+Wapato_Inventory[[#This Row],[final_land]]+Wapato_Inventory[[#This Row],[final_imp]]</f>
        <v>220500</v>
      </c>
      <c r="CH1026" t="str">
        <f t="shared" ref="CH1026:CH1089" si="16">"update valuation set market_land ="&amp;CB1026&amp;", market_bldg="&amp;CE1026&amp;", market_total ="&amp;CF1026&amp;", market_mdno ="&amp;$CH$1&amp;", market_date ='"&amp;TEXT($CI$1,"m/d/yyyy")&amp;"' where link_id = (select link_id from parcel where parcel_year = '2024' and parcel_id = '"&amp;A1026&amp;"');"</f>
        <v>update valuation set market_land =51400, market_bldg=169100, market_total =220500, market_mdno =405, market_date ='9/10/2023' where link_id = (select link_id from parcel where parcel_year = '2024' and parcel_id = '19111523465');</v>
      </c>
    </row>
    <row r="1027" spans="1:86" x14ac:dyDescent="0.25">
      <c r="A1027">
        <v>19111523466</v>
      </c>
      <c r="B1027">
        <v>0.11</v>
      </c>
      <c r="C1027">
        <v>4853</v>
      </c>
      <c r="D1027" t="s">
        <v>144</v>
      </c>
      <c r="E1027" t="s">
        <v>54</v>
      </c>
      <c r="F1027" t="s">
        <v>54</v>
      </c>
      <c r="G1027">
        <v>3</v>
      </c>
      <c r="H1027" t="s">
        <v>55</v>
      </c>
      <c r="I1027">
        <v>133000</v>
      </c>
      <c r="J1027">
        <v>30200</v>
      </c>
      <c r="K1027">
        <v>0.11</v>
      </c>
      <c r="L1027">
        <f>IF(Wapato_Inventory[[#This Row],[parcel_acres]]-Wapato_Inventory[[#This Row],[non_valued_acres]] =0,0,LN(Wapato_Inventory[[#This Row],[parcel_acres]]-Wapato_Inventory[[#This Row],[non_valued_acres]]))</f>
        <v>-2.2072749131897207</v>
      </c>
      <c r="M1027">
        <v>0</v>
      </c>
      <c r="N1027">
        <v>0</v>
      </c>
      <c r="O1027">
        <v>0</v>
      </c>
      <c r="P1027">
        <v>27904.037</v>
      </c>
      <c r="Q1027">
        <v>74398</v>
      </c>
      <c r="R1027" s="3">
        <f>(Wapato_Inventory[[#This Row],[ln_acres]]*Wapato_Inventory[[#This Row],[coeff]])+Wapato_Inventory[[#This Row],[const]]</f>
        <v>12806.119153182248</v>
      </c>
      <c r="S1027" t="s">
        <v>66</v>
      </c>
      <c r="T1027">
        <v>1</v>
      </c>
      <c r="U1027" t="s">
        <v>71</v>
      </c>
      <c r="V1027" t="s">
        <v>68</v>
      </c>
      <c r="W1027">
        <v>0</v>
      </c>
      <c r="X1027">
        <v>0</v>
      </c>
      <c r="Y1027">
        <v>53</v>
      </c>
      <c r="Z1027">
        <v>93</v>
      </c>
      <c r="AA1027">
        <v>100</v>
      </c>
      <c r="AB1027">
        <v>1500</v>
      </c>
      <c r="AC1027">
        <v>1440</v>
      </c>
      <c r="AD1027">
        <v>1440</v>
      </c>
      <c r="AE1027">
        <v>0</v>
      </c>
      <c r="AF1027">
        <v>0</v>
      </c>
      <c r="AG1027">
        <v>0</v>
      </c>
      <c r="AH1027">
        <v>0</v>
      </c>
      <c r="AI1027">
        <v>0</v>
      </c>
      <c r="AJ1027">
        <v>0</v>
      </c>
      <c r="AK1027">
        <v>0</v>
      </c>
      <c r="AL1027">
        <v>0</v>
      </c>
      <c r="AM1027">
        <v>288</v>
      </c>
      <c r="AN1027">
        <v>0</v>
      </c>
      <c r="AO1027">
        <v>288</v>
      </c>
      <c r="AP1027">
        <v>5</v>
      </c>
      <c r="AQ1027">
        <v>0</v>
      </c>
      <c r="AR1027">
        <v>0</v>
      </c>
      <c r="AS1027" t="s">
        <v>59</v>
      </c>
      <c r="AT1027">
        <v>0</v>
      </c>
      <c r="AU1027" t="s">
        <v>80</v>
      </c>
      <c r="AV1027" t="s">
        <v>77</v>
      </c>
      <c r="AW1027">
        <v>0</v>
      </c>
      <c r="AX1027">
        <v>3</v>
      </c>
      <c r="AY1027">
        <v>0</v>
      </c>
      <c r="AZ1027">
        <v>0</v>
      </c>
      <c r="BA1027">
        <v>100</v>
      </c>
      <c r="BB1027">
        <v>100</v>
      </c>
      <c r="BC1027">
        <v>100</v>
      </c>
      <c r="BD1027">
        <v>100</v>
      </c>
      <c r="BE1027">
        <v>1</v>
      </c>
      <c r="BF1027">
        <v>15000</v>
      </c>
      <c r="BG1027">
        <v>1000</v>
      </c>
      <c r="BH1027" s="7">
        <f>ROUND(Wapato_Inventory[[#This Row],[detatched_value]]*Lookups!$B$22*Lookups!$H$48,-2)</f>
        <v>0</v>
      </c>
      <c r="BI1027" s="7">
        <f>ROUND(((Wapato_Inventory[[#This Row],[land_extract]]*Lookups!$B$3) +(Lookups!$B$2*0.5))*Lookups!$H$48,-2)</f>
        <v>52300</v>
      </c>
      <c r="BJ1027" s="7">
        <f>IF(Wapato_Inventory[[#This Row],[bldg_style]]="",0,Lookups!$B$2*0.5)</f>
        <v>53765.27</v>
      </c>
      <c r="BK1027" s="7">
        <f>_xlfn.IFNA(VLOOKUP(Wapato_Inventory[[#This Row],[quality]],Lookups!$H$2:$J$14,3,FALSE),0)</f>
        <v>28034</v>
      </c>
      <c r="BL1027" s="7">
        <f>_xlfn.IFNA(VLOOKUP(Wapato_Inventory[[#This Row],[condition]],Lookups!$H$17:$J$24,3,FALSE),0)</f>
        <v>52231</v>
      </c>
      <c r="BM1027" s="7">
        <f>Wapato_Inventory[[#This Row],[Age]]*Lookups!$B$16</f>
        <v>-34472.840100000001</v>
      </c>
      <c r="BN1027" s="7">
        <f>Wapato_Inventory[[#This Row],[Main Floor]]*Lookups!$B$17</f>
        <v>60193.064160000002</v>
      </c>
      <c r="BO1027" s="7">
        <f>Wapato_Inventory[[#This Row],[Upper Floor]]*Lookups!$B$18</f>
        <v>0</v>
      </c>
      <c r="BP1027" s="7">
        <f>Wapato_Inventory[[#This Row],[Fin BSMT]]*Lookups!$B$19</f>
        <v>0</v>
      </c>
      <c r="BQ1027" s="7">
        <f>(Wapato_Inventory[[#This Row],[att_gar]]+Wapato_Inventory[[#This Row],[blt_gar]])*Lookups!$B$20</f>
        <v>0</v>
      </c>
      <c r="BR1027" s="7">
        <f>Wapato_Inventory[[#This Row],[Patio]]*Lookups!$B$21</f>
        <v>12477.305952000001</v>
      </c>
      <c r="BS1027" s="7">
        <f>SUM(Wapato_Inventory[[#This Row],[intercept]:[patio_value]])*Wapato_Inventory[[#This Row],[res_pct]]</f>
        <v>172227.80001199999</v>
      </c>
      <c r="BT1027" s="7">
        <f>Wapato_Inventory[[#This Row],[land_value]]</f>
        <v>52300</v>
      </c>
      <c r="BU1027" s="2">
        <f>_xlfn.IFNA(VLOOKUP(Wapato_Inventory[[#This Row],[quality]],Lookups!$A$28:$C$37,3,FALSE),1)</f>
        <v>0.96265813922927435</v>
      </c>
      <c r="BV1027" s="2">
        <f>_xlfn.IFNA(VLOOKUP(Wapato_Inventory[[#This Row],[condition]],Lookups!$A$41:$C$48,3,FALSE),1)</f>
        <v>0.9832333997567807</v>
      </c>
      <c r="BW1027" s="2">
        <f>IF(Wapato_Inventory[[#This Row],[decade]]="",1,_xlfn.IFNA(VLOOKUP(Wapato_Inventory[[#This Row],[decade]],Lookups!$F$28:$H$45,3,FALSE),1))</f>
        <v>1.0114203040664467</v>
      </c>
      <c r="BX1027" s="2">
        <f>_xlfn.IFNA(VLOOKUP(Wapato_Inventory[[#This Row],[living_area_range]],Lookups!$K$28:$M$37,3,FALSE),1)</f>
        <v>1.0061411172456287</v>
      </c>
      <c r="BY1027" s="2">
        <f>AVERAGE(Wapato_Inventory[[#This Row],[qual_adj]:[range_adj]])</f>
        <v>0.99086324007453253</v>
      </c>
      <c r="BZ1027" s="7">
        <f>(Wapato_Inventory[[#This Row],[sum_land]]-IF(Wapato_Inventory[[#This Row],[no_utilities]]=1,12000,0))/IF(Wapato_Inventory[[#This Row],[unbuildable]]=1,2,1)</f>
        <v>52300</v>
      </c>
      <c r="CA1027" s="7">
        <f>Wapato_Inventory[[#This Row],[pre_res]]*Wapato_Inventory[[#This Row],[overall_adj]]</f>
        <v>170654.19595079892</v>
      </c>
      <c r="CB1027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1027" s="3">
        <f>IF(ROUND(Wapato_Inventory[[#This Row],[adj_res]]*Lookups!$H$48,-2)&lt;Wapato_Inventory[[#This Row],[min_res]],Wapato_Inventory[[#This Row],[min_res]],ROUND(Wapato_Inventory[[#This Row],[adj_res]]*Lookups!$H$48,-2))</f>
        <v>162100</v>
      </c>
      <c r="CD1027" s="3">
        <f>ROUND(Wapato_Inventory[[#This Row],[det_value]]*Lookups!$H$48,-2)</f>
        <v>0</v>
      </c>
      <c r="CE1027" s="3">
        <f>Wapato_Inventory[[#This Row],[final_res]]+Wapato_Inventory[[#This Row],[final_det]]</f>
        <v>162100</v>
      </c>
      <c r="CF1027" s="3">
        <f>Wapato_Inventory[[#This Row],[crop_value]]+Wapato_Inventory[[#This Row],[final_land]]+Wapato_Inventory[[#This Row],[final_imp]]</f>
        <v>211800</v>
      </c>
      <c r="CH1027" t="str">
        <f t="shared" si="16"/>
        <v>update valuation set market_land =49700, market_bldg=162100, market_total =211800, market_mdno =405, market_date ='9/10/2023' where link_id = (select link_id from parcel where parcel_year = '2024' and parcel_id = '19111523466');</v>
      </c>
    </row>
    <row r="1028" spans="1:86" x14ac:dyDescent="0.25">
      <c r="A1028">
        <v>19111523467</v>
      </c>
      <c r="B1028">
        <v>0.57999999999999996</v>
      </c>
      <c r="C1028">
        <v>25338</v>
      </c>
      <c r="D1028" t="s">
        <v>144</v>
      </c>
      <c r="E1028" t="s">
        <v>54</v>
      </c>
      <c r="F1028" t="s">
        <v>54</v>
      </c>
      <c r="G1028">
        <v>3</v>
      </c>
      <c r="H1028" t="s">
        <v>55</v>
      </c>
      <c r="I1028">
        <v>279900</v>
      </c>
      <c r="J1028">
        <v>42100</v>
      </c>
      <c r="K1028">
        <v>0.57999999999999996</v>
      </c>
      <c r="L1028">
        <f>IF(Wapato_Inventory[[#This Row],[parcel_acres]]-Wapato_Inventory[[#This Row],[non_valued_acres]] =0,0,LN(Wapato_Inventory[[#This Row],[parcel_acres]]-Wapato_Inventory[[#This Row],[non_valued_acres]]))</f>
        <v>-0.54472717544167215</v>
      </c>
      <c r="M1028">
        <v>0</v>
      </c>
      <c r="N1028">
        <v>0</v>
      </c>
      <c r="O1028">
        <v>0</v>
      </c>
      <c r="P1028">
        <v>27904.037</v>
      </c>
      <c r="Q1028">
        <v>74398</v>
      </c>
      <c r="R1028" s="3">
        <f>(Wapato_Inventory[[#This Row],[ln_acres]]*Wapato_Inventory[[#This Row],[coeff]])+Wapato_Inventory[[#This Row],[const]]</f>
        <v>59197.912741570093</v>
      </c>
      <c r="S1028" t="s">
        <v>62</v>
      </c>
      <c r="T1028">
        <v>1</v>
      </c>
      <c r="U1028" t="s">
        <v>63</v>
      </c>
      <c r="V1028" t="s">
        <v>69</v>
      </c>
      <c r="W1028">
        <v>0</v>
      </c>
      <c r="X1028">
        <v>0</v>
      </c>
      <c r="Y1028">
        <v>47</v>
      </c>
      <c r="Z1028">
        <v>57</v>
      </c>
      <c r="AA1028">
        <v>60</v>
      </c>
      <c r="AB1028">
        <v>3000</v>
      </c>
      <c r="AC1028">
        <v>2592</v>
      </c>
      <c r="AD1028">
        <v>2592</v>
      </c>
      <c r="AE1028">
        <v>0</v>
      </c>
      <c r="AF1028">
        <v>0</v>
      </c>
      <c r="AG1028">
        <v>0</v>
      </c>
      <c r="AH1028">
        <v>0</v>
      </c>
      <c r="AI1028">
        <v>0</v>
      </c>
      <c r="AJ1028">
        <v>0</v>
      </c>
      <c r="AK1028">
        <v>560</v>
      </c>
      <c r="AL1028">
        <v>0</v>
      </c>
      <c r="AM1028">
        <v>308</v>
      </c>
      <c r="AN1028">
        <v>72</v>
      </c>
      <c r="AO1028">
        <v>0</v>
      </c>
      <c r="AP1028">
        <v>8</v>
      </c>
      <c r="AQ1028">
        <v>0</v>
      </c>
      <c r="AR1028">
        <v>1</v>
      </c>
      <c r="AS1028" t="s">
        <v>59</v>
      </c>
      <c r="AT1028">
        <v>1</v>
      </c>
      <c r="AU1028" t="s">
        <v>76</v>
      </c>
      <c r="AV1028" t="s">
        <v>61</v>
      </c>
      <c r="AW1028">
        <v>0</v>
      </c>
      <c r="AX1028">
        <v>3</v>
      </c>
      <c r="AY1028">
        <v>0</v>
      </c>
      <c r="AZ1028">
        <v>0</v>
      </c>
      <c r="BA1028">
        <v>100</v>
      </c>
      <c r="BB1028">
        <v>100</v>
      </c>
      <c r="BC1028">
        <v>100</v>
      </c>
      <c r="BD1028">
        <v>100</v>
      </c>
      <c r="BE1028">
        <v>1</v>
      </c>
      <c r="BF1028">
        <v>15000</v>
      </c>
      <c r="BG1028">
        <v>1000</v>
      </c>
      <c r="BH1028" s="7">
        <f>ROUND(Wapato_Inventory[[#This Row],[detatched_value]]*Lookups!$B$22*Lookups!$H$48,-2)</f>
        <v>0</v>
      </c>
      <c r="BI1028" s="7">
        <f>ROUND(((Wapato_Inventory[[#This Row],[land_extract]]*Lookups!$B$3) +(Lookups!$B$2*0.5))*Lookups!$H$48,-2)</f>
        <v>56800</v>
      </c>
      <c r="BJ1028" s="7">
        <f>IF(Wapato_Inventory[[#This Row],[bldg_style]]="",0,Lookups!$B$2*0.5)</f>
        <v>53765.27</v>
      </c>
      <c r="BK1028" s="7">
        <f>_xlfn.IFNA(VLOOKUP(Wapato_Inventory[[#This Row],[quality]],Lookups!$H$2:$J$14,3,FALSE),0)</f>
        <v>50594</v>
      </c>
      <c r="BL1028" s="7">
        <f>_xlfn.IFNA(VLOOKUP(Wapato_Inventory[[#This Row],[condition]],Lookups!$H$17:$J$24,3,FALSE),0)</f>
        <v>74543</v>
      </c>
      <c r="BM1028" s="7">
        <f>Wapato_Inventory[[#This Row],[Age]]*Lookups!$B$16</f>
        <v>-21128.514900000002</v>
      </c>
      <c r="BN1028" s="7">
        <f>Wapato_Inventory[[#This Row],[Main Floor]]*Lookups!$B$17</f>
        <v>108347.515488</v>
      </c>
      <c r="BO1028" s="7">
        <f>Wapato_Inventory[[#This Row],[Upper Floor]]*Lookups!$B$18</f>
        <v>0</v>
      </c>
      <c r="BP1028" s="7">
        <f>Wapato_Inventory[[#This Row],[Fin BSMT]]*Lookups!$B$19</f>
        <v>0</v>
      </c>
      <c r="BQ1028" s="7">
        <f>(Wapato_Inventory[[#This Row],[att_gar]]+Wapato_Inventory[[#This Row],[blt_gar]])*Lookups!$B$20</f>
        <v>0</v>
      </c>
      <c r="BR1028" s="7">
        <f>Wapato_Inventory[[#This Row],[Patio]]*Lookups!$B$21</f>
        <v>13343.785532</v>
      </c>
      <c r="BS1028" s="7">
        <f>SUM(Wapato_Inventory[[#This Row],[intercept]:[patio_value]])*Wapato_Inventory[[#This Row],[res_pct]]</f>
        <v>279465.05611999996</v>
      </c>
      <c r="BT1028" s="7">
        <f>Wapato_Inventory[[#This Row],[land_value]]</f>
        <v>56800</v>
      </c>
      <c r="BU1028" s="2">
        <f>_xlfn.IFNA(VLOOKUP(Wapato_Inventory[[#This Row],[quality]],Lookups!$A$28:$C$37,3,FALSE),1)</f>
        <v>0.99197423394367223</v>
      </c>
      <c r="BV1028" s="2">
        <f>_xlfn.IFNA(VLOOKUP(Wapato_Inventory[[#This Row],[condition]],Lookups!$A$41:$C$48,3,FALSE),1)</f>
        <v>0.98442438223270734</v>
      </c>
      <c r="BW1028" s="2">
        <f>IF(Wapato_Inventory[[#This Row],[decade]]="",1,_xlfn.IFNA(VLOOKUP(Wapato_Inventory[[#This Row],[decade]],Lookups!$F$28:$H$45,3,FALSE),1))</f>
        <v>1.035341704162583</v>
      </c>
      <c r="BX1028" s="2">
        <f>_xlfn.IFNA(VLOOKUP(Wapato_Inventory[[#This Row],[living_area_range]],Lookups!$K$28:$M$37,3,FALSE),1)</f>
        <v>1.0155869662067822</v>
      </c>
      <c r="BY1028" s="2">
        <f>AVERAGE(Wapato_Inventory[[#This Row],[qual_adj]:[range_adj]])</f>
        <v>1.0068318216364363</v>
      </c>
      <c r="BZ1028" s="7">
        <f>(Wapato_Inventory[[#This Row],[sum_land]]-IF(Wapato_Inventory[[#This Row],[no_utilities]]=1,12000,0))/IF(Wapato_Inventory[[#This Row],[unbuildable]]=1,2,1)</f>
        <v>56800</v>
      </c>
      <c r="CA1028" s="7">
        <f>Wapato_Inventory[[#This Row],[pre_res]]*Wapato_Inventory[[#This Row],[overall_adj]]</f>
        <v>281374.31153702846</v>
      </c>
      <c r="CB1028" s="3">
        <f>IF(ROUND(Wapato_Inventory[[#This Row],[adj_land]]*Lookups!$H$48,-2)&lt;Wapato_Inventory[[#This Row],[min_land]],Wapato_Inventory[[#This Row],[min_land]],ROUND(Wapato_Inventory[[#This Row],[adj_land]]*Lookups!$H$48,-2))</f>
        <v>54000</v>
      </c>
      <c r="CC1028" s="3">
        <f>IF(ROUND(Wapato_Inventory[[#This Row],[adj_res]]*Lookups!$H$48,-2)&lt;Wapato_Inventory[[#This Row],[min_res]],Wapato_Inventory[[#This Row],[min_res]],ROUND(Wapato_Inventory[[#This Row],[adj_res]]*Lookups!$H$48,-2))</f>
        <v>267300</v>
      </c>
      <c r="CD1028" s="3">
        <f>ROUND(Wapato_Inventory[[#This Row],[det_value]]*Lookups!$H$48,-2)</f>
        <v>0</v>
      </c>
      <c r="CE1028" s="3">
        <f>Wapato_Inventory[[#This Row],[final_res]]+Wapato_Inventory[[#This Row],[final_det]]</f>
        <v>267300</v>
      </c>
      <c r="CF1028" s="3">
        <f>Wapato_Inventory[[#This Row],[crop_value]]+Wapato_Inventory[[#This Row],[final_land]]+Wapato_Inventory[[#This Row],[final_imp]]</f>
        <v>321300</v>
      </c>
      <c r="CH1028" t="str">
        <f t="shared" si="16"/>
        <v>update valuation set market_land =54000, market_bldg=267300, market_total =321300, market_mdno =405, market_date ='9/10/2023' where link_id = (select link_id from parcel where parcel_year = '2024' and parcel_id = '19111523467');</v>
      </c>
    </row>
    <row r="1029" spans="1:86" x14ac:dyDescent="0.25">
      <c r="A1029">
        <v>19111523468</v>
      </c>
      <c r="B1029">
        <v>0.56000000000000005</v>
      </c>
      <c r="C1029">
        <v>24291</v>
      </c>
      <c r="D1029" t="s">
        <v>144</v>
      </c>
      <c r="E1029" t="s">
        <v>54</v>
      </c>
      <c r="F1029" t="s">
        <v>54</v>
      </c>
      <c r="G1029">
        <v>3</v>
      </c>
      <c r="H1029" t="s">
        <v>55</v>
      </c>
      <c r="I1029">
        <v>234200</v>
      </c>
      <c r="J1029">
        <v>41800</v>
      </c>
      <c r="K1029">
        <v>0.56000000000000005</v>
      </c>
      <c r="L1029">
        <f>IF(Wapato_Inventory[[#This Row],[parcel_acres]]-Wapato_Inventory[[#This Row],[non_valued_acres]] =0,0,LN(Wapato_Inventory[[#This Row],[parcel_acres]]-Wapato_Inventory[[#This Row],[non_valued_acres]]))</f>
        <v>-0.57981849525294205</v>
      </c>
      <c r="M1029">
        <v>0</v>
      </c>
      <c r="N1029">
        <v>0</v>
      </c>
      <c r="O1029">
        <v>0</v>
      </c>
      <c r="P1029">
        <v>27904.037</v>
      </c>
      <c r="Q1029">
        <v>74398</v>
      </c>
      <c r="R1029" s="3">
        <f>(Wapato_Inventory[[#This Row],[ln_acres]]*Wapato_Inventory[[#This Row],[coeff]])+Wapato_Inventory[[#This Row],[const]]</f>
        <v>58218.723255177581</v>
      </c>
      <c r="S1029" t="s">
        <v>56</v>
      </c>
      <c r="T1029">
        <v>2</v>
      </c>
      <c r="U1029" t="s">
        <v>67</v>
      </c>
      <c r="V1029" t="s">
        <v>68</v>
      </c>
      <c r="W1029">
        <v>0</v>
      </c>
      <c r="X1029">
        <v>0</v>
      </c>
      <c r="Y1029">
        <v>43</v>
      </c>
      <c r="Z1029">
        <v>43</v>
      </c>
      <c r="AA1029">
        <v>50</v>
      </c>
      <c r="AB1029">
        <v>2500</v>
      </c>
      <c r="AC1029">
        <v>2092</v>
      </c>
      <c r="AD1029">
        <v>1234</v>
      </c>
      <c r="AE1029">
        <v>858</v>
      </c>
      <c r="AF1029">
        <v>0</v>
      </c>
      <c r="AG1029">
        <v>0</v>
      </c>
      <c r="AH1029">
        <v>0</v>
      </c>
      <c r="AI1029">
        <v>550</v>
      </c>
      <c r="AJ1029">
        <v>0</v>
      </c>
      <c r="AK1029">
        <v>0</v>
      </c>
      <c r="AL1029">
        <v>0</v>
      </c>
      <c r="AM1029">
        <v>108</v>
      </c>
      <c r="AN1029">
        <v>0</v>
      </c>
      <c r="AO1029">
        <v>108</v>
      </c>
      <c r="AP1029">
        <v>10</v>
      </c>
      <c r="AQ1029">
        <v>0</v>
      </c>
      <c r="AR1029">
        <v>1</v>
      </c>
      <c r="AS1029" t="s">
        <v>59</v>
      </c>
      <c r="AT1029">
        <v>1</v>
      </c>
      <c r="AU1029" t="s">
        <v>64</v>
      </c>
      <c r="AV1029" t="s">
        <v>77</v>
      </c>
      <c r="AW1029">
        <v>1</v>
      </c>
      <c r="AX1029">
        <v>4</v>
      </c>
      <c r="AY1029">
        <v>0</v>
      </c>
      <c r="AZ1029">
        <v>0</v>
      </c>
      <c r="BA1029">
        <v>100</v>
      </c>
      <c r="BB1029">
        <v>100</v>
      </c>
      <c r="BC1029">
        <v>100</v>
      </c>
      <c r="BD1029">
        <v>100</v>
      </c>
      <c r="BE1029">
        <v>1</v>
      </c>
      <c r="BF1029">
        <v>15000</v>
      </c>
      <c r="BG1029">
        <v>1000</v>
      </c>
      <c r="BH1029" s="7">
        <f>ROUND(Wapato_Inventory[[#This Row],[detatched_value]]*Lookups!$B$22*Lookups!$H$48,-2)</f>
        <v>0</v>
      </c>
      <c r="BI1029" s="7">
        <f>ROUND(((Wapato_Inventory[[#This Row],[land_extract]]*Lookups!$B$3) +(Lookups!$B$2*0.5))*Lookups!$H$48,-2)</f>
        <v>56700</v>
      </c>
      <c r="BJ1029" s="7">
        <f>IF(Wapato_Inventory[[#This Row],[bldg_style]]="",0,Lookups!$B$2*0.5)</f>
        <v>53765.27</v>
      </c>
      <c r="BK1029" s="7">
        <f>_xlfn.IFNA(VLOOKUP(Wapato_Inventory[[#This Row],[quality]],Lookups!$H$2:$J$14,3,FALSE),0)</f>
        <v>50405</v>
      </c>
      <c r="BL1029" s="7">
        <f>_xlfn.IFNA(VLOOKUP(Wapato_Inventory[[#This Row],[condition]],Lookups!$H$17:$J$24,3,FALSE),0)</f>
        <v>52231</v>
      </c>
      <c r="BM1029" s="7">
        <f>Wapato_Inventory[[#This Row],[Age]]*Lookups!$B$16</f>
        <v>-15939.0551</v>
      </c>
      <c r="BN1029" s="7">
        <f>Wapato_Inventory[[#This Row],[Main Floor]]*Lookups!$B$17</f>
        <v>51582.111925999998</v>
      </c>
      <c r="BO1029" s="7">
        <f>Wapato_Inventory[[#This Row],[Upper Floor]]*Lookups!$B$18</f>
        <v>42557.777262000003</v>
      </c>
      <c r="BP1029" s="7">
        <f>Wapato_Inventory[[#This Row],[Fin BSMT]]*Lookups!$B$19</f>
        <v>0</v>
      </c>
      <c r="BQ1029" s="7">
        <f>(Wapato_Inventory[[#This Row],[att_gar]]+Wapato_Inventory[[#This Row],[blt_gar]])*Lookups!$B$20</f>
        <v>20354.813600000001</v>
      </c>
      <c r="BR1029" s="7">
        <f>Wapato_Inventory[[#This Row],[Patio]]*Lookups!$B$21</f>
        <v>4678.989732</v>
      </c>
      <c r="BS1029" s="7">
        <f>SUM(Wapato_Inventory[[#This Row],[intercept]:[patio_value]])*Wapato_Inventory[[#This Row],[res_pct]]</f>
        <v>259635.90742</v>
      </c>
      <c r="BT1029" s="7">
        <f>Wapato_Inventory[[#This Row],[land_value]]</f>
        <v>56700</v>
      </c>
      <c r="BU1029" s="2">
        <f>_xlfn.IFNA(VLOOKUP(Wapato_Inventory[[#This Row],[quality]],Lookups!$A$28:$C$37,3,FALSE),1)</f>
        <v>0.97993206410140754</v>
      </c>
      <c r="BV1029" s="2">
        <f>_xlfn.IFNA(VLOOKUP(Wapato_Inventory[[#This Row],[condition]],Lookups!$A$41:$C$48,3,FALSE),1)</f>
        <v>0.9832333997567807</v>
      </c>
      <c r="BW1029" s="2">
        <f>IF(Wapato_Inventory[[#This Row],[decade]]="",1,_xlfn.IFNA(VLOOKUP(Wapato_Inventory[[#This Row],[decade]],Lookups!$F$28:$H$45,3,FALSE),1))</f>
        <v>0.96240333884358298</v>
      </c>
      <c r="BX1029" s="2">
        <f>_xlfn.IFNA(VLOOKUP(Wapato_Inventory[[#This Row],[living_area_range]],Lookups!$K$28:$M$37,3,FALSE),1)</f>
        <v>0.90813907160181651</v>
      </c>
      <c r="BY1029" s="2">
        <f>AVERAGE(Wapato_Inventory[[#This Row],[qual_adj]:[range_adj]])</f>
        <v>0.95842696857589704</v>
      </c>
      <c r="BZ1029" s="7">
        <f>(Wapato_Inventory[[#This Row],[sum_land]]-IF(Wapato_Inventory[[#This Row],[no_utilities]]=1,12000,0))/IF(Wapato_Inventory[[#This Row],[unbuildable]]=1,2,1)</f>
        <v>56700</v>
      </c>
      <c r="CA1029" s="7">
        <f>Wapato_Inventory[[#This Row],[pre_res]]*Wapato_Inventory[[#This Row],[overall_adj]]</f>
        <v>248842.05568200286</v>
      </c>
      <c r="CB1029" s="3">
        <f>IF(ROUND(Wapato_Inventory[[#This Row],[adj_land]]*Lookups!$H$48,-2)&lt;Wapato_Inventory[[#This Row],[min_land]],Wapato_Inventory[[#This Row],[min_land]],ROUND(Wapato_Inventory[[#This Row],[adj_land]]*Lookups!$H$48,-2))</f>
        <v>53900</v>
      </c>
      <c r="CC1029" s="3">
        <f>IF(ROUND(Wapato_Inventory[[#This Row],[adj_res]]*Lookups!$H$48,-2)&lt;Wapato_Inventory[[#This Row],[min_res]],Wapato_Inventory[[#This Row],[min_res]],ROUND(Wapato_Inventory[[#This Row],[adj_res]]*Lookups!$H$48,-2))</f>
        <v>236400</v>
      </c>
      <c r="CD1029" s="3">
        <f>ROUND(Wapato_Inventory[[#This Row],[det_value]]*Lookups!$H$48,-2)</f>
        <v>0</v>
      </c>
      <c r="CE1029" s="3">
        <f>Wapato_Inventory[[#This Row],[final_res]]+Wapato_Inventory[[#This Row],[final_det]]</f>
        <v>236400</v>
      </c>
      <c r="CF1029" s="3">
        <f>Wapato_Inventory[[#This Row],[crop_value]]+Wapato_Inventory[[#This Row],[final_land]]+Wapato_Inventory[[#This Row],[final_imp]]</f>
        <v>290300</v>
      </c>
      <c r="CH1029" t="str">
        <f t="shared" si="16"/>
        <v>update valuation set market_land =53900, market_bldg=236400, market_total =290300, market_mdno =405, market_date ='9/10/2023' where link_id = (select link_id from parcel where parcel_year = '2024' and parcel_id = '19111523468');</v>
      </c>
    </row>
    <row r="1030" spans="1:86" x14ac:dyDescent="0.25">
      <c r="A1030">
        <v>19111523472</v>
      </c>
      <c r="B1030">
        <v>1.59</v>
      </c>
      <c r="C1030" t="s">
        <v>144</v>
      </c>
      <c r="D1030" t="s">
        <v>144</v>
      </c>
      <c r="E1030" t="s">
        <v>54</v>
      </c>
      <c r="F1030" t="s">
        <v>54</v>
      </c>
      <c r="G1030">
        <v>3</v>
      </c>
      <c r="H1030" t="s">
        <v>55</v>
      </c>
      <c r="I1030">
        <v>209100</v>
      </c>
      <c r="J1030">
        <v>49200</v>
      </c>
      <c r="K1030">
        <v>1.59</v>
      </c>
      <c r="L1030">
        <f>IF(Wapato_Inventory[[#This Row],[parcel_acres]]-Wapato_Inventory[[#This Row],[non_valued_acres]] =0,0,LN(Wapato_Inventory[[#This Row],[parcel_acres]]-Wapato_Inventory[[#This Row],[non_valued_acres]]))</f>
        <v>0.46373401623214022</v>
      </c>
      <c r="M1030">
        <v>0</v>
      </c>
      <c r="N1030">
        <v>0</v>
      </c>
      <c r="O1030">
        <v>0</v>
      </c>
      <c r="P1030">
        <v>27904.037</v>
      </c>
      <c r="Q1030">
        <v>74398</v>
      </c>
      <c r="R1030" s="3">
        <f>(Wapato_Inventory[[#This Row],[ln_acres]]*Wapato_Inventory[[#This Row],[coeff]])+Wapato_Inventory[[#This Row],[const]]</f>
        <v>87338.051147100239</v>
      </c>
      <c r="S1030" t="s">
        <v>56</v>
      </c>
      <c r="T1030">
        <v>2</v>
      </c>
      <c r="U1030" t="s">
        <v>67</v>
      </c>
      <c r="V1030" t="s">
        <v>68</v>
      </c>
      <c r="W1030">
        <v>0</v>
      </c>
      <c r="X1030">
        <v>0</v>
      </c>
      <c r="Y1030">
        <v>55</v>
      </c>
      <c r="Z1030">
        <v>98</v>
      </c>
      <c r="AA1030">
        <v>100</v>
      </c>
      <c r="AB1030">
        <v>2000</v>
      </c>
      <c r="AC1030">
        <v>1819</v>
      </c>
      <c r="AD1030">
        <v>1435</v>
      </c>
      <c r="AE1030">
        <v>384</v>
      </c>
      <c r="AF1030">
        <v>0</v>
      </c>
      <c r="AG1030">
        <v>0</v>
      </c>
      <c r="AH1030">
        <v>0</v>
      </c>
      <c r="AI1030">
        <v>0</v>
      </c>
      <c r="AJ1030">
        <v>0</v>
      </c>
      <c r="AK1030">
        <v>0</v>
      </c>
      <c r="AL1030">
        <v>0</v>
      </c>
      <c r="AM1030">
        <v>0</v>
      </c>
      <c r="AN1030">
        <v>0</v>
      </c>
      <c r="AO1030">
        <v>0</v>
      </c>
      <c r="AP1030">
        <v>7</v>
      </c>
      <c r="AQ1030">
        <v>1</v>
      </c>
      <c r="AR1030">
        <v>0</v>
      </c>
      <c r="AS1030" t="s">
        <v>59</v>
      </c>
      <c r="AT1030">
        <v>1</v>
      </c>
      <c r="AU1030" t="s">
        <v>60</v>
      </c>
      <c r="AV1030" t="s">
        <v>61</v>
      </c>
      <c r="AW1030">
        <v>1</v>
      </c>
      <c r="AX1030">
        <v>4</v>
      </c>
      <c r="AY1030">
        <v>0</v>
      </c>
      <c r="AZ1030">
        <v>3800</v>
      </c>
      <c r="BA1030">
        <v>100</v>
      </c>
      <c r="BB1030">
        <v>100</v>
      </c>
      <c r="BC1030">
        <v>100</v>
      </c>
      <c r="BD1030">
        <v>100</v>
      </c>
      <c r="BE1030">
        <v>1</v>
      </c>
      <c r="BF1030">
        <v>15000</v>
      </c>
      <c r="BG1030">
        <v>1000</v>
      </c>
      <c r="BH1030" s="7">
        <f>ROUND(Wapato_Inventory[[#This Row],[detatched_value]]*Lookups!$B$22*Lookups!$H$48,-2)</f>
        <v>3400</v>
      </c>
      <c r="BI1030" s="7">
        <f>ROUND(((Wapato_Inventory[[#This Row],[land_extract]]*Lookups!$B$3) +(Lookups!$B$2*0.5))*Lookups!$H$48,-2)</f>
        <v>59500</v>
      </c>
      <c r="BJ1030" s="7">
        <f>IF(Wapato_Inventory[[#This Row],[bldg_style]]="",0,Lookups!$B$2*0.5)</f>
        <v>53765.27</v>
      </c>
      <c r="BK1030" s="7">
        <f>_xlfn.IFNA(VLOOKUP(Wapato_Inventory[[#This Row],[quality]],Lookups!$H$2:$J$14,3,FALSE),0)</f>
        <v>50405</v>
      </c>
      <c r="BL1030" s="7">
        <f>_xlfn.IFNA(VLOOKUP(Wapato_Inventory[[#This Row],[condition]],Lookups!$H$17:$J$24,3,FALSE),0)</f>
        <v>52231</v>
      </c>
      <c r="BM1030" s="7">
        <f>Wapato_Inventory[[#This Row],[Age]]*Lookups!$B$16</f>
        <v>-36326.2186</v>
      </c>
      <c r="BN1030" s="7">
        <f>Wapato_Inventory[[#This Row],[Main Floor]]*Lookups!$B$17</f>
        <v>59984.060465000002</v>
      </c>
      <c r="BO1030" s="7">
        <f>Wapato_Inventory[[#This Row],[Upper Floor]]*Lookups!$B$18</f>
        <v>19046.837376000003</v>
      </c>
      <c r="BP1030" s="7">
        <f>Wapato_Inventory[[#This Row],[Fin BSMT]]*Lookups!$B$19</f>
        <v>0</v>
      </c>
      <c r="BQ1030" s="7">
        <f>(Wapato_Inventory[[#This Row],[att_gar]]+Wapato_Inventory[[#This Row],[blt_gar]])*Lookups!$B$20</f>
        <v>0</v>
      </c>
      <c r="BR1030" s="7">
        <f>Wapato_Inventory[[#This Row],[Patio]]*Lookups!$B$21</f>
        <v>0</v>
      </c>
      <c r="BS1030" s="7">
        <f>SUM(Wapato_Inventory[[#This Row],[intercept]:[patio_value]])*Wapato_Inventory[[#This Row],[res_pct]]</f>
        <v>199105.94924099999</v>
      </c>
      <c r="BT1030" s="7">
        <f>Wapato_Inventory[[#This Row],[land_value]]</f>
        <v>59500</v>
      </c>
      <c r="BU1030" s="2">
        <f>_xlfn.IFNA(VLOOKUP(Wapato_Inventory[[#This Row],[quality]],Lookups!$A$28:$C$37,3,FALSE),1)</f>
        <v>0.97993206410140754</v>
      </c>
      <c r="BV1030" s="2">
        <f>_xlfn.IFNA(VLOOKUP(Wapato_Inventory[[#This Row],[condition]],Lookups!$A$41:$C$48,3,FALSE),1)</f>
        <v>0.9832333997567807</v>
      </c>
      <c r="BW1030" s="2">
        <f>IF(Wapato_Inventory[[#This Row],[decade]]="",1,_xlfn.IFNA(VLOOKUP(Wapato_Inventory[[#This Row],[decade]],Lookups!$F$28:$H$45,3,FALSE),1))</f>
        <v>1.0114203040664467</v>
      </c>
      <c r="BX1030" s="2">
        <f>_xlfn.IFNA(VLOOKUP(Wapato_Inventory[[#This Row],[living_area_range]],Lookups!$K$28:$M$37,3,FALSE),1)</f>
        <v>0.99330894324714125</v>
      </c>
      <c r="BY1030" s="2">
        <f>AVERAGE(Wapato_Inventory[[#This Row],[qual_adj]:[range_adj]])</f>
        <v>0.9919736777929441</v>
      </c>
      <c r="BZ1030" s="7">
        <f>(Wapato_Inventory[[#This Row],[sum_land]]-IF(Wapato_Inventory[[#This Row],[no_utilities]]=1,12000,0))/IF(Wapato_Inventory[[#This Row],[unbuildable]]=1,2,1)</f>
        <v>59500</v>
      </c>
      <c r="CA1030" s="7">
        <f>Wapato_Inventory[[#This Row],[pre_res]]*Wapato_Inventory[[#This Row],[overall_adj]]</f>
        <v>197507.86073905003</v>
      </c>
      <c r="CB1030" s="3">
        <f>IF(ROUND(Wapato_Inventory[[#This Row],[adj_land]]*Lookups!$H$48,-2)&lt;Wapato_Inventory[[#This Row],[min_land]],Wapato_Inventory[[#This Row],[min_land]],ROUND(Wapato_Inventory[[#This Row],[adj_land]]*Lookups!$H$48,-2))</f>
        <v>56500</v>
      </c>
      <c r="CC1030" s="3">
        <f>IF(ROUND(Wapato_Inventory[[#This Row],[adj_res]]*Lookups!$H$48,-2)&lt;Wapato_Inventory[[#This Row],[min_res]],Wapato_Inventory[[#This Row],[min_res]],ROUND(Wapato_Inventory[[#This Row],[adj_res]]*Lookups!$H$48,-2))</f>
        <v>187600</v>
      </c>
      <c r="CD1030" s="3">
        <f>ROUND(Wapato_Inventory[[#This Row],[det_value]]*Lookups!$H$48,-2)</f>
        <v>3200</v>
      </c>
      <c r="CE1030" s="3">
        <f>Wapato_Inventory[[#This Row],[final_res]]+Wapato_Inventory[[#This Row],[final_det]]</f>
        <v>190800</v>
      </c>
      <c r="CF1030" s="3">
        <f>Wapato_Inventory[[#This Row],[crop_value]]+Wapato_Inventory[[#This Row],[final_land]]+Wapato_Inventory[[#This Row],[final_imp]]</f>
        <v>247300</v>
      </c>
      <c r="CH1030" t="str">
        <f t="shared" si="16"/>
        <v>update valuation set market_land =56500, market_bldg=190800, market_total =247300, market_mdno =405, market_date ='9/10/2023' where link_id = (select link_id from parcel where parcel_year = '2024' and parcel_id = '19111523472');</v>
      </c>
    </row>
    <row r="1031" spans="1:86" x14ac:dyDescent="0.25">
      <c r="A1031">
        <v>19111523478</v>
      </c>
      <c r="B1031">
        <v>0.4</v>
      </c>
      <c r="C1031" t="s">
        <v>144</v>
      </c>
      <c r="D1031" t="s">
        <v>144</v>
      </c>
      <c r="E1031" t="s">
        <v>54</v>
      </c>
      <c r="F1031" t="s">
        <v>54</v>
      </c>
      <c r="G1031">
        <v>3</v>
      </c>
      <c r="H1031" t="s">
        <v>55</v>
      </c>
      <c r="I1031">
        <v>262600</v>
      </c>
      <c r="J1031">
        <v>39300</v>
      </c>
      <c r="K1031">
        <v>0.4</v>
      </c>
      <c r="L1031">
        <f>IF(Wapato_Inventory[[#This Row],[parcel_acres]]-Wapato_Inventory[[#This Row],[non_valued_acres]] =0,0,LN(Wapato_Inventory[[#This Row],[parcel_acres]]-Wapato_Inventory[[#This Row],[non_valued_acres]]))</f>
        <v>-0.916290731874155</v>
      </c>
      <c r="M1031">
        <v>0</v>
      </c>
      <c r="N1031">
        <v>0</v>
      </c>
      <c r="O1031">
        <v>0</v>
      </c>
      <c r="P1031">
        <v>27904.037</v>
      </c>
      <c r="Q1031">
        <v>74398</v>
      </c>
      <c r="R1031" s="3">
        <f>(Wapato_Inventory[[#This Row],[ln_acres]]*Wapato_Inventory[[#This Row],[coeff]])+Wapato_Inventory[[#This Row],[const]]</f>
        <v>48829.789515026496</v>
      </c>
      <c r="S1031" t="s">
        <v>66</v>
      </c>
      <c r="T1031">
        <v>1</v>
      </c>
      <c r="U1031" t="s">
        <v>67</v>
      </c>
      <c r="V1031" t="s">
        <v>70</v>
      </c>
      <c r="W1031">
        <v>0</v>
      </c>
      <c r="X1031">
        <v>0</v>
      </c>
      <c r="Y1031">
        <v>16</v>
      </c>
      <c r="Z1031">
        <v>16</v>
      </c>
      <c r="AA1031">
        <v>20</v>
      </c>
      <c r="AB1031">
        <v>1500</v>
      </c>
      <c r="AC1031">
        <v>1419</v>
      </c>
      <c r="AD1031">
        <v>1419</v>
      </c>
      <c r="AE1031">
        <v>0</v>
      </c>
      <c r="AF1031">
        <v>0</v>
      </c>
      <c r="AG1031">
        <v>0</v>
      </c>
      <c r="AH1031">
        <v>0</v>
      </c>
      <c r="AI1031">
        <v>0</v>
      </c>
      <c r="AJ1031">
        <v>0</v>
      </c>
      <c r="AK1031">
        <v>480</v>
      </c>
      <c r="AL1031">
        <v>0</v>
      </c>
      <c r="AM1031">
        <v>0</v>
      </c>
      <c r="AN1031">
        <v>100</v>
      </c>
      <c r="AO1031">
        <v>0</v>
      </c>
      <c r="AP1031">
        <v>8</v>
      </c>
      <c r="AQ1031">
        <v>0</v>
      </c>
      <c r="AR1031">
        <v>0</v>
      </c>
      <c r="AS1031" t="s">
        <v>59</v>
      </c>
      <c r="AT1031">
        <v>1</v>
      </c>
      <c r="AU1031" t="s">
        <v>64</v>
      </c>
      <c r="AV1031" t="s">
        <v>61</v>
      </c>
      <c r="AW1031">
        <v>1</v>
      </c>
      <c r="AX1031">
        <v>3</v>
      </c>
      <c r="AY1031">
        <v>0</v>
      </c>
      <c r="AZ1031">
        <v>0</v>
      </c>
      <c r="BA1031">
        <v>100</v>
      </c>
      <c r="BB1031">
        <v>100</v>
      </c>
      <c r="BC1031">
        <v>100</v>
      </c>
      <c r="BD1031">
        <v>100</v>
      </c>
      <c r="BE1031">
        <v>1</v>
      </c>
      <c r="BF1031">
        <v>15000</v>
      </c>
      <c r="BG1031">
        <v>1000</v>
      </c>
      <c r="BH1031" s="7">
        <f>ROUND(Wapato_Inventory[[#This Row],[detatched_value]]*Lookups!$B$22*Lookups!$H$48,-2)</f>
        <v>0</v>
      </c>
      <c r="BI1031" s="7">
        <f>ROUND(((Wapato_Inventory[[#This Row],[land_extract]]*Lookups!$B$3) +(Lookups!$B$2*0.5))*Lookups!$H$48,-2)</f>
        <v>55800</v>
      </c>
      <c r="BJ1031" s="7">
        <f>IF(Wapato_Inventory[[#This Row],[bldg_style]]="",0,Lookups!$B$2*0.5)</f>
        <v>53765.27</v>
      </c>
      <c r="BK1031" s="7">
        <f>_xlfn.IFNA(VLOOKUP(Wapato_Inventory[[#This Row],[quality]],Lookups!$H$2:$J$14,3,FALSE),0)</f>
        <v>50405</v>
      </c>
      <c r="BL1031" s="7">
        <f>_xlfn.IFNA(VLOOKUP(Wapato_Inventory[[#This Row],[condition]],Lookups!$H$17:$J$24,3,FALSE),0)</f>
        <v>84338</v>
      </c>
      <c r="BM1031" s="7">
        <f>Wapato_Inventory[[#This Row],[Age]]*Lookups!$B$16</f>
        <v>-5930.8112000000001</v>
      </c>
      <c r="BN1031" s="7">
        <f>Wapato_Inventory[[#This Row],[Main Floor]]*Lookups!$B$17</f>
        <v>59315.248640999998</v>
      </c>
      <c r="BO1031" s="7">
        <f>Wapato_Inventory[[#This Row],[Upper Floor]]*Lookups!$B$18</f>
        <v>0</v>
      </c>
      <c r="BP1031" s="7">
        <f>Wapato_Inventory[[#This Row],[Fin BSMT]]*Lookups!$B$19</f>
        <v>0</v>
      </c>
      <c r="BQ1031" s="7">
        <f>(Wapato_Inventory[[#This Row],[att_gar]]+Wapato_Inventory[[#This Row],[blt_gar]])*Lookups!$B$20</f>
        <v>0</v>
      </c>
      <c r="BR1031" s="7">
        <f>Wapato_Inventory[[#This Row],[Patio]]*Lookups!$B$21</f>
        <v>0</v>
      </c>
      <c r="BS1031" s="7">
        <f>SUM(Wapato_Inventory[[#This Row],[intercept]:[patio_value]])*Wapato_Inventory[[#This Row],[res_pct]]</f>
        <v>241892.70744099998</v>
      </c>
      <c r="BT1031" s="7">
        <f>Wapato_Inventory[[#This Row],[land_value]]</f>
        <v>55800</v>
      </c>
      <c r="BU1031" s="2">
        <f>_xlfn.IFNA(VLOOKUP(Wapato_Inventory[[#This Row],[quality]],Lookups!$A$28:$C$37,3,FALSE),1)</f>
        <v>0.97993206410140754</v>
      </c>
      <c r="BV1031" s="2">
        <f>_xlfn.IFNA(VLOOKUP(Wapato_Inventory[[#This Row],[condition]],Lookups!$A$41:$C$48,3,FALSE),1)</f>
        <v>0.99478075210508476</v>
      </c>
      <c r="BW1031" s="2">
        <f>IF(Wapato_Inventory[[#This Row],[decade]]="",1,_xlfn.IFNA(VLOOKUP(Wapato_Inventory[[#This Row],[decade]],Lookups!$F$28:$H$45,3,FALSE),1))</f>
        <v>1.0658609603367226</v>
      </c>
      <c r="BX1031" s="2">
        <f>_xlfn.IFNA(VLOOKUP(Wapato_Inventory[[#This Row],[living_area_range]],Lookups!$K$28:$M$37,3,FALSE),1)</f>
        <v>1.0061411172456287</v>
      </c>
      <c r="BY1031" s="2">
        <f>AVERAGE(Wapato_Inventory[[#This Row],[qual_adj]:[range_adj]])</f>
        <v>1.0116787234472109</v>
      </c>
      <c r="BZ1031" s="7">
        <f>(Wapato_Inventory[[#This Row],[sum_land]]-IF(Wapato_Inventory[[#This Row],[no_utilities]]=1,12000,0))/IF(Wapato_Inventory[[#This Row],[unbuildable]]=1,2,1)</f>
        <v>55800</v>
      </c>
      <c r="CA1031" s="7">
        <f>Wapato_Inventory[[#This Row],[pre_res]]*Wapato_Inventory[[#This Row],[overall_adj]]</f>
        <v>244717.70547510052</v>
      </c>
      <c r="CB1031" s="3">
        <f>IF(ROUND(Wapato_Inventory[[#This Row],[adj_land]]*Lookups!$H$48,-2)&lt;Wapato_Inventory[[#This Row],[min_land]],Wapato_Inventory[[#This Row],[min_land]],ROUND(Wapato_Inventory[[#This Row],[adj_land]]*Lookups!$H$48,-2))</f>
        <v>53000</v>
      </c>
      <c r="CC1031" s="3">
        <f>IF(ROUND(Wapato_Inventory[[#This Row],[adj_res]]*Lookups!$H$48,-2)&lt;Wapato_Inventory[[#This Row],[min_res]],Wapato_Inventory[[#This Row],[min_res]],ROUND(Wapato_Inventory[[#This Row],[adj_res]]*Lookups!$H$48,-2))</f>
        <v>232500</v>
      </c>
      <c r="CD1031" s="3">
        <f>ROUND(Wapato_Inventory[[#This Row],[det_value]]*Lookups!$H$48,-2)</f>
        <v>0</v>
      </c>
      <c r="CE1031" s="3">
        <f>Wapato_Inventory[[#This Row],[final_res]]+Wapato_Inventory[[#This Row],[final_det]]</f>
        <v>232500</v>
      </c>
      <c r="CF1031" s="3">
        <f>Wapato_Inventory[[#This Row],[crop_value]]+Wapato_Inventory[[#This Row],[final_land]]+Wapato_Inventory[[#This Row],[final_imp]]</f>
        <v>285500</v>
      </c>
      <c r="CH1031" t="str">
        <f t="shared" si="16"/>
        <v>update valuation set market_land =53000, market_bldg=232500, market_total =285500, market_mdno =405, market_date ='9/10/2023' where link_id = (select link_id from parcel where parcel_year = '2024' and parcel_id = '19111523478');</v>
      </c>
    </row>
    <row r="1032" spans="1:86" x14ac:dyDescent="0.25">
      <c r="A1032">
        <v>19111524400</v>
      </c>
      <c r="B1032">
        <v>0.18</v>
      </c>
      <c r="C1032">
        <v>7632</v>
      </c>
      <c r="D1032" t="s">
        <v>144</v>
      </c>
      <c r="E1032" t="s">
        <v>54</v>
      </c>
      <c r="F1032" t="s">
        <v>54</v>
      </c>
      <c r="G1032">
        <v>3</v>
      </c>
      <c r="H1032" t="s">
        <v>55</v>
      </c>
      <c r="I1032">
        <v>220200</v>
      </c>
      <c r="J1032">
        <v>33700</v>
      </c>
      <c r="K1032">
        <v>0.18</v>
      </c>
      <c r="L1032">
        <f>IF(Wapato_Inventory[[#This Row],[parcel_acres]]-Wapato_Inventory[[#This Row],[non_valued_acres]] =0,0,LN(Wapato_Inventory[[#This Row],[parcel_acres]]-Wapato_Inventory[[#This Row],[non_valued_acres]]))</f>
        <v>-1.7147984280919266</v>
      </c>
      <c r="M1032">
        <v>0</v>
      </c>
      <c r="N1032">
        <v>0</v>
      </c>
      <c r="O1032">
        <v>0</v>
      </c>
      <c r="P1032">
        <v>27904.037</v>
      </c>
      <c r="Q1032">
        <v>74398</v>
      </c>
      <c r="R1032" s="3">
        <f>(Wapato_Inventory[[#This Row],[ln_acres]]*Wapato_Inventory[[#This Row],[coeff]])+Wapato_Inventory[[#This Row],[const]]</f>
        <v>26548.20121498104</v>
      </c>
      <c r="S1032" t="s">
        <v>66</v>
      </c>
      <c r="T1032">
        <v>1</v>
      </c>
      <c r="U1032" t="s">
        <v>67</v>
      </c>
      <c r="V1032" t="s">
        <v>68</v>
      </c>
      <c r="W1032">
        <v>0</v>
      </c>
      <c r="X1032">
        <v>0</v>
      </c>
      <c r="Y1032">
        <v>50</v>
      </c>
      <c r="Z1032">
        <v>74</v>
      </c>
      <c r="AA1032">
        <v>80</v>
      </c>
      <c r="AB1032">
        <v>2000</v>
      </c>
      <c r="AC1032">
        <v>1628</v>
      </c>
      <c r="AD1032">
        <v>1628</v>
      </c>
      <c r="AE1032">
        <v>0</v>
      </c>
      <c r="AF1032">
        <v>0</v>
      </c>
      <c r="AG1032">
        <v>0</v>
      </c>
      <c r="AH1032">
        <v>0</v>
      </c>
      <c r="AI1032">
        <v>750</v>
      </c>
      <c r="AJ1032">
        <v>0</v>
      </c>
      <c r="AK1032">
        <v>340</v>
      </c>
      <c r="AL1032">
        <v>0</v>
      </c>
      <c r="AM1032">
        <v>104</v>
      </c>
      <c r="AN1032">
        <v>0</v>
      </c>
      <c r="AO1032">
        <v>104</v>
      </c>
      <c r="AP1032">
        <v>11</v>
      </c>
      <c r="AQ1032">
        <v>0</v>
      </c>
      <c r="AR1032">
        <v>0</v>
      </c>
      <c r="AS1032" t="s">
        <v>59</v>
      </c>
      <c r="AT1032">
        <v>1</v>
      </c>
      <c r="AU1032" t="s">
        <v>64</v>
      </c>
      <c r="AV1032" t="s">
        <v>61</v>
      </c>
      <c r="AW1032">
        <v>1</v>
      </c>
      <c r="AX1032">
        <v>2</v>
      </c>
      <c r="AY1032">
        <v>0</v>
      </c>
      <c r="AZ1032">
        <v>0</v>
      </c>
      <c r="BA1032">
        <v>100</v>
      </c>
      <c r="BB1032">
        <v>100</v>
      </c>
      <c r="BC1032">
        <v>100</v>
      </c>
      <c r="BD1032">
        <v>100</v>
      </c>
      <c r="BE1032">
        <v>1</v>
      </c>
      <c r="BF1032">
        <v>15000</v>
      </c>
      <c r="BG1032">
        <v>1000</v>
      </c>
      <c r="BH1032" s="7">
        <f>ROUND(Wapato_Inventory[[#This Row],[detatched_value]]*Lookups!$B$22*Lookups!$H$48,-2)</f>
        <v>0</v>
      </c>
      <c r="BI1032" s="7">
        <f>ROUND(((Wapato_Inventory[[#This Row],[land_extract]]*Lookups!$B$3) +(Lookups!$B$2*0.5))*Lookups!$H$48,-2)</f>
        <v>53600</v>
      </c>
      <c r="BJ1032" s="7">
        <f>IF(Wapato_Inventory[[#This Row],[bldg_style]]="",0,Lookups!$B$2*0.5)</f>
        <v>53765.27</v>
      </c>
      <c r="BK1032" s="7">
        <f>_xlfn.IFNA(VLOOKUP(Wapato_Inventory[[#This Row],[quality]],Lookups!$H$2:$J$14,3,FALSE),0)</f>
        <v>50405</v>
      </c>
      <c r="BL1032" s="7">
        <f>_xlfn.IFNA(VLOOKUP(Wapato_Inventory[[#This Row],[condition]],Lookups!$H$17:$J$24,3,FALSE),0)</f>
        <v>52231</v>
      </c>
      <c r="BM1032" s="7">
        <f>Wapato_Inventory[[#This Row],[Age]]*Lookups!$B$16</f>
        <v>-27430.001800000002</v>
      </c>
      <c r="BN1032" s="7">
        <f>Wapato_Inventory[[#This Row],[Main Floor]]*Lookups!$B$17</f>
        <v>68051.603092000005</v>
      </c>
      <c r="BO1032" s="7">
        <f>Wapato_Inventory[[#This Row],[Upper Floor]]*Lookups!$B$18</f>
        <v>0</v>
      </c>
      <c r="BP1032" s="7">
        <f>Wapato_Inventory[[#This Row],[Fin BSMT]]*Lookups!$B$19</f>
        <v>0</v>
      </c>
      <c r="BQ1032" s="7">
        <f>(Wapato_Inventory[[#This Row],[att_gar]]+Wapato_Inventory[[#This Row],[blt_gar]])*Lookups!$B$20</f>
        <v>27756.564000000002</v>
      </c>
      <c r="BR1032" s="7">
        <f>Wapato_Inventory[[#This Row],[Patio]]*Lookups!$B$21</f>
        <v>4505.693816</v>
      </c>
      <c r="BS1032" s="7">
        <f>SUM(Wapato_Inventory[[#This Row],[intercept]:[patio_value]])*Wapato_Inventory[[#This Row],[res_pct]]</f>
        <v>229285.12910800002</v>
      </c>
      <c r="BT1032" s="7">
        <f>Wapato_Inventory[[#This Row],[land_value]]</f>
        <v>53600</v>
      </c>
      <c r="BU1032" s="2">
        <f>_xlfn.IFNA(VLOOKUP(Wapato_Inventory[[#This Row],[quality]],Lookups!$A$28:$C$37,3,FALSE),1)</f>
        <v>0.97993206410140754</v>
      </c>
      <c r="BV1032" s="2">
        <f>_xlfn.IFNA(VLOOKUP(Wapato_Inventory[[#This Row],[condition]],Lookups!$A$41:$C$48,3,FALSE),1)</f>
        <v>0.9832333997567807</v>
      </c>
      <c r="BW1032" s="2">
        <f>IF(Wapato_Inventory[[#This Row],[decade]]="",1,_xlfn.IFNA(VLOOKUP(Wapato_Inventory[[#This Row],[decade]],Lookups!$F$28:$H$45,3,FALSE),1))</f>
        <v>0.8438929209510081</v>
      </c>
      <c r="BX1032" s="2">
        <f>_xlfn.IFNA(VLOOKUP(Wapato_Inventory[[#This Row],[living_area_range]],Lookups!$K$28:$M$37,3,FALSE),1)</f>
        <v>0.99330894324714125</v>
      </c>
      <c r="BY1032" s="2">
        <f>AVERAGE(Wapato_Inventory[[#This Row],[qual_adj]:[range_adj]])</f>
        <v>0.95009183201408443</v>
      </c>
      <c r="BZ1032" s="7">
        <f>(Wapato_Inventory[[#This Row],[sum_land]]-IF(Wapato_Inventory[[#This Row],[no_utilities]]=1,12000,0))/IF(Wapato_Inventory[[#This Row],[unbuildable]]=1,2,1)</f>
        <v>53600</v>
      </c>
      <c r="CA1032" s="7">
        <f>Wapato_Inventory[[#This Row],[pre_res]]*Wapato_Inventory[[#This Row],[overall_adj]]</f>
        <v>217841.92836780561</v>
      </c>
      <c r="CB1032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032" s="3">
        <f>IF(ROUND(Wapato_Inventory[[#This Row],[adj_res]]*Lookups!$H$48,-2)&lt;Wapato_Inventory[[#This Row],[min_res]],Wapato_Inventory[[#This Row],[min_res]],ROUND(Wapato_Inventory[[#This Row],[adj_res]]*Lookups!$H$48,-2))</f>
        <v>206900</v>
      </c>
      <c r="CD1032" s="3">
        <f>ROUND(Wapato_Inventory[[#This Row],[det_value]]*Lookups!$H$48,-2)</f>
        <v>0</v>
      </c>
      <c r="CE1032" s="3">
        <f>Wapato_Inventory[[#This Row],[final_res]]+Wapato_Inventory[[#This Row],[final_det]]</f>
        <v>206900</v>
      </c>
      <c r="CF1032" s="3">
        <f>Wapato_Inventory[[#This Row],[crop_value]]+Wapato_Inventory[[#This Row],[final_land]]+Wapato_Inventory[[#This Row],[final_imp]]</f>
        <v>257800</v>
      </c>
      <c r="CH1032" t="str">
        <f t="shared" si="16"/>
        <v>update valuation set market_land =50900, market_bldg=206900, market_total =257800, market_mdno =405, market_date ='9/10/2023' where link_id = (select link_id from parcel where parcel_year = '2024' and parcel_id = '19111524400');</v>
      </c>
    </row>
    <row r="1033" spans="1:86" x14ac:dyDescent="0.25">
      <c r="A1033">
        <v>19111524401</v>
      </c>
      <c r="B1033">
        <v>0.14000000000000001</v>
      </c>
      <c r="C1033">
        <v>6040</v>
      </c>
      <c r="D1033" t="s">
        <v>144</v>
      </c>
      <c r="E1033" t="s">
        <v>54</v>
      </c>
      <c r="F1033" t="s">
        <v>54</v>
      </c>
      <c r="G1033">
        <v>3</v>
      </c>
      <c r="H1033" t="s">
        <v>55</v>
      </c>
      <c r="I1033">
        <v>112300</v>
      </c>
      <c r="J1033">
        <v>31900</v>
      </c>
      <c r="K1033">
        <v>0.14000000000000001</v>
      </c>
      <c r="L1033">
        <f>IF(Wapato_Inventory[[#This Row],[parcel_acres]]-Wapato_Inventory[[#This Row],[non_valued_acres]] =0,0,LN(Wapato_Inventory[[#This Row],[parcel_acres]]-Wapato_Inventory[[#This Row],[non_valued_acres]]))</f>
        <v>-1.9661128563728327</v>
      </c>
      <c r="M1033">
        <v>0</v>
      </c>
      <c r="N1033">
        <v>0</v>
      </c>
      <c r="O1033">
        <v>0</v>
      </c>
      <c r="P1033">
        <v>27904.037</v>
      </c>
      <c r="Q1033">
        <v>74398</v>
      </c>
      <c r="R1033" s="3">
        <f>(Wapato_Inventory[[#This Row],[ln_acres]]*Wapato_Inventory[[#This Row],[coeff]])+Wapato_Inventory[[#This Row],[const]]</f>
        <v>19535.514109596792</v>
      </c>
      <c r="S1033" t="s">
        <v>66</v>
      </c>
      <c r="T1033">
        <v>1</v>
      </c>
      <c r="U1033" t="s">
        <v>71</v>
      </c>
      <c r="V1033" t="s">
        <v>68</v>
      </c>
      <c r="W1033">
        <v>0</v>
      </c>
      <c r="X1033">
        <v>0</v>
      </c>
      <c r="Y1033">
        <v>50</v>
      </c>
      <c r="Z1033">
        <v>74</v>
      </c>
      <c r="AA1033">
        <v>80</v>
      </c>
      <c r="AB1033">
        <v>1000</v>
      </c>
      <c r="AC1033">
        <v>772</v>
      </c>
      <c r="AD1033">
        <v>772</v>
      </c>
      <c r="AE1033">
        <v>0</v>
      </c>
      <c r="AF1033">
        <v>0</v>
      </c>
      <c r="AG1033">
        <v>0</v>
      </c>
      <c r="AH1033">
        <v>0</v>
      </c>
      <c r="AI1033">
        <v>0</v>
      </c>
      <c r="AJ1033">
        <v>0</v>
      </c>
      <c r="AK1033">
        <v>0</v>
      </c>
      <c r="AL1033">
        <v>0</v>
      </c>
      <c r="AM1033">
        <v>462</v>
      </c>
      <c r="AN1033">
        <v>0</v>
      </c>
      <c r="AO1033">
        <v>0</v>
      </c>
      <c r="AP1033">
        <v>5</v>
      </c>
      <c r="AQ1033">
        <v>1</v>
      </c>
      <c r="AR1033">
        <v>0</v>
      </c>
      <c r="AS1033" t="s">
        <v>59</v>
      </c>
      <c r="AT1033">
        <v>1</v>
      </c>
      <c r="AU1033" t="s">
        <v>64</v>
      </c>
      <c r="AV1033" t="s">
        <v>65</v>
      </c>
      <c r="AW1033">
        <v>0</v>
      </c>
      <c r="AX1033">
        <v>2</v>
      </c>
      <c r="AY1033">
        <v>0</v>
      </c>
      <c r="AZ1033">
        <v>6000</v>
      </c>
      <c r="BA1033">
        <v>100</v>
      </c>
      <c r="BB1033">
        <v>100</v>
      </c>
      <c r="BC1033">
        <v>100</v>
      </c>
      <c r="BD1033">
        <v>100</v>
      </c>
      <c r="BE1033">
        <v>1</v>
      </c>
      <c r="BF1033">
        <v>15000</v>
      </c>
      <c r="BG1033">
        <v>1000</v>
      </c>
      <c r="BH1033" s="7">
        <f>ROUND(Wapato_Inventory[[#This Row],[detatched_value]]*Lookups!$B$22*Lookups!$H$48,-2)</f>
        <v>5400</v>
      </c>
      <c r="BI1033" s="7">
        <f>ROUND(((Wapato_Inventory[[#This Row],[land_extract]]*Lookups!$B$3) +(Lookups!$B$2*0.5))*Lookups!$H$48,-2)</f>
        <v>53000</v>
      </c>
      <c r="BJ1033" s="7">
        <f>IF(Wapato_Inventory[[#This Row],[bldg_style]]="",0,Lookups!$B$2*0.5)</f>
        <v>53765.27</v>
      </c>
      <c r="BK1033" s="7">
        <f>_xlfn.IFNA(VLOOKUP(Wapato_Inventory[[#This Row],[quality]],Lookups!$H$2:$J$14,3,FALSE),0)</f>
        <v>28034</v>
      </c>
      <c r="BL1033" s="7">
        <f>_xlfn.IFNA(VLOOKUP(Wapato_Inventory[[#This Row],[condition]],Lookups!$H$17:$J$24,3,FALSE),0)</f>
        <v>52231</v>
      </c>
      <c r="BM1033" s="7">
        <f>Wapato_Inventory[[#This Row],[Age]]*Lookups!$B$16</f>
        <v>-27430.001800000002</v>
      </c>
      <c r="BN1033" s="7">
        <f>Wapato_Inventory[[#This Row],[Main Floor]]*Lookups!$B$17</f>
        <v>32270.170507999999</v>
      </c>
      <c r="BO1033" s="7">
        <f>Wapato_Inventory[[#This Row],[Upper Floor]]*Lookups!$B$18</f>
        <v>0</v>
      </c>
      <c r="BP1033" s="7">
        <f>Wapato_Inventory[[#This Row],[Fin BSMT]]*Lookups!$B$19</f>
        <v>0</v>
      </c>
      <c r="BQ1033" s="7">
        <f>(Wapato_Inventory[[#This Row],[att_gar]]+Wapato_Inventory[[#This Row],[blt_gar]])*Lookups!$B$20</f>
        <v>0</v>
      </c>
      <c r="BR1033" s="7">
        <f>Wapato_Inventory[[#This Row],[Patio]]*Lookups!$B$21</f>
        <v>20015.678297999999</v>
      </c>
      <c r="BS1033" s="7">
        <f>SUM(Wapato_Inventory[[#This Row],[intercept]:[patio_value]])*Wapato_Inventory[[#This Row],[res_pct]]</f>
        <v>158886.11700600001</v>
      </c>
      <c r="BT1033" s="7">
        <f>Wapato_Inventory[[#This Row],[land_value]]</f>
        <v>53000</v>
      </c>
      <c r="BU1033" s="2">
        <f>_xlfn.IFNA(VLOOKUP(Wapato_Inventory[[#This Row],[quality]],Lookups!$A$28:$C$37,3,FALSE),1)</f>
        <v>0.96265813922927435</v>
      </c>
      <c r="BV1033" s="2">
        <f>_xlfn.IFNA(VLOOKUP(Wapato_Inventory[[#This Row],[condition]],Lookups!$A$41:$C$48,3,FALSE),1)</f>
        <v>0.9832333997567807</v>
      </c>
      <c r="BW1033" s="2">
        <f>IF(Wapato_Inventory[[#This Row],[decade]]="",1,_xlfn.IFNA(VLOOKUP(Wapato_Inventory[[#This Row],[decade]],Lookups!$F$28:$H$45,3,FALSE),1))</f>
        <v>0.8438929209510081</v>
      </c>
      <c r="BX1033" s="2">
        <f>_xlfn.IFNA(VLOOKUP(Wapato_Inventory[[#This Row],[living_area_range]],Lookups!$K$28:$M$37,3,FALSE),1)</f>
        <v>0.99022994770196116</v>
      </c>
      <c r="BY1033" s="2">
        <f>AVERAGE(Wapato_Inventory[[#This Row],[qual_adj]:[range_adj]])</f>
        <v>0.94500360190975607</v>
      </c>
      <c r="BZ1033" s="7">
        <f>(Wapato_Inventory[[#This Row],[sum_land]]-IF(Wapato_Inventory[[#This Row],[no_utilities]]=1,12000,0))/IF(Wapato_Inventory[[#This Row],[unbuildable]]=1,2,1)</f>
        <v>53000</v>
      </c>
      <c r="CA1033" s="7">
        <f>Wapato_Inventory[[#This Row],[pre_res]]*Wapato_Inventory[[#This Row],[overall_adj]]</f>
        <v>150147.95286412496</v>
      </c>
      <c r="CB103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033" s="3">
        <f>IF(ROUND(Wapato_Inventory[[#This Row],[adj_res]]*Lookups!$H$48,-2)&lt;Wapato_Inventory[[#This Row],[min_res]],Wapato_Inventory[[#This Row],[min_res]],ROUND(Wapato_Inventory[[#This Row],[adj_res]]*Lookups!$H$48,-2))</f>
        <v>142600</v>
      </c>
      <c r="CD1033" s="3">
        <f>ROUND(Wapato_Inventory[[#This Row],[det_value]]*Lookups!$H$48,-2)</f>
        <v>5100</v>
      </c>
      <c r="CE1033" s="3">
        <f>Wapato_Inventory[[#This Row],[final_res]]+Wapato_Inventory[[#This Row],[final_det]]</f>
        <v>147700</v>
      </c>
      <c r="CF1033" s="3">
        <f>Wapato_Inventory[[#This Row],[crop_value]]+Wapato_Inventory[[#This Row],[final_land]]+Wapato_Inventory[[#This Row],[final_imp]]</f>
        <v>198100</v>
      </c>
      <c r="CH1033" t="str">
        <f t="shared" si="16"/>
        <v>update valuation set market_land =50400, market_bldg=147700, market_total =198100, market_mdno =405, market_date ='9/10/2023' where link_id = (select link_id from parcel where parcel_year = '2024' and parcel_id = '19111524401');</v>
      </c>
    </row>
    <row r="1034" spans="1:86" x14ac:dyDescent="0.25">
      <c r="A1034">
        <v>19111524402</v>
      </c>
      <c r="B1034">
        <v>0.15</v>
      </c>
      <c r="C1034">
        <v>6531</v>
      </c>
      <c r="D1034" t="s">
        <v>144</v>
      </c>
      <c r="E1034" t="s">
        <v>54</v>
      </c>
      <c r="F1034" t="s">
        <v>54</v>
      </c>
      <c r="G1034">
        <v>3</v>
      </c>
      <c r="H1034" t="s">
        <v>55</v>
      </c>
      <c r="I1034">
        <v>85000</v>
      </c>
      <c r="J1034">
        <v>32300</v>
      </c>
      <c r="K1034">
        <v>0.15</v>
      </c>
      <c r="L1034">
        <f>IF(Wapato_Inventory[[#This Row],[parcel_acres]]-Wapato_Inventory[[#This Row],[non_valued_acres]] =0,0,LN(Wapato_Inventory[[#This Row],[parcel_acres]]-Wapato_Inventory[[#This Row],[non_valued_acres]]))</f>
        <v>-1.8971199848858813</v>
      </c>
      <c r="M1034">
        <v>0</v>
      </c>
      <c r="N1034">
        <v>0</v>
      </c>
      <c r="O1034">
        <v>0</v>
      </c>
      <c r="P1034">
        <v>27904.037</v>
      </c>
      <c r="Q1034">
        <v>74398</v>
      </c>
      <c r="R1034" s="3">
        <f>(Wapato_Inventory[[#This Row],[ln_acres]]*Wapato_Inventory[[#This Row],[coeff]])+Wapato_Inventory[[#This Row],[const]]</f>
        <v>21460.693748304926</v>
      </c>
      <c r="S1034" t="s">
        <v>66</v>
      </c>
      <c r="T1034">
        <v>1</v>
      </c>
      <c r="U1034" t="s">
        <v>71</v>
      </c>
      <c r="V1034" t="s">
        <v>73</v>
      </c>
      <c r="W1034">
        <v>0</v>
      </c>
      <c r="X1034">
        <v>0</v>
      </c>
      <c r="Y1034">
        <v>50</v>
      </c>
      <c r="Z1034">
        <v>74</v>
      </c>
      <c r="AA1034">
        <v>80</v>
      </c>
      <c r="AB1034">
        <v>1000</v>
      </c>
      <c r="AC1034">
        <v>912</v>
      </c>
      <c r="AD1034">
        <v>912</v>
      </c>
      <c r="AE1034">
        <v>0</v>
      </c>
      <c r="AF1034">
        <v>0</v>
      </c>
      <c r="AG1034">
        <v>0</v>
      </c>
      <c r="AH1034">
        <v>0</v>
      </c>
      <c r="AI1034">
        <v>0</v>
      </c>
      <c r="AJ1034">
        <v>0</v>
      </c>
      <c r="AK1034">
        <v>696</v>
      </c>
      <c r="AL1034">
        <v>0</v>
      </c>
      <c r="AM1034">
        <v>0</v>
      </c>
      <c r="AN1034">
        <v>0</v>
      </c>
      <c r="AO1034">
        <v>0</v>
      </c>
      <c r="AP1034">
        <v>5</v>
      </c>
      <c r="AQ1034">
        <v>1</v>
      </c>
      <c r="AR1034">
        <v>0</v>
      </c>
      <c r="AS1034" t="s">
        <v>59</v>
      </c>
      <c r="AT1034">
        <v>1</v>
      </c>
      <c r="AU1034" t="s">
        <v>72</v>
      </c>
      <c r="AV1034" t="s">
        <v>61</v>
      </c>
      <c r="AW1034">
        <v>0</v>
      </c>
      <c r="AX1034">
        <v>3</v>
      </c>
      <c r="AY1034">
        <v>0</v>
      </c>
      <c r="AZ1034">
        <v>0</v>
      </c>
      <c r="BA1034">
        <v>100</v>
      </c>
      <c r="BB1034">
        <v>100</v>
      </c>
      <c r="BC1034">
        <v>100</v>
      </c>
      <c r="BD1034">
        <v>100</v>
      </c>
      <c r="BE1034">
        <v>1</v>
      </c>
      <c r="BF1034">
        <v>15000</v>
      </c>
      <c r="BG1034">
        <v>1000</v>
      </c>
      <c r="BH1034" s="7">
        <f>ROUND(Wapato_Inventory[[#This Row],[detatched_value]]*Lookups!$B$22*Lookups!$H$48,-2)</f>
        <v>0</v>
      </c>
      <c r="BI1034" s="7">
        <f>ROUND(((Wapato_Inventory[[#This Row],[land_extract]]*Lookups!$B$3) +(Lookups!$B$2*0.5))*Lookups!$H$48,-2)</f>
        <v>53100</v>
      </c>
      <c r="BJ1034" s="7">
        <f>IF(Wapato_Inventory[[#This Row],[bldg_style]]="",0,Lookups!$B$2*0.5)</f>
        <v>53765.27</v>
      </c>
      <c r="BK1034" s="7">
        <f>_xlfn.IFNA(VLOOKUP(Wapato_Inventory[[#This Row],[quality]],Lookups!$H$2:$J$14,3,FALSE),0)</f>
        <v>28034</v>
      </c>
      <c r="BL1034" s="7">
        <f>_xlfn.IFNA(VLOOKUP(Wapato_Inventory[[#This Row],[condition]],Lookups!$H$17:$J$24,3,FALSE),0)</f>
        <v>16276</v>
      </c>
      <c r="BM1034" s="7">
        <f>Wapato_Inventory[[#This Row],[Age]]*Lookups!$B$16</f>
        <v>-27430.001800000002</v>
      </c>
      <c r="BN1034" s="7">
        <f>Wapato_Inventory[[#This Row],[Main Floor]]*Lookups!$B$17</f>
        <v>38122.273968000001</v>
      </c>
      <c r="BO1034" s="7">
        <f>Wapato_Inventory[[#This Row],[Upper Floor]]*Lookups!$B$18</f>
        <v>0</v>
      </c>
      <c r="BP1034" s="7">
        <f>Wapato_Inventory[[#This Row],[Fin BSMT]]*Lookups!$B$19</f>
        <v>0</v>
      </c>
      <c r="BQ1034" s="7">
        <f>(Wapato_Inventory[[#This Row],[att_gar]]+Wapato_Inventory[[#This Row],[blt_gar]])*Lookups!$B$20</f>
        <v>0</v>
      </c>
      <c r="BR1034" s="7">
        <f>Wapato_Inventory[[#This Row],[Patio]]*Lookups!$B$21</f>
        <v>0</v>
      </c>
      <c r="BS1034" s="7">
        <f>SUM(Wapato_Inventory[[#This Row],[intercept]:[patio_value]])*Wapato_Inventory[[#This Row],[res_pct]]</f>
        <v>108767.54216799999</v>
      </c>
      <c r="BT1034" s="7">
        <f>Wapato_Inventory[[#This Row],[land_value]]</f>
        <v>53100</v>
      </c>
      <c r="BU1034" s="2">
        <f>_xlfn.IFNA(VLOOKUP(Wapato_Inventory[[#This Row],[quality]],Lookups!$A$28:$C$37,3,FALSE),1)</f>
        <v>0.96265813922927435</v>
      </c>
      <c r="BV1034" s="2">
        <f>_xlfn.IFNA(VLOOKUP(Wapato_Inventory[[#This Row],[condition]],Lookups!$A$41:$C$48,3,FALSE),1)</f>
        <v>0.93399385491337139</v>
      </c>
      <c r="BW1034" s="2">
        <f>IF(Wapato_Inventory[[#This Row],[decade]]="",1,_xlfn.IFNA(VLOOKUP(Wapato_Inventory[[#This Row],[decade]],Lookups!$F$28:$H$45,3,FALSE),1))</f>
        <v>0.8438929209510081</v>
      </c>
      <c r="BX1034" s="2">
        <f>_xlfn.IFNA(VLOOKUP(Wapato_Inventory[[#This Row],[living_area_range]],Lookups!$K$28:$M$37,3,FALSE),1)</f>
        <v>0.99022994770196116</v>
      </c>
      <c r="BY1034" s="2">
        <f>AVERAGE(Wapato_Inventory[[#This Row],[qual_adj]:[range_adj]])</f>
        <v>0.9326937156989038</v>
      </c>
      <c r="BZ1034" s="7">
        <f>(Wapato_Inventory[[#This Row],[sum_land]]-IF(Wapato_Inventory[[#This Row],[no_utilities]]=1,12000,0))/IF(Wapato_Inventory[[#This Row],[unbuildable]]=1,2,1)</f>
        <v>53100</v>
      </c>
      <c r="CA1034" s="7">
        <f>Wapato_Inventory[[#This Row],[pre_res]]*Wapato_Inventory[[#This Row],[overall_adj]]</f>
        <v>101446.80305210911</v>
      </c>
      <c r="CB103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034" s="3">
        <f>IF(ROUND(Wapato_Inventory[[#This Row],[adj_res]]*Lookups!$H$48,-2)&lt;Wapato_Inventory[[#This Row],[min_res]],Wapato_Inventory[[#This Row],[min_res]],ROUND(Wapato_Inventory[[#This Row],[adj_res]]*Lookups!$H$48,-2))</f>
        <v>96400</v>
      </c>
      <c r="CD1034" s="3">
        <f>ROUND(Wapato_Inventory[[#This Row],[det_value]]*Lookups!$H$48,-2)</f>
        <v>0</v>
      </c>
      <c r="CE1034" s="3">
        <f>Wapato_Inventory[[#This Row],[final_res]]+Wapato_Inventory[[#This Row],[final_det]]</f>
        <v>96400</v>
      </c>
      <c r="CF1034" s="3">
        <f>Wapato_Inventory[[#This Row],[crop_value]]+Wapato_Inventory[[#This Row],[final_land]]+Wapato_Inventory[[#This Row],[final_imp]]</f>
        <v>146800</v>
      </c>
      <c r="CH1034" t="str">
        <f t="shared" si="16"/>
        <v>update valuation set market_land =50400, market_bldg=96400, market_total =146800, market_mdno =405, market_date ='9/10/2023' where link_id = (select link_id from parcel where parcel_year = '2024' and parcel_id = '19111524402');</v>
      </c>
    </row>
    <row r="1035" spans="1:86" x14ac:dyDescent="0.25">
      <c r="A1035">
        <v>19111524403</v>
      </c>
      <c r="B1035">
        <v>0.16</v>
      </c>
      <c r="C1035">
        <v>7021</v>
      </c>
      <c r="D1035" t="s">
        <v>144</v>
      </c>
      <c r="E1035" t="s">
        <v>54</v>
      </c>
      <c r="F1035" t="s">
        <v>54</v>
      </c>
      <c r="G1035">
        <v>3</v>
      </c>
      <c r="H1035" t="s">
        <v>55</v>
      </c>
      <c r="I1035">
        <v>112300</v>
      </c>
      <c r="J1035">
        <v>32800</v>
      </c>
      <c r="K1035">
        <v>0.16</v>
      </c>
      <c r="L1035">
        <f>IF(Wapato_Inventory[[#This Row],[parcel_acres]]-Wapato_Inventory[[#This Row],[non_valued_acres]] =0,0,LN(Wapato_Inventory[[#This Row],[parcel_acres]]-Wapato_Inventory[[#This Row],[non_valued_acres]]))</f>
        <v>-1.8325814637483102</v>
      </c>
      <c r="M1035">
        <v>0</v>
      </c>
      <c r="N1035">
        <v>0</v>
      </c>
      <c r="O1035">
        <v>0</v>
      </c>
      <c r="P1035">
        <v>27904.037</v>
      </c>
      <c r="Q1035">
        <v>74398</v>
      </c>
      <c r="R1035" s="3">
        <f>(Wapato_Inventory[[#This Row],[ln_acres]]*Wapato_Inventory[[#This Row],[coeff]])+Wapato_Inventory[[#This Row],[const]]</f>
        <v>23261.579030052992</v>
      </c>
      <c r="S1035" t="s">
        <v>66</v>
      </c>
      <c r="T1035">
        <v>1</v>
      </c>
      <c r="U1035" t="s">
        <v>71</v>
      </c>
      <c r="V1035" t="s">
        <v>68</v>
      </c>
      <c r="W1035">
        <v>0</v>
      </c>
      <c r="X1035">
        <v>0</v>
      </c>
      <c r="Y1035">
        <v>50</v>
      </c>
      <c r="Z1035">
        <v>74</v>
      </c>
      <c r="AA1035">
        <v>80</v>
      </c>
      <c r="AB1035">
        <v>1000</v>
      </c>
      <c r="AC1035">
        <v>944</v>
      </c>
      <c r="AD1035">
        <v>944</v>
      </c>
      <c r="AE1035">
        <v>0</v>
      </c>
      <c r="AF1035">
        <v>0</v>
      </c>
      <c r="AG1035">
        <v>0</v>
      </c>
      <c r="AH1035">
        <v>0</v>
      </c>
      <c r="AI1035">
        <v>0</v>
      </c>
      <c r="AJ1035">
        <v>0</v>
      </c>
      <c r="AK1035">
        <v>392</v>
      </c>
      <c r="AL1035">
        <v>0</v>
      </c>
      <c r="AM1035">
        <v>124</v>
      </c>
      <c r="AN1035">
        <v>0</v>
      </c>
      <c r="AO1035">
        <v>124</v>
      </c>
      <c r="AP1035">
        <v>5</v>
      </c>
      <c r="AQ1035">
        <v>0</v>
      </c>
      <c r="AR1035">
        <v>0</v>
      </c>
      <c r="AS1035" t="s">
        <v>59</v>
      </c>
      <c r="AT1035">
        <v>0</v>
      </c>
      <c r="AU1035" t="s">
        <v>80</v>
      </c>
      <c r="AV1035" t="s">
        <v>65</v>
      </c>
      <c r="AW1035">
        <v>0</v>
      </c>
      <c r="AX1035">
        <v>2</v>
      </c>
      <c r="AY1035">
        <v>0</v>
      </c>
      <c r="AZ1035">
        <v>0</v>
      </c>
      <c r="BA1035">
        <v>100</v>
      </c>
      <c r="BB1035">
        <v>100</v>
      </c>
      <c r="BC1035">
        <v>100</v>
      </c>
      <c r="BD1035">
        <v>100</v>
      </c>
      <c r="BE1035">
        <v>1</v>
      </c>
      <c r="BF1035">
        <v>15000</v>
      </c>
      <c r="BG1035">
        <v>1000</v>
      </c>
      <c r="BH1035" s="7">
        <f>ROUND(Wapato_Inventory[[#This Row],[detatched_value]]*Lookups!$B$22*Lookups!$H$48,-2)</f>
        <v>0</v>
      </c>
      <c r="BI1035" s="7">
        <f>ROUND(((Wapato_Inventory[[#This Row],[land_extract]]*Lookups!$B$3) +(Lookups!$B$2*0.5))*Lookups!$H$48,-2)</f>
        <v>53300</v>
      </c>
      <c r="BJ1035" s="7">
        <f>IF(Wapato_Inventory[[#This Row],[bldg_style]]="",0,Lookups!$B$2*0.5)</f>
        <v>53765.27</v>
      </c>
      <c r="BK1035" s="7">
        <f>_xlfn.IFNA(VLOOKUP(Wapato_Inventory[[#This Row],[quality]],Lookups!$H$2:$J$14,3,FALSE),0)</f>
        <v>28034</v>
      </c>
      <c r="BL1035" s="7">
        <f>_xlfn.IFNA(VLOOKUP(Wapato_Inventory[[#This Row],[condition]],Lookups!$H$17:$J$24,3,FALSE),0)</f>
        <v>52231</v>
      </c>
      <c r="BM1035" s="7">
        <f>Wapato_Inventory[[#This Row],[Age]]*Lookups!$B$16</f>
        <v>-27430.001800000002</v>
      </c>
      <c r="BN1035" s="7">
        <f>Wapato_Inventory[[#This Row],[Main Floor]]*Lookups!$B$17</f>
        <v>39459.897616000002</v>
      </c>
      <c r="BO1035" s="7">
        <f>Wapato_Inventory[[#This Row],[Upper Floor]]*Lookups!$B$18</f>
        <v>0</v>
      </c>
      <c r="BP1035" s="7">
        <f>Wapato_Inventory[[#This Row],[Fin BSMT]]*Lookups!$B$19</f>
        <v>0</v>
      </c>
      <c r="BQ1035" s="7">
        <f>(Wapato_Inventory[[#This Row],[att_gar]]+Wapato_Inventory[[#This Row],[blt_gar]])*Lookups!$B$20</f>
        <v>0</v>
      </c>
      <c r="BR1035" s="7">
        <f>Wapato_Inventory[[#This Row],[Patio]]*Lookups!$B$21</f>
        <v>5372.1733960000001</v>
      </c>
      <c r="BS1035" s="7">
        <f>SUM(Wapato_Inventory[[#This Row],[intercept]:[patio_value]])*Wapato_Inventory[[#This Row],[res_pct]]</f>
        <v>151432.33921199999</v>
      </c>
      <c r="BT1035" s="7">
        <f>Wapato_Inventory[[#This Row],[land_value]]</f>
        <v>53300</v>
      </c>
      <c r="BU1035" s="2">
        <f>_xlfn.IFNA(VLOOKUP(Wapato_Inventory[[#This Row],[quality]],Lookups!$A$28:$C$37,3,FALSE),1)</f>
        <v>0.96265813922927435</v>
      </c>
      <c r="BV1035" s="2">
        <f>_xlfn.IFNA(VLOOKUP(Wapato_Inventory[[#This Row],[condition]],Lookups!$A$41:$C$48,3,FALSE),1)</f>
        <v>0.9832333997567807</v>
      </c>
      <c r="BW1035" s="2">
        <f>IF(Wapato_Inventory[[#This Row],[decade]]="",1,_xlfn.IFNA(VLOOKUP(Wapato_Inventory[[#This Row],[decade]],Lookups!$F$28:$H$45,3,FALSE),1))</f>
        <v>0.8438929209510081</v>
      </c>
      <c r="BX1035" s="2">
        <f>_xlfn.IFNA(VLOOKUP(Wapato_Inventory[[#This Row],[living_area_range]],Lookups!$K$28:$M$37,3,FALSE),1)</f>
        <v>0.99022994770196116</v>
      </c>
      <c r="BY1035" s="2">
        <f>AVERAGE(Wapato_Inventory[[#This Row],[qual_adj]:[range_adj]])</f>
        <v>0.94500360190975607</v>
      </c>
      <c r="BZ1035" s="7">
        <f>(Wapato_Inventory[[#This Row],[sum_land]]-IF(Wapato_Inventory[[#This Row],[no_utilities]]=1,12000,0))/IF(Wapato_Inventory[[#This Row],[unbuildable]]=1,2,1)</f>
        <v>53300</v>
      </c>
      <c r="CA1035" s="7">
        <f>Wapato_Inventory[[#This Row],[pre_res]]*Wapato_Inventory[[#This Row],[overall_adj]]</f>
        <v>143104.10600095999</v>
      </c>
      <c r="CB1035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1035" s="3">
        <f>IF(ROUND(Wapato_Inventory[[#This Row],[adj_res]]*Lookups!$H$48,-2)&lt;Wapato_Inventory[[#This Row],[min_res]],Wapato_Inventory[[#This Row],[min_res]],ROUND(Wapato_Inventory[[#This Row],[adj_res]]*Lookups!$H$48,-2))</f>
        <v>135900</v>
      </c>
      <c r="CD1035" s="3">
        <f>ROUND(Wapato_Inventory[[#This Row],[det_value]]*Lookups!$H$48,-2)</f>
        <v>0</v>
      </c>
      <c r="CE1035" s="3">
        <f>Wapato_Inventory[[#This Row],[final_res]]+Wapato_Inventory[[#This Row],[final_det]]</f>
        <v>135900</v>
      </c>
      <c r="CF1035" s="3">
        <f>Wapato_Inventory[[#This Row],[crop_value]]+Wapato_Inventory[[#This Row],[final_land]]+Wapato_Inventory[[#This Row],[final_imp]]</f>
        <v>186500</v>
      </c>
      <c r="CH1035" t="str">
        <f t="shared" si="16"/>
        <v>update valuation set market_land =50600, market_bldg=135900, market_total =186500, market_mdno =405, market_date ='9/10/2023' where link_id = (select link_id from parcel where parcel_year = '2024' and parcel_id = '19111524403');</v>
      </c>
    </row>
    <row r="1036" spans="1:86" x14ac:dyDescent="0.25">
      <c r="A1036">
        <v>19111524404</v>
      </c>
      <c r="B1036">
        <v>0.17</v>
      </c>
      <c r="C1036">
        <v>7512</v>
      </c>
      <c r="D1036" t="s">
        <v>144</v>
      </c>
      <c r="E1036" t="s">
        <v>54</v>
      </c>
      <c r="F1036" t="s">
        <v>54</v>
      </c>
      <c r="G1036">
        <v>3</v>
      </c>
      <c r="H1036" t="s">
        <v>55</v>
      </c>
      <c r="I1036">
        <v>210500</v>
      </c>
      <c r="J1036">
        <v>33200</v>
      </c>
      <c r="K1036">
        <v>0.17</v>
      </c>
      <c r="L1036">
        <f>IF(Wapato_Inventory[[#This Row],[parcel_acres]]-Wapato_Inventory[[#This Row],[non_valued_acres]] =0,0,LN(Wapato_Inventory[[#This Row],[parcel_acres]]-Wapato_Inventory[[#This Row],[non_valued_acres]]))</f>
        <v>-1.7719568419318752</v>
      </c>
      <c r="M1036">
        <v>0</v>
      </c>
      <c r="N1036">
        <v>0</v>
      </c>
      <c r="O1036">
        <v>0</v>
      </c>
      <c r="P1036">
        <v>27904.037</v>
      </c>
      <c r="Q1036">
        <v>74398</v>
      </c>
      <c r="R1036" s="3">
        <f>(Wapato_Inventory[[#This Row],[ln_acres]]*Wapato_Inventory[[#This Row],[coeff]])+Wapato_Inventory[[#This Row],[const]]</f>
        <v>24953.250720329801</v>
      </c>
      <c r="S1036" t="s">
        <v>66</v>
      </c>
      <c r="T1036">
        <v>1</v>
      </c>
      <c r="U1036" t="s">
        <v>75</v>
      </c>
      <c r="V1036" t="s">
        <v>68</v>
      </c>
      <c r="W1036">
        <v>0</v>
      </c>
      <c r="X1036">
        <v>0</v>
      </c>
      <c r="Y1036">
        <v>50</v>
      </c>
      <c r="Z1036">
        <v>74</v>
      </c>
      <c r="AA1036">
        <v>80</v>
      </c>
      <c r="AB1036">
        <v>1000</v>
      </c>
      <c r="AC1036">
        <v>944</v>
      </c>
      <c r="AD1036">
        <v>944</v>
      </c>
      <c r="AE1036">
        <v>0</v>
      </c>
      <c r="AF1036">
        <v>0</v>
      </c>
      <c r="AG1036">
        <v>0</v>
      </c>
      <c r="AH1036">
        <v>0</v>
      </c>
      <c r="AI1036">
        <v>820</v>
      </c>
      <c r="AJ1036">
        <v>0</v>
      </c>
      <c r="AK1036">
        <v>220</v>
      </c>
      <c r="AL1036">
        <v>0</v>
      </c>
      <c r="AM1036">
        <v>220</v>
      </c>
      <c r="AN1036">
        <v>0</v>
      </c>
      <c r="AO1036">
        <v>220</v>
      </c>
      <c r="AP1036">
        <v>5</v>
      </c>
      <c r="AQ1036">
        <v>0</v>
      </c>
      <c r="AR1036">
        <v>0</v>
      </c>
      <c r="AS1036" t="s">
        <v>59</v>
      </c>
      <c r="AT1036">
        <v>1</v>
      </c>
      <c r="AU1036" t="s">
        <v>60</v>
      </c>
      <c r="AV1036" t="s">
        <v>61</v>
      </c>
      <c r="AW1036">
        <v>1</v>
      </c>
      <c r="AX1036">
        <v>2</v>
      </c>
      <c r="AY1036">
        <v>0</v>
      </c>
      <c r="AZ1036">
        <v>0</v>
      </c>
      <c r="BA1036">
        <v>100</v>
      </c>
      <c r="BB1036">
        <v>100</v>
      </c>
      <c r="BC1036">
        <v>100</v>
      </c>
      <c r="BD1036">
        <v>100</v>
      </c>
      <c r="BE1036">
        <v>1</v>
      </c>
      <c r="BF1036">
        <v>15000</v>
      </c>
      <c r="BG1036">
        <v>1000</v>
      </c>
      <c r="BH1036" s="7">
        <f>ROUND(Wapato_Inventory[[#This Row],[detatched_value]]*Lookups!$B$22*Lookups!$H$48,-2)</f>
        <v>0</v>
      </c>
      <c r="BI1036" s="7">
        <f>ROUND(((Wapato_Inventory[[#This Row],[land_extract]]*Lookups!$B$3) +(Lookups!$B$2*0.5))*Lookups!$H$48,-2)</f>
        <v>53500</v>
      </c>
      <c r="BJ1036" s="7">
        <f>IF(Wapato_Inventory[[#This Row],[bldg_style]]="",0,Lookups!$B$2*0.5)</f>
        <v>53765.27</v>
      </c>
      <c r="BK1036" s="7">
        <f>_xlfn.IFNA(VLOOKUP(Wapato_Inventory[[#This Row],[quality]],Lookups!$H$2:$J$14,3,FALSE),0)</f>
        <v>48043</v>
      </c>
      <c r="BL1036" s="7">
        <f>_xlfn.IFNA(VLOOKUP(Wapato_Inventory[[#This Row],[condition]],Lookups!$H$17:$J$24,3,FALSE),0)</f>
        <v>52231</v>
      </c>
      <c r="BM1036" s="7">
        <f>Wapato_Inventory[[#This Row],[Age]]*Lookups!$B$16</f>
        <v>-27430.001800000002</v>
      </c>
      <c r="BN1036" s="7">
        <f>Wapato_Inventory[[#This Row],[Main Floor]]*Lookups!$B$17</f>
        <v>39459.897616000002</v>
      </c>
      <c r="BO1036" s="7">
        <f>Wapato_Inventory[[#This Row],[Upper Floor]]*Lookups!$B$18</f>
        <v>0</v>
      </c>
      <c r="BP1036" s="7">
        <f>Wapato_Inventory[[#This Row],[Fin BSMT]]*Lookups!$B$19</f>
        <v>0</v>
      </c>
      <c r="BQ1036" s="7">
        <f>(Wapato_Inventory[[#This Row],[att_gar]]+Wapato_Inventory[[#This Row],[blt_gar]])*Lookups!$B$20</f>
        <v>30347.176640000001</v>
      </c>
      <c r="BR1036" s="7">
        <f>Wapato_Inventory[[#This Row],[Patio]]*Lookups!$B$21</f>
        <v>9531.275380000001</v>
      </c>
      <c r="BS1036" s="7">
        <f>SUM(Wapato_Inventory[[#This Row],[intercept]:[patio_value]])*Wapato_Inventory[[#This Row],[res_pct]]</f>
        <v>205947.61783599999</v>
      </c>
      <c r="BT1036" s="7">
        <f>Wapato_Inventory[[#This Row],[land_value]]</f>
        <v>53500</v>
      </c>
      <c r="BU1036" s="2">
        <f>_xlfn.IFNA(VLOOKUP(Wapato_Inventory[[#This Row],[quality]],Lookups!$A$28:$C$37,3,FALSE),1)</f>
        <v>0.98196844879778955</v>
      </c>
      <c r="BV1036" s="2">
        <f>_xlfn.IFNA(VLOOKUP(Wapato_Inventory[[#This Row],[condition]],Lookups!$A$41:$C$48,3,FALSE),1)</f>
        <v>0.9832333997567807</v>
      </c>
      <c r="BW1036" s="2">
        <f>IF(Wapato_Inventory[[#This Row],[decade]]="",1,_xlfn.IFNA(VLOOKUP(Wapato_Inventory[[#This Row],[decade]],Lookups!$F$28:$H$45,3,FALSE),1))</f>
        <v>0.8438929209510081</v>
      </c>
      <c r="BX1036" s="2">
        <f>_xlfn.IFNA(VLOOKUP(Wapato_Inventory[[#This Row],[living_area_range]],Lookups!$K$28:$M$37,3,FALSE),1)</f>
        <v>0.99022994770196116</v>
      </c>
      <c r="BY1036" s="2">
        <f>AVERAGE(Wapato_Inventory[[#This Row],[qual_adj]:[range_adj]])</f>
        <v>0.94983117930188488</v>
      </c>
      <c r="BZ1036" s="7">
        <f>(Wapato_Inventory[[#This Row],[sum_land]]-IF(Wapato_Inventory[[#This Row],[no_utilities]]=1,12000,0))/IF(Wapato_Inventory[[#This Row],[unbuildable]]=1,2,1)</f>
        <v>53500</v>
      </c>
      <c r="CA1036" s="7">
        <f>Wapato_Inventory[[#This Row],[pre_res]]*Wapato_Inventory[[#This Row],[overall_adj]]</f>
        <v>195615.46872358178</v>
      </c>
      <c r="CB1036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036" s="3">
        <f>IF(ROUND(Wapato_Inventory[[#This Row],[adj_res]]*Lookups!$H$48,-2)&lt;Wapato_Inventory[[#This Row],[min_res]],Wapato_Inventory[[#This Row],[min_res]],ROUND(Wapato_Inventory[[#This Row],[adj_res]]*Lookups!$H$48,-2))</f>
        <v>185800</v>
      </c>
      <c r="CD1036" s="3">
        <f>ROUND(Wapato_Inventory[[#This Row],[det_value]]*Lookups!$H$48,-2)</f>
        <v>0</v>
      </c>
      <c r="CE1036" s="3">
        <f>Wapato_Inventory[[#This Row],[final_res]]+Wapato_Inventory[[#This Row],[final_det]]</f>
        <v>185800</v>
      </c>
      <c r="CF1036" s="3">
        <f>Wapato_Inventory[[#This Row],[crop_value]]+Wapato_Inventory[[#This Row],[final_land]]+Wapato_Inventory[[#This Row],[final_imp]]</f>
        <v>236600</v>
      </c>
      <c r="CH1036" t="str">
        <f t="shared" si="16"/>
        <v>update valuation set market_land =50800, market_bldg=185800, market_total =236600, market_mdno =405, market_date ='9/10/2023' where link_id = (select link_id from parcel where parcel_year = '2024' and parcel_id = '19111524404');</v>
      </c>
    </row>
    <row r="1037" spans="1:86" x14ac:dyDescent="0.25">
      <c r="A1037">
        <v>19111524405</v>
      </c>
      <c r="B1037">
        <v>0.18</v>
      </c>
      <c r="C1037">
        <v>8003</v>
      </c>
      <c r="D1037" t="s">
        <v>144</v>
      </c>
      <c r="E1037" t="s">
        <v>54</v>
      </c>
      <c r="F1037" t="s">
        <v>54</v>
      </c>
      <c r="G1037">
        <v>3</v>
      </c>
      <c r="H1037" t="s">
        <v>55</v>
      </c>
      <c r="I1037">
        <v>214100</v>
      </c>
      <c r="J1037">
        <v>33700</v>
      </c>
      <c r="K1037">
        <v>0.18</v>
      </c>
      <c r="L1037">
        <f>IF(Wapato_Inventory[[#This Row],[parcel_acres]]-Wapato_Inventory[[#This Row],[non_valued_acres]] =0,0,LN(Wapato_Inventory[[#This Row],[parcel_acres]]-Wapato_Inventory[[#This Row],[non_valued_acres]]))</f>
        <v>-1.7147984280919266</v>
      </c>
      <c r="M1037">
        <v>0</v>
      </c>
      <c r="N1037">
        <v>0</v>
      </c>
      <c r="O1037">
        <v>0</v>
      </c>
      <c r="P1037">
        <v>27904.037</v>
      </c>
      <c r="Q1037">
        <v>74398</v>
      </c>
      <c r="R1037" s="3">
        <f>(Wapato_Inventory[[#This Row],[ln_acres]]*Wapato_Inventory[[#This Row],[coeff]])+Wapato_Inventory[[#This Row],[const]]</f>
        <v>26548.20121498104</v>
      </c>
      <c r="S1037" t="s">
        <v>66</v>
      </c>
      <c r="T1037">
        <v>1</v>
      </c>
      <c r="U1037" t="s">
        <v>67</v>
      </c>
      <c r="V1037" t="s">
        <v>69</v>
      </c>
      <c r="W1037">
        <v>0</v>
      </c>
      <c r="X1037">
        <v>0</v>
      </c>
      <c r="Y1037">
        <v>50</v>
      </c>
      <c r="Z1037">
        <v>74</v>
      </c>
      <c r="AA1037">
        <v>80</v>
      </c>
      <c r="AB1037">
        <v>2000</v>
      </c>
      <c r="AC1037">
        <v>1619</v>
      </c>
      <c r="AD1037">
        <v>1619</v>
      </c>
      <c r="AE1037">
        <v>0</v>
      </c>
      <c r="AF1037">
        <v>0</v>
      </c>
      <c r="AG1037">
        <v>0</v>
      </c>
      <c r="AH1037">
        <v>0</v>
      </c>
      <c r="AI1037">
        <v>0</v>
      </c>
      <c r="AJ1037">
        <v>0</v>
      </c>
      <c r="AK1037">
        <v>143</v>
      </c>
      <c r="AL1037">
        <v>160</v>
      </c>
      <c r="AM1037">
        <v>0</v>
      </c>
      <c r="AN1037">
        <v>0</v>
      </c>
      <c r="AO1037">
        <v>0</v>
      </c>
      <c r="AP1037">
        <v>8</v>
      </c>
      <c r="AQ1037">
        <v>0</v>
      </c>
      <c r="AR1037">
        <v>0</v>
      </c>
      <c r="AS1037" t="s">
        <v>59</v>
      </c>
      <c r="AT1037">
        <v>1</v>
      </c>
      <c r="AU1037" t="s">
        <v>64</v>
      </c>
      <c r="AV1037" t="s">
        <v>65</v>
      </c>
      <c r="AW1037">
        <v>0</v>
      </c>
      <c r="AX1037">
        <v>3</v>
      </c>
      <c r="AY1037">
        <v>0</v>
      </c>
      <c r="AZ1037">
        <v>0</v>
      </c>
      <c r="BA1037">
        <v>100</v>
      </c>
      <c r="BB1037">
        <v>100</v>
      </c>
      <c r="BC1037">
        <v>100</v>
      </c>
      <c r="BD1037">
        <v>100</v>
      </c>
      <c r="BE1037">
        <v>1</v>
      </c>
      <c r="BF1037">
        <v>15000</v>
      </c>
      <c r="BG1037">
        <v>1000</v>
      </c>
      <c r="BH1037" s="7">
        <f>ROUND(Wapato_Inventory[[#This Row],[detatched_value]]*Lookups!$B$22*Lookups!$H$48,-2)</f>
        <v>0</v>
      </c>
      <c r="BI1037" s="7">
        <f>ROUND(((Wapato_Inventory[[#This Row],[land_extract]]*Lookups!$B$3) +(Lookups!$B$2*0.5))*Lookups!$H$48,-2)</f>
        <v>53600</v>
      </c>
      <c r="BJ1037" s="7">
        <f>IF(Wapato_Inventory[[#This Row],[bldg_style]]="",0,Lookups!$B$2*0.5)</f>
        <v>53765.27</v>
      </c>
      <c r="BK1037" s="7">
        <f>_xlfn.IFNA(VLOOKUP(Wapato_Inventory[[#This Row],[quality]],Lookups!$H$2:$J$14,3,FALSE),0)</f>
        <v>50405</v>
      </c>
      <c r="BL1037" s="7">
        <f>_xlfn.IFNA(VLOOKUP(Wapato_Inventory[[#This Row],[condition]],Lookups!$H$17:$J$24,3,FALSE),0)</f>
        <v>74543</v>
      </c>
      <c r="BM1037" s="7">
        <f>Wapato_Inventory[[#This Row],[Age]]*Lookups!$B$16</f>
        <v>-27430.001800000002</v>
      </c>
      <c r="BN1037" s="7">
        <f>Wapato_Inventory[[#This Row],[Main Floor]]*Lookups!$B$17</f>
        <v>67675.396441000004</v>
      </c>
      <c r="BO1037" s="7">
        <f>Wapato_Inventory[[#This Row],[Upper Floor]]*Lookups!$B$18</f>
        <v>0</v>
      </c>
      <c r="BP1037" s="7">
        <f>Wapato_Inventory[[#This Row],[Fin BSMT]]*Lookups!$B$19</f>
        <v>0</v>
      </c>
      <c r="BQ1037" s="7">
        <f>(Wapato_Inventory[[#This Row],[att_gar]]+Wapato_Inventory[[#This Row],[blt_gar]])*Lookups!$B$20</f>
        <v>0</v>
      </c>
      <c r="BR1037" s="7">
        <f>Wapato_Inventory[[#This Row],[Patio]]*Lookups!$B$21</f>
        <v>0</v>
      </c>
      <c r="BS1037" s="7">
        <f>SUM(Wapato_Inventory[[#This Row],[intercept]:[patio_value]])*Wapato_Inventory[[#This Row],[res_pct]]</f>
        <v>218958.66464099998</v>
      </c>
      <c r="BT1037" s="7">
        <f>Wapato_Inventory[[#This Row],[land_value]]</f>
        <v>53600</v>
      </c>
      <c r="BU1037" s="2">
        <f>_xlfn.IFNA(VLOOKUP(Wapato_Inventory[[#This Row],[quality]],Lookups!$A$28:$C$37,3,FALSE),1)</f>
        <v>0.97993206410140754</v>
      </c>
      <c r="BV1037" s="2">
        <f>_xlfn.IFNA(VLOOKUP(Wapato_Inventory[[#This Row],[condition]],Lookups!$A$41:$C$48,3,FALSE),1)</f>
        <v>0.98442438223270734</v>
      </c>
      <c r="BW1037" s="2">
        <f>IF(Wapato_Inventory[[#This Row],[decade]]="",1,_xlfn.IFNA(VLOOKUP(Wapato_Inventory[[#This Row],[decade]],Lookups!$F$28:$H$45,3,FALSE),1))</f>
        <v>0.8438929209510081</v>
      </c>
      <c r="BX1037" s="2">
        <f>_xlfn.IFNA(VLOOKUP(Wapato_Inventory[[#This Row],[living_area_range]],Lookups!$K$28:$M$37,3,FALSE),1)</f>
        <v>0.99330894324714125</v>
      </c>
      <c r="BY1037" s="2">
        <f>AVERAGE(Wapato_Inventory[[#This Row],[qual_adj]:[range_adj]])</f>
        <v>0.95038957763306608</v>
      </c>
      <c r="BZ1037" s="7">
        <f>(Wapato_Inventory[[#This Row],[sum_land]]-IF(Wapato_Inventory[[#This Row],[no_utilities]]=1,12000,0))/IF(Wapato_Inventory[[#This Row],[unbuildable]]=1,2,1)</f>
        <v>53600</v>
      </c>
      <c r="CA1037" s="7">
        <f>Wapato_Inventory[[#This Row],[pre_res]]*Wapato_Inventory[[#This Row],[overall_adj]]</f>
        <v>208096.03280726014</v>
      </c>
      <c r="CB1037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037" s="3">
        <f>IF(ROUND(Wapato_Inventory[[#This Row],[adj_res]]*Lookups!$H$48,-2)&lt;Wapato_Inventory[[#This Row],[min_res]],Wapato_Inventory[[#This Row],[min_res]],ROUND(Wapato_Inventory[[#This Row],[adj_res]]*Lookups!$H$48,-2))</f>
        <v>197700</v>
      </c>
      <c r="CD1037" s="3">
        <f>ROUND(Wapato_Inventory[[#This Row],[det_value]]*Lookups!$H$48,-2)</f>
        <v>0</v>
      </c>
      <c r="CE1037" s="3">
        <f>Wapato_Inventory[[#This Row],[final_res]]+Wapato_Inventory[[#This Row],[final_det]]</f>
        <v>197700</v>
      </c>
      <c r="CF1037" s="3">
        <f>Wapato_Inventory[[#This Row],[crop_value]]+Wapato_Inventory[[#This Row],[final_land]]+Wapato_Inventory[[#This Row],[final_imp]]</f>
        <v>248600</v>
      </c>
      <c r="CH1037" t="str">
        <f t="shared" si="16"/>
        <v>update valuation set market_land =50900, market_bldg=197700, market_total =248600, market_mdno =405, market_date ='9/10/2023' where link_id = (select link_id from parcel where parcel_year = '2024' and parcel_id = '19111524405');</v>
      </c>
    </row>
    <row r="1038" spans="1:86" x14ac:dyDescent="0.25">
      <c r="A1038">
        <v>19111524406</v>
      </c>
      <c r="B1038">
        <v>0.19</v>
      </c>
      <c r="C1038">
        <v>8494</v>
      </c>
      <c r="D1038" t="s">
        <v>144</v>
      </c>
      <c r="E1038" t="s">
        <v>54</v>
      </c>
      <c r="F1038" t="s">
        <v>54</v>
      </c>
      <c r="G1038">
        <v>3</v>
      </c>
      <c r="H1038" t="s">
        <v>55</v>
      </c>
      <c r="I1038">
        <v>175500</v>
      </c>
      <c r="J1038">
        <v>34100</v>
      </c>
      <c r="K1038">
        <v>0.19</v>
      </c>
      <c r="L1038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38">
        <v>0</v>
      </c>
      <c r="N1038">
        <v>0</v>
      </c>
      <c r="O1038">
        <v>0</v>
      </c>
      <c r="P1038">
        <v>27904.037</v>
      </c>
      <c r="Q1038">
        <v>74398</v>
      </c>
      <c r="R1038" s="3">
        <f>(Wapato_Inventory[[#This Row],[ln_acres]]*Wapato_Inventory[[#This Row],[coeff]])+Wapato_Inventory[[#This Row],[const]]</f>
        <v>28056.894957794</v>
      </c>
      <c r="S1038" t="s">
        <v>66</v>
      </c>
      <c r="T1038">
        <v>1</v>
      </c>
      <c r="U1038" t="s">
        <v>71</v>
      </c>
      <c r="V1038" t="s">
        <v>69</v>
      </c>
      <c r="W1038">
        <v>0</v>
      </c>
      <c r="X1038">
        <v>0</v>
      </c>
      <c r="Y1038">
        <v>50</v>
      </c>
      <c r="Z1038">
        <v>74</v>
      </c>
      <c r="AA1038">
        <v>80</v>
      </c>
      <c r="AB1038">
        <v>1500</v>
      </c>
      <c r="AC1038">
        <v>1360</v>
      </c>
      <c r="AD1038">
        <v>1360</v>
      </c>
      <c r="AE1038">
        <v>0</v>
      </c>
      <c r="AF1038">
        <v>0</v>
      </c>
      <c r="AG1038">
        <v>0</v>
      </c>
      <c r="AH1038">
        <v>0</v>
      </c>
      <c r="AI1038">
        <v>0</v>
      </c>
      <c r="AJ1038">
        <v>0</v>
      </c>
      <c r="AK1038">
        <v>0</v>
      </c>
      <c r="AL1038">
        <v>0</v>
      </c>
      <c r="AM1038">
        <v>192</v>
      </c>
      <c r="AN1038">
        <v>0</v>
      </c>
      <c r="AO1038">
        <v>192</v>
      </c>
      <c r="AP1038">
        <v>5</v>
      </c>
      <c r="AQ1038">
        <v>1</v>
      </c>
      <c r="AR1038">
        <v>0</v>
      </c>
      <c r="AS1038" t="s">
        <v>59</v>
      </c>
      <c r="AT1038">
        <v>1</v>
      </c>
      <c r="AU1038" t="s">
        <v>76</v>
      </c>
      <c r="AV1038" t="s">
        <v>61</v>
      </c>
      <c r="AW1038">
        <v>0</v>
      </c>
      <c r="AX1038">
        <v>3</v>
      </c>
      <c r="AY1038">
        <v>0</v>
      </c>
      <c r="AZ1038">
        <v>0</v>
      </c>
      <c r="BA1038">
        <v>100</v>
      </c>
      <c r="BB1038">
        <v>100</v>
      </c>
      <c r="BC1038">
        <v>100</v>
      </c>
      <c r="BD1038">
        <v>100</v>
      </c>
      <c r="BE1038">
        <v>1</v>
      </c>
      <c r="BF1038">
        <v>15000</v>
      </c>
      <c r="BG1038">
        <v>1000</v>
      </c>
      <c r="BH1038" s="7">
        <f>ROUND(Wapato_Inventory[[#This Row],[detatched_value]]*Lookups!$B$22*Lookups!$H$48,-2)</f>
        <v>0</v>
      </c>
      <c r="BI1038" s="7">
        <f>ROUND(((Wapato_Inventory[[#This Row],[land_extract]]*Lookups!$B$3) +(Lookups!$B$2*0.5))*Lookups!$H$48,-2)</f>
        <v>53800</v>
      </c>
      <c r="BJ1038" s="7">
        <f>IF(Wapato_Inventory[[#This Row],[bldg_style]]="",0,Lookups!$B$2*0.5)</f>
        <v>53765.27</v>
      </c>
      <c r="BK1038" s="7">
        <f>_xlfn.IFNA(VLOOKUP(Wapato_Inventory[[#This Row],[quality]],Lookups!$H$2:$J$14,3,FALSE),0)</f>
        <v>28034</v>
      </c>
      <c r="BL1038" s="7">
        <f>_xlfn.IFNA(VLOOKUP(Wapato_Inventory[[#This Row],[condition]],Lookups!$H$17:$J$24,3,FALSE),0)</f>
        <v>74543</v>
      </c>
      <c r="BM1038" s="7">
        <f>Wapato_Inventory[[#This Row],[Age]]*Lookups!$B$16</f>
        <v>-27430.001800000002</v>
      </c>
      <c r="BN1038" s="7">
        <f>Wapato_Inventory[[#This Row],[Main Floor]]*Lookups!$B$17</f>
        <v>56849.005040000004</v>
      </c>
      <c r="BO1038" s="7">
        <f>Wapato_Inventory[[#This Row],[Upper Floor]]*Lookups!$B$18</f>
        <v>0</v>
      </c>
      <c r="BP1038" s="7">
        <f>Wapato_Inventory[[#This Row],[Fin BSMT]]*Lookups!$B$19</f>
        <v>0</v>
      </c>
      <c r="BQ1038" s="7">
        <f>(Wapato_Inventory[[#This Row],[att_gar]]+Wapato_Inventory[[#This Row],[blt_gar]])*Lookups!$B$20</f>
        <v>0</v>
      </c>
      <c r="BR1038" s="7">
        <f>Wapato_Inventory[[#This Row],[Patio]]*Lookups!$B$21</f>
        <v>8318.2039679999998</v>
      </c>
      <c r="BS1038" s="7">
        <f>SUM(Wapato_Inventory[[#This Row],[intercept]:[patio_value]])*Wapato_Inventory[[#This Row],[res_pct]]</f>
        <v>194079.477208</v>
      </c>
      <c r="BT1038" s="7">
        <f>Wapato_Inventory[[#This Row],[land_value]]</f>
        <v>53800</v>
      </c>
      <c r="BU1038" s="2">
        <f>_xlfn.IFNA(VLOOKUP(Wapato_Inventory[[#This Row],[quality]],Lookups!$A$28:$C$37,3,FALSE),1)</f>
        <v>0.96265813922927435</v>
      </c>
      <c r="BV1038" s="2">
        <f>_xlfn.IFNA(VLOOKUP(Wapato_Inventory[[#This Row],[condition]],Lookups!$A$41:$C$48,3,FALSE),1)</f>
        <v>0.98442438223270734</v>
      </c>
      <c r="BW1038" s="2">
        <f>IF(Wapato_Inventory[[#This Row],[decade]]="",1,_xlfn.IFNA(VLOOKUP(Wapato_Inventory[[#This Row],[decade]],Lookups!$F$28:$H$45,3,FALSE),1))</f>
        <v>0.8438929209510081</v>
      </c>
      <c r="BX1038" s="2">
        <f>_xlfn.IFNA(VLOOKUP(Wapato_Inventory[[#This Row],[living_area_range]],Lookups!$K$28:$M$37,3,FALSE),1)</f>
        <v>1.0061411172456287</v>
      </c>
      <c r="BY1038" s="2">
        <f>AVERAGE(Wapato_Inventory[[#This Row],[qual_adj]:[range_adj]])</f>
        <v>0.94927913991465462</v>
      </c>
      <c r="BZ1038" s="7">
        <f>(Wapato_Inventory[[#This Row],[sum_land]]-IF(Wapato_Inventory[[#This Row],[no_utilities]]=1,12000,0))/IF(Wapato_Inventory[[#This Row],[unbuildable]]=1,2,1)</f>
        <v>53800</v>
      </c>
      <c r="CA1038" s="7">
        <f>Wapato_Inventory[[#This Row],[pre_res]]*Wapato_Inventory[[#This Row],[overall_adj]]</f>
        <v>184235.59919909606</v>
      </c>
      <c r="CB1038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38" s="3">
        <f>IF(ROUND(Wapato_Inventory[[#This Row],[adj_res]]*Lookups!$H$48,-2)&lt;Wapato_Inventory[[#This Row],[min_res]],Wapato_Inventory[[#This Row],[min_res]],ROUND(Wapato_Inventory[[#This Row],[adj_res]]*Lookups!$H$48,-2))</f>
        <v>175000</v>
      </c>
      <c r="CD1038" s="3">
        <f>ROUND(Wapato_Inventory[[#This Row],[det_value]]*Lookups!$H$48,-2)</f>
        <v>0</v>
      </c>
      <c r="CE1038" s="3">
        <f>Wapato_Inventory[[#This Row],[final_res]]+Wapato_Inventory[[#This Row],[final_det]]</f>
        <v>175000</v>
      </c>
      <c r="CF1038" s="3">
        <f>Wapato_Inventory[[#This Row],[crop_value]]+Wapato_Inventory[[#This Row],[final_land]]+Wapato_Inventory[[#This Row],[final_imp]]</f>
        <v>226100</v>
      </c>
      <c r="CH1038" t="str">
        <f t="shared" si="16"/>
        <v>update valuation set market_land =51100, market_bldg=175000, market_total =226100, market_mdno =405, market_date ='9/10/2023' where link_id = (select link_id from parcel where parcel_year = '2024' and parcel_id = '19111524406');</v>
      </c>
    </row>
    <row r="1039" spans="1:86" x14ac:dyDescent="0.25">
      <c r="A1039">
        <v>19111524407</v>
      </c>
      <c r="B1039">
        <v>0.21</v>
      </c>
      <c r="C1039">
        <v>8985</v>
      </c>
      <c r="D1039" t="s">
        <v>144</v>
      </c>
      <c r="E1039" t="s">
        <v>54</v>
      </c>
      <c r="F1039" t="s">
        <v>54</v>
      </c>
      <c r="G1039">
        <v>3</v>
      </c>
      <c r="H1039" t="s">
        <v>55</v>
      </c>
      <c r="I1039">
        <v>177800</v>
      </c>
      <c r="J1039">
        <v>34800</v>
      </c>
      <c r="K1039">
        <v>0.21</v>
      </c>
      <c r="L1039">
        <f>IF(Wapato_Inventory[[#This Row],[parcel_acres]]-Wapato_Inventory[[#This Row],[non_valued_acres]] =0,0,LN(Wapato_Inventory[[#This Row],[parcel_acres]]-Wapato_Inventory[[#This Row],[non_valued_acres]]))</f>
        <v>-1.5606477482646683</v>
      </c>
      <c r="M1039">
        <v>0</v>
      </c>
      <c r="N1039">
        <v>0</v>
      </c>
      <c r="O1039">
        <v>0</v>
      </c>
      <c r="P1039">
        <v>27904.037</v>
      </c>
      <c r="Q1039">
        <v>74398</v>
      </c>
      <c r="R1039" s="3">
        <f>(Wapato_Inventory[[#This Row],[ln_acres]]*Wapato_Inventory[[#This Row],[coeff]])+Wapato_Inventory[[#This Row],[const]]</f>
        <v>30849.627488456012</v>
      </c>
      <c r="S1039" t="s">
        <v>66</v>
      </c>
      <c r="T1039">
        <v>1</v>
      </c>
      <c r="U1039" t="s">
        <v>67</v>
      </c>
      <c r="V1039" t="s">
        <v>68</v>
      </c>
      <c r="W1039">
        <v>0</v>
      </c>
      <c r="X1039">
        <v>0</v>
      </c>
      <c r="Y1039">
        <v>50</v>
      </c>
      <c r="Z1039">
        <v>74</v>
      </c>
      <c r="AA1039">
        <v>80</v>
      </c>
      <c r="AB1039">
        <v>2000</v>
      </c>
      <c r="AC1039">
        <v>1688</v>
      </c>
      <c r="AD1039">
        <v>1688</v>
      </c>
      <c r="AE1039">
        <v>0</v>
      </c>
      <c r="AF1039">
        <v>0</v>
      </c>
      <c r="AG1039">
        <v>0</v>
      </c>
      <c r="AH1039">
        <v>0</v>
      </c>
      <c r="AI1039">
        <v>0</v>
      </c>
      <c r="AJ1039">
        <v>0</v>
      </c>
      <c r="AK1039">
        <v>466</v>
      </c>
      <c r="AL1039">
        <v>0</v>
      </c>
      <c r="AM1039">
        <v>298</v>
      </c>
      <c r="AN1039">
        <v>0</v>
      </c>
      <c r="AO1039">
        <v>108</v>
      </c>
      <c r="AP1039">
        <v>8</v>
      </c>
      <c r="AQ1039">
        <v>0</v>
      </c>
      <c r="AR1039">
        <v>0</v>
      </c>
      <c r="AS1039" t="s">
        <v>59</v>
      </c>
      <c r="AT1039">
        <v>1</v>
      </c>
      <c r="AU1039" t="s">
        <v>72</v>
      </c>
      <c r="AV1039" t="s">
        <v>61</v>
      </c>
      <c r="AW1039">
        <v>0</v>
      </c>
      <c r="AX1039">
        <v>3</v>
      </c>
      <c r="AY1039">
        <v>0</v>
      </c>
      <c r="AZ1039">
        <v>0</v>
      </c>
      <c r="BA1039">
        <v>100</v>
      </c>
      <c r="BB1039">
        <v>100</v>
      </c>
      <c r="BC1039">
        <v>100</v>
      </c>
      <c r="BD1039">
        <v>100</v>
      </c>
      <c r="BE1039">
        <v>1</v>
      </c>
      <c r="BF1039">
        <v>15000</v>
      </c>
      <c r="BG1039">
        <v>1000</v>
      </c>
      <c r="BH1039" s="7">
        <f>ROUND(Wapato_Inventory[[#This Row],[detatched_value]]*Lookups!$B$22*Lookups!$H$48,-2)</f>
        <v>0</v>
      </c>
      <c r="BI1039" s="7">
        <f>ROUND(((Wapato_Inventory[[#This Row],[land_extract]]*Lookups!$B$3) +(Lookups!$B$2*0.5))*Lookups!$H$48,-2)</f>
        <v>54100</v>
      </c>
      <c r="BJ1039" s="7">
        <f>IF(Wapato_Inventory[[#This Row],[bldg_style]]="",0,Lookups!$B$2*0.5)</f>
        <v>53765.27</v>
      </c>
      <c r="BK1039" s="7">
        <f>_xlfn.IFNA(VLOOKUP(Wapato_Inventory[[#This Row],[quality]],Lookups!$H$2:$J$14,3,FALSE),0)</f>
        <v>50405</v>
      </c>
      <c r="BL1039" s="7">
        <f>_xlfn.IFNA(VLOOKUP(Wapato_Inventory[[#This Row],[condition]],Lookups!$H$17:$J$24,3,FALSE),0)</f>
        <v>52231</v>
      </c>
      <c r="BM1039" s="7">
        <f>Wapato_Inventory[[#This Row],[Age]]*Lookups!$B$16</f>
        <v>-27430.001800000002</v>
      </c>
      <c r="BN1039" s="7">
        <f>Wapato_Inventory[[#This Row],[Main Floor]]*Lookups!$B$17</f>
        <v>70559.647431999998</v>
      </c>
      <c r="BO1039" s="7">
        <f>Wapato_Inventory[[#This Row],[Upper Floor]]*Lookups!$B$18</f>
        <v>0</v>
      </c>
      <c r="BP1039" s="7">
        <f>Wapato_Inventory[[#This Row],[Fin BSMT]]*Lookups!$B$19</f>
        <v>0</v>
      </c>
      <c r="BQ1039" s="7">
        <f>(Wapato_Inventory[[#This Row],[att_gar]]+Wapato_Inventory[[#This Row],[blt_gar]])*Lookups!$B$20</f>
        <v>0</v>
      </c>
      <c r="BR1039" s="7">
        <f>Wapato_Inventory[[#This Row],[Patio]]*Lookups!$B$21</f>
        <v>12910.545742</v>
      </c>
      <c r="BS1039" s="7">
        <f>SUM(Wapato_Inventory[[#This Row],[intercept]:[patio_value]])*Wapato_Inventory[[#This Row],[res_pct]]</f>
        <v>212441.46137399998</v>
      </c>
      <c r="BT1039" s="7">
        <f>Wapato_Inventory[[#This Row],[land_value]]</f>
        <v>54100</v>
      </c>
      <c r="BU1039" s="2">
        <f>_xlfn.IFNA(VLOOKUP(Wapato_Inventory[[#This Row],[quality]],Lookups!$A$28:$C$37,3,FALSE),1)</f>
        <v>0.97993206410140754</v>
      </c>
      <c r="BV1039" s="2">
        <f>_xlfn.IFNA(VLOOKUP(Wapato_Inventory[[#This Row],[condition]],Lookups!$A$41:$C$48,3,FALSE),1)</f>
        <v>0.9832333997567807</v>
      </c>
      <c r="BW1039" s="2">
        <f>IF(Wapato_Inventory[[#This Row],[decade]]="",1,_xlfn.IFNA(VLOOKUP(Wapato_Inventory[[#This Row],[decade]],Lookups!$F$28:$H$45,3,FALSE),1))</f>
        <v>0.8438929209510081</v>
      </c>
      <c r="BX1039" s="2">
        <f>_xlfn.IFNA(VLOOKUP(Wapato_Inventory[[#This Row],[living_area_range]],Lookups!$K$28:$M$37,3,FALSE),1)</f>
        <v>0.99330894324714125</v>
      </c>
      <c r="BY1039" s="2">
        <f>AVERAGE(Wapato_Inventory[[#This Row],[qual_adj]:[range_adj]])</f>
        <v>0.95009183201408443</v>
      </c>
      <c r="BZ1039" s="7">
        <f>(Wapato_Inventory[[#This Row],[sum_land]]-IF(Wapato_Inventory[[#This Row],[no_utilities]]=1,12000,0))/IF(Wapato_Inventory[[#This Row],[unbuildable]]=1,2,1)</f>
        <v>54100</v>
      </c>
      <c r="CA1039" s="7">
        <f>Wapato_Inventory[[#This Row],[pre_res]]*Wapato_Inventory[[#This Row],[overall_adj]]</f>
        <v>201838.89723257298</v>
      </c>
      <c r="CB1039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039" s="3">
        <f>IF(ROUND(Wapato_Inventory[[#This Row],[adj_res]]*Lookups!$H$48,-2)&lt;Wapato_Inventory[[#This Row],[min_res]],Wapato_Inventory[[#This Row],[min_res]],ROUND(Wapato_Inventory[[#This Row],[adj_res]]*Lookups!$H$48,-2))</f>
        <v>191700</v>
      </c>
      <c r="CD1039" s="3">
        <f>ROUND(Wapato_Inventory[[#This Row],[det_value]]*Lookups!$H$48,-2)</f>
        <v>0</v>
      </c>
      <c r="CE1039" s="3">
        <f>Wapato_Inventory[[#This Row],[final_res]]+Wapato_Inventory[[#This Row],[final_det]]</f>
        <v>191700</v>
      </c>
      <c r="CF1039" s="3">
        <f>Wapato_Inventory[[#This Row],[crop_value]]+Wapato_Inventory[[#This Row],[final_land]]+Wapato_Inventory[[#This Row],[final_imp]]</f>
        <v>243100</v>
      </c>
      <c r="CH1039" t="str">
        <f t="shared" si="16"/>
        <v>update valuation set market_land =51400, market_bldg=191700, market_total =243100, market_mdno =405, market_date ='9/10/2023' where link_id = (select link_id from parcel where parcel_year = '2024' and parcel_id = '19111524407');</v>
      </c>
    </row>
    <row r="1040" spans="1:86" x14ac:dyDescent="0.25">
      <c r="A1040">
        <v>19111524408</v>
      </c>
      <c r="B1040">
        <v>0.18</v>
      </c>
      <c r="C1040">
        <v>7986</v>
      </c>
      <c r="D1040" t="s">
        <v>144</v>
      </c>
      <c r="E1040" t="s">
        <v>54</v>
      </c>
      <c r="F1040" t="s">
        <v>54</v>
      </c>
      <c r="G1040">
        <v>3</v>
      </c>
      <c r="H1040" t="s">
        <v>55</v>
      </c>
      <c r="I1040">
        <v>148700</v>
      </c>
      <c r="J1040">
        <v>33700</v>
      </c>
      <c r="K1040">
        <v>0.18</v>
      </c>
      <c r="L1040">
        <f>IF(Wapato_Inventory[[#This Row],[parcel_acres]]-Wapato_Inventory[[#This Row],[non_valued_acres]] =0,0,LN(Wapato_Inventory[[#This Row],[parcel_acres]]-Wapato_Inventory[[#This Row],[non_valued_acres]]))</f>
        <v>-1.7147984280919266</v>
      </c>
      <c r="M1040">
        <v>0</v>
      </c>
      <c r="N1040">
        <v>0</v>
      </c>
      <c r="O1040">
        <v>0</v>
      </c>
      <c r="P1040">
        <v>27904.037</v>
      </c>
      <c r="Q1040">
        <v>74398</v>
      </c>
      <c r="R1040" s="3">
        <f>(Wapato_Inventory[[#This Row],[ln_acres]]*Wapato_Inventory[[#This Row],[coeff]])+Wapato_Inventory[[#This Row],[const]]</f>
        <v>26548.20121498104</v>
      </c>
      <c r="S1040" t="s">
        <v>66</v>
      </c>
      <c r="T1040">
        <v>1</v>
      </c>
      <c r="U1040" t="s">
        <v>75</v>
      </c>
      <c r="V1040" t="s">
        <v>68</v>
      </c>
      <c r="W1040">
        <v>0</v>
      </c>
      <c r="X1040">
        <v>0</v>
      </c>
      <c r="Y1040">
        <v>50</v>
      </c>
      <c r="Z1040">
        <v>74</v>
      </c>
      <c r="AA1040">
        <v>80</v>
      </c>
      <c r="AB1040">
        <v>1500</v>
      </c>
      <c r="AC1040">
        <v>1172</v>
      </c>
      <c r="AD1040">
        <v>1172</v>
      </c>
      <c r="AE1040">
        <v>0</v>
      </c>
      <c r="AF1040">
        <v>0</v>
      </c>
      <c r="AG1040">
        <v>0</v>
      </c>
      <c r="AH1040">
        <v>0</v>
      </c>
      <c r="AI1040">
        <v>0</v>
      </c>
      <c r="AJ1040">
        <v>0</v>
      </c>
      <c r="AK1040">
        <v>410</v>
      </c>
      <c r="AL1040">
        <v>0</v>
      </c>
      <c r="AM1040">
        <v>770</v>
      </c>
      <c r="AN1040">
        <v>360</v>
      </c>
      <c r="AO1040">
        <v>770</v>
      </c>
      <c r="AP1040">
        <v>5</v>
      </c>
      <c r="AQ1040">
        <v>0</v>
      </c>
      <c r="AR1040">
        <v>0</v>
      </c>
      <c r="AS1040" t="s">
        <v>59</v>
      </c>
      <c r="AT1040">
        <v>1</v>
      </c>
      <c r="AU1040" t="s">
        <v>76</v>
      </c>
      <c r="AV1040" t="s">
        <v>61</v>
      </c>
      <c r="AW1040">
        <v>0</v>
      </c>
      <c r="AX1040">
        <v>3</v>
      </c>
      <c r="AY1040">
        <v>0</v>
      </c>
      <c r="AZ1040">
        <v>0</v>
      </c>
      <c r="BA1040">
        <v>100</v>
      </c>
      <c r="BB1040">
        <v>100</v>
      </c>
      <c r="BC1040">
        <v>100</v>
      </c>
      <c r="BD1040">
        <v>100</v>
      </c>
      <c r="BE1040">
        <v>1</v>
      </c>
      <c r="BF1040">
        <v>15000</v>
      </c>
      <c r="BG1040">
        <v>1000</v>
      </c>
      <c r="BH1040" s="7">
        <f>ROUND(Wapato_Inventory[[#This Row],[detatched_value]]*Lookups!$B$22*Lookups!$H$48,-2)</f>
        <v>0</v>
      </c>
      <c r="BI1040" s="7">
        <f>ROUND(((Wapato_Inventory[[#This Row],[land_extract]]*Lookups!$B$3) +(Lookups!$B$2*0.5))*Lookups!$H$48,-2)</f>
        <v>53600</v>
      </c>
      <c r="BJ1040" s="7">
        <f>IF(Wapato_Inventory[[#This Row],[bldg_style]]="",0,Lookups!$B$2*0.5)</f>
        <v>53765.27</v>
      </c>
      <c r="BK1040" s="7">
        <f>_xlfn.IFNA(VLOOKUP(Wapato_Inventory[[#This Row],[quality]],Lookups!$H$2:$J$14,3,FALSE),0)</f>
        <v>48043</v>
      </c>
      <c r="BL1040" s="7">
        <f>_xlfn.IFNA(VLOOKUP(Wapato_Inventory[[#This Row],[condition]],Lookups!$H$17:$J$24,3,FALSE),0)</f>
        <v>52231</v>
      </c>
      <c r="BM1040" s="7">
        <f>Wapato_Inventory[[#This Row],[Age]]*Lookups!$B$16</f>
        <v>-27430.001800000002</v>
      </c>
      <c r="BN1040" s="7">
        <f>Wapato_Inventory[[#This Row],[Main Floor]]*Lookups!$B$17</f>
        <v>48990.466108000001</v>
      </c>
      <c r="BO1040" s="7">
        <f>Wapato_Inventory[[#This Row],[Upper Floor]]*Lookups!$B$18</f>
        <v>0</v>
      </c>
      <c r="BP1040" s="7">
        <f>Wapato_Inventory[[#This Row],[Fin BSMT]]*Lookups!$B$19</f>
        <v>0</v>
      </c>
      <c r="BQ1040" s="7">
        <f>(Wapato_Inventory[[#This Row],[att_gar]]+Wapato_Inventory[[#This Row],[blt_gar]])*Lookups!$B$20</f>
        <v>0</v>
      </c>
      <c r="BR1040" s="7">
        <f>Wapato_Inventory[[#This Row],[Patio]]*Lookups!$B$21</f>
        <v>33359.463830000001</v>
      </c>
      <c r="BS1040" s="7">
        <f>SUM(Wapato_Inventory[[#This Row],[intercept]:[patio_value]])*Wapato_Inventory[[#This Row],[res_pct]]</f>
        <v>208959.19813799998</v>
      </c>
      <c r="BT1040" s="7">
        <f>Wapato_Inventory[[#This Row],[land_value]]</f>
        <v>53600</v>
      </c>
      <c r="BU1040" s="2">
        <f>_xlfn.IFNA(VLOOKUP(Wapato_Inventory[[#This Row],[quality]],Lookups!$A$28:$C$37,3,FALSE),1)</f>
        <v>0.98196844879778955</v>
      </c>
      <c r="BV1040" s="2">
        <f>_xlfn.IFNA(VLOOKUP(Wapato_Inventory[[#This Row],[condition]],Lookups!$A$41:$C$48,3,FALSE),1)</f>
        <v>0.9832333997567807</v>
      </c>
      <c r="BW1040" s="2">
        <f>IF(Wapato_Inventory[[#This Row],[decade]]="",1,_xlfn.IFNA(VLOOKUP(Wapato_Inventory[[#This Row],[decade]],Lookups!$F$28:$H$45,3,FALSE),1))</f>
        <v>0.8438929209510081</v>
      </c>
      <c r="BX1040" s="2">
        <f>_xlfn.IFNA(VLOOKUP(Wapato_Inventory[[#This Row],[living_area_range]],Lookups!$K$28:$M$37,3,FALSE),1)</f>
        <v>1.0061411172456287</v>
      </c>
      <c r="BY1040" s="2">
        <f>AVERAGE(Wapato_Inventory[[#This Row],[qual_adj]:[range_adj]])</f>
        <v>0.95380897168780177</v>
      </c>
      <c r="BZ1040" s="7">
        <f>(Wapato_Inventory[[#This Row],[sum_land]]-IF(Wapato_Inventory[[#This Row],[no_utilities]]=1,12000,0))/IF(Wapato_Inventory[[#This Row],[unbuildable]]=1,2,1)</f>
        <v>53600</v>
      </c>
      <c r="CA1040" s="7">
        <f>Wapato_Inventory[[#This Row],[pre_res]]*Wapato_Inventory[[#This Row],[overall_adj]]</f>
        <v>199307.15790071338</v>
      </c>
      <c r="CB1040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040" s="3">
        <f>IF(ROUND(Wapato_Inventory[[#This Row],[adj_res]]*Lookups!$H$48,-2)&lt;Wapato_Inventory[[#This Row],[min_res]],Wapato_Inventory[[#This Row],[min_res]],ROUND(Wapato_Inventory[[#This Row],[adj_res]]*Lookups!$H$48,-2))</f>
        <v>189300</v>
      </c>
      <c r="CD1040" s="3">
        <f>ROUND(Wapato_Inventory[[#This Row],[det_value]]*Lookups!$H$48,-2)</f>
        <v>0</v>
      </c>
      <c r="CE1040" s="3">
        <f>Wapato_Inventory[[#This Row],[final_res]]+Wapato_Inventory[[#This Row],[final_det]]</f>
        <v>189300</v>
      </c>
      <c r="CF1040" s="3">
        <f>Wapato_Inventory[[#This Row],[crop_value]]+Wapato_Inventory[[#This Row],[final_land]]+Wapato_Inventory[[#This Row],[final_imp]]</f>
        <v>240200</v>
      </c>
      <c r="CH1040" t="str">
        <f t="shared" si="16"/>
        <v>update valuation set market_land =50900, market_bldg=189300, market_total =240200, market_mdno =405, market_date ='9/10/2023' where link_id = (select link_id from parcel where parcel_year = '2024' and parcel_id = '19111524408');</v>
      </c>
    </row>
    <row r="1041" spans="1:86" x14ac:dyDescent="0.25">
      <c r="A1041">
        <v>19111524409</v>
      </c>
      <c r="B1041">
        <v>0.19</v>
      </c>
      <c r="C1041">
        <v>8071</v>
      </c>
      <c r="D1041" t="s">
        <v>144</v>
      </c>
      <c r="E1041" t="s">
        <v>54</v>
      </c>
      <c r="F1041" t="s">
        <v>54</v>
      </c>
      <c r="G1041">
        <v>3</v>
      </c>
      <c r="H1041" t="s">
        <v>55</v>
      </c>
      <c r="I1041">
        <v>195600</v>
      </c>
      <c r="J1041">
        <v>34100</v>
      </c>
      <c r="K1041">
        <v>0.19</v>
      </c>
      <c r="L1041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41">
        <v>0</v>
      </c>
      <c r="N1041">
        <v>0</v>
      </c>
      <c r="O1041">
        <v>0</v>
      </c>
      <c r="P1041">
        <v>27904.037</v>
      </c>
      <c r="Q1041">
        <v>74398</v>
      </c>
      <c r="R1041" s="3">
        <f>(Wapato_Inventory[[#This Row],[ln_acres]]*Wapato_Inventory[[#This Row],[coeff]])+Wapato_Inventory[[#This Row],[const]]</f>
        <v>28056.894957794</v>
      </c>
      <c r="S1041" t="s">
        <v>66</v>
      </c>
      <c r="T1041">
        <v>1</v>
      </c>
      <c r="U1041" t="s">
        <v>75</v>
      </c>
      <c r="V1041" t="s">
        <v>69</v>
      </c>
      <c r="W1041">
        <v>0</v>
      </c>
      <c r="X1041">
        <v>0</v>
      </c>
      <c r="Y1041">
        <v>50</v>
      </c>
      <c r="Z1041">
        <v>74</v>
      </c>
      <c r="AA1041">
        <v>80</v>
      </c>
      <c r="AB1041">
        <v>1500</v>
      </c>
      <c r="AC1041">
        <v>1028</v>
      </c>
      <c r="AD1041">
        <v>1028</v>
      </c>
      <c r="AE1041">
        <v>0</v>
      </c>
      <c r="AF1041">
        <v>0</v>
      </c>
      <c r="AG1041">
        <v>0</v>
      </c>
      <c r="AH1041">
        <v>0</v>
      </c>
      <c r="AI1041">
        <v>0</v>
      </c>
      <c r="AJ1041">
        <v>0</v>
      </c>
      <c r="AK1041">
        <v>720</v>
      </c>
      <c r="AL1041">
        <v>0</v>
      </c>
      <c r="AM1041">
        <v>0</v>
      </c>
      <c r="AN1041">
        <v>0</v>
      </c>
      <c r="AO1041">
        <v>0</v>
      </c>
      <c r="AP1041">
        <v>5</v>
      </c>
      <c r="AQ1041">
        <v>0</v>
      </c>
      <c r="AR1041">
        <v>1</v>
      </c>
      <c r="AS1041" t="s">
        <v>59</v>
      </c>
      <c r="AT1041">
        <v>1</v>
      </c>
      <c r="AU1041" t="s">
        <v>72</v>
      </c>
      <c r="AV1041" t="s">
        <v>61</v>
      </c>
      <c r="AW1041">
        <v>0</v>
      </c>
      <c r="AX1041">
        <v>3</v>
      </c>
      <c r="AY1041">
        <v>0</v>
      </c>
      <c r="AZ1041">
        <v>5200</v>
      </c>
      <c r="BA1041">
        <v>100</v>
      </c>
      <c r="BB1041">
        <v>100</v>
      </c>
      <c r="BC1041">
        <v>100</v>
      </c>
      <c r="BD1041">
        <v>100</v>
      </c>
      <c r="BE1041">
        <v>1</v>
      </c>
      <c r="BF1041">
        <v>15000</v>
      </c>
      <c r="BG1041">
        <v>1000</v>
      </c>
      <c r="BH1041" s="7">
        <f>ROUND(Wapato_Inventory[[#This Row],[detatched_value]]*Lookups!$B$22*Lookups!$H$48,-2)</f>
        <v>4600</v>
      </c>
      <c r="BI1041" s="7">
        <f>ROUND(((Wapato_Inventory[[#This Row],[land_extract]]*Lookups!$B$3) +(Lookups!$B$2*0.5))*Lookups!$H$48,-2)</f>
        <v>53800</v>
      </c>
      <c r="BJ1041" s="7">
        <f>IF(Wapato_Inventory[[#This Row],[bldg_style]]="",0,Lookups!$B$2*0.5)</f>
        <v>53765.27</v>
      </c>
      <c r="BK1041" s="7">
        <f>_xlfn.IFNA(VLOOKUP(Wapato_Inventory[[#This Row],[quality]],Lookups!$H$2:$J$14,3,FALSE),0)</f>
        <v>48043</v>
      </c>
      <c r="BL1041" s="7">
        <f>_xlfn.IFNA(VLOOKUP(Wapato_Inventory[[#This Row],[condition]],Lookups!$H$17:$J$24,3,FALSE),0)</f>
        <v>74543</v>
      </c>
      <c r="BM1041" s="7">
        <f>Wapato_Inventory[[#This Row],[Age]]*Lookups!$B$16</f>
        <v>-27430.001800000002</v>
      </c>
      <c r="BN1041" s="7">
        <f>Wapato_Inventory[[#This Row],[Main Floor]]*Lookups!$B$17</f>
        <v>42971.159692000001</v>
      </c>
      <c r="BO1041" s="7">
        <f>Wapato_Inventory[[#This Row],[Upper Floor]]*Lookups!$B$18</f>
        <v>0</v>
      </c>
      <c r="BP1041" s="7">
        <f>Wapato_Inventory[[#This Row],[Fin BSMT]]*Lookups!$B$19</f>
        <v>0</v>
      </c>
      <c r="BQ1041" s="7">
        <f>(Wapato_Inventory[[#This Row],[att_gar]]+Wapato_Inventory[[#This Row],[blt_gar]])*Lookups!$B$20</f>
        <v>0</v>
      </c>
      <c r="BR1041" s="7">
        <f>Wapato_Inventory[[#This Row],[Patio]]*Lookups!$B$21</f>
        <v>0</v>
      </c>
      <c r="BS1041" s="7">
        <f>SUM(Wapato_Inventory[[#This Row],[intercept]:[patio_value]])*Wapato_Inventory[[#This Row],[res_pct]]</f>
        <v>191892.42789200001</v>
      </c>
      <c r="BT1041" s="7">
        <f>Wapato_Inventory[[#This Row],[land_value]]</f>
        <v>53800</v>
      </c>
      <c r="BU1041" s="2">
        <f>_xlfn.IFNA(VLOOKUP(Wapato_Inventory[[#This Row],[quality]],Lookups!$A$28:$C$37,3,FALSE),1)</f>
        <v>0.98196844879778955</v>
      </c>
      <c r="BV1041" s="2">
        <f>_xlfn.IFNA(VLOOKUP(Wapato_Inventory[[#This Row],[condition]],Lookups!$A$41:$C$48,3,FALSE),1)</f>
        <v>0.98442438223270734</v>
      </c>
      <c r="BW1041" s="2">
        <f>IF(Wapato_Inventory[[#This Row],[decade]]="",1,_xlfn.IFNA(VLOOKUP(Wapato_Inventory[[#This Row],[decade]],Lookups!$F$28:$H$45,3,FALSE),1))</f>
        <v>0.8438929209510081</v>
      </c>
      <c r="BX1041" s="2">
        <f>_xlfn.IFNA(VLOOKUP(Wapato_Inventory[[#This Row],[living_area_range]],Lookups!$K$28:$M$37,3,FALSE),1)</f>
        <v>1.0061411172456287</v>
      </c>
      <c r="BY1041" s="2">
        <f>AVERAGE(Wapato_Inventory[[#This Row],[qual_adj]:[range_adj]])</f>
        <v>0.95410671730678343</v>
      </c>
      <c r="BZ1041" s="7">
        <f>(Wapato_Inventory[[#This Row],[sum_land]]-IF(Wapato_Inventory[[#This Row],[no_utilities]]=1,12000,0))/IF(Wapato_Inventory[[#This Row],[unbuildable]]=1,2,1)</f>
        <v>53800</v>
      </c>
      <c r="CA1041" s="7">
        <f>Wapato_Inventory[[#This Row],[pre_res]]*Wapato_Inventory[[#This Row],[overall_adj]]</f>
        <v>183085.85445206478</v>
      </c>
      <c r="CB1041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41" s="3">
        <f>IF(ROUND(Wapato_Inventory[[#This Row],[adj_res]]*Lookups!$H$48,-2)&lt;Wapato_Inventory[[#This Row],[min_res]],Wapato_Inventory[[#This Row],[min_res]],ROUND(Wapato_Inventory[[#This Row],[adj_res]]*Lookups!$H$48,-2))</f>
        <v>173900</v>
      </c>
      <c r="CD1041" s="3">
        <f>ROUND(Wapato_Inventory[[#This Row],[det_value]]*Lookups!$H$48,-2)</f>
        <v>4400</v>
      </c>
      <c r="CE1041" s="3">
        <f>Wapato_Inventory[[#This Row],[final_res]]+Wapato_Inventory[[#This Row],[final_det]]</f>
        <v>178300</v>
      </c>
      <c r="CF1041" s="3">
        <f>Wapato_Inventory[[#This Row],[crop_value]]+Wapato_Inventory[[#This Row],[final_land]]+Wapato_Inventory[[#This Row],[final_imp]]</f>
        <v>229400</v>
      </c>
      <c r="CH1041" t="str">
        <f t="shared" si="16"/>
        <v>update valuation set market_land =51100, market_bldg=178300, market_total =229400, market_mdno =405, market_date ='9/10/2023' where link_id = (select link_id from parcel where parcel_year = '2024' and parcel_id = '19111524409');</v>
      </c>
    </row>
    <row r="1042" spans="1:86" x14ac:dyDescent="0.25">
      <c r="A1042">
        <v>19111524410</v>
      </c>
      <c r="B1042">
        <v>0.15</v>
      </c>
      <c r="C1042">
        <v>6431</v>
      </c>
      <c r="D1042" t="s">
        <v>144</v>
      </c>
      <c r="E1042" t="s">
        <v>54</v>
      </c>
      <c r="F1042" t="s">
        <v>54</v>
      </c>
      <c r="G1042">
        <v>3</v>
      </c>
      <c r="H1042" t="s">
        <v>55</v>
      </c>
      <c r="I1042">
        <v>108300</v>
      </c>
      <c r="J1042">
        <v>32300</v>
      </c>
      <c r="K1042">
        <v>0.15</v>
      </c>
      <c r="L1042">
        <f>IF(Wapato_Inventory[[#This Row],[parcel_acres]]-Wapato_Inventory[[#This Row],[non_valued_acres]] =0,0,LN(Wapato_Inventory[[#This Row],[parcel_acres]]-Wapato_Inventory[[#This Row],[non_valued_acres]]))</f>
        <v>-1.8971199848858813</v>
      </c>
      <c r="M1042">
        <v>0</v>
      </c>
      <c r="N1042">
        <v>0</v>
      </c>
      <c r="O1042">
        <v>0</v>
      </c>
      <c r="P1042">
        <v>27904.037</v>
      </c>
      <c r="Q1042">
        <v>74398</v>
      </c>
      <c r="R1042" s="3">
        <f>(Wapato_Inventory[[#This Row],[ln_acres]]*Wapato_Inventory[[#This Row],[coeff]])+Wapato_Inventory[[#This Row],[const]]</f>
        <v>21460.693748304926</v>
      </c>
      <c r="S1042" t="s">
        <v>66</v>
      </c>
      <c r="T1042">
        <v>1</v>
      </c>
      <c r="U1042" t="s">
        <v>71</v>
      </c>
      <c r="V1042" t="s">
        <v>68</v>
      </c>
      <c r="W1042">
        <v>0</v>
      </c>
      <c r="X1042">
        <v>0</v>
      </c>
      <c r="Y1042">
        <v>50</v>
      </c>
      <c r="Z1042">
        <v>74</v>
      </c>
      <c r="AA1042">
        <v>80</v>
      </c>
      <c r="AB1042">
        <v>1000</v>
      </c>
      <c r="AC1042">
        <v>772</v>
      </c>
      <c r="AD1042">
        <v>772</v>
      </c>
      <c r="AE1042">
        <v>0</v>
      </c>
      <c r="AF1042">
        <v>0</v>
      </c>
      <c r="AG1042">
        <v>0</v>
      </c>
      <c r="AH1042">
        <v>0</v>
      </c>
      <c r="AI1042">
        <v>0</v>
      </c>
      <c r="AJ1042">
        <v>0</v>
      </c>
      <c r="AK1042">
        <v>0</v>
      </c>
      <c r="AL1042">
        <v>0</v>
      </c>
      <c r="AM1042">
        <v>204</v>
      </c>
      <c r="AN1042">
        <v>0</v>
      </c>
      <c r="AO1042">
        <v>204</v>
      </c>
      <c r="AP1042">
        <v>5</v>
      </c>
      <c r="AQ1042">
        <v>0</v>
      </c>
      <c r="AR1042">
        <v>0</v>
      </c>
      <c r="AS1042" t="s">
        <v>59</v>
      </c>
      <c r="AT1042">
        <v>1</v>
      </c>
      <c r="AU1042" t="s">
        <v>72</v>
      </c>
      <c r="AV1042" t="s">
        <v>61</v>
      </c>
      <c r="AW1042">
        <v>0</v>
      </c>
      <c r="AX1042">
        <v>2</v>
      </c>
      <c r="AY1042">
        <v>0</v>
      </c>
      <c r="AZ1042">
        <v>4900</v>
      </c>
      <c r="BA1042">
        <v>100</v>
      </c>
      <c r="BB1042">
        <v>100</v>
      </c>
      <c r="BC1042">
        <v>100</v>
      </c>
      <c r="BD1042">
        <v>100</v>
      </c>
      <c r="BE1042">
        <v>1</v>
      </c>
      <c r="BF1042">
        <v>15000</v>
      </c>
      <c r="BG1042">
        <v>1000</v>
      </c>
      <c r="BH1042" s="7">
        <f>ROUND(Wapato_Inventory[[#This Row],[detatched_value]]*Lookups!$B$22*Lookups!$H$48,-2)</f>
        <v>4400</v>
      </c>
      <c r="BI1042" s="7">
        <f>ROUND(((Wapato_Inventory[[#This Row],[land_extract]]*Lookups!$B$3) +(Lookups!$B$2*0.5))*Lookups!$H$48,-2)</f>
        <v>53100</v>
      </c>
      <c r="BJ1042" s="7">
        <f>IF(Wapato_Inventory[[#This Row],[bldg_style]]="",0,Lookups!$B$2*0.5)</f>
        <v>53765.27</v>
      </c>
      <c r="BK1042" s="7">
        <f>_xlfn.IFNA(VLOOKUP(Wapato_Inventory[[#This Row],[quality]],Lookups!$H$2:$J$14,3,FALSE),0)</f>
        <v>28034</v>
      </c>
      <c r="BL1042" s="7">
        <f>_xlfn.IFNA(VLOOKUP(Wapato_Inventory[[#This Row],[condition]],Lookups!$H$17:$J$24,3,FALSE),0)</f>
        <v>52231</v>
      </c>
      <c r="BM1042" s="7">
        <f>Wapato_Inventory[[#This Row],[Age]]*Lookups!$B$16</f>
        <v>-27430.001800000002</v>
      </c>
      <c r="BN1042" s="7">
        <f>Wapato_Inventory[[#This Row],[Main Floor]]*Lookups!$B$17</f>
        <v>32270.170507999999</v>
      </c>
      <c r="BO1042" s="7">
        <f>Wapato_Inventory[[#This Row],[Upper Floor]]*Lookups!$B$18</f>
        <v>0</v>
      </c>
      <c r="BP1042" s="7">
        <f>Wapato_Inventory[[#This Row],[Fin BSMT]]*Lookups!$B$19</f>
        <v>0</v>
      </c>
      <c r="BQ1042" s="7">
        <f>(Wapato_Inventory[[#This Row],[att_gar]]+Wapato_Inventory[[#This Row],[blt_gar]])*Lookups!$B$20</f>
        <v>0</v>
      </c>
      <c r="BR1042" s="7">
        <f>Wapato_Inventory[[#This Row],[Patio]]*Lookups!$B$21</f>
        <v>8838.0917160000008</v>
      </c>
      <c r="BS1042" s="7">
        <f>SUM(Wapato_Inventory[[#This Row],[intercept]:[patio_value]])*Wapato_Inventory[[#This Row],[res_pct]]</f>
        <v>147708.530424</v>
      </c>
      <c r="BT1042" s="7">
        <f>Wapato_Inventory[[#This Row],[land_value]]</f>
        <v>53100</v>
      </c>
      <c r="BU1042" s="2">
        <f>_xlfn.IFNA(VLOOKUP(Wapato_Inventory[[#This Row],[quality]],Lookups!$A$28:$C$37,3,FALSE),1)</f>
        <v>0.96265813922927435</v>
      </c>
      <c r="BV1042" s="2">
        <f>_xlfn.IFNA(VLOOKUP(Wapato_Inventory[[#This Row],[condition]],Lookups!$A$41:$C$48,3,FALSE),1)</f>
        <v>0.9832333997567807</v>
      </c>
      <c r="BW1042" s="2">
        <f>IF(Wapato_Inventory[[#This Row],[decade]]="",1,_xlfn.IFNA(VLOOKUP(Wapato_Inventory[[#This Row],[decade]],Lookups!$F$28:$H$45,3,FALSE),1))</f>
        <v>0.8438929209510081</v>
      </c>
      <c r="BX1042" s="2">
        <f>_xlfn.IFNA(VLOOKUP(Wapato_Inventory[[#This Row],[living_area_range]],Lookups!$K$28:$M$37,3,FALSE),1)</f>
        <v>0.99022994770196116</v>
      </c>
      <c r="BY1042" s="2">
        <f>AVERAGE(Wapato_Inventory[[#This Row],[qual_adj]:[range_adj]])</f>
        <v>0.94500360190975607</v>
      </c>
      <c r="BZ1042" s="7">
        <f>(Wapato_Inventory[[#This Row],[sum_land]]-IF(Wapato_Inventory[[#This Row],[no_utilities]]=1,12000,0))/IF(Wapato_Inventory[[#This Row],[unbuildable]]=1,2,1)</f>
        <v>53100</v>
      </c>
      <c r="CA1042" s="7">
        <f>Wapato_Inventory[[#This Row],[pre_res]]*Wapato_Inventory[[#This Row],[overall_adj]]</f>
        <v>139585.09328347677</v>
      </c>
      <c r="CB104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042" s="3">
        <f>IF(ROUND(Wapato_Inventory[[#This Row],[adj_res]]*Lookups!$H$48,-2)&lt;Wapato_Inventory[[#This Row],[min_res]],Wapato_Inventory[[#This Row],[min_res]],ROUND(Wapato_Inventory[[#This Row],[adj_res]]*Lookups!$H$48,-2))</f>
        <v>132600</v>
      </c>
      <c r="CD1042" s="3">
        <f>ROUND(Wapato_Inventory[[#This Row],[det_value]]*Lookups!$H$48,-2)</f>
        <v>4200</v>
      </c>
      <c r="CE1042" s="3">
        <f>Wapato_Inventory[[#This Row],[final_res]]+Wapato_Inventory[[#This Row],[final_det]]</f>
        <v>136800</v>
      </c>
      <c r="CF1042" s="3">
        <f>Wapato_Inventory[[#This Row],[crop_value]]+Wapato_Inventory[[#This Row],[final_land]]+Wapato_Inventory[[#This Row],[final_imp]]</f>
        <v>187200</v>
      </c>
      <c r="CH1042" t="str">
        <f t="shared" si="16"/>
        <v>update valuation set market_land =50400, market_bldg=136800, market_total =187200, market_mdno =405, market_date ='9/10/2023' where link_id = (select link_id from parcel where parcel_year = '2024' and parcel_id = '19111524410');</v>
      </c>
    </row>
    <row r="1043" spans="1:86" x14ac:dyDescent="0.25">
      <c r="A1043">
        <v>19111524411</v>
      </c>
      <c r="B1043">
        <v>0.15</v>
      </c>
      <c r="C1043">
        <v>6449</v>
      </c>
      <c r="D1043" t="s">
        <v>144</v>
      </c>
      <c r="E1043" t="s">
        <v>54</v>
      </c>
      <c r="F1043" t="s">
        <v>54</v>
      </c>
      <c r="G1043">
        <v>3</v>
      </c>
      <c r="H1043" t="s">
        <v>55</v>
      </c>
      <c r="I1043">
        <v>159400</v>
      </c>
      <c r="J1043">
        <v>32300</v>
      </c>
      <c r="K1043">
        <v>0.15</v>
      </c>
      <c r="L1043">
        <f>IF(Wapato_Inventory[[#This Row],[parcel_acres]]-Wapato_Inventory[[#This Row],[non_valued_acres]] =0,0,LN(Wapato_Inventory[[#This Row],[parcel_acres]]-Wapato_Inventory[[#This Row],[non_valued_acres]]))</f>
        <v>-1.8971199848858813</v>
      </c>
      <c r="M1043">
        <v>0</v>
      </c>
      <c r="N1043">
        <v>0</v>
      </c>
      <c r="O1043">
        <v>0</v>
      </c>
      <c r="P1043">
        <v>27904.037</v>
      </c>
      <c r="Q1043">
        <v>74398</v>
      </c>
      <c r="R1043" s="3">
        <f>(Wapato_Inventory[[#This Row],[ln_acres]]*Wapato_Inventory[[#This Row],[coeff]])+Wapato_Inventory[[#This Row],[const]]</f>
        <v>21460.693748304926</v>
      </c>
      <c r="S1043" t="s">
        <v>66</v>
      </c>
      <c r="T1043">
        <v>1</v>
      </c>
      <c r="U1043" t="s">
        <v>75</v>
      </c>
      <c r="V1043" t="s">
        <v>68</v>
      </c>
      <c r="W1043">
        <v>0</v>
      </c>
      <c r="X1043">
        <v>0</v>
      </c>
      <c r="Y1043">
        <v>50</v>
      </c>
      <c r="Z1043">
        <v>74</v>
      </c>
      <c r="AA1043">
        <v>80</v>
      </c>
      <c r="AB1043">
        <v>1500</v>
      </c>
      <c r="AC1043">
        <v>1260</v>
      </c>
      <c r="AD1043">
        <v>1260</v>
      </c>
      <c r="AE1043">
        <v>0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514</v>
      </c>
      <c r="AL1043">
        <v>0</v>
      </c>
      <c r="AM1043">
        <v>341</v>
      </c>
      <c r="AN1043">
        <v>72</v>
      </c>
      <c r="AO1043">
        <v>198</v>
      </c>
      <c r="AP1043">
        <v>7</v>
      </c>
      <c r="AQ1043">
        <v>1</v>
      </c>
      <c r="AR1043">
        <v>0</v>
      </c>
      <c r="AS1043" t="s">
        <v>59</v>
      </c>
      <c r="AT1043">
        <v>1</v>
      </c>
      <c r="AU1043" t="s">
        <v>76</v>
      </c>
      <c r="AV1043" t="s">
        <v>61</v>
      </c>
      <c r="AW1043">
        <v>0</v>
      </c>
      <c r="AX1043">
        <v>3</v>
      </c>
      <c r="AY1043">
        <v>0</v>
      </c>
      <c r="AZ1043">
        <v>0</v>
      </c>
      <c r="BA1043">
        <v>100</v>
      </c>
      <c r="BB1043">
        <v>100</v>
      </c>
      <c r="BC1043">
        <v>100</v>
      </c>
      <c r="BD1043">
        <v>100</v>
      </c>
      <c r="BE1043">
        <v>1</v>
      </c>
      <c r="BF1043">
        <v>15000</v>
      </c>
      <c r="BG1043">
        <v>1000</v>
      </c>
      <c r="BH1043" s="7">
        <f>ROUND(Wapato_Inventory[[#This Row],[detatched_value]]*Lookups!$B$22*Lookups!$H$48,-2)</f>
        <v>0</v>
      </c>
      <c r="BI1043" s="7">
        <f>ROUND(((Wapato_Inventory[[#This Row],[land_extract]]*Lookups!$B$3) +(Lookups!$B$2*0.5))*Lookups!$H$48,-2)</f>
        <v>53100</v>
      </c>
      <c r="BJ1043" s="7">
        <f>IF(Wapato_Inventory[[#This Row],[bldg_style]]="",0,Lookups!$B$2*0.5)</f>
        <v>53765.27</v>
      </c>
      <c r="BK1043" s="7">
        <f>_xlfn.IFNA(VLOOKUP(Wapato_Inventory[[#This Row],[quality]],Lookups!$H$2:$J$14,3,FALSE),0)</f>
        <v>48043</v>
      </c>
      <c r="BL1043" s="7">
        <f>_xlfn.IFNA(VLOOKUP(Wapato_Inventory[[#This Row],[condition]],Lookups!$H$17:$J$24,3,FALSE),0)</f>
        <v>52231</v>
      </c>
      <c r="BM1043" s="7">
        <f>Wapato_Inventory[[#This Row],[Age]]*Lookups!$B$16</f>
        <v>-27430.001800000002</v>
      </c>
      <c r="BN1043" s="7">
        <f>Wapato_Inventory[[#This Row],[Main Floor]]*Lookups!$B$17</f>
        <v>52668.931140000001</v>
      </c>
      <c r="BO1043" s="7">
        <f>Wapato_Inventory[[#This Row],[Upper Floor]]*Lookups!$B$18</f>
        <v>0</v>
      </c>
      <c r="BP1043" s="7">
        <f>Wapato_Inventory[[#This Row],[Fin BSMT]]*Lookups!$B$19</f>
        <v>0</v>
      </c>
      <c r="BQ1043" s="7">
        <f>(Wapato_Inventory[[#This Row],[att_gar]]+Wapato_Inventory[[#This Row],[blt_gar]])*Lookups!$B$20</f>
        <v>0</v>
      </c>
      <c r="BR1043" s="7">
        <f>Wapato_Inventory[[#This Row],[Patio]]*Lookups!$B$21</f>
        <v>14773.476839000001</v>
      </c>
      <c r="BS1043" s="7">
        <f>SUM(Wapato_Inventory[[#This Row],[intercept]:[patio_value]])*Wapato_Inventory[[#This Row],[res_pct]]</f>
        <v>194051.676179</v>
      </c>
      <c r="BT1043" s="7">
        <f>Wapato_Inventory[[#This Row],[land_value]]</f>
        <v>53100</v>
      </c>
      <c r="BU1043" s="2">
        <f>_xlfn.IFNA(VLOOKUP(Wapato_Inventory[[#This Row],[quality]],Lookups!$A$28:$C$37,3,FALSE),1)</f>
        <v>0.98196844879778955</v>
      </c>
      <c r="BV1043" s="2">
        <f>_xlfn.IFNA(VLOOKUP(Wapato_Inventory[[#This Row],[condition]],Lookups!$A$41:$C$48,3,FALSE),1)</f>
        <v>0.9832333997567807</v>
      </c>
      <c r="BW1043" s="2">
        <f>IF(Wapato_Inventory[[#This Row],[decade]]="",1,_xlfn.IFNA(VLOOKUP(Wapato_Inventory[[#This Row],[decade]],Lookups!$F$28:$H$45,3,FALSE),1))</f>
        <v>0.8438929209510081</v>
      </c>
      <c r="BX1043" s="2">
        <f>_xlfn.IFNA(VLOOKUP(Wapato_Inventory[[#This Row],[living_area_range]],Lookups!$K$28:$M$37,3,FALSE),1)</f>
        <v>1.0061411172456287</v>
      </c>
      <c r="BY1043" s="2">
        <f>AVERAGE(Wapato_Inventory[[#This Row],[qual_adj]:[range_adj]])</f>
        <v>0.95380897168780177</v>
      </c>
      <c r="BZ1043" s="7">
        <f>(Wapato_Inventory[[#This Row],[sum_land]]-IF(Wapato_Inventory[[#This Row],[no_utilities]]=1,12000,0))/IF(Wapato_Inventory[[#This Row],[unbuildable]]=1,2,1)</f>
        <v>53100</v>
      </c>
      <c r="CA1043" s="7">
        <f>Wapato_Inventory[[#This Row],[pre_res]]*Wapato_Inventory[[#This Row],[overall_adj]]</f>
        <v>185088.22971058628</v>
      </c>
      <c r="CB1043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043" s="3">
        <f>IF(ROUND(Wapato_Inventory[[#This Row],[adj_res]]*Lookups!$H$48,-2)&lt;Wapato_Inventory[[#This Row],[min_res]],Wapato_Inventory[[#This Row],[min_res]],ROUND(Wapato_Inventory[[#This Row],[adj_res]]*Lookups!$H$48,-2))</f>
        <v>175800</v>
      </c>
      <c r="CD1043" s="3">
        <f>ROUND(Wapato_Inventory[[#This Row],[det_value]]*Lookups!$H$48,-2)</f>
        <v>0</v>
      </c>
      <c r="CE1043" s="3">
        <f>Wapato_Inventory[[#This Row],[final_res]]+Wapato_Inventory[[#This Row],[final_det]]</f>
        <v>175800</v>
      </c>
      <c r="CF1043" s="3">
        <f>Wapato_Inventory[[#This Row],[crop_value]]+Wapato_Inventory[[#This Row],[final_land]]+Wapato_Inventory[[#This Row],[final_imp]]</f>
        <v>226200</v>
      </c>
      <c r="CH1043" t="str">
        <f t="shared" si="16"/>
        <v>update valuation set market_land =50400, market_bldg=175800, market_total =226200, market_mdno =405, market_date ='9/10/2023' where link_id = (select link_id from parcel where parcel_year = '2024' and parcel_id = '19111524411');</v>
      </c>
    </row>
    <row r="1044" spans="1:86" x14ac:dyDescent="0.25">
      <c r="A1044">
        <v>19111524412</v>
      </c>
      <c r="B1044">
        <v>0.2</v>
      </c>
      <c r="C1044">
        <v>8734</v>
      </c>
      <c r="D1044" t="s">
        <v>144</v>
      </c>
      <c r="E1044" t="s">
        <v>54</v>
      </c>
      <c r="F1044" t="s">
        <v>54</v>
      </c>
      <c r="G1044">
        <v>3</v>
      </c>
      <c r="H1044" t="s">
        <v>55</v>
      </c>
      <c r="I1044">
        <v>119600</v>
      </c>
      <c r="J1044">
        <v>34400</v>
      </c>
      <c r="K1044">
        <v>0.2</v>
      </c>
      <c r="L1044">
        <f>IF(Wapato_Inventory[[#This Row],[parcel_acres]]-Wapato_Inventory[[#This Row],[non_valued_acres]] =0,0,LN(Wapato_Inventory[[#This Row],[parcel_acres]]-Wapato_Inventory[[#This Row],[non_valued_acres]]))</f>
        <v>-1.6094379124341003</v>
      </c>
      <c r="M1044">
        <v>0</v>
      </c>
      <c r="N1044">
        <v>0</v>
      </c>
      <c r="O1044">
        <v>0</v>
      </c>
      <c r="P1044">
        <v>27904.037</v>
      </c>
      <c r="Q1044">
        <v>74398</v>
      </c>
      <c r="R1044" s="3">
        <f>(Wapato_Inventory[[#This Row],[ln_acres]]*Wapato_Inventory[[#This Row],[coeff]])+Wapato_Inventory[[#This Row],[const]]</f>
        <v>29488.184942236105</v>
      </c>
      <c r="S1044" t="s">
        <v>66</v>
      </c>
      <c r="T1044">
        <v>1</v>
      </c>
      <c r="U1044" t="s">
        <v>75</v>
      </c>
      <c r="V1044" t="s">
        <v>69</v>
      </c>
      <c r="W1044">
        <v>0</v>
      </c>
      <c r="X1044">
        <v>0</v>
      </c>
      <c r="Y1044">
        <v>50</v>
      </c>
      <c r="Z1044">
        <v>74</v>
      </c>
      <c r="AA1044">
        <v>80</v>
      </c>
      <c r="AB1044">
        <v>1500</v>
      </c>
      <c r="AC1044">
        <v>1270</v>
      </c>
      <c r="AD1044">
        <v>1270</v>
      </c>
      <c r="AE1044">
        <v>0</v>
      </c>
      <c r="AF1044">
        <v>0</v>
      </c>
      <c r="AG1044">
        <v>0</v>
      </c>
      <c r="AH1044">
        <v>0</v>
      </c>
      <c r="AI1044">
        <v>528</v>
      </c>
      <c r="AJ1044">
        <v>0</v>
      </c>
      <c r="AK1044">
        <v>0</v>
      </c>
      <c r="AL1044">
        <v>0</v>
      </c>
      <c r="AM1044">
        <v>0</v>
      </c>
      <c r="AN1044">
        <v>20</v>
      </c>
      <c r="AO1044">
        <v>0</v>
      </c>
      <c r="AP1044">
        <v>5</v>
      </c>
      <c r="AQ1044">
        <v>0</v>
      </c>
      <c r="AR1044">
        <v>0</v>
      </c>
      <c r="AS1044" t="s">
        <v>59</v>
      </c>
      <c r="AT1044">
        <v>0</v>
      </c>
      <c r="AU1044" t="s">
        <v>80</v>
      </c>
      <c r="AV1044" t="s">
        <v>65</v>
      </c>
      <c r="AW1044">
        <v>0</v>
      </c>
      <c r="AX1044">
        <v>3</v>
      </c>
      <c r="AY1044">
        <v>0</v>
      </c>
      <c r="AZ1044">
        <v>6300</v>
      </c>
      <c r="BA1044">
        <v>100</v>
      </c>
      <c r="BB1044">
        <v>100</v>
      </c>
      <c r="BC1044">
        <v>100</v>
      </c>
      <c r="BD1044">
        <v>100</v>
      </c>
      <c r="BE1044">
        <v>1</v>
      </c>
      <c r="BF1044">
        <v>15000</v>
      </c>
      <c r="BG1044">
        <v>1000</v>
      </c>
      <c r="BH1044" s="7">
        <f>ROUND(Wapato_Inventory[[#This Row],[detatched_value]]*Lookups!$B$22*Lookups!$H$48,-2)</f>
        <v>5600</v>
      </c>
      <c r="BI1044" s="7">
        <f>ROUND(((Wapato_Inventory[[#This Row],[land_extract]]*Lookups!$B$3) +(Lookups!$B$2*0.5))*Lookups!$H$48,-2)</f>
        <v>53900</v>
      </c>
      <c r="BJ1044" s="7">
        <f>IF(Wapato_Inventory[[#This Row],[bldg_style]]="",0,Lookups!$B$2*0.5)</f>
        <v>53765.27</v>
      </c>
      <c r="BK1044" s="7">
        <f>_xlfn.IFNA(VLOOKUP(Wapato_Inventory[[#This Row],[quality]],Lookups!$H$2:$J$14,3,FALSE),0)</f>
        <v>48043</v>
      </c>
      <c r="BL1044" s="7">
        <f>_xlfn.IFNA(VLOOKUP(Wapato_Inventory[[#This Row],[condition]],Lookups!$H$17:$J$24,3,FALSE),0)</f>
        <v>74543</v>
      </c>
      <c r="BM1044" s="7">
        <f>Wapato_Inventory[[#This Row],[Age]]*Lookups!$B$16</f>
        <v>-27430.001800000002</v>
      </c>
      <c r="BN1044" s="7">
        <f>Wapato_Inventory[[#This Row],[Main Floor]]*Lookups!$B$17</f>
        <v>53086.938529999999</v>
      </c>
      <c r="BO1044" s="7">
        <f>Wapato_Inventory[[#This Row],[Upper Floor]]*Lookups!$B$18</f>
        <v>0</v>
      </c>
      <c r="BP1044" s="7">
        <f>Wapato_Inventory[[#This Row],[Fin BSMT]]*Lookups!$B$19</f>
        <v>0</v>
      </c>
      <c r="BQ1044" s="7">
        <f>(Wapato_Inventory[[#This Row],[att_gar]]+Wapato_Inventory[[#This Row],[blt_gar]])*Lookups!$B$20</f>
        <v>19540.621056</v>
      </c>
      <c r="BR1044" s="7">
        <f>Wapato_Inventory[[#This Row],[Patio]]*Lookups!$B$21</f>
        <v>0</v>
      </c>
      <c r="BS1044" s="7">
        <f>SUM(Wapato_Inventory[[#This Row],[intercept]:[patio_value]])*Wapato_Inventory[[#This Row],[res_pct]]</f>
        <v>221548.82778599998</v>
      </c>
      <c r="BT1044" s="7">
        <f>Wapato_Inventory[[#This Row],[land_value]]</f>
        <v>53900</v>
      </c>
      <c r="BU1044" s="2">
        <f>_xlfn.IFNA(VLOOKUP(Wapato_Inventory[[#This Row],[quality]],Lookups!$A$28:$C$37,3,FALSE),1)</f>
        <v>0.98196844879778955</v>
      </c>
      <c r="BV1044" s="2">
        <f>_xlfn.IFNA(VLOOKUP(Wapato_Inventory[[#This Row],[condition]],Lookups!$A$41:$C$48,3,FALSE),1)</f>
        <v>0.98442438223270734</v>
      </c>
      <c r="BW1044" s="2">
        <f>IF(Wapato_Inventory[[#This Row],[decade]]="",1,_xlfn.IFNA(VLOOKUP(Wapato_Inventory[[#This Row],[decade]],Lookups!$F$28:$H$45,3,FALSE),1))</f>
        <v>0.8438929209510081</v>
      </c>
      <c r="BX1044" s="2">
        <f>_xlfn.IFNA(VLOOKUP(Wapato_Inventory[[#This Row],[living_area_range]],Lookups!$K$28:$M$37,3,FALSE),1)</f>
        <v>1.0061411172456287</v>
      </c>
      <c r="BY1044" s="2">
        <f>AVERAGE(Wapato_Inventory[[#This Row],[qual_adj]:[range_adj]])</f>
        <v>0.95410671730678343</v>
      </c>
      <c r="BZ1044" s="7">
        <f>(Wapato_Inventory[[#This Row],[sum_land]]-IF(Wapato_Inventory[[#This Row],[no_utilities]]=1,12000,0))/IF(Wapato_Inventory[[#This Row],[unbuildable]]=1,2,1)</f>
        <v>53900</v>
      </c>
      <c r="CA1044" s="7">
        <f>Wapato_Inventory[[#This Row],[pre_res]]*Wapato_Inventory[[#This Row],[overall_adj]]</f>
        <v>211381.22480206634</v>
      </c>
      <c r="CB1044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1044" s="3">
        <f>IF(ROUND(Wapato_Inventory[[#This Row],[adj_res]]*Lookups!$H$48,-2)&lt;Wapato_Inventory[[#This Row],[min_res]],Wapato_Inventory[[#This Row],[min_res]],ROUND(Wapato_Inventory[[#This Row],[adj_res]]*Lookups!$H$48,-2))</f>
        <v>200800</v>
      </c>
      <c r="CD1044" s="3">
        <f>ROUND(Wapato_Inventory[[#This Row],[det_value]]*Lookups!$H$48,-2)</f>
        <v>5300</v>
      </c>
      <c r="CE1044" s="3">
        <f>Wapato_Inventory[[#This Row],[final_res]]+Wapato_Inventory[[#This Row],[final_det]]</f>
        <v>206100</v>
      </c>
      <c r="CF1044" s="3">
        <f>Wapato_Inventory[[#This Row],[crop_value]]+Wapato_Inventory[[#This Row],[final_land]]+Wapato_Inventory[[#This Row],[final_imp]]</f>
        <v>257300</v>
      </c>
      <c r="CH1044" t="str">
        <f t="shared" si="16"/>
        <v>update valuation set market_land =51200, market_bldg=206100, market_total =257300, market_mdno =405, market_date ='9/10/2023' where link_id = (select link_id from parcel where parcel_year = '2024' and parcel_id = '19111524412');</v>
      </c>
    </row>
    <row r="1045" spans="1:86" x14ac:dyDescent="0.25">
      <c r="A1045">
        <v>19111524413</v>
      </c>
      <c r="B1045">
        <v>0.17</v>
      </c>
      <c r="C1045">
        <v>7200</v>
      </c>
      <c r="D1045" t="s">
        <v>144</v>
      </c>
      <c r="E1045" t="s">
        <v>54</v>
      </c>
      <c r="F1045" t="s">
        <v>54</v>
      </c>
      <c r="G1045">
        <v>3</v>
      </c>
      <c r="H1045" t="s">
        <v>55</v>
      </c>
      <c r="I1045">
        <v>131400</v>
      </c>
      <c r="J1045">
        <v>33200</v>
      </c>
      <c r="K1045">
        <v>0.17</v>
      </c>
      <c r="L1045">
        <f>IF(Wapato_Inventory[[#This Row],[parcel_acres]]-Wapato_Inventory[[#This Row],[non_valued_acres]] =0,0,LN(Wapato_Inventory[[#This Row],[parcel_acres]]-Wapato_Inventory[[#This Row],[non_valued_acres]]))</f>
        <v>-1.7719568419318752</v>
      </c>
      <c r="M1045">
        <v>0</v>
      </c>
      <c r="N1045">
        <v>0</v>
      </c>
      <c r="O1045">
        <v>0</v>
      </c>
      <c r="P1045">
        <v>27904.037</v>
      </c>
      <c r="Q1045">
        <v>74398</v>
      </c>
      <c r="R1045" s="3">
        <f>(Wapato_Inventory[[#This Row],[ln_acres]]*Wapato_Inventory[[#This Row],[coeff]])+Wapato_Inventory[[#This Row],[const]]</f>
        <v>24953.250720329801</v>
      </c>
      <c r="S1045" t="s">
        <v>66</v>
      </c>
      <c r="T1045">
        <v>1</v>
      </c>
      <c r="U1045" t="s">
        <v>71</v>
      </c>
      <c r="V1045" t="s">
        <v>68</v>
      </c>
      <c r="W1045">
        <v>0</v>
      </c>
      <c r="X1045">
        <v>0</v>
      </c>
      <c r="Y1045">
        <v>50</v>
      </c>
      <c r="Z1045">
        <v>74</v>
      </c>
      <c r="AA1045">
        <v>80</v>
      </c>
      <c r="AB1045">
        <v>1000</v>
      </c>
      <c r="AC1045">
        <v>980</v>
      </c>
      <c r="AD1045">
        <v>980</v>
      </c>
      <c r="AE1045">
        <v>0</v>
      </c>
      <c r="AF1045">
        <v>0</v>
      </c>
      <c r="AG1045">
        <v>0</v>
      </c>
      <c r="AH1045">
        <v>0</v>
      </c>
      <c r="AI1045">
        <v>200</v>
      </c>
      <c r="AJ1045">
        <v>0</v>
      </c>
      <c r="AK1045">
        <v>0</v>
      </c>
      <c r="AL1045">
        <v>0</v>
      </c>
      <c r="AM1045">
        <v>0</v>
      </c>
      <c r="AN1045">
        <v>28</v>
      </c>
      <c r="AO1045">
        <v>0</v>
      </c>
      <c r="AP1045">
        <v>5</v>
      </c>
      <c r="AQ1045">
        <v>0</v>
      </c>
      <c r="AR1045">
        <v>0</v>
      </c>
      <c r="AS1045" t="s">
        <v>59</v>
      </c>
      <c r="AT1045">
        <v>1</v>
      </c>
      <c r="AU1045" t="s">
        <v>72</v>
      </c>
      <c r="AV1045" t="s">
        <v>61</v>
      </c>
      <c r="AW1045">
        <v>0</v>
      </c>
      <c r="AX1045">
        <v>3</v>
      </c>
      <c r="AY1045">
        <v>0</v>
      </c>
      <c r="AZ1045">
        <v>6100</v>
      </c>
      <c r="BA1045">
        <v>100</v>
      </c>
      <c r="BB1045">
        <v>100</v>
      </c>
      <c r="BC1045">
        <v>100</v>
      </c>
      <c r="BD1045">
        <v>100</v>
      </c>
      <c r="BE1045">
        <v>1</v>
      </c>
      <c r="BF1045">
        <v>15000</v>
      </c>
      <c r="BG1045">
        <v>1000</v>
      </c>
      <c r="BH1045" s="7">
        <f>ROUND(Wapato_Inventory[[#This Row],[detatched_value]]*Lookups!$B$22*Lookups!$H$48,-2)</f>
        <v>5400</v>
      </c>
      <c r="BI1045" s="7">
        <f>ROUND(((Wapato_Inventory[[#This Row],[land_extract]]*Lookups!$B$3) +(Lookups!$B$2*0.5))*Lookups!$H$48,-2)</f>
        <v>53500</v>
      </c>
      <c r="BJ1045" s="7">
        <f>IF(Wapato_Inventory[[#This Row],[bldg_style]]="",0,Lookups!$B$2*0.5)</f>
        <v>53765.27</v>
      </c>
      <c r="BK1045" s="7">
        <f>_xlfn.IFNA(VLOOKUP(Wapato_Inventory[[#This Row],[quality]],Lookups!$H$2:$J$14,3,FALSE),0)</f>
        <v>28034</v>
      </c>
      <c r="BL1045" s="7">
        <f>_xlfn.IFNA(VLOOKUP(Wapato_Inventory[[#This Row],[condition]],Lookups!$H$17:$J$24,3,FALSE),0)</f>
        <v>52231</v>
      </c>
      <c r="BM1045" s="7">
        <f>Wapato_Inventory[[#This Row],[Age]]*Lookups!$B$16</f>
        <v>-27430.001800000002</v>
      </c>
      <c r="BN1045" s="7">
        <f>Wapato_Inventory[[#This Row],[Main Floor]]*Lookups!$B$17</f>
        <v>40964.724220000004</v>
      </c>
      <c r="BO1045" s="7">
        <f>Wapato_Inventory[[#This Row],[Upper Floor]]*Lookups!$B$18</f>
        <v>0</v>
      </c>
      <c r="BP1045" s="7">
        <f>Wapato_Inventory[[#This Row],[Fin BSMT]]*Lookups!$B$19</f>
        <v>0</v>
      </c>
      <c r="BQ1045" s="7">
        <f>(Wapato_Inventory[[#This Row],[att_gar]]+Wapato_Inventory[[#This Row],[blt_gar]])*Lookups!$B$20</f>
        <v>7401.7503999999999</v>
      </c>
      <c r="BR1045" s="7">
        <f>Wapato_Inventory[[#This Row],[Patio]]*Lookups!$B$21</f>
        <v>0</v>
      </c>
      <c r="BS1045" s="7">
        <f>SUM(Wapato_Inventory[[#This Row],[intercept]:[patio_value]])*Wapato_Inventory[[#This Row],[res_pct]]</f>
        <v>154966.74281999998</v>
      </c>
      <c r="BT1045" s="7">
        <f>Wapato_Inventory[[#This Row],[land_value]]</f>
        <v>53500</v>
      </c>
      <c r="BU1045" s="2">
        <f>_xlfn.IFNA(VLOOKUP(Wapato_Inventory[[#This Row],[quality]],Lookups!$A$28:$C$37,3,FALSE),1)</f>
        <v>0.96265813922927435</v>
      </c>
      <c r="BV1045" s="2">
        <f>_xlfn.IFNA(VLOOKUP(Wapato_Inventory[[#This Row],[condition]],Lookups!$A$41:$C$48,3,FALSE),1)</f>
        <v>0.9832333997567807</v>
      </c>
      <c r="BW1045" s="2">
        <f>IF(Wapato_Inventory[[#This Row],[decade]]="",1,_xlfn.IFNA(VLOOKUP(Wapato_Inventory[[#This Row],[decade]],Lookups!$F$28:$H$45,3,FALSE),1))</f>
        <v>0.8438929209510081</v>
      </c>
      <c r="BX1045" s="2">
        <f>_xlfn.IFNA(VLOOKUP(Wapato_Inventory[[#This Row],[living_area_range]],Lookups!$K$28:$M$37,3,FALSE),1)</f>
        <v>0.99022994770196116</v>
      </c>
      <c r="BY1045" s="2">
        <f>AVERAGE(Wapato_Inventory[[#This Row],[qual_adj]:[range_adj]])</f>
        <v>0.94500360190975607</v>
      </c>
      <c r="BZ1045" s="7">
        <f>(Wapato_Inventory[[#This Row],[sum_land]]-IF(Wapato_Inventory[[#This Row],[no_utilities]]=1,12000,0))/IF(Wapato_Inventory[[#This Row],[unbuildable]]=1,2,1)</f>
        <v>53500</v>
      </c>
      <c r="CA1045" s="7">
        <f>Wapato_Inventory[[#This Row],[pre_res]]*Wapato_Inventory[[#This Row],[overall_adj]]</f>
        <v>146444.13014112282</v>
      </c>
      <c r="CB1045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045" s="3">
        <f>IF(ROUND(Wapato_Inventory[[#This Row],[adj_res]]*Lookups!$H$48,-2)&lt;Wapato_Inventory[[#This Row],[min_res]],Wapato_Inventory[[#This Row],[min_res]],ROUND(Wapato_Inventory[[#This Row],[adj_res]]*Lookups!$H$48,-2))</f>
        <v>139100</v>
      </c>
      <c r="CD1045" s="3">
        <f>ROUND(Wapato_Inventory[[#This Row],[det_value]]*Lookups!$H$48,-2)</f>
        <v>5100</v>
      </c>
      <c r="CE1045" s="3">
        <f>Wapato_Inventory[[#This Row],[final_res]]+Wapato_Inventory[[#This Row],[final_det]]</f>
        <v>144200</v>
      </c>
      <c r="CF1045" s="3">
        <f>Wapato_Inventory[[#This Row],[crop_value]]+Wapato_Inventory[[#This Row],[final_land]]+Wapato_Inventory[[#This Row],[final_imp]]</f>
        <v>195000</v>
      </c>
      <c r="CH1045" t="str">
        <f t="shared" si="16"/>
        <v>update valuation set market_land =50800, market_bldg=144200, market_total =195000, market_mdno =405, market_date ='9/10/2023' where link_id = (select link_id from parcel where parcel_year = '2024' and parcel_id = '19111524413');</v>
      </c>
    </row>
    <row r="1046" spans="1:86" x14ac:dyDescent="0.25">
      <c r="A1046">
        <v>19111524414</v>
      </c>
      <c r="B1046">
        <v>0.19</v>
      </c>
      <c r="C1046">
        <v>8433</v>
      </c>
      <c r="D1046" t="s">
        <v>144</v>
      </c>
      <c r="E1046" t="s">
        <v>54</v>
      </c>
      <c r="F1046" t="s">
        <v>54</v>
      </c>
      <c r="G1046">
        <v>3</v>
      </c>
      <c r="H1046" t="s">
        <v>55</v>
      </c>
      <c r="I1046">
        <v>202100</v>
      </c>
      <c r="J1046">
        <v>34100</v>
      </c>
      <c r="K1046">
        <v>0.19</v>
      </c>
      <c r="L1046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46">
        <v>0</v>
      </c>
      <c r="N1046">
        <v>0</v>
      </c>
      <c r="O1046">
        <v>0</v>
      </c>
      <c r="P1046">
        <v>27904.037</v>
      </c>
      <c r="Q1046">
        <v>74398</v>
      </c>
      <c r="R1046" s="3">
        <f>(Wapato_Inventory[[#This Row],[ln_acres]]*Wapato_Inventory[[#This Row],[coeff]])+Wapato_Inventory[[#This Row],[const]]</f>
        <v>28056.894957794</v>
      </c>
      <c r="S1046" t="s">
        <v>66</v>
      </c>
      <c r="T1046">
        <v>1</v>
      </c>
      <c r="U1046" t="s">
        <v>75</v>
      </c>
      <c r="V1046" t="s">
        <v>68</v>
      </c>
      <c r="W1046">
        <v>0</v>
      </c>
      <c r="X1046">
        <v>0</v>
      </c>
      <c r="Y1046">
        <v>50</v>
      </c>
      <c r="Z1046">
        <v>74</v>
      </c>
      <c r="AA1046">
        <v>80</v>
      </c>
      <c r="AB1046">
        <v>2000</v>
      </c>
      <c r="AC1046">
        <v>1783</v>
      </c>
      <c r="AD1046">
        <v>1783</v>
      </c>
      <c r="AE1046">
        <v>0</v>
      </c>
      <c r="AF1046">
        <v>0</v>
      </c>
      <c r="AG1046">
        <v>0</v>
      </c>
      <c r="AH1046">
        <v>0</v>
      </c>
      <c r="AI1046">
        <v>0</v>
      </c>
      <c r="AJ1046">
        <v>0</v>
      </c>
      <c r="AK1046">
        <v>288</v>
      </c>
      <c r="AL1046">
        <v>0</v>
      </c>
      <c r="AM1046">
        <v>351</v>
      </c>
      <c r="AN1046">
        <v>0</v>
      </c>
      <c r="AO1046">
        <v>351</v>
      </c>
      <c r="AP1046">
        <v>7</v>
      </c>
      <c r="AQ1046">
        <v>0</v>
      </c>
      <c r="AR1046">
        <v>1</v>
      </c>
      <c r="AS1046" t="s">
        <v>59</v>
      </c>
      <c r="AT1046">
        <v>1</v>
      </c>
      <c r="AU1046" t="s">
        <v>110</v>
      </c>
      <c r="AV1046" t="s">
        <v>152</v>
      </c>
      <c r="AW1046">
        <v>0</v>
      </c>
      <c r="AX1046">
        <v>3</v>
      </c>
      <c r="AY1046">
        <v>0</v>
      </c>
      <c r="AZ1046">
        <v>7200</v>
      </c>
      <c r="BA1046">
        <v>100</v>
      </c>
      <c r="BB1046">
        <v>100</v>
      </c>
      <c r="BC1046">
        <v>100</v>
      </c>
      <c r="BD1046">
        <v>100</v>
      </c>
      <c r="BE1046">
        <v>1</v>
      </c>
      <c r="BF1046">
        <v>15000</v>
      </c>
      <c r="BG1046">
        <v>1000</v>
      </c>
      <c r="BH1046" s="7">
        <f>ROUND(Wapato_Inventory[[#This Row],[detatched_value]]*Lookups!$B$22*Lookups!$H$48,-2)</f>
        <v>6400</v>
      </c>
      <c r="BI1046" s="7">
        <f>ROUND(((Wapato_Inventory[[#This Row],[land_extract]]*Lookups!$B$3) +(Lookups!$B$2*0.5))*Lookups!$H$48,-2)</f>
        <v>53800</v>
      </c>
      <c r="BJ1046" s="7">
        <f>IF(Wapato_Inventory[[#This Row],[bldg_style]]="",0,Lookups!$B$2*0.5)</f>
        <v>53765.27</v>
      </c>
      <c r="BK1046" s="7">
        <f>_xlfn.IFNA(VLOOKUP(Wapato_Inventory[[#This Row],[quality]],Lookups!$H$2:$J$14,3,FALSE),0)</f>
        <v>48043</v>
      </c>
      <c r="BL1046" s="7">
        <f>_xlfn.IFNA(VLOOKUP(Wapato_Inventory[[#This Row],[condition]],Lookups!$H$17:$J$24,3,FALSE),0)</f>
        <v>52231</v>
      </c>
      <c r="BM1046" s="7">
        <f>Wapato_Inventory[[#This Row],[Age]]*Lookups!$B$16</f>
        <v>-27430.001800000002</v>
      </c>
      <c r="BN1046" s="7">
        <f>Wapato_Inventory[[#This Row],[Main Floor]]*Lookups!$B$17</f>
        <v>74530.717636999994</v>
      </c>
      <c r="BO1046" s="7">
        <f>Wapato_Inventory[[#This Row],[Upper Floor]]*Lookups!$B$18</f>
        <v>0</v>
      </c>
      <c r="BP1046" s="7">
        <f>Wapato_Inventory[[#This Row],[Fin BSMT]]*Lookups!$B$19</f>
        <v>0</v>
      </c>
      <c r="BQ1046" s="7">
        <f>(Wapato_Inventory[[#This Row],[att_gar]]+Wapato_Inventory[[#This Row],[blt_gar]])*Lookups!$B$20</f>
        <v>0</v>
      </c>
      <c r="BR1046" s="7">
        <f>Wapato_Inventory[[#This Row],[Patio]]*Lookups!$B$21</f>
        <v>15206.716629</v>
      </c>
      <c r="BS1046" s="7">
        <f>SUM(Wapato_Inventory[[#This Row],[intercept]:[patio_value]])*Wapato_Inventory[[#This Row],[res_pct]]</f>
        <v>216346.70246599999</v>
      </c>
      <c r="BT1046" s="7">
        <f>Wapato_Inventory[[#This Row],[land_value]]</f>
        <v>53800</v>
      </c>
      <c r="BU1046" s="2">
        <f>_xlfn.IFNA(VLOOKUP(Wapato_Inventory[[#This Row],[quality]],Lookups!$A$28:$C$37,3,FALSE),1)</f>
        <v>0.98196844879778955</v>
      </c>
      <c r="BV1046" s="2">
        <f>_xlfn.IFNA(VLOOKUP(Wapato_Inventory[[#This Row],[condition]],Lookups!$A$41:$C$48,3,FALSE),1)</f>
        <v>0.9832333997567807</v>
      </c>
      <c r="BW1046" s="2">
        <f>IF(Wapato_Inventory[[#This Row],[decade]]="",1,_xlfn.IFNA(VLOOKUP(Wapato_Inventory[[#This Row],[decade]],Lookups!$F$28:$H$45,3,FALSE),1))</f>
        <v>0.8438929209510081</v>
      </c>
      <c r="BX1046" s="2">
        <f>_xlfn.IFNA(VLOOKUP(Wapato_Inventory[[#This Row],[living_area_range]],Lookups!$K$28:$M$37,3,FALSE),1)</f>
        <v>0.99330894324714125</v>
      </c>
      <c r="BY1046" s="2">
        <f>AVERAGE(Wapato_Inventory[[#This Row],[qual_adj]:[range_adj]])</f>
        <v>0.95060092818817987</v>
      </c>
      <c r="BZ1046" s="7">
        <f>(Wapato_Inventory[[#This Row],[sum_land]]-IF(Wapato_Inventory[[#This Row],[no_utilities]]=1,12000,0))/IF(Wapato_Inventory[[#This Row],[unbuildable]]=1,2,1)</f>
        <v>53800</v>
      </c>
      <c r="CA1046" s="7">
        <f>Wapato_Inventory[[#This Row],[pre_res]]*Wapato_Inventory[[#This Row],[overall_adj]]</f>
        <v>205659.37617463156</v>
      </c>
      <c r="CB1046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46" s="3">
        <f>IF(ROUND(Wapato_Inventory[[#This Row],[adj_res]]*Lookups!$H$48,-2)&lt;Wapato_Inventory[[#This Row],[min_res]],Wapato_Inventory[[#This Row],[min_res]],ROUND(Wapato_Inventory[[#This Row],[adj_res]]*Lookups!$H$48,-2))</f>
        <v>195400</v>
      </c>
      <c r="CD1046" s="3">
        <f>ROUND(Wapato_Inventory[[#This Row],[det_value]]*Lookups!$H$48,-2)</f>
        <v>6100</v>
      </c>
      <c r="CE1046" s="3">
        <f>Wapato_Inventory[[#This Row],[final_res]]+Wapato_Inventory[[#This Row],[final_det]]</f>
        <v>201500</v>
      </c>
      <c r="CF1046" s="3">
        <f>Wapato_Inventory[[#This Row],[crop_value]]+Wapato_Inventory[[#This Row],[final_land]]+Wapato_Inventory[[#This Row],[final_imp]]</f>
        <v>252600</v>
      </c>
      <c r="CH1046" t="str">
        <f t="shared" si="16"/>
        <v>update valuation set market_land =51100, market_bldg=201500, market_total =252600, market_mdno =405, market_date ='9/10/2023' where link_id = (select link_id from parcel where parcel_year = '2024' and parcel_id = '19111524414');</v>
      </c>
    </row>
    <row r="1047" spans="1:86" x14ac:dyDescent="0.25">
      <c r="A1047">
        <v>19111524415</v>
      </c>
      <c r="B1047">
        <v>0.19</v>
      </c>
      <c r="C1047">
        <v>8283</v>
      </c>
      <c r="D1047" t="s">
        <v>144</v>
      </c>
      <c r="E1047" t="s">
        <v>54</v>
      </c>
      <c r="F1047" t="s">
        <v>54</v>
      </c>
      <c r="G1047">
        <v>3</v>
      </c>
      <c r="H1047" t="s">
        <v>55</v>
      </c>
      <c r="I1047">
        <v>177600</v>
      </c>
      <c r="J1047">
        <v>34100</v>
      </c>
      <c r="K1047">
        <v>0.19</v>
      </c>
      <c r="L1047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47">
        <v>0</v>
      </c>
      <c r="N1047">
        <v>0</v>
      </c>
      <c r="O1047">
        <v>0</v>
      </c>
      <c r="P1047">
        <v>27904.037</v>
      </c>
      <c r="Q1047">
        <v>74398</v>
      </c>
      <c r="R1047" s="3">
        <f>(Wapato_Inventory[[#This Row],[ln_acres]]*Wapato_Inventory[[#This Row],[coeff]])+Wapato_Inventory[[#This Row],[const]]</f>
        <v>28056.894957794</v>
      </c>
      <c r="S1047" t="s">
        <v>66</v>
      </c>
      <c r="T1047">
        <v>1</v>
      </c>
      <c r="U1047" t="s">
        <v>75</v>
      </c>
      <c r="V1047" t="s">
        <v>68</v>
      </c>
      <c r="W1047">
        <v>0</v>
      </c>
      <c r="X1047">
        <v>0</v>
      </c>
      <c r="Y1047">
        <v>50</v>
      </c>
      <c r="Z1047">
        <v>74</v>
      </c>
      <c r="AA1047">
        <v>80</v>
      </c>
      <c r="AB1047">
        <v>1500</v>
      </c>
      <c r="AC1047">
        <v>1387</v>
      </c>
      <c r="AD1047">
        <v>1387</v>
      </c>
      <c r="AE1047">
        <v>0</v>
      </c>
      <c r="AF1047">
        <v>0</v>
      </c>
      <c r="AG1047">
        <v>0</v>
      </c>
      <c r="AH1047">
        <v>0</v>
      </c>
      <c r="AI1047">
        <v>0</v>
      </c>
      <c r="AJ1047">
        <v>0</v>
      </c>
      <c r="AK1047">
        <v>320</v>
      </c>
      <c r="AL1047">
        <v>0</v>
      </c>
      <c r="AM1047">
        <v>426</v>
      </c>
      <c r="AN1047">
        <v>60</v>
      </c>
      <c r="AO1047">
        <v>306</v>
      </c>
      <c r="AP1047">
        <v>7</v>
      </c>
      <c r="AQ1047">
        <v>1</v>
      </c>
      <c r="AR1047">
        <v>0</v>
      </c>
      <c r="AS1047" t="s">
        <v>59</v>
      </c>
      <c r="AT1047">
        <v>1</v>
      </c>
      <c r="AU1047" t="s">
        <v>64</v>
      </c>
      <c r="AV1047" t="s">
        <v>65</v>
      </c>
      <c r="AW1047">
        <v>0</v>
      </c>
      <c r="AX1047">
        <v>3</v>
      </c>
      <c r="AY1047">
        <v>0</v>
      </c>
      <c r="AZ1047">
        <v>9600</v>
      </c>
      <c r="BA1047">
        <v>100</v>
      </c>
      <c r="BB1047">
        <v>100</v>
      </c>
      <c r="BC1047">
        <v>100</v>
      </c>
      <c r="BD1047">
        <v>100</v>
      </c>
      <c r="BE1047">
        <v>1</v>
      </c>
      <c r="BF1047">
        <v>15000</v>
      </c>
      <c r="BG1047">
        <v>1000</v>
      </c>
      <c r="BH1047" s="7">
        <f>ROUND(Wapato_Inventory[[#This Row],[detatched_value]]*Lookups!$B$22*Lookups!$H$48,-2)</f>
        <v>8600</v>
      </c>
      <c r="BI1047" s="7">
        <f>ROUND(((Wapato_Inventory[[#This Row],[land_extract]]*Lookups!$B$3) +(Lookups!$B$2*0.5))*Lookups!$H$48,-2)</f>
        <v>53800</v>
      </c>
      <c r="BJ1047" s="7">
        <f>IF(Wapato_Inventory[[#This Row],[bldg_style]]="",0,Lookups!$B$2*0.5)</f>
        <v>53765.27</v>
      </c>
      <c r="BK1047" s="7">
        <f>_xlfn.IFNA(VLOOKUP(Wapato_Inventory[[#This Row],[quality]],Lookups!$H$2:$J$14,3,FALSE),0)</f>
        <v>48043</v>
      </c>
      <c r="BL1047" s="7">
        <f>_xlfn.IFNA(VLOOKUP(Wapato_Inventory[[#This Row],[condition]],Lookups!$H$17:$J$24,3,FALSE),0)</f>
        <v>52231</v>
      </c>
      <c r="BM1047" s="7">
        <f>Wapato_Inventory[[#This Row],[Age]]*Lookups!$B$16</f>
        <v>-27430.001800000002</v>
      </c>
      <c r="BN1047" s="7">
        <f>Wapato_Inventory[[#This Row],[Main Floor]]*Lookups!$B$17</f>
        <v>57977.624992999998</v>
      </c>
      <c r="BO1047" s="7">
        <f>Wapato_Inventory[[#This Row],[Upper Floor]]*Lookups!$B$18</f>
        <v>0</v>
      </c>
      <c r="BP1047" s="7">
        <f>Wapato_Inventory[[#This Row],[Fin BSMT]]*Lookups!$B$19</f>
        <v>0</v>
      </c>
      <c r="BQ1047" s="7">
        <f>(Wapato_Inventory[[#This Row],[att_gar]]+Wapato_Inventory[[#This Row],[blt_gar]])*Lookups!$B$20</f>
        <v>0</v>
      </c>
      <c r="BR1047" s="7">
        <f>Wapato_Inventory[[#This Row],[Patio]]*Lookups!$B$21</f>
        <v>18456.015054</v>
      </c>
      <c r="BS1047" s="7">
        <f>SUM(Wapato_Inventory[[#This Row],[intercept]:[patio_value]])*Wapato_Inventory[[#This Row],[res_pct]]</f>
        <v>203042.90824699998</v>
      </c>
      <c r="BT1047" s="7">
        <f>Wapato_Inventory[[#This Row],[land_value]]</f>
        <v>53800</v>
      </c>
      <c r="BU1047" s="2">
        <f>_xlfn.IFNA(VLOOKUP(Wapato_Inventory[[#This Row],[quality]],Lookups!$A$28:$C$37,3,FALSE),1)</f>
        <v>0.98196844879778955</v>
      </c>
      <c r="BV1047" s="2">
        <f>_xlfn.IFNA(VLOOKUP(Wapato_Inventory[[#This Row],[condition]],Lookups!$A$41:$C$48,3,FALSE),1)</f>
        <v>0.9832333997567807</v>
      </c>
      <c r="BW1047" s="2">
        <f>IF(Wapato_Inventory[[#This Row],[decade]]="",1,_xlfn.IFNA(VLOOKUP(Wapato_Inventory[[#This Row],[decade]],Lookups!$F$28:$H$45,3,FALSE),1))</f>
        <v>0.8438929209510081</v>
      </c>
      <c r="BX1047" s="2">
        <f>_xlfn.IFNA(VLOOKUP(Wapato_Inventory[[#This Row],[living_area_range]],Lookups!$K$28:$M$37,3,FALSE),1)</f>
        <v>1.0061411172456287</v>
      </c>
      <c r="BY1047" s="2">
        <f>AVERAGE(Wapato_Inventory[[#This Row],[qual_adj]:[range_adj]])</f>
        <v>0.95380897168780177</v>
      </c>
      <c r="BZ1047" s="7">
        <f>(Wapato_Inventory[[#This Row],[sum_land]]-IF(Wapato_Inventory[[#This Row],[no_utilities]]=1,12000,0))/IF(Wapato_Inventory[[#This Row],[unbuildable]]=1,2,1)</f>
        <v>53800</v>
      </c>
      <c r="CA1047" s="7">
        <f>Wapato_Inventory[[#This Row],[pre_res]]*Wapato_Inventory[[#This Row],[overall_adj]]</f>
        <v>193664.14752357174</v>
      </c>
      <c r="CB1047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47" s="3">
        <f>IF(ROUND(Wapato_Inventory[[#This Row],[adj_res]]*Lookups!$H$48,-2)&lt;Wapato_Inventory[[#This Row],[min_res]],Wapato_Inventory[[#This Row],[min_res]],ROUND(Wapato_Inventory[[#This Row],[adj_res]]*Lookups!$H$48,-2))</f>
        <v>184000</v>
      </c>
      <c r="CD1047" s="3">
        <f>ROUND(Wapato_Inventory[[#This Row],[det_value]]*Lookups!$H$48,-2)</f>
        <v>8200</v>
      </c>
      <c r="CE1047" s="3">
        <f>Wapato_Inventory[[#This Row],[final_res]]+Wapato_Inventory[[#This Row],[final_det]]</f>
        <v>192200</v>
      </c>
      <c r="CF1047" s="3">
        <f>Wapato_Inventory[[#This Row],[crop_value]]+Wapato_Inventory[[#This Row],[final_land]]+Wapato_Inventory[[#This Row],[final_imp]]</f>
        <v>243300</v>
      </c>
      <c r="CH1047" t="str">
        <f t="shared" si="16"/>
        <v>update valuation set market_land =51100, market_bldg=192200, market_total =243300, market_mdno =405, market_date ='9/10/2023' where link_id = (select link_id from parcel where parcel_year = '2024' and parcel_id = '19111524415');</v>
      </c>
    </row>
    <row r="1048" spans="1:86" x14ac:dyDescent="0.25">
      <c r="A1048">
        <v>19111524416</v>
      </c>
      <c r="B1048">
        <v>0.18</v>
      </c>
      <c r="C1048">
        <v>8052</v>
      </c>
      <c r="D1048" t="s">
        <v>144</v>
      </c>
      <c r="E1048" t="s">
        <v>54</v>
      </c>
      <c r="F1048" t="s">
        <v>54</v>
      </c>
      <c r="G1048">
        <v>3</v>
      </c>
      <c r="H1048" t="s">
        <v>55</v>
      </c>
      <c r="I1048">
        <v>166300</v>
      </c>
      <c r="J1048">
        <v>33700</v>
      </c>
      <c r="K1048">
        <v>0.18</v>
      </c>
      <c r="L1048">
        <f>IF(Wapato_Inventory[[#This Row],[parcel_acres]]-Wapato_Inventory[[#This Row],[non_valued_acres]] =0,0,LN(Wapato_Inventory[[#This Row],[parcel_acres]]-Wapato_Inventory[[#This Row],[non_valued_acres]]))</f>
        <v>-1.7147984280919266</v>
      </c>
      <c r="M1048">
        <v>0</v>
      </c>
      <c r="N1048">
        <v>0</v>
      </c>
      <c r="O1048">
        <v>0</v>
      </c>
      <c r="P1048">
        <v>27904.037</v>
      </c>
      <c r="Q1048">
        <v>74398</v>
      </c>
      <c r="R1048" s="3">
        <f>(Wapato_Inventory[[#This Row],[ln_acres]]*Wapato_Inventory[[#This Row],[coeff]])+Wapato_Inventory[[#This Row],[const]]</f>
        <v>26548.20121498104</v>
      </c>
      <c r="S1048" t="s">
        <v>66</v>
      </c>
      <c r="T1048">
        <v>1</v>
      </c>
      <c r="U1048" t="s">
        <v>75</v>
      </c>
      <c r="V1048" t="s">
        <v>68</v>
      </c>
      <c r="W1048">
        <v>0</v>
      </c>
      <c r="X1048">
        <v>0</v>
      </c>
      <c r="Y1048">
        <v>50</v>
      </c>
      <c r="Z1048">
        <v>74</v>
      </c>
      <c r="AA1048">
        <v>80</v>
      </c>
      <c r="AB1048">
        <v>1500</v>
      </c>
      <c r="AC1048">
        <v>1424</v>
      </c>
      <c r="AD1048">
        <v>1424</v>
      </c>
      <c r="AE1048">
        <v>0</v>
      </c>
      <c r="AF1048">
        <v>0</v>
      </c>
      <c r="AG1048">
        <v>0</v>
      </c>
      <c r="AH1048">
        <v>0</v>
      </c>
      <c r="AI1048">
        <v>0</v>
      </c>
      <c r="AJ1048">
        <v>0</v>
      </c>
      <c r="AK1048">
        <v>252</v>
      </c>
      <c r="AL1048">
        <v>0</v>
      </c>
      <c r="AM1048">
        <v>216</v>
      </c>
      <c r="AN1048">
        <v>70</v>
      </c>
      <c r="AO1048">
        <v>216</v>
      </c>
      <c r="AP1048">
        <v>8</v>
      </c>
      <c r="AQ1048">
        <v>0</v>
      </c>
      <c r="AR1048">
        <v>0</v>
      </c>
      <c r="AS1048" t="s">
        <v>59</v>
      </c>
      <c r="AT1048">
        <v>1</v>
      </c>
      <c r="AU1048" t="s">
        <v>64</v>
      </c>
      <c r="AV1048" t="s">
        <v>65</v>
      </c>
      <c r="AW1048">
        <v>0</v>
      </c>
      <c r="AX1048">
        <v>3</v>
      </c>
      <c r="AY1048">
        <v>0</v>
      </c>
      <c r="AZ1048">
        <v>0</v>
      </c>
      <c r="BA1048">
        <v>100</v>
      </c>
      <c r="BB1048">
        <v>100</v>
      </c>
      <c r="BC1048">
        <v>100</v>
      </c>
      <c r="BD1048">
        <v>100</v>
      </c>
      <c r="BE1048">
        <v>1</v>
      </c>
      <c r="BF1048">
        <v>15000</v>
      </c>
      <c r="BG1048">
        <v>1000</v>
      </c>
      <c r="BH1048" s="7">
        <f>ROUND(Wapato_Inventory[[#This Row],[detatched_value]]*Lookups!$B$22*Lookups!$H$48,-2)</f>
        <v>0</v>
      </c>
      <c r="BI1048" s="7">
        <f>ROUND(((Wapato_Inventory[[#This Row],[land_extract]]*Lookups!$B$3) +(Lookups!$B$2*0.5))*Lookups!$H$48,-2)</f>
        <v>53600</v>
      </c>
      <c r="BJ1048" s="7">
        <f>IF(Wapato_Inventory[[#This Row],[bldg_style]]="",0,Lookups!$B$2*0.5)</f>
        <v>53765.27</v>
      </c>
      <c r="BK1048" s="7">
        <f>_xlfn.IFNA(VLOOKUP(Wapato_Inventory[[#This Row],[quality]],Lookups!$H$2:$J$14,3,FALSE),0)</f>
        <v>48043</v>
      </c>
      <c r="BL1048" s="7">
        <f>_xlfn.IFNA(VLOOKUP(Wapato_Inventory[[#This Row],[condition]],Lookups!$H$17:$J$24,3,FALSE),0)</f>
        <v>52231</v>
      </c>
      <c r="BM1048" s="7">
        <f>Wapato_Inventory[[#This Row],[Age]]*Lookups!$B$16</f>
        <v>-27430.001800000002</v>
      </c>
      <c r="BN1048" s="7">
        <f>Wapato_Inventory[[#This Row],[Main Floor]]*Lookups!$B$17</f>
        <v>59524.252335999998</v>
      </c>
      <c r="BO1048" s="7">
        <f>Wapato_Inventory[[#This Row],[Upper Floor]]*Lookups!$B$18</f>
        <v>0</v>
      </c>
      <c r="BP1048" s="7">
        <f>Wapato_Inventory[[#This Row],[Fin BSMT]]*Lookups!$B$19</f>
        <v>0</v>
      </c>
      <c r="BQ1048" s="7">
        <f>(Wapato_Inventory[[#This Row],[att_gar]]+Wapato_Inventory[[#This Row],[blt_gar]])*Lookups!$B$20</f>
        <v>0</v>
      </c>
      <c r="BR1048" s="7">
        <f>Wapato_Inventory[[#This Row],[Patio]]*Lookups!$B$21</f>
        <v>9357.979464</v>
      </c>
      <c r="BS1048" s="7">
        <f>SUM(Wapato_Inventory[[#This Row],[intercept]:[patio_value]])*Wapato_Inventory[[#This Row],[res_pct]]</f>
        <v>195491.5</v>
      </c>
      <c r="BT1048" s="7">
        <f>Wapato_Inventory[[#This Row],[land_value]]</f>
        <v>53600</v>
      </c>
      <c r="BU1048" s="2">
        <f>_xlfn.IFNA(VLOOKUP(Wapato_Inventory[[#This Row],[quality]],Lookups!$A$28:$C$37,3,FALSE),1)</f>
        <v>0.98196844879778955</v>
      </c>
      <c r="BV1048" s="2">
        <f>_xlfn.IFNA(VLOOKUP(Wapato_Inventory[[#This Row],[condition]],Lookups!$A$41:$C$48,3,FALSE),1)</f>
        <v>0.9832333997567807</v>
      </c>
      <c r="BW1048" s="2">
        <f>IF(Wapato_Inventory[[#This Row],[decade]]="",1,_xlfn.IFNA(VLOOKUP(Wapato_Inventory[[#This Row],[decade]],Lookups!$F$28:$H$45,3,FALSE),1))</f>
        <v>0.8438929209510081</v>
      </c>
      <c r="BX1048" s="2">
        <f>_xlfn.IFNA(VLOOKUP(Wapato_Inventory[[#This Row],[living_area_range]],Lookups!$K$28:$M$37,3,FALSE),1)</f>
        <v>1.0061411172456287</v>
      </c>
      <c r="BY1048" s="2">
        <f>AVERAGE(Wapato_Inventory[[#This Row],[qual_adj]:[range_adj]])</f>
        <v>0.95380897168780177</v>
      </c>
      <c r="BZ1048" s="7">
        <f>(Wapato_Inventory[[#This Row],[sum_land]]-IF(Wapato_Inventory[[#This Row],[no_utilities]]=1,12000,0))/IF(Wapato_Inventory[[#This Row],[unbuildable]]=1,2,1)</f>
        <v>53600</v>
      </c>
      <c r="CA1048" s="7">
        <f>Wapato_Inventory[[#This Row],[pre_res]]*Wapato_Inventory[[#This Row],[overall_adj]]</f>
        <v>186461.54658870591</v>
      </c>
      <c r="CB1048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048" s="3">
        <f>IF(ROUND(Wapato_Inventory[[#This Row],[adj_res]]*Lookups!$H$48,-2)&lt;Wapato_Inventory[[#This Row],[min_res]],Wapato_Inventory[[#This Row],[min_res]],ROUND(Wapato_Inventory[[#This Row],[adj_res]]*Lookups!$H$48,-2))</f>
        <v>177100</v>
      </c>
      <c r="CD1048" s="3">
        <f>ROUND(Wapato_Inventory[[#This Row],[det_value]]*Lookups!$H$48,-2)</f>
        <v>0</v>
      </c>
      <c r="CE1048" s="3">
        <f>Wapato_Inventory[[#This Row],[final_res]]+Wapato_Inventory[[#This Row],[final_det]]</f>
        <v>177100</v>
      </c>
      <c r="CF1048" s="3">
        <f>Wapato_Inventory[[#This Row],[crop_value]]+Wapato_Inventory[[#This Row],[final_land]]+Wapato_Inventory[[#This Row],[final_imp]]</f>
        <v>228000</v>
      </c>
      <c r="CH1048" t="str">
        <f t="shared" si="16"/>
        <v>update valuation set market_land =50900, market_bldg=177100, market_total =228000, market_mdno =405, market_date ='9/10/2023' where link_id = (select link_id from parcel where parcel_year = '2024' and parcel_id = '19111524416');</v>
      </c>
    </row>
    <row r="1049" spans="1:86" x14ac:dyDescent="0.25">
      <c r="A1049">
        <v>19111524417</v>
      </c>
      <c r="B1049">
        <v>0.18</v>
      </c>
      <c r="C1049">
        <v>7744</v>
      </c>
      <c r="D1049" t="s">
        <v>144</v>
      </c>
      <c r="E1049" t="s">
        <v>54</v>
      </c>
      <c r="F1049" t="s">
        <v>54</v>
      </c>
      <c r="G1049">
        <v>3</v>
      </c>
      <c r="H1049" t="s">
        <v>55</v>
      </c>
      <c r="I1049">
        <v>128300</v>
      </c>
      <c r="J1049">
        <v>33700</v>
      </c>
      <c r="K1049">
        <v>0.18</v>
      </c>
      <c r="L1049">
        <f>IF(Wapato_Inventory[[#This Row],[parcel_acres]]-Wapato_Inventory[[#This Row],[non_valued_acres]] =0,0,LN(Wapato_Inventory[[#This Row],[parcel_acres]]-Wapato_Inventory[[#This Row],[non_valued_acres]]))</f>
        <v>-1.7147984280919266</v>
      </c>
      <c r="M1049">
        <v>0</v>
      </c>
      <c r="N1049">
        <v>0</v>
      </c>
      <c r="O1049">
        <v>0</v>
      </c>
      <c r="P1049">
        <v>27904.037</v>
      </c>
      <c r="Q1049">
        <v>74398</v>
      </c>
      <c r="R1049" s="3">
        <f>(Wapato_Inventory[[#This Row],[ln_acres]]*Wapato_Inventory[[#This Row],[coeff]])+Wapato_Inventory[[#This Row],[const]]</f>
        <v>26548.20121498104</v>
      </c>
      <c r="S1049" t="s">
        <v>66</v>
      </c>
      <c r="T1049">
        <v>1</v>
      </c>
      <c r="U1049" t="s">
        <v>75</v>
      </c>
      <c r="V1049" t="s">
        <v>68</v>
      </c>
      <c r="W1049">
        <v>0</v>
      </c>
      <c r="X1049">
        <v>0</v>
      </c>
      <c r="Y1049">
        <v>50</v>
      </c>
      <c r="Z1049">
        <v>74</v>
      </c>
      <c r="AA1049">
        <v>80</v>
      </c>
      <c r="AB1049">
        <v>1000</v>
      </c>
      <c r="AC1049">
        <v>750</v>
      </c>
      <c r="AD1049">
        <v>750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v>0</v>
      </c>
      <c r="AK1049">
        <v>0</v>
      </c>
      <c r="AL1049">
        <v>0</v>
      </c>
      <c r="AM1049">
        <v>328</v>
      </c>
      <c r="AN1049">
        <v>0</v>
      </c>
      <c r="AO1049">
        <v>0</v>
      </c>
      <c r="AP1049">
        <v>5</v>
      </c>
      <c r="AQ1049">
        <v>0</v>
      </c>
      <c r="AR1049">
        <v>0</v>
      </c>
      <c r="AS1049" t="s">
        <v>59</v>
      </c>
      <c r="AT1049">
        <v>1</v>
      </c>
      <c r="AU1049" t="s">
        <v>76</v>
      </c>
      <c r="AV1049" t="s">
        <v>61</v>
      </c>
      <c r="AW1049">
        <v>0</v>
      </c>
      <c r="AX1049">
        <v>2</v>
      </c>
      <c r="AY1049">
        <v>0</v>
      </c>
      <c r="AZ1049">
        <v>5900</v>
      </c>
      <c r="BA1049">
        <v>100</v>
      </c>
      <c r="BB1049">
        <v>100</v>
      </c>
      <c r="BC1049">
        <v>100</v>
      </c>
      <c r="BD1049">
        <v>100</v>
      </c>
      <c r="BE1049">
        <v>1</v>
      </c>
      <c r="BF1049">
        <v>15000</v>
      </c>
      <c r="BG1049">
        <v>1000</v>
      </c>
      <c r="BH1049" s="7">
        <f>ROUND(Wapato_Inventory[[#This Row],[detatched_value]]*Lookups!$B$22*Lookups!$H$48,-2)</f>
        <v>5300</v>
      </c>
      <c r="BI1049" s="7">
        <f>ROUND(((Wapato_Inventory[[#This Row],[land_extract]]*Lookups!$B$3) +(Lookups!$B$2*0.5))*Lookups!$H$48,-2)</f>
        <v>53600</v>
      </c>
      <c r="BJ1049" s="7">
        <f>IF(Wapato_Inventory[[#This Row],[bldg_style]]="",0,Lookups!$B$2*0.5)</f>
        <v>53765.27</v>
      </c>
      <c r="BK1049" s="7">
        <f>_xlfn.IFNA(VLOOKUP(Wapato_Inventory[[#This Row],[quality]],Lookups!$H$2:$J$14,3,FALSE),0)</f>
        <v>48043</v>
      </c>
      <c r="BL1049" s="7">
        <f>_xlfn.IFNA(VLOOKUP(Wapato_Inventory[[#This Row],[condition]],Lookups!$H$17:$J$24,3,FALSE),0)</f>
        <v>52231</v>
      </c>
      <c r="BM1049" s="7">
        <f>Wapato_Inventory[[#This Row],[Age]]*Lookups!$B$16</f>
        <v>-27430.001800000002</v>
      </c>
      <c r="BN1049" s="7">
        <f>Wapato_Inventory[[#This Row],[Main Floor]]*Lookups!$B$17</f>
        <v>31350.554250000001</v>
      </c>
      <c r="BO1049" s="7">
        <f>Wapato_Inventory[[#This Row],[Upper Floor]]*Lookups!$B$18</f>
        <v>0</v>
      </c>
      <c r="BP1049" s="7">
        <f>Wapato_Inventory[[#This Row],[Fin BSMT]]*Lookups!$B$19</f>
        <v>0</v>
      </c>
      <c r="BQ1049" s="7">
        <f>(Wapato_Inventory[[#This Row],[att_gar]]+Wapato_Inventory[[#This Row],[blt_gar]])*Lookups!$B$20</f>
        <v>0</v>
      </c>
      <c r="BR1049" s="7">
        <f>Wapato_Inventory[[#This Row],[Patio]]*Lookups!$B$21</f>
        <v>14210.265112000001</v>
      </c>
      <c r="BS1049" s="7">
        <f>SUM(Wapato_Inventory[[#This Row],[intercept]:[patio_value]])*Wapato_Inventory[[#This Row],[res_pct]]</f>
        <v>172170.08756199997</v>
      </c>
      <c r="BT1049" s="7">
        <f>Wapato_Inventory[[#This Row],[land_value]]</f>
        <v>53600</v>
      </c>
      <c r="BU1049" s="2">
        <f>_xlfn.IFNA(VLOOKUP(Wapato_Inventory[[#This Row],[quality]],Lookups!$A$28:$C$37,3,FALSE),1)</f>
        <v>0.98196844879778955</v>
      </c>
      <c r="BV1049" s="2">
        <f>_xlfn.IFNA(VLOOKUP(Wapato_Inventory[[#This Row],[condition]],Lookups!$A$41:$C$48,3,FALSE),1)</f>
        <v>0.9832333997567807</v>
      </c>
      <c r="BW1049" s="2">
        <f>IF(Wapato_Inventory[[#This Row],[decade]]="",1,_xlfn.IFNA(VLOOKUP(Wapato_Inventory[[#This Row],[decade]],Lookups!$F$28:$H$45,3,FALSE),1))</f>
        <v>0.8438929209510081</v>
      </c>
      <c r="BX1049" s="2">
        <f>_xlfn.IFNA(VLOOKUP(Wapato_Inventory[[#This Row],[living_area_range]],Lookups!$K$28:$M$37,3,FALSE),1)</f>
        <v>0.99022994770196116</v>
      </c>
      <c r="BY1049" s="2">
        <f>AVERAGE(Wapato_Inventory[[#This Row],[qual_adj]:[range_adj]])</f>
        <v>0.94983117930188488</v>
      </c>
      <c r="BZ1049" s="7">
        <f>(Wapato_Inventory[[#This Row],[sum_land]]-IF(Wapato_Inventory[[#This Row],[no_utilities]]=1,12000,0))/IF(Wapato_Inventory[[#This Row],[unbuildable]]=1,2,1)</f>
        <v>53600</v>
      </c>
      <c r="CA1049" s="7">
        <f>Wapato_Inventory[[#This Row],[pre_res]]*Wapato_Inventory[[#This Row],[overall_adj]]</f>
        <v>163532.51730952322</v>
      </c>
      <c r="CB1049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049" s="3">
        <f>IF(ROUND(Wapato_Inventory[[#This Row],[adj_res]]*Lookups!$H$48,-2)&lt;Wapato_Inventory[[#This Row],[min_res]],Wapato_Inventory[[#This Row],[min_res]],ROUND(Wapato_Inventory[[#This Row],[adj_res]]*Lookups!$H$48,-2))</f>
        <v>155400</v>
      </c>
      <c r="CD1049" s="3">
        <f>ROUND(Wapato_Inventory[[#This Row],[det_value]]*Lookups!$H$48,-2)</f>
        <v>5000</v>
      </c>
      <c r="CE1049" s="3">
        <f>Wapato_Inventory[[#This Row],[final_res]]+Wapato_Inventory[[#This Row],[final_det]]</f>
        <v>160400</v>
      </c>
      <c r="CF1049" s="3">
        <f>Wapato_Inventory[[#This Row],[crop_value]]+Wapato_Inventory[[#This Row],[final_land]]+Wapato_Inventory[[#This Row],[final_imp]]</f>
        <v>211300</v>
      </c>
      <c r="CH1049" t="str">
        <f t="shared" si="16"/>
        <v>update valuation set market_land =50900, market_bldg=160400, market_total =211300, market_mdno =405, market_date ='9/10/2023' where link_id = (select link_id from parcel where parcel_year = '2024' and parcel_id = '19111524417');</v>
      </c>
    </row>
    <row r="1050" spans="1:86" x14ac:dyDescent="0.25">
      <c r="A1050">
        <v>19111524418</v>
      </c>
      <c r="B1050">
        <v>0.17</v>
      </c>
      <c r="C1050">
        <v>7359</v>
      </c>
      <c r="D1050" t="s">
        <v>144</v>
      </c>
      <c r="E1050" t="s">
        <v>54</v>
      </c>
      <c r="F1050" t="s">
        <v>54</v>
      </c>
      <c r="G1050">
        <v>3</v>
      </c>
      <c r="H1050" t="s">
        <v>55</v>
      </c>
      <c r="I1050">
        <v>112500</v>
      </c>
      <c r="J1050">
        <v>33200</v>
      </c>
      <c r="K1050">
        <v>0.17</v>
      </c>
      <c r="L1050">
        <f>IF(Wapato_Inventory[[#This Row],[parcel_acres]]-Wapato_Inventory[[#This Row],[non_valued_acres]] =0,0,LN(Wapato_Inventory[[#This Row],[parcel_acres]]-Wapato_Inventory[[#This Row],[non_valued_acres]]))</f>
        <v>-1.7719568419318752</v>
      </c>
      <c r="M1050">
        <v>0</v>
      </c>
      <c r="N1050">
        <v>0</v>
      </c>
      <c r="O1050">
        <v>0</v>
      </c>
      <c r="P1050">
        <v>27904.037</v>
      </c>
      <c r="Q1050">
        <v>74398</v>
      </c>
      <c r="R1050" s="3">
        <f>(Wapato_Inventory[[#This Row],[ln_acres]]*Wapato_Inventory[[#This Row],[coeff]])+Wapato_Inventory[[#This Row],[const]]</f>
        <v>24953.250720329801</v>
      </c>
      <c r="S1050" t="s">
        <v>66</v>
      </c>
      <c r="T1050">
        <v>1</v>
      </c>
      <c r="U1050" t="s">
        <v>71</v>
      </c>
      <c r="V1050" t="s">
        <v>68</v>
      </c>
      <c r="W1050">
        <v>0</v>
      </c>
      <c r="X1050">
        <v>0</v>
      </c>
      <c r="Y1050">
        <v>50</v>
      </c>
      <c r="Z1050">
        <v>73</v>
      </c>
      <c r="AA1050">
        <v>80</v>
      </c>
      <c r="AB1050">
        <v>1000</v>
      </c>
      <c r="AC1050">
        <v>772</v>
      </c>
      <c r="AD1050">
        <v>772</v>
      </c>
      <c r="AE1050">
        <v>0</v>
      </c>
      <c r="AF1050">
        <v>0</v>
      </c>
      <c r="AG1050">
        <v>0</v>
      </c>
      <c r="AH1050">
        <v>0</v>
      </c>
      <c r="AI1050">
        <v>0</v>
      </c>
      <c r="AJ1050">
        <v>0</v>
      </c>
      <c r="AK1050">
        <v>270</v>
      </c>
      <c r="AL1050">
        <v>0</v>
      </c>
      <c r="AM1050">
        <v>0</v>
      </c>
      <c r="AN1050">
        <v>0</v>
      </c>
      <c r="AO1050">
        <v>72</v>
      </c>
      <c r="AP1050">
        <v>5</v>
      </c>
      <c r="AQ1050">
        <v>1</v>
      </c>
      <c r="AR1050">
        <v>0</v>
      </c>
      <c r="AS1050" t="s">
        <v>59</v>
      </c>
      <c r="AT1050">
        <v>1</v>
      </c>
      <c r="AU1050" t="s">
        <v>64</v>
      </c>
      <c r="AV1050" t="s">
        <v>65</v>
      </c>
      <c r="AW1050">
        <v>0</v>
      </c>
      <c r="AX1050">
        <v>2</v>
      </c>
      <c r="AY1050">
        <v>0</v>
      </c>
      <c r="AZ1050">
        <v>5800</v>
      </c>
      <c r="BA1050">
        <v>100</v>
      </c>
      <c r="BB1050">
        <v>100</v>
      </c>
      <c r="BC1050">
        <v>100</v>
      </c>
      <c r="BD1050">
        <v>100</v>
      </c>
      <c r="BE1050">
        <v>1</v>
      </c>
      <c r="BF1050">
        <v>15000</v>
      </c>
      <c r="BG1050">
        <v>1000</v>
      </c>
      <c r="BH1050" s="7">
        <f>ROUND(Wapato_Inventory[[#This Row],[detatched_value]]*Lookups!$B$22*Lookups!$H$48,-2)</f>
        <v>5200</v>
      </c>
      <c r="BI1050" s="7">
        <f>ROUND(((Wapato_Inventory[[#This Row],[land_extract]]*Lookups!$B$3) +(Lookups!$B$2*0.5))*Lookups!$H$48,-2)</f>
        <v>53500</v>
      </c>
      <c r="BJ1050" s="7">
        <f>IF(Wapato_Inventory[[#This Row],[bldg_style]]="",0,Lookups!$B$2*0.5)</f>
        <v>53765.27</v>
      </c>
      <c r="BK1050" s="7">
        <f>_xlfn.IFNA(VLOOKUP(Wapato_Inventory[[#This Row],[quality]],Lookups!$H$2:$J$14,3,FALSE),0)</f>
        <v>28034</v>
      </c>
      <c r="BL1050" s="7">
        <f>_xlfn.IFNA(VLOOKUP(Wapato_Inventory[[#This Row],[condition]],Lookups!$H$17:$J$24,3,FALSE),0)</f>
        <v>52231</v>
      </c>
      <c r="BM1050" s="7">
        <f>Wapato_Inventory[[#This Row],[Age]]*Lookups!$B$16</f>
        <v>-27059.326100000002</v>
      </c>
      <c r="BN1050" s="7">
        <f>Wapato_Inventory[[#This Row],[Main Floor]]*Lookups!$B$17</f>
        <v>32270.170507999999</v>
      </c>
      <c r="BO1050" s="7">
        <f>Wapato_Inventory[[#This Row],[Upper Floor]]*Lookups!$B$18</f>
        <v>0</v>
      </c>
      <c r="BP1050" s="7">
        <f>Wapato_Inventory[[#This Row],[Fin BSMT]]*Lookups!$B$19</f>
        <v>0</v>
      </c>
      <c r="BQ1050" s="7">
        <f>(Wapato_Inventory[[#This Row],[att_gar]]+Wapato_Inventory[[#This Row],[blt_gar]])*Lookups!$B$20</f>
        <v>0</v>
      </c>
      <c r="BR1050" s="7">
        <f>Wapato_Inventory[[#This Row],[Patio]]*Lookups!$B$21</f>
        <v>0</v>
      </c>
      <c r="BS1050" s="7">
        <f>SUM(Wapato_Inventory[[#This Row],[intercept]:[patio_value]])*Wapato_Inventory[[#This Row],[res_pct]]</f>
        <v>139241.11440799999</v>
      </c>
      <c r="BT1050" s="7">
        <f>Wapato_Inventory[[#This Row],[land_value]]</f>
        <v>53500</v>
      </c>
      <c r="BU1050" s="2">
        <f>_xlfn.IFNA(VLOOKUP(Wapato_Inventory[[#This Row],[quality]],Lookups!$A$28:$C$37,3,FALSE),1)</f>
        <v>0.96265813922927435</v>
      </c>
      <c r="BV1050" s="2">
        <f>_xlfn.IFNA(VLOOKUP(Wapato_Inventory[[#This Row],[condition]],Lookups!$A$41:$C$48,3,FALSE),1)</f>
        <v>0.9832333997567807</v>
      </c>
      <c r="BW1050" s="2">
        <f>IF(Wapato_Inventory[[#This Row],[decade]]="",1,_xlfn.IFNA(VLOOKUP(Wapato_Inventory[[#This Row],[decade]],Lookups!$F$28:$H$45,3,FALSE),1))</f>
        <v>0.8438929209510081</v>
      </c>
      <c r="BX1050" s="2">
        <f>_xlfn.IFNA(VLOOKUP(Wapato_Inventory[[#This Row],[living_area_range]],Lookups!$K$28:$M$37,3,FALSE),1)</f>
        <v>0.99022994770196116</v>
      </c>
      <c r="BY1050" s="2">
        <f>AVERAGE(Wapato_Inventory[[#This Row],[qual_adj]:[range_adj]])</f>
        <v>0.94500360190975607</v>
      </c>
      <c r="BZ1050" s="7">
        <f>(Wapato_Inventory[[#This Row],[sum_land]]-IF(Wapato_Inventory[[#This Row],[no_utilities]]=1,12000,0))/IF(Wapato_Inventory[[#This Row],[unbuildable]]=1,2,1)</f>
        <v>53500</v>
      </c>
      <c r="CA1050" s="7">
        <f>Wapato_Inventory[[#This Row],[pre_res]]*Wapato_Inventory[[#This Row],[overall_adj]]</f>
        <v>131583.35464948844</v>
      </c>
      <c r="CB1050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050" s="3">
        <f>IF(ROUND(Wapato_Inventory[[#This Row],[adj_res]]*Lookups!$H$48,-2)&lt;Wapato_Inventory[[#This Row],[min_res]],Wapato_Inventory[[#This Row],[min_res]],ROUND(Wapato_Inventory[[#This Row],[adj_res]]*Lookups!$H$48,-2))</f>
        <v>125000</v>
      </c>
      <c r="CD1050" s="3">
        <f>ROUND(Wapato_Inventory[[#This Row],[det_value]]*Lookups!$H$48,-2)</f>
        <v>4900</v>
      </c>
      <c r="CE1050" s="3">
        <f>Wapato_Inventory[[#This Row],[final_res]]+Wapato_Inventory[[#This Row],[final_det]]</f>
        <v>129900</v>
      </c>
      <c r="CF1050" s="3">
        <f>Wapato_Inventory[[#This Row],[crop_value]]+Wapato_Inventory[[#This Row],[final_land]]+Wapato_Inventory[[#This Row],[final_imp]]</f>
        <v>180700</v>
      </c>
      <c r="CH1050" t="str">
        <f t="shared" si="16"/>
        <v>update valuation set market_land =50800, market_bldg=129900, market_total =180700, market_mdno =405, market_date ='9/10/2023' where link_id = (select link_id from parcel where parcel_year = '2024' and parcel_id = '19111524418');</v>
      </c>
    </row>
    <row r="1051" spans="1:86" x14ac:dyDescent="0.25">
      <c r="A1051">
        <v>19111524419</v>
      </c>
      <c r="B1051">
        <v>0.16</v>
      </c>
      <c r="C1051">
        <v>6886</v>
      </c>
      <c r="D1051" t="s">
        <v>144</v>
      </c>
      <c r="E1051" t="s">
        <v>54</v>
      </c>
      <c r="F1051" t="s">
        <v>54</v>
      </c>
      <c r="G1051">
        <v>3</v>
      </c>
      <c r="H1051" t="s">
        <v>55</v>
      </c>
      <c r="I1051">
        <v>90900</v>
      </c>
      <c r="J1051">
        <v>32800</v>
      </c>
      <c r="K1051">
        <v>0.16</v>
      </c>
      <c r="L1051">
        <f>IF(Wapato_Inventory[[#This Row],[parcel_acres]]-Wapato_Inventory[[#This Row],[non_valued_acres]] =0,0,LN(Wapato_Inventory[[#This Row],[parcel_acres]]-Wapato_Inventory[[#This Row],[non_valued_acres]]))</f>
        <v>-1.8325814637483102</v>
      </c>
      <c r="M1051">
        <v>0</v>
      </c>
      <c r="N1051">
        <v>0</v>
      </c>
      <c r="O1051">
        <v>0</v>
      </c>
      <c r="P1051">
        <v>27904.037</v>
      </c>
      <c r="Q1051">
        <v>74398</v>
      </c>
      <c r="R1051" s="3">
        <f>(Wapato_Inventory[[#This Row],[ln_acres]]*Wapato_Inventory[[#This Row],[coeff]])+Wapato_Inventory[[#This Row],[const]]</f>
        <v>23261.579030052992</v>
      </c>
      <c r="S1051" t="s">
        <v>66</v>
      </c>
      <c r="T1051">
        <v>1</v>
      </c>
      <c r="U1051" t="s">
        <v>71</v>
      </c>
      <c r="V1051" t="s">
        <v>73</v>
      </c>
      <c r="W1051">
        <v>0</v>
      </c>
      <c r="X1051">
        <v>0</v>
      </c>
      <c r="Y1051">
        <v>50</v>
      </c>
      <c r="Z1051">
        <v>73</v>
      </c>
      <c r="AA1051">
        <v>80</v>
      </c>
      <c r="AB1051">
        <v>1500</v>
      </c>
      <c r="AC1051">
        <v>1016</v>
      </c>
      <c r="AD1051">
        <v>1016</v>
      </c>
      <c r="AE1051">
        <v>0</v>
      </c>
      <c r="AF1051">
        <v>0</v>
      </c>
      <c r="AG1051">
        <v>0</v>
      </c>
      <c r="AH1051">
        <v>0</v>
      </c>
      <c r="AI1051">
        <v>0</v>
      </c>
      <c r="AJ1051">
        <v>0</v>
      </c>
      <c r="AK1051">
        <v>674</v>
      </c>
      <c r="AL1051">
        <v>0</v>
      </c>
      <c r="AM1051">
        <v>0</v>
      </c>
      <c r="AN1051">
        <v>0</v>
      </c>
      <c r="AO1051">
        <v>0</v>
      </c>
      <c r="AP1051">
        <v>5</v>
      </c>
      <c r="AQ1051">
        <v>0</v>
      </c>
      <c r="AR1051">
        <v>0</v>
      </c>
      <c r="AS1051" t="s">
        <v>59</v>
      </c>
      <c r="AT1051">
        <v>0</v>
      </c>
      <c r="AU1051" t="s">
        <v>80</v>
      </c>
      <c r="AV1051" t="s">
        <v>65</v>
      </c>
      <c r="AW1051">
        <v>0</v>
      </c>
      <c r="AX1051">
        <v>2</v>
      </c>
      <c r="AY1051">
        <v>0</v>
      </c>
      <c r="AZ1051">
        <v>7800</v>
      </c>
      <c r="BA1051">
        <v>100</v>
      </c>
      <c r="BB1051">
        <v>100</v>
      </c>
      <c r="BC1051">
        <v>100</v>
      </c>
      <c r="BD1051">
        <v>100</v>
      </c>
      <c r="BE1051">
        <v>1</v>
      </c>
      <c r="BF1051">
        <v>15000</v>
      </c>
      <c r="BG1051">
        <v>1000</v>
      </c>
      <c r="BH1051" s="7">
        <f>ROUND(Wapato_Inventory[[#This Row],[detatched_value]]*Lookups!$B$22*Lookups!$H$48,-2)</f>
        <v>7000</v>
      </c>
      <c r="BI1051" s="7">
        <f>ROUND(((Wapato_Inventory[[#This Row],[land_extract]]*Lookups!$B$3) +(Lookups!$B$2*0.5))*Lookups!$H$48,-2)</f>
        <v>53300</v>
      </c>
      <c r="BJ1051" s="7">
        <f>IF(Wapato_Inventory[[#This Row],[bldg_style]]="",0,Lookups!$B$2*0.5)</f>
        <v>53765.27</v>
      </c>
      <c r="BK1051" s="7">
        <f>_xlfn.IFNA(VLOOKUP(Wapato_Inventory[[#This Row],[quality]],Lookups!$H$2:$J$14,3,FALSE),0)</f>
        <v>28034</v>
      </c>
      <c r="BL1051" s="7">
        <f>_xlfn.IFNA(VLOOKUP(Wapato_Inventory[[#This Row],[condition]],Lookups!$H$17:$J$24,3,FALSE),0)</f>
        <v>16276</v>
      </c>
      <c r="BM1051" s="7">
        <f>Wapato_Inventory[[#This Row],[Age]]*Lookups!$B$16</f>
        <v>-27059.326100000002</v>
      </c>
      <c r="BN1051" s="7">
        <f>Wapato_Inventory[[#This Row],[Main Floor]]*Lookups!$B$17</f>
        <v>42469.550823999998</v>
      </c>
      <c r="BO1051" s="7">
        <f>Wapato_Inventory[[#This Row],[Upper Floor]]*Lookups!$B$18</f>
        <v>0</v>
      </c>
      <c r="BP1051" s="7">
        <f>Wapato_Inventory[[#This Row],[Fin BSMT]]*Lookups!$B$19</f>
        <v>0</v>
      </c>
      <c r="BQ1051" s="7">
        <f>(Wapato_Inventory[[#This Row],[att_gar]]+Wapato_Inventory[[#This Row],[blt_gar]])*Lookups!$B$20</f>
        <v>0</v>
      </c>
      <c r="BR1051" s="7">
        <f>Wapato_Inventory[[#This Row],[Patio]]*Lookups!$B$21</f>
        <v>0</v>
      </c>
      <c r="BS1051" s="7">
        <f>SUM(Wapato_Inventory[[#This Row],[intercept]:[patio_value]])*Wapato_Inventory[[#This Row],[res_pct]]</f>
        <v>113485.49472399999</v>
      </c>
      <c r="BT1051" s="7">
        <f>Wapato_Inventory[[#This Row],[land_value]]</f>
        <v>53300</v>
      </c>
      <c r="BU1051" s="2">
        <f>_xlfn.IFNA(VLOOKUP(Wapato_Inventory[[#This Row],[quality]],Lookups!$A$28:$C$37,3,FALSE),1)</f>
        <v>0.96265813922927435</v>
      </c>
      <c r="BV1051" s="2">
        <f>_xlfn.IFNA(VLOOKUP(Wapato_Inventory[[#This Row],[condition]],Lookups!$A$41:$C$48,3,FALSE),1)</f>
        <v>0.93399385491337139</v>
      </c>
      <c r="BW1051" s="2">
        <f>IF(Wapato_Inventory[[#This Row],[decade]]="",1,_xlfn.IFNA(VLOOKUP(Wapato_Inventory[[#This Row],[decade]],Lookups!$F$28:$H$45,3,FALSE),1))</f>
        <v>0.8438929209510081</v>
      </c>
      <c r="BX1051" s="2">
        <f>_xlfn.IFNA(VLOOKUP(Wapato_Inventory[[#This Row],[living_area_range]],Lookups!$K$28:$M$37,3,FALSE),1)</f>
        <v>1.0061411172456287</v>
      </c>
      <c r="BY1051" s="2">
        <f>AVERAGE(Wapato_Inventory[[#This Row],[qual_adj]:[range_adj]])</f>
        <v>0.93667150808482069</v>
      </c>
      <c r="BZ1051" s="7">
        <f>(Wapato_Inventory[[#This Row],[sum_land]]-IF(Wapato_Inventory[[#This Row],[no_utilities]]=1,12000,0))/IF(Wapato_Inventory[[#This Row],[unbuildable]]=1,2,1)</f>
        <v>53300</v>
      </c>
      <c r="CA1051" s="7">
        <f>Wapato_Inventory[[#This Row],[pre_res]]*Wapato_Inventory[[#This Row],[overall_adj]]</f>
        <v>106298.62948888104</v>
      </c>
      <c r="CB1051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1051" s="3">
        <f>IF(ROUND(Wapato_Inventory[[#This Row],[adj_res]]*Lookups!$H$48,-2)&lt;Wapato_Inventory[[#This Row],[min_res]],Wapato_Inventory[[#This Row],[min_res]],ROUND(Wapato_Inventory[[#This Row],[adj_res]]*Lookups!$H$48,-2))</f>
        <v>101000</v>
      </c>
      <c r="CD1051" s="3">
        <f>ROUND(Wapato_Inventory[[#This Row],[det_value]]*Lookups!$H$48,-2)</f>
        <v>6700</v>
      </c>
      <c r="CE1051" s="3">
        <f>Wapato_Inventory[[#This Row],[final_res]]+Wapato_Inventory[[#This Row],[final_det]]</f>
        <v>107700</v>
      </c>
      <c r="CF1051" s="3">
        <f>Wapato_Inventory[[#This Row],[crop_value]]+Wapato_Inventory[[#This Row],[final_land]]+Wapato_Inventory[[#This Row],[final_imp]]</f>
        <v>158300</v>
      </c>
      <c r="CH1051" t="str">
        <f t="shared" si="16"/>
        <v>update valuation set market_land =50600, market_bldg=107700, market_total =158300, market_mdno =405, market_date ='9/10/2023' where link_id = (select link_id from parcel where parcel_year = '2024' and parcel_id = '19111524419');</v>
      </c>
    </row>
    <row r="1052" spans="1:86" x14ac:dyDescent="0.25">
      <c r="A1052">
        <v>19111524420</v>
      </c>
      <c r="B1052">
        <v>0.15</v>
      </c>
      <c r="C1052">
        <v>6343</v>
      </c>
      <c r="D1052" t="s">
        <v>144</v>
      </c>
      <c r="E1052" t="s">
        <v>54</v>
      </c>
      <c r="F1052" t="s">
        <v>54</v>
      </c>
      <c r="G1052">
        <v>3</v>
      </c>
      <c r="H1052" t="s">
        <v>55</v>
      </c>
      <c r="I1052">
        <v>105200</v>
      </c>
      <c r="J1052">
        <v>32300</v>
      </c>
      <c r="K1052">
        <v>0.15</v>
      </c>
      <c r="L1052">
        <f>IF(Wapato_Inventory[[#This Row],[parcel_acres]]-Wapato_Inventory[[#This Row],[non_valued_acres]] =0,0,LN(Wapato_Inventory[[#This Row],[parcel_acres]]-Wapato_Inventory[[#This Row],[non_valued_acres]]))</f>
        <v>-1.8971199848858813</v>
      </c>
      <c r="M1052">
        <v>0</v>
      </c>
      <c r="N1052">
        <v>0</v>
      </c>
      <c r="O1052">
        <v>0</v>
      </c>
      <c r="P1052">
        <v>27904.037</v>
      </c>
      <c r="Q1052">
        <v>74398</v>
      </c>
      <c r="R1052" s="3">
        <f>(Wapato_Inventory[[#This Row],[ln_acres]]*Wapato_Inventory[[#This Row],[coeff]])+Wapato_Inventory[[#This Row],[const]]</f>
        <v>21460.693748304926</v>
      </c>
      <c r="S1052" t="s">
        <v>66</v>
      </c>
      <c r="T1052">
        <v>1</v>
      </c>
      <c r="U1052" t="s">
        <v>71</v>
      </c>
      <c r="V1052" t="s">
        <v>68</v>
      </c>
      <c r="W1052">
        <v>0</v>
      </c>
      <c r="X1052">
        <v>0</v>
      </c>
      <c r="Y1052">
        <v>50</v>
      </c>
      <c r="Z1052">
        <v>73</v>
      </c>
      <c r="AA1052">
        <v>80</v>
      </c>
      <c r="AB1052">
        <v>1000</v>
      </c>
      <c r="AC1052">
        <v>772</v>
      </c>
      <c r="AD1052">
        <v>772</v>
      </c>
      <c r="AE1052">
        <v>0</v>
      </c>
      <c r="AF1052">
        <v>0</v>
      </c>
      <c r="AG1052">
        <v>0</v>
      </c>
      <c r="AH1052">
        <v>0</v>
      </c>
      <c r="AI1052">
        <v>0</v>
      </c>
      <c r="AJ1052">
        <v>0</v>
      </c>
      <c r="AK1052">
        <v>288</v>
      </c>
      <c r="AL1052">
        <v>0</v>
      </c>
      <c r="AM1052">
        <v>530</v>
      </c>
      <c r="AN1052">
        <v>0</v>
      </c>
      <c r="AO1052">
        <v>434</v>
      </c>
      <c r="AP1052">
        <v>5</v>
      </c>
      <c r="AQ1052">
        <v>1</v>
      </c>
      <c r="AR1052">
        <v>0</v>
      </c>
      <c r="AS1052" t="s">
        <v>59</v>
      </c>
      <c r="AT1052">
        <v>1</v>
      </c>
      <c r="AU1052" t="s">
        <v>76</v>
      </c>
      <c r="AV1052" t="s">
        <v>61</v>
      </c>
      <c r="AW1052">
        <v>0</v>
      </c>
      <c r="AX1052">
        <v>2</v>
      </c>
      <c r="AY1052">
        <v>0</v>
      </c>
      <c r="AZ1052">
        <v>0</v>
      </c>
      <c r="BA1052">
        <v>100</v>
      </c>
      <c r="BB1052">
        <v>100</v>
      </c>
      <c r="BC1052">
        <v>100</v>
      </c>
      <c r="BD1052">
        <v>100</v>
      </c>
      <c r="BE1052">
        <v>1</v>
      </c>
      <c r="BF1052">
        <v>15000</v>
      </c>
      <c r="BG1052">
        <v>1000</v>
      </c>
      <c r="BH1052" s="7">
        <f>ROUND(Wapato_Inventory[[#This Row],[detatched_value]]*Lookups!$B$22*Lookups!$H$48,-2)</f>
        <v>0</v>
      </c>
      <c r="BI1052" s="7">
        <f>ROUND(((Wapato_Inventory[[#This Row],[land_extract]]*Lookups!$B$3) +(Lookups!$B$2*0.5))*Lookups!$H$48,-2)</f>
        <v>53100</v>
      </c>
      <c r="BJ1052" s="7">
        <f>IF(Wapato_Inventory[[#This Row],[bldg_style]]="",0,Lookups!$B$2*0.5)</f>
        <v>53765.27</v>
      </c>
      <c r="BK1052" s="7">
        <f>_xlfn.IFNA(VLOOKUP(Wapato_Inventory[[#This Row],[quality]],Lookups!$H$2:$J$14,3,FALSE),0)</f>
        <v>28034</v>
      </c>
      <c r="BL1052" s="7">
        <f>_xlfn.IFNA(VLOOKUP(Wapato_Inventory[[#This Row],[condition]],Lookups!$H$17:$J$24,3,FALSE),0)</f>
        <v>52231</v>
      </c>
      <c r="BM1052" s="7">
        <f>Wapato_Inventory[[#This Row],[Age]]*Lookups!$B$16</f>
        <v>-27059.326100000002</v>
      </c>
      <c r="BN1052" s="7">
        <f>Wapato_Inventory[[#This Row],[Main Floor]]*Lookups!$B$17</f>
        <v>32270.170507999999</v>
      </c>
      <c r="BO1052" s="7">
        <f>Wapato_Inventory[[#This Row],[Upper Floor]]*Lookups!$B$18</f>
        <v>0</v>
      </c>
      <c r="BP1052" s="7">
        <f>Wapato_Inventory[[#This Row],[Fin BSMT]]*Lookups!$B$19</f>
        <v>0</v>
      </c>
      <c r="BQ1052" s="7">
        <f>(Wapato_Inventory[[#This Row],[att_gar]]+Wapato_Inventory[[#This Row],[blt_gar]])*Lookups!$B$20</f>
        <v>0</v>
      </c>
      <c r="BR1052" s="7">
        <f>Wapato_Inventory[[#This Row],[Patio]]*Lookups!$B$21</f>
        <v>22961.708870000002</v>
      </c>
      <c r="BS1052" s="7">
        <f>SUM(Wapato_Inventory[[#This Row],[intercept]:[patio_value]])*Wapato_Inventory[[#This Row],[res_pct]]</f>
        <v>162202.823278</v>
      </c>
      <c r="BT1052" s="7">
        <f>Wapato_Inventory[[#This Row],[land_value]]</f>
        <v>53100</v>
      </c>
      <c r="BU1052" s="2">
        <f>_xlfn.IFNA(VLOOKUP(Wapato_Inventory[[#This Row],[quality]],Lookups!$A$28:$C$37,3,FALSE),1)</f>
        <v>0.96265813922927435</v>
      </c>
      <c r="BV1052" s="2">
        <f>_xlfn.IFNA(VLOOKUP(Wapato_Inventory[[#This Row],[condition]],Lookups!$A$41:$C$48,3,FALSE),1)</f>
        <v>0.9832333997567807</v>
      </c>
      <c r="BW1052" s="2">
        <f>IF(Wapato_Inventory[[#This Row],[decade]]="",1,_xlfn.IFNA(VLOOKUP(Wapato_Inventory[[#This Row],[decade]],Lookups!$F$28:$H$45,3,FALSE),1))</f>
        <v>0.8438929209510081</v>
      </c>
      <c r="BX1052" s="2">
        <f>_xlfn.IFNA(VLOOKUP(Wapato_Inventory[[#This Row],[living_area_range]],Lookups!$K$28:$M$37,3,FALSE),1)</f>
        <v>0.99022994770196116</v>
      </c>
      <c r="BY1052" s="2">
        <f>AVERAGE(Wapato_Inventory[[#This Row],[qual_adj]:[range_adj]])</f>
        <v>0.94500360190975607</v>
      </c>
      <c r="BZ1052" s="7">
        <f>(Wapato_Inventory[[#This Row],[sum_land]]-IF(Wapato_Inventory[[#This Row],[no_utilities]]=1,12000,0))/IF(Wapato_Inventory[[#This Row],[unbuildable]]=1,2,1)</f>
        <v>53100</v>
      </c>
      <c r="CA1052" s="7">
        <f>Wapato_Inventory[[#This Row],[pre_res]]*Wapato_Inventory[[#This Row],[overall_adj]]</f>
        <v>153282.25223764163</v>
      </c>
      <c r="CB105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052" s="3">
        <f>IF(ROUND(Wapato_Inventory[[#This Row],[adj_res]]*Lookups!$H$48,-2)&lt;Wapato_Inventory[[#This Row],[min_res]],Wapato_Inventory[[#This Row],[min_res]],ROUND(Wapato_Inventory[[#This Row],[adj_res]]*Lookups!$H$48,-2))</f>
        <v>145600</v>
      </c>
      <c r="CD1052" s="3">
        <f>ROUND(Wapato_Inventory[[#This Row],[det_value]]*Lookups!$H$48,-2)</f>
        <v>0</v>
      </c>
      <c r="CE1052" s="3">
        <f>Wapato_Inventory[[#This Row],[final_res]]+Wapato_Inventory[[#This Row],[final_det]]</f>
        <v>145600</v>
      </c>
      <c r="CF1052" s="3">
        <f>Wapato_Inventory[[#This Row],[crop_value]]+Wapato_Inventory[[#This Row],[final_land]]+Wapato_Inventory[[#This Row],[final_imp]]</f>
        <v>196000</v>
      </c>
      <c r="CH1052" t="str">
        <f t="shared" si="16"/>
        <v>update valuation set market_land =50400, market_bldg=145600, market_total =196000, market_mdno =405, market_date ='9/10/2023' where link_id = (select link_id from parcel where parcel_year = '2024' and parcel_id = '19111524420');</v>
      </c>
    </row>
    <row r="1053" spans="1:86" x14ac:dyDescent="0.25">
      <c r="A1053">
        <v>19111524421</v>
      </c>
      <c r="B1053">
        <v>0.2</v>
      </c>
      <c r="C1053">
        <v>8918</v>
      </c>
      <c r="D1053" t="s">
        <v>144</v>
      </c>
      <c r="E1053" t="s">
        <v>54</v>
      </c>
      <c r="F1053" t="s">
        <v>54</v>
      </c>
      <c r="G1053">
        <v>3</v>
      </c>
      <c r="H1053" t="s">
        <v>55</v>
      </c>
      <c r="I1053">
        <v>153500</v>
      </c>
      <c r="J1053">
        <v>34400</v>
      </c>
      <c r="K1053">
        <v>0.2</v>
      </c>
      <c r="L1053">
        <f>IF(Wapato_Inventory[[#This Row],[parcel_acres]]-Wapato_Inventory[[#This Row],[non_valued_acres]] =0,0,LN(Wapato_Inventory[[#This Row],[parcel_acres]]-Wapato_Inventory[[#This Row],[non_valued_acres]]))</f>
        <v>-1.6094379124341003</v>
      </c>
      <c r="M1053">
        <v>0</v>
      </c>
      <c r="N1053">
        <v>0</v>
      </c>
      <c r="O1053">
        <v>0</v>
      </c>
      <c r="P1053">
        <v>27904.037</v>
      </c>
      <c r="Q1053">
        <v>74398</v>
      </c>
      <c r="R1053" s="3">
        <f>(Wapato_Inventory[[#This Row],[ln_acres]]*Wapato_Inventory[[#This Row],[coeff]])+Wapato_Inventory[[#This Row],[const]]</f>
        <v>29488.184942236105</v>
      </c>
      <c r="S1053" t="s">
        <v>66</v>
      </c>
      <c r="T1053">
        <v>1</v>
      </c>
      <c r="U1053" t="s">
        <v>75</v>
      </c>
      <c r="V1053" t="s">
        <v>68</v>
      </c>
      <c r="W1053">
        <v>0</v>
      </c>
      <c r="X1053">
        <v>0</v>
      </c>
      <c r="Y1053">
        <v>50</v>
      </c>
      <c r="Z1053">
        <v>73</v>
      </c>
      <c r="AA1053">
        <v>80</v>
      </c>
      <c r="AB1053">
        <v>1500</v>
      </c>
      <c r="AC1053">
        <v>1024</v>
      </c>
      <c r="AD1053">
        <v>1024</v>
      </c>
      <c r="AE1053">
        <v>0</v>
      </c>
      <c r="AF1053">
        <v>0</v>
      </c>
      <c r="AG1053">
        <v>0</v>
      </c>
      <c r="AH1053">
        <v>0</v>
      </c>
      <c r="AI1053">
        <v>0</v>
      </c>
      <c r="AJ1053">
        <v>0</v>
      </c>
      <c r="AK1053">
        <v>0</v>
      </c>
      <c r="AL1053">
        <v>0</v>
      </c>
      <c r="AM1053">
        <v>340</v>
      </c>
      <c r="AN1053">
        <v>0</v>
      </c>
      <c r="AO1053">
        <v>28</v>
      </c>
      <c r="AP1053">
        <v>5</v>
      </c>
      <c r="AQ1053">
        <v>0</v>
      </c>
      <c r="AR1053">
        <v>1</v>
      </c>
      <c r="AS1053" t="s">
        <v>59</v>
      </c>
      <c r="AT1053">
        <v>1</v>
      </c>
      <c r="AU1053" t="s">
        <v>76</v>
      </c>
      <c r="AV1053" t="s">
        <v>61</v>
      </c>
      <c r="AW1053">
        <v>0</v>
      </c>
      <c r="AX1053">
        <v>2</v>
      </c>
      <c r="AY1053">
        <v>0</v>
      </c>
      <c r="AZ1053">
        <v>6200</v>
      </c>
      <c r="BA1053">
        <v>100</v>
      </c>
      <c r="BB1053">
        <v>100</v>
      </c>
      <c r="BC1053">
        <v>100</v>
      </c>
      <c r="BD1053">
        <v>100</v>
      </c>
      <c r="BE1053">
        <v>1</v>
      </c>
      <c r="BF1053">
        <v>15000</v>
      </c>
      <c r="BG1053">
        <v>1000</v>
      </c>
      <c r="BH1053" s="7">
        <f>ROUND(Wapato_Inventory[[#This Row],[detatched_value]]*Lookups!$B$22*Lookups!$H$48,-2)</f>
        <v>5500</v>
      </c>
      <c r="BI1053" s="7">
        <f>ROUND(((Wapato_Inventory[[#This Row],[land_extract]]*Lookups!$B$3) +(Lookups!$B$2*0.5))*Lookups!$H$48,-2)</f>
        <v>53900</v>
      </c>
      <c r="BJ1053" s="7">
        <f>IF(Wapato_Inventory[[#This Row],[bldg_style]]="",0,Lookups!$B$2*0.5)</f>
        <v>53765.27</v>
      </c>
      <c r="BK1053" s="7">
        <f>_xlfn.IFNA(VLOOKUP(Wapato_Inventory[[#This Row],[quality]],Lookups!$H$2:$J$14,3,FALSE),0)</f>
        <v>48043</v>
      </c>
      <c r="BL1053" s="7">
        <f>_xlfn.IFNA(VLOOKUP(Wapato_Inventory[[#This Row],[condition]],Lookups!$H$17:$J$24,3,FALSE),0)</f>
        <v>52231</v>
      </c>
      <c r="BM1053" s="7">
        <f>Wapato_Inventory[[#This Row],[Age]]*Lookups!$B$16</f>
        <v>-27059.326100000002</v>
      </c>
      <c r="BN1053" s="7">
        <f>Wapato_Inventory[[#This Row],[Main Floor]]*Lookups!$B$17</f>
        <v>42803.956736</v>
      </c>
      <c r="BO1053" s="7">
        <f>Wapato_Inventory[[#This Row],[Upper Floor]]*Lookups!$B$18</f>
        <v>0</v>
      </c>
      <c r="BP1053" s="7">
        <f>Wapato_Inventory[[#This Row],[Fin BSMT]]*Lookups!$B$19</f>
        <v>0</v>
      </c>
      <c r="BQ1053" s="7">
        <f>(Wapato_Inventory[[#This Row],[att_gar]]+Wapato_Inventory[[#This Row],[blt_gar]])*Lookups!$B$20</f>
        <v>0</v>
      </c>
      <c r="BR1053" s="7">
        <f>Wapato_Inventory[[#This Row],[Patio]]*Lookups!$B$21</f>
        <v>14730.15286</v>
      </c>
      <c r="BS1053" s="7">
        <f>SUM(Wapato_Inventory[[#This Row],[intercept]:[patio_value]])*Wapato_Inventory[[#This Row],[res_pct]]</f>
        <v>184514.05349599998</v>
      </c>
      <c r="BT1053" s="7">
        <f>Wapato_Inventory[[#This Row],[land_value]]</f>
        <v>53900</v>
      </c>
      <c r="BU1053" s="2">
        <f>_xlfn.IFNA(VLOOKUP(Wapato_Inventory[[#This Row],[quality]],Lookups!$A$28:$C$37,3,FALSE),1)</f>
        <v>0.98196844879778955</v>
      </c>
      <c r="BV1053" s="2">
        <f>_xlfn.IFNA(VLOOKUP(Wapato_Inventory[[#This Row],[condition]],Lookups!$A$41:$C$48,3,FALSE),1)</f>
        <v>0.9832333997567807</v>
      </c>
      <c r="BW1053" s="2">
        <f>IF(Wapato_Inventory[[#This Row],[decade]]="",1,_xlfn.IFNA(VLOOKUP(Wapato_Inventory[[#This Row],[decade]],Lookups!$F$28:$H$45,3,FALSE),1))</f>
        <v>0.8438929209510081</v>
      </c>
      <c r="BX1053" s="2">
        <f>_xlfn.IFNA(VLOOKUP(Wapato_Inventory[[#This Row],[living_area_range]],Lookups!$K$28:$M$37,3,FALSE),1)</f>
        <v>1.0061411172456287</v>
      </c>
      <c r="BY1053" s="2">
        <f>AVERAGE(Wapato_Inventory[[#This Row],[qual_adj]:[range_adj]])</f>
        <v>0.95380897168780177</v>
      </c>
      <c r="BZ1053" s="7">
        <f>(Wapato_Inventory[[#This Row],[sum_land]]-IF(Wapato_Inventory[[#This Row],[no_utilities]]=1,12000,0))/IF(Wapato_Inventory[[#This Row],[unbuildable]]=1,2,1)</f>
        <v>53900</v>
      </c>
      <c r="CA1053" s="7">
        <f>Wapato_Inventory[[#This Row],[pre_res]]*Wapato_Inventory[[#This Row],[overall_adj]]</f>
        <v>175991.1596269678</v>
      </c>
      <c r="CB1053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1053" s="3">
        <f>IF(ROUND(Wapato_Inventory[[#This Row],[adj_res]]*Lookups!$H$48,-2)&lt;Wapato_Inventory[[#This Row],[min_res]],Wapato_Inventory[[#This Row],[min_res]],ROUND(Wapato_Inventory[[#This Row],[adj_res]]*Lookups!$H$48,-2))</f>
        <v>167200</v>
      </c>
      <c r="CD1053" s="3">
        <f>ROUND(Wapato_Inventory[[#This Row],[det_value]]*Lookups!$H$48,-2)</f>
        <v>5200</v>
      </c>
      <c r="CE1053" s="3">
        <f>Wapato_Inventory[[#This Row],[final_res]]+Wapato_Inventory[[#This Row],[final_det]]</f>
        <v>172400</v>
      </c>
      <c r="CF1053" s="3">
        <f>Wapato_Inventory[[#This Row],[crop_value]]+Wapato_Inventory[[#This Row],[final_land]]+Wapato_Inventory[[#This Row],[final_imp]]</f>
        <v>223600</v>
      </c>
      <c r="CH1053" t="str">
        <f t="shared" si="16"/>
        <v>update valuation set market_land =51200, market_bldg=172400, market_total =223600, market_mdno =405, market_date ='9/10/2023' where link_id = (select link_id from parcel where parcel_year = '2024' and parcel_id = '19111524421');</v>
      </c>
    </row>
    <row r="1054" spans="1:86" x14ac:dyDescent="0.25">
      <c r="A1054">
        <v>19111524430</v>
      </c>
      <c r="B1054">
        <v>2.13</v>
      </c>
      <c r="C1054">
        <v>92789</v>
      </c>
      <c r="D1054" t="s">
        <v>144</v>
      </c>
      <c r="E1054" t="s">
        <v>54</v>
      </c>
      <c r="F1054" t="s">
        <v>54</v>
      </c>
      <c r="G1054">
        <v>3</v>
      </c>
      <c r="H1054" t="s">
        <v>55</v>
      </c>
      <c r="I1054">
        <v>119200</v>
      </c>
      <c r="J1054">
        <v>51300</v>
      </c>
      <c r="K1054">
        <v>2.13</v>
      </c>
      <c r="L1054">
        <f>IF(Wapato_Inventory[[#This Row],[parcel_acres]]-Wapato_Inventory[[#This Row],[non_valued_acres]] =0,0,LN(Wapato_Inventory[[#This Row],[parcel_acres]]-Wapato_Inventory[[#This Row],[non_valued_acres]]))</f>
        <v>0.75612197972133366</v>
      </c>
      <c r="M1054">
        <v>0</v>
      </c>
      <c r="N1054">
        <v>0</v>
      </c>
      <c r="O1054">
        <v>0</v>
      </c>
      <c r="P1054">
        <v>27904.037</v>
      </c>
      <c r="Q1054">
        <v>74398</v>
      </c>
      <c r="R1054" s="3">
        <f>(Wapato_Inventory[[#This Row],[ln_acres]]*Wapato_Inventory[[#This Row],[coeff]])+Wapato_Inventory[[#This Row],[const]]</f>
        <v>95496.855698657339</v>
      </c>
      <c r="S1054" t="s">
        <v>56</v>
      </c>
      <c r="T1054">
        <v>1</v>
      </c>
      <c r="U1054" t="s">
        <v>71</v>
      </c>
      <c r="V1054" t="s">
        <v>68</v>
      </c>
      <c r="W1054">
        <v>0</v>
      </c>
      <c r="X1054">
        <v>0</v>
      </c>
      <c r="Y1054">
        <v>48</v>
      </c>
      <c r="Z1054">
        <v>63</v>
      </c>
      <c r="AA1054">
        <v>70</v>
      </c>
      <c r="AB1054">
        <v>1000</v>
      </c>
      <c r="AC1054">
        <v>644</v>
      </c>
      <c r="AD1054">
        <v>276</v>
      </c>
      <c r="AE1054">
        <v>368</v>
      </c>
      <c r="AF1054">
        <v>0</v>
      </c>
      <c r="AG1054">
        <v>0</v>
      </c>
      <c r="AH1054">
        <v>0</v>
      </c>
      <c r="AI1054">
        <v>437</v>
      </c>
      <c r="AJ1054">
        <v>0</v>
      </c>
      <c r="AK1054">
        <v>0</v>
      </c>
      <c r="AL1054">
        <v>0</v>
      </c>
      <c r="AM1054">
        <v>92</v>
      </c>
      <c r="AN1054">
        <v>0</v>
      </c>
      <c r="AO1054">
        <v>276</v>
      </c>
      <c r="AP1054">
        <v>5</v>
      </c>
      <c r="AQ1054">
        <v>0</v>
      </c>
      <c r="AR1054">
        <v>0</v>
      </c>
      <c r="AS1054" t="s">
        <v>59</v>
      </c>
      <c r="AT1054">
        <v>1</v>
      </c>
      <c r="AU1054" t="s">
        <v>76</v>
      </c>
      <c r="AV1054" t="s">
        <v>61</v>
      </c>
      <c r="AW1054">
        <v>0</v>
      </c>
      <c r="AX1054">
        <v>2</v>
      </c>
      <c r="AY1054">
        <v>0</v>
      </c>
      <c r="AZ1054">
        <v>7700</v>
      </c>
      <c r="BA1054">
        <v>100</v>
      </c>
      <c r="BB1054">
        <v>100</v>
      </c>
      <c r="BC1054">
        <v>100</v>
      </c>
      <c r="BD1054">
        <v>100</v>
      </c>
      <c r="BE1054">
        <v>1</v>
      </c>
      <c r="BF1054">
        <v>15000</v>
      </c>
      <c r="BG1054">
        <v>1000</v>
      </c>
      <c r="BH1054" s="7">
        <f>ROUND(Wapato_Inventory[[#This Row],[detatched_value]]*Lookups!$B$22*Lookups!$H$48,-2)</f>
        <v>6900</v>
      </c>
      <c r="BI1054" s="7">
        <f>ROUND(((Wapato_Inventory[[#This Row],[land_extract]]*Lookups!$B$3) +(Lookups!$B$2*0.5))*Lookups!$H$48,-2)</f>
        <v>60300</v>
      </c>
      <c r="BJ1054" s="7">
        <f>IF(Wapato_Inventory[[#This Row],[bldg_style]]="",0,Lookups!$B$2*0.5)</f>
        <v>53765.27</v>
      </c>
      <c r="BK1054" s="7">
        <f>_xlfn.IFNA(VLOOKUP(Wapato_Inventory[[#This Row],[quality]],Lookups!$H$2:$J$14,3,FALSE),0)</f>
        <v>28034</v>
      </c>
      <c r="BL1054" s="7">
        <f>_xlfn.IFNA(VLOOKUP(Wapato_Inventory[[#This Row],[condition]],Lookups!$H$17:$J$24,3,FALSE),0)</f>
        <v>52231</v>
      </c>
      <c r="BM1054" s="7">
        <f>Wapato_Inventory[[#This Row],[Age]]*Lookups!$B$16</f>
        <v>-23352.569100000001</v>
      </c>
      <c r="BN1054" s="7">
        <f>Wapato_Inventory[[#This Row],[Main Floor]]*Lookups!$B$17</f>
        <v>11537.003964</v>
      </c>
      <c r="BO1054" s="7">
        <f>Wapato_Inventory[[#This Row],[Upper Floor]]*Lookups!$B$18</f>
        <v>18253.219152000001</v>
      </c>
      <c r="BP1054" s="7">
        <f>Wapato_Inventory[[#This Row],[Fin BSMT]]*Lookups!$B$19</f>
        <v>0</v>
      </c>
      <c r="BQ1054" s="7">
        <f>(Wapato_Inventory[[#This Row],[att_gar]]+Wapato_Inventory[[#This Row],[blt_gar]])*Lookups!$B$20</f>
        <v>16172.824624000001</v>
      </c>
      <c r="BR1054" s="7">
        <f>Wapato_Inventory[[#This Row],[Patio]]*Lookups!$B$21</f>
        <v>3985.8060680000003</v>
      </c>
      <c r="BS1054" s="7">
        <f>SUM(Wapato_Inventory[[#This Row],[intercept]:[patio_value]])*Wapato_Inventory[[#This Row],[res_pct]]</f>
        <v>160626.55470800001</v>
      </c>
      <c r="BT1054" s="7">
        <f>Wapato_Inventory[[#This Row],[land_value]]</f>
        <v>60300</v>
      </c>
      <c r="BU1054" s="2">
        <f>_xlfn.IFNA(VLOOKUP(Wapato_Inventory[[#This Row],[quality]],Lookups!$A$28:$C$37,3,FALSE),1)</f>
        <v>0.96265813922927435</v>
      </c>
      <c r="BV1054" s="2">
        <f>_xlfn.IFNA(VLOOKUP(Wapato_Inventory[[#This Row],[condition]],Lookups!$A$41:$C$48,3,FALSE),1)</f>
        <v>0.9832333997567807</v>
      </c>
      <c r="BW1054" s="2">
        <f>IF(Wapato_Inventory[[#This Row],[decade]]="",1,_xlfn.IFNA(VLOOKUP(Wapato_Inventory[[#This Row],[decade]],Lookups!$F$28:$H$45,3,FALSE),1))</f>
        <v>1.0012715221492001</v>
      </c>
      <c r="BX1054" s="2">
        <f>_xlfn.IFNA(VLOOKUP(Wapato_Inventory[[#This Row],[living_area_range]],Lookups!$K$28:$M$37,3,FALSE),1)</f>
        <v>0.99022994770196116</v>
      </c>
      <c r="BY1054" s="2">
        <f>AVERAGE(Wapato_Inventory[[#This Row],[qual_adj]:[range_adj]])</f>
        <v>0.984348252209304</v>
      </c>
      <c r="BZ1054" s="7">
        <f>(Wapato_Inventory[[#This Row],[sum_land]]-IF(Wapato_Inventory[[#This Row],[no_utilities]]=1,12000,0))/IF(Wapato_Inventory[[#This Row],[unbuildable]]=1,2,1)</f>
        <v>60300</v>
      </c>
      <c r="CA1054" s="7">
        <f>Wapato_Inventory[[#This Row],[pre_res]]*Wapato_Inventory[[#This Row],[overall_adj]]</f>
        <v>158112.46838522196</v>
      </c>
      <c r="CB1054" s="3">
        <f>IF(ROUND(Wapato_Inventory[[#This Row],[adj_land]]*Lookups!$H$48,-2)&lt;Wapato_Inventory[[#This Row],[min_land]],Wapato_Inventory[[#This Row],[min_land]],ROUND(Wapato_Inventory[[#This Row],[adj_land]]*Lookups!$H$48,-2))</f>
        <v>57300</v>
      </c>
      <c r="CC1054" s="3">
        <f>IF(ROUND(Wapato_Inventory[[#This Row],[adj_res]]*Lookups!$H$48,-2)&lt;Wapato_Inventory[[#This Row],[min_res]],Wapato_Inventory[[#This Row],[min_res]],ROUND(Wapato_Inventory[[#This Row],[adj_res]]*Lookups!$H$48,-2))</f>
        <v>150200</v>
      </c>
      <c r="CD1054" s="3">
        <f>ROUND(Wapato_Inventory[[#This Row],[det_value]]*Lookups!$H$48,-2)</f>
        <v>6600</v>
      </c>
      <c r="CE1054" s="3">
        <f>Wapato_Inventory[[#This Row],[final_res]]+Wapato_Inventory[[#This Row],[final_det]]</f>
        <v>156800</v>
      </c>
      <c r="CF1054" s="3">
        <f>Wapato_Inventory[[#This Row],[crop_value]]+Wapato_Inventory[[#This Row],[final_land]]+Wapato_Inventory[[#This Row],[final_imp]]</f>
        <v>214100</v>
      </c>
      <c r="CH1054" t="str">
        <f t="shared" si="16"/>
        <v>update valuation set market_land =57300, market_bldg=156800, market_total =214100, market_mdno =405, market_date ='9/10/2023' where link_id = (select link_id from parcel where parcel_year = '2024' and parcel_id = '19111524430');</v>
      </c>
    </row>
    <row r="1055" spans="1:86" x14ac:dyDescent="0.25">
      <c r="A1055">
        <v>19111524432</v>
      </c>
      <c r="B1055">
        <v>0.31</v>
      </c>
      <c r="C1055">
        <v>13491</v>
      </c>
      <c r="D1055" t="s">
        <v>144</v>
      </c>
      <c r="E1055" t="s">
        <v>54</v>
      </c>
      <c r="F1055" t="s">
        <v>54</v>
      </c>
      <c r="G1055">
        <v>3</v>
      </c>
      <c r="H1055" t="s">
        <v>55</v>
      </c>
      <c r="I1055">
        <v>355200</v>
      </c>
      <c r="J1055">
        <v>37600</v>
      </c>
      <c r="K1055">
        <v>0.31</v>
      </c>
      <c r="L1055">
        <f>IF(Wapato_Inventory[[#This Row],[parcel_acres]]-Wapato_Inventory[[#This Row],[non_valued_acres]] =0,0,LN(Wapato_Inventory[[#This Row],[parcel_acres]]-Wapato_Inventory[[#This Row],[non_valued_acres]]))</f>
        <v>-1.1711829815029451</v>
      </c>
      <c r="M1055">
        <v>0</v>
      </c>
      <c r="N1055">
        <v>0</v>
      </c>
      <c r="O1055">
        <v>0</v>
      </c>
      <c r="P1055">
        <v>27904.037</v>
      </c>
      <c r="Q1055">
        <v>74398</v>
      </c>
      <c r="R1055" s="3">
        <f>(Wapato_Inventory[[#This Row],[ln_acres]]*Wapato_Inventory[[#This Row],[coeff]])+Wapato_Inventory[[#This Row],[const]]</f>
        <v>41717.266750371506</v>
      </c>
      <c r="S1055" t="s">
        <v>62</v>
      </c>
      <c r="T1055">
        <v>1</v>
      </c>
      <c r="U1055" t="s">
        <v>65</v>
      </c>
      <c r="V1055" t="s">
        <v>69</v>
      </c>
      <c r="W1055">
        <v>0</v>
      </c>
      <c r="X1055">
        <v>0</v>
      </c>
      <c r="Y1055">
        <v>49</v>
      </c>
      <c r="Z1055">
        <v>69</v>
      </c>
      <c r="AA1055">
        <v>70</v>
      </c>
      <c r="AB1055">
        <v>2000</v>
      </c>
      <c r="AC1055">
        <v>1940</v>
      </c>
      <c r="AD1055">
        <v>1940</v>
      </c>
      <c r="AE1055">
        <v>0</v>
      </c>
      <c r="AF1055">
        <v>0</v>
      </c>
      <c r="AG1055">
        <v>0</v>
      </c>
      <c r="AH1055">
        <v>0</v>
      </c>
      <c r="AI1055">
        <v>600</v>
      </c>
      <c r="AJ1055">
        <v>0</v>
      </c>
      <c r="AK1055">
        <v>0</v>
      </c>
      <c r="AL1055">
        <v>0</v>
      </c>
      <c r="AM1055">
        <v>256</v>
      </c>
      <c r="AN1055">
        <v>36</v>
      </c>
      <c r="AO1055">
        <v>0</v>
      </c>
      <c r="AP1055">
        <v>9</v>
      </c>
      <c r="AQ1055">
        <v>0</v>
      </c>
      <c r="AR1055">
        <v>1</v>
      </c>
      <c r="AS1055" t="s">
        <v>59</v>
      </c>
      <c r="AT1055">
        <v>1</v>
      </c>
      <c r="AU1055" t="s">
        <v>64</v>
      </c>
      <c r="AV1055" t="s">
        <v>65</v>
      </c>
      <c r="AW1055">
        <v>1</v>
      </c>
      <c r="AX1055">
        <v>3</v>
      </c>
      <c r="AY1055">
        <v>0</v>
      </c>
      <c r="AZ1055">
        <v>62764</v>
      </c>
      <c r="BA1055">
        <v>100</v>
      </c>
      <c r="BB1055">
        <v>100</v>
      </c>
      <c r="BC1055">
        <v>100</v>
      </c>
      <c r="BD1055">
        <v>100</v>
      </c>
      <c r="BE1055">
        <v>1</v>
      </c>
      <c r="BF1055">
        <v>15000</v>
      </c>
      <c r="BG1055">
        <v>1000</v>
      </c>
      <c r="BH1055" s="7">
        <f>ROUND(Wapato_Inventory[[#This Row],[detatched_value]]*Lookups!$B$22*Lookups!$H$48,-2)</f>
        <v>56100</v>
      </c>
      <c r="BI1055" s="7">
        <f>ROUND(((Wapato_Inventory[[#This Row],[land_extract]]*Lookups!$B$3) +(Lookups!$B$2*0.5))*Lookups!$H$48,-2)</f>
        <v>55100</v>
      </c>
      <c r="BJ1055" s="7">
        <f>IF(Wapato_Inventory[[#This Row],[bldg_style]]="",0,Lookups!$B$2*0.5)</f>
        <v>53765.27</v>
      </c>
      <c r="BK1055" s="7">
        <f>_xlfn.IFNA(VLOOKUP(Wapato_Inventory[[#This Row],[quality]],Lookups!$H$2:$J$14,3,FALSE),0)</f>
        <v>92307</v>
      </c>
      <c r="BL1055" s="7">
        <f>_xlfn.IFNA(VLOOKUP(Wapato_Inventory[[#This Row],[condition]],Lookups!$H$17:$J$24,3,FALSE),0)</f>
        <v>74543</v>
      </c>
      <c r="BM1055" s="7">
        <f>Wapato_Inventory[[#This Row],[Age]]*Lookups!$B$16</f>
        <v>-25576.623299999999</v>
      </c>
      <c r="BN1055" s="7">
        <f>Wapato_Inventory[[#This Row],[Main Floor]]*Lookups!$B$17</f>
        <v>81093.433659999995</v>
      </c>
      <c r="BO1055" s="7">
        <f>Wapato_Inventory[[#This Row],[Upper Floor]]*Lookups!$B$18</f>
        <v>0</v>
      </c>
      <c r="BP1055" s="7">
        <f>Wapato_Inventory[[#This Row],[Fin BSMT]]*Lookups!$B$19</f>
        <v>0</v>
      </c>
      <c r="BQ1055" s="7">
        <f>(Wapato_Inventory[[#This Row],[att_gar]]+Wapato_Inventory[[#This Row],[blt_gar]])*Lookups!$B$20</f>
        <v>22205.251200000002</v>
      </c>
      <c r="BR1055" s="7">
        <f>Wapato_Inventory[[#This Row],[Patio]]*Lookups!$B$21</f>
        <v>11090.938624</v>
      </c>
      <c r="BS1055" s="7">
        <f>SUM(Wapato_Inventory[[#This Row],[intercept]:[patio_value]])*Wapato_Inventory[[#This Row],[res_pct]]</f>
        <v>309428.27018399996</v>
      </c>
      <c r="BT1055" s="7">
        <f>Wapato_Inventory[[#This Row],[land_value]]</f>
        <v>55100</v>
      </c>
      <c r="BU1055" s="2">
        <f>_xlfn.IFNA(VLOOKUP(Wapato_Inventory[[#This Row],[quality]],Lookups!$A$28:$C$37,3,FALSE),1)</f>
        <v>1.0013727718490204</v>
      </c>
      <c r="BV1055" s="2">
        <f>_xlfn.IFNA(VLOOKUP(Wapato_Inventory[[#This Row],[condition]],Lookups!$A$41:$C$48,3,FALSE),1)</f>
        <v>0.98442438223270734</v>
      </c>
      <c r="BW1055" s="2">
        <f>IF(Wapato_Inventory[[#This Row],[decade]]="",1,_xlfn.IFNA(VLOOKUP(Wapato_Inventory[[#This Row],[decade]],Lookups!$F$28:$H$45,3,FALSE),1))</f>
        <v>1.0012715221492001</v>
      </c>
      <c r="BX1055" s="2">
        <f>_xlfn.IFNA(VLOOKUP(Wapato_Inventory[[#This Row],[living_area_range]],Lookups!$K$28:$M$37,3,FALSE),1)</f>
        <v>0.99330894324714125</v>
      </c>
      <c r="BY1055" s="2">
        <f>AVERAGE(Wapato_Inventory[[#This Row],[qual_adj]:[range_adj]])</f>
        <v>0.99509440486951728</v>
      </c>
      <c r="BZ1055" s="7">
        <f>(Wapato_Inventory[[#This Row],[sum_land]]-IF(Wapato_Inventory[[#This Row],[no_utilities]]=1,12000,0))/IF(Wapato_Inventory[[#This Row],[unbuildable]]=1,2,1)</f>
        <v>55100</v>
      </c>
      <c r="CA1055" s="7">
        <f>Wapato_Inventory[[#This Row],[pre_res]]*Wapato_Inventory[[#This Row],[overall_adj]]</f>
        <v>307910.34036855167</v>
      </c>
      <c r="CB1055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1055" s="3">
        <f>IF(ROUND(Wapato_Inventory[[#This Row],[adj_res]]*Lookups!$H$48,-2)&lt;Wapato_Inventory[[#This Row],[min_res]],Wapato_Inventory[[#This Row],[min_res]],ROUND(Wapato_Inventory[[#This Row],[adj_res]]*Lookups!$H$48,-2))</f>
        <v>292500</v>
      </c>
      <c r="CD1055" s="3">
        <f>ROUND(Wapato_Inventory[[#This Row],[det_value]]*Lookups!$H$48,-2)</f>
        <v>53300</v>
      </c>
      <c r="CE1055" s="3">
        <f>Wapato_Inventory[[#This Row],[final_res]]+Wapato_Inventory[[#This Row],[final_det]]</f>
        <v>345800</v>
      </c>
      <c r="CF1055" s="3">
        <f>Wapato_Inventory[[#This Row],[crop_value]]+Wapato_Inventory[[#This Row],[final_land]]+Wapato_Inventory[[#This Row],[final_imp]]</f>
        <v>398100</v>
      </c>
      <c r="CH1055" t="str">
        <f t="shared" si="16"/>
        <v>update valuation set market_land =52300, market_bldg=345800, market_total =398100, market_mdno =405, market_date ='9/10/2023' where link_id = (select link_id from parcel where parcel_year = '2024' and parcel_id = '19111524432');</v>
      </c>
    </row>
    <row r="1056" spans="1:86" x14ac:dyDescent="0.25">
      <c r="A1056">
        <v>19111524433</v>
      </c>
      <c r="B1056">
        <v>0.31</v>
      </c>
      <c r="C1056">
        <v>13453</v>
      </c>
      <c r="D1056" t="s">
        <v>144</v>
      </c>
      <c r="E1056" t="s">
        <v>54</v>
      </c>
      <c r="F1056" t="s">
        <v>54</v>
      </c>
      <c r="G1056">
        <v>3</v>
      </c>
      <c r="H1056" t="s">
        <v>55</v>
      </c>
      <c r="I1056">
        <v>73800</v>
      </c>
      <c r="J1056">
        <v>37600</v>
      </c>
      <c r="K1056">
        <v>0.31</v>
      </c>
      <c r="L1056">
        <f>IF(Wapato_Inventory[[#This Row],[parcel_acres]]-Wapato_Inventory[[#This Row],[non_valued_acres]] =0,0,LN(Wapato_Inventory[[#This Row],[parcel_acres]]-Wapato_Inventory[[#This Row],[non_valued_acres]]))</f>
        <v>-1.1711829815029451</v>
      </c>
      <c r="M1056">
        <v>0</v>
      </c>
      <c r="N1056">
        <v>0</v>
      </c>
      <c r="O1056">
        <v>0</v>
      </c>
      <c r="P1056">
        <v>27904.037</v>
      </c>
      <c r="Q1056">
        <v>74398</v>
      </c>
      <c r="R1056" s="3">
        <f>(Wapato_Inventory[[#This Row],[ln_acres]]*Wapato_Inventory[[#This Row],[coeff]])+Wapato_Inventory[[#This Row],[const]]</f>
        <v>41717.266750371506</v>
      </c>
      <c r="S1056" t="s">
        <v>66</v>
      </c>
      <c r="T1056">
        <v>1</v>
      </c>
      <c r="U1056" t="s">
        <v>71</v>
      </c>
      <c r="V1056" t="s">
        <v>73</v>
      </c>
      <c r="W1056">
        <v>0</v>
      </c>
      <c r="X1056">
        <v>0</v>
      </c>
      <c r="Y1056">
        <v>50</v>
      </c>
      <c r="Z1056">
        <v>74</v>
      </c>
      <c r="AA1056">
        <v>80</v>
      </c>
      <c r="AB1056">
        <v>2000</v>
      </c>
      <c r="AC1056">
        <v>1688</v>
      </c>
      <c r="AD1056">
        <v>1688</v>
      </c>
      <c r="AE1056">
        <v>0</v>
      </c>
      <c r="AF1056">
        <v>0</v>
      </c>
      <c r="AG1056">
        <v>0</v>
      </c>
      <c r="AH1056">
        <v>0</v>
      </c>
      <c r="AI1056">
        <v>0</v>
      </c>
      <c r="AJ1056">
        <v>0</v>
      </c>
      <c r="AK1056">
        <v>0</v>
      </c>
      <c r="AL1056">
        <v>0</v>
      </c>
      <c r="AM1056">
        <v>0</v>
      </c>
      <c r="AN1056">
        <v>0</v>
      </c>
      <c r="AO1056">
        <v>0</v>
      </c>
      <c r="AP1056">
        <v>5</v>
      </c>
      <c r="AQ1056">
        <v>0</v>
      </c>
      <c r="AR1056">
        <v>0</v>
      </c>
      <c r="AS1056" t="s">
        <v>82</v>
      </c>
      <c r="AT1056">
        <v>1</v>
      </c>
      <c r="AU1056" t="s">
        <v>76</v>
      </c>
      <c r="AV1056" t="s">
        <v>61</v>
      </c>
      <c r="AW1056">
        <v>0</v>
      </c>
      <c r="AX1056">
        <v>3</v>
      </c>
      <c r="AY1056">
        <v>0</v>
      </c>
      <c r="AZ1056">
        <v>0</v>
      </c>
      <c r="BA1056">
        <v>100</v>
      </c>
      <c r="BB1056">
        <v>100</v>
      </c>
      <c r="BC1056">
        <v>100</v>
      </c>
      <c r="BD1056">
        <v>60</v>
      </c>
      <c r="BE1056">
        <v>0.6</v>
      </c>
      <c r="BF1056">
        <v>15000</v>
      </c>
      <c r="BG1056">
        <v>1000</v>
      </c>
      <c r="BH1056" s="7">
        <f>ROUND(Wapato_Inventory[[#This Row],[detatched_value]]*Lookups!$B$22*Lookups!$H$48,-2)</f>
        <v>0</v>
      </c>
      <c r="BI1056" s="7">
        <f>ROUND(((Wapato_Inventory[[#This Row],[land_extract]]*Lookups!$B$3) +(Lookups!$B$2*0.5))*Lookups!$H$48,-2)</f>
        <v>55100</v>
      </c>
      <c r="BJ1056" s="7">
        <f>IF(Wapato_Inventory[[#This Row],[bldg_style]]="",0,Lookups!$B$2*0.5)</f>
        <v>53765.27</v>
      </c>
      <c r="BK1056" s="7">
        <f>_xlfn.IFNA(VLOOKUP(Wapato_Inventory[[#This Row],[quality]],Lookups!$H$2:$J$14,3,FALSE),0)</f>
        <v>28034</v>
      </c>
      <c r="BL1056" s="7">
        <f>_xlfn.IFNA(VLOOKUP(Wapato_Inventory[[#This Row],[condition]],Lookups!$H$17:$J$24,3,FALSE),0)</f>
        <v>16276</v>
      </c>
      <c r="BM1056" s="7">
        <f>Wapato_Inventory[[#This Row],[Age]]*Lookups!$B$16</f>
        <v>-27430.001800000002</v>
      </c>
      <c r="BN1056" s="7">
        <f>Wapato_Inventory[[#This Row],[Main Floor]]*Lookups!$B$17</f>
        <v>70559.647431999998</v>
      </c>
      <c r="BO1056" s="7">
        <f>Wapato_Inventory[[#This Row],[Upper Floor]]*Lookups!$B$18</f>
        <v>0</v>
      </c>
      <c r="BP1056" s="7">
        <f>Wapato_Inventory[[#This Row],[Fin BSMT]]*Lookups!$B$19</f>
        <v>0</v>
      </c>
      <c r="BQ1056" s="7">
        <f>(Wapato_Inventory[[#This Row],[att_gar]]+Wapato_Inventory[[#This Row],[blt_gar]])*Lookups!$B$20</f>
        <v>0</v>
      </c>
      <c r="BR1056" s="7">
        <f>Wapato_Inventory[[#This Row],[Patio]]*Lookups!$B$21</f>
        <v>0</v>
      </c>
      <c r="BS1056" s="7">
        <f>SUM(Wapato_Inventory[[#This Row],[intercept]:[patio_value]])*Wapato_Inventory[[#This Row],[res_pct]]</f>
        <v>84722.949379199985</v>
      </c>
      <c r="BT1056" s="7">
        <f>Wapato_Inventory[[#This Row],[land_value]]</f>
        <v>55100</v>
      </c>
      <c r="BU1056" s="2">
        <f>_xlfn.IFNA(VLOOKUP(Wapato_Inventory[[#This Row],[quality]],Lookups!$A$28:$C$37,3,FALSE),1)</f>
        <v>0.96265813922927435</v>
      </c>
      <c r="BV1056" s="2">
        <f>_xlfn.IFNA(VLOOKUP(Wapato_Inventory[[#This Row],[condition]],Lookups!$A$41:$C$48,3,FALSE),1)</f>
        <v>0.93399385491337139</v>
      </c>
      <c r="BW1056" s="2">
        <f>IF(Wapato_Inventory[[#This Row],[decade]]="",1,_xlfn.IFNA(VLOOKUP(Wapato_Inventory[[#This Row],[decade]],Lookups!$F$28:$H$45,3,FALSE),1))</f>
        <v>0.8438929209510081</v>
      </c>
      <c r="BX1056" s="2">
        <f>_xlfn.IFNA(VLOOKUP(Wapato_Inventory[[#This Row],[living_area_range]],Lookups!$K$28:$M$37,3,FALSE),1)</f>
        <v>0.99330894324714125</v>
      </c>
      <c r="BY1056" s="2">
        <f>AVERAGE(Wapato_Inventory[[#This Row],[qual_adj]:[range_adj]])</f>
        <v>0.9334634645851988</v>
      </c>
      <c r="BZ1056" s="7">
        <f>(Wapato_Inventory[[#This Row],[sum_land]]-IF(Wapato_Inventory[[#This Row],[no_utilities]]=1,12000,0))/IF(Wapato_Inventory[[#This Row],[unbuildable]]=1,2,1)</f>
        <v>55100</v>
      </c>
      <c r="CA1056" s="7">
        <f>Wapato_Inventory[[#This Row],[pre_res]]*Wapato_Inventory[[#This Row],[overall_adj]]</f>
        <v>79085.777857384441</v>
      </c>
      <c r="CB1056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1056" s="3">
        <f>IF(ROUND(Wapato_Inventory[[#This Row],[adj_res]]*Lookups!$H$48,-2)&lt;Wapato_Inventory[[#This Row],[min_res]],Wapato_Inventory[[#This Row],[min_res]],ROUND(Wapato_Inventory[[#This Row],[adj_res]]*Lookups!$H$48,-2))</f>
        <v>75100</v>
      </c>
      <c r="CD1056" s="3">
        <f>ROUND(Wapato_Inventory[[#This Row],[det_value]]*Lookups!$H$48,-2)</f>
        <v>0</v>
      </c>
      <c r="CE1056" s="3">
        <f>Wapato_Inventory[[#This Row],[final_res]]+Wapato_Inventory[[#This Row],[final_det]]</f>
        <v>75100</v>
      </c>
      <c r="CF1056" s="3">
        <f>Wapato_Inventory[[#This Row],[crop_value]]+Wapato_Inventory[[#This Row],[final_land]]+Wapato_Inventory[[#This Row],[final_imp]]</f>
        <v>127400</v>
      </c>
      <c r="CH1056" t="str">
        <f t="shared" si="16"/>
        <v>update valuation set market_land =52300, market_bldg=75100, market_total =127400, market_mdno =405, market_date ='9/10/2023' where link_id = (select link_id from parcel where parcel_year = '2024' and parcel_id = '19111524433');</v>
      </c>
    </row>
    <row r="1057" spans="1:86" x14ac:dyDescent="0.25">
      <c r="A1057">
        <v>19111532001</v>
      </c>
      <c r="B1057">
        <v>1</v>
      </c>
      <c r="C1057">
        <v>43371</v>
      </c>
      <c r="D1057" t="s">
        <v>144</v>
      </c>
      <c r="E1057" t="s">
        <v>54</v>
      </c>
      <c r="F1057" t="s">
        <v>54</v>
      </c>
      <c r="G1057">
        <v>3</v>
      </c>
      <c r="H1057" t="s">
        <v>55</v>
      </c>
      <c r="I1057">
        <v>240000</v>
      </c>
      <c r="J1057">
        <v>45300</v>
      </c>
      <c r="K1057">
        <v>1</v>
      </c>
      <c r="L1057">
        <f>IF(Wapato_Inventory[[#This Row],[parcel_acres]]-Wapato_Inventory[[#This Row],[non_valued_acres]] =0,0,LN(Wapato_Inventory[[#This Row],[parcel_acres]]-Wapato_Inventory[[#This Row],[non_valued_acres]]))</f>
        <v>0</v>
      </c>
      <c r="M1057">
        <v>0</v>
      </c>
      <c r="N1057">
        <v>0</v>
      </c>
      <c r="O1057">
        <v>0</v>
      </c>
      <c r="P1057">
        <v>27904.037</v>
      </c>
      <c r="Q1057">
        <v>74398</v>
      </c>
      <c r="R1057" s="3">
        <f>(Wapato_Inventory[[#This Row],[ln_acres]]*Wapato_Inventory[[#This Row],[coeff]])+Wapato_Inventory[[#This Row],[const]]</f>
        <v>74398</v>
      </c>
      <c r="S1057" t="s">
        <v>66</v>
      </c>
      <c r="T1057">
        <v>1</v>
      </c>
      <c r="U1057" t="s">
        <v>71</v>
      </c>
      <c r="V1057" t="s">
        <v>68</v>
      </c>
      <c r="W1057">
        <v>0</v>
      </c>
      <c r="X1057">
        <v>0</v>
      </c>
      <c r="Y1057">
        <v>51</v>
      </c>
      <c r="Z1057">
        <v>83</v>
      </c>
      <c r="AA1057">
        <v>90</v>
      </c>
      <c r="AB1057">
        <v>1500</v>
      </c>
      <c r="AC1057">
        <v>1168</v>
      </c>
      <c r="AD1057">
        <v>1168</v>
      </c>
      <c r="AE1057">
        <v>0</v>
      </c>
      <c r="AF1057">
        <v>0</v>
      </c>
      <c r="AG1057">
        <v>0</v>
      </c>
      <c r="AH1057">
        <v>0</v>
      </c>
      <c r="AI1057">
        <v>0</v>
      </c>
      <c r="AJ1057">
        <v>0</v>
      </c>
      <c r="AK1057">
        <v>0</v>
      </c>
      <c r="AL1057">
        <v>0</v>
      </c>
      <c r="AM1057">
        <v>240</v>
      </c>
      <c r="AN1057">
        <v>0</v>
      </c>
      <c r="AO1057">
        <v>240</v>
      </c>
      <c r="AP1057">
        <v>5</v>
      </c>
      <c r="AQ1057">
        <v>0</v>
      </c>
      <c r="AR1057">
        <v>0</v>
      </c>
      <c r="AS1057" t="s">
        <v>82</v>
      </c>
      <c r="AT1057">
        <v>1</v>
      </c>
      <c r="AU1057" t="s">
        <v>64</v>
      </c>
      <c r="AV1057" t="s">
        <v>61</v>
      </c>
      <c r="AW1057">
        <v>1</v>
      </c>
      <c r="AX1057">
        <v>3</v>
      </c>
      <c r="AY1057">
        <v>0</v>
      </c>
      <c r="AZ1057">
        <v>33100</v>
      </c>
      <c r="BA1057">
        <v>100</v>
      </c>
      <c r="BB1057">
        <v>100</v>
      </c>
      <c r="BC1057">
        <v>100</v>
      </c>
      <c r="BD1057">
        <v>100</v>
      </c>
      <c r="BE1057">
        <v>1</v>
      </c>
      <c r="BF1057">
        <v>15000</v>
      </c>
      <c r="BG1057">
        <v>1000</v>
      </c>
      <c r="BH1057" s="7">
        <f>ROUND(Wapato_Inventory[[#This Row],[detatched_value]]*Lookups!$B$22*Lookups!$H$48,-2)</f>
        <v>29600</v>
      </c>
      <c r="BI1057" s="7">
        <f>ROUND(((Wapato_Inventory[[#This Row],[land_extract]]*Lookups!$B$3) +(Lookups!$B$2*0.5))*Lookups!$H$48,-2)</f>
        <v>58300</v>
      </c>
      <c r="BJ1057" s="7">
        <f>IF(Wapato_Inventory[[#This Row],[bldg_style]]="",0,Lookups!$B$2*0.5)</f>
        <v>53765.27</v>
      </c>
      <c r="BK1057" s="7">
        <f>_xlfn.IFNA(VLOOKUP(Wapato_Inventory[[#This Row],[quality]],Lookups!$H$2:$J$14,3,FALSE),0)</f>
        <v>28034</v>
      </c>
      <c r="BL1057" s="7">
        <f>_xlfn.IFNA(VLOOKUP(Wapato_Inventory[[#This Row],[condition]],Lookups!$H$17:$J$24,3,FALSE),0)</f>
        <v>52231</v>
      </c>
      <c r="BM1057" s="7">
        <f>Wapato_Inventory[[#This Row],[Age]]*Lookups!$B$16</f>
        <v>-30766.0831</v>
      </c>
      <c r="BN1057" s="7">
        <f>Wapato_Inventory[[#This Row],[Main Floor]]*Lookups!$B$17</f>
        <v>48823.263152</v>
      </c>
      <c r="BO1057" s="7">
        <f>Wapato_Inventory[[#This Row],[Upper Floor]]*Lookups!$B$18</f>
        <v>0</v>
      </c>
      <c r="BP1057" s="7">
        <f>Wapato_Inventory[[#This Row],[Fin BSMT]]*Lookups!$B$19</f>
        <v>0</v>
      </c>
      <c r="BQ1057" s="7">
        <f>(Wapato_Inventory[[#This Row],[att_gar]]+Wapato_Inventory[[#This Row],[blt_gar]])*Lookups!$B$20</f>
        <v>0</v>
      </c>
      <c r="BR1057" s="7">
        <f>Wapato_Inventory[[#This Row],[Patio]]*Lookups!$B$21</f>
        <v>10397.75496</v>
      </c>
      <c r="BS1057" s="7">
        <f>SUM(Wapato_Inventory[[#This Row],[intercept]:[patio_value]])*Wapato_Inventory[[#This Row],[res_pct]]</f>
        <v>162485.20501199999</v>
      </c>
      <c r="BT1057" s="7">
        <f>Wapato_Inventory[[#This Row],[land_value]]</f>
        <v>58300</v>
      </c>
      <c r="BU1057" s="2">
        <f>_xlfn.IFNA(VLOOKUP(Wapato_Inventory[[#This Row],[quality]],Lookups!$A$28:$C$37,3,FALSE),1)</f>
        <v>0.96265813922927435</v>
      </c>
      <c r="BV1057" s="2">
        <f>_xlfn.IFNA(VLOOKUP(Wapato_Inventory[[#This Row],[condition]],Lookups!$A$41:$C$48,3,FALSE),1)</f>
        <v>0.9832333997567807</v>
      </c>
      <c r="BW1057" s="2">
        <f>IF(Wapato_Inventory[[#This Row],[decade]]="",1,_xlfn.IFNA(VLOOKUP(Wapato_Inventory[[#This Row],[decade]],Lookups!$F$28:$H$45,3,FALSE),1))</f>
        <v>0.94742695999815718</v>
      </c>
      <c r="BX1057" s="2">
        <f>_xlfn.IFNA(VLOOKUP(Wapato_Inventory[[#This Row],[living_area_range]],Lookups!$K$28:$M$37,3,FALSE),1)</f>
        <v>1.0061411172456287</v>
      </c>
      <c r="BY1057" s="2">
        <f>AVERAGE(Wapato_Inventory[[#This Row],[qual_adj]:[range_adj]])</f>
        <v>0.97486490405746018</v>
      </c>
      <c r="BZ1057" s="7">
        <f>(Wapato_Inventory[[#This Row],[sum_land]]-IF(Wapato_Inventory[[#This Row],[no_utilities]]=1,12000,0))/IF(Wapato_Inventory[[#This Row],[unbuildable]]=1,2,1)</f>
        <v>58300</v>
      </c>
      <c r="CA1057" s="7">
        <f>Wapato_Inventory[[#This Row],[pre_res]]*Wapato_Inventory[[#This Row],[overall_adj]]</f>
        <v>158401.12379478011</v>
      </c>
      <c r="CB1057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1057" s="3">
        <f>IF(ROUND(Wapato_Inventory[[#This Row],[adj_res]]*Lookups!$H$48,-2)&lt;Wapato_Inventory[[#This Row],[min_res]],Wapato_Inventory[[#This Row],[min_res]],ROUND(Wapato_Inventory[[#This Row],[adj_res]]*Lookups!$H$48,-2))</f>
        <v>150500</v>
      </c>
      <c r="CD1057" s="3">
        <f>ROUND(Wapato_Inventory[[#This Row],[det_value]]*Lookups!$H$48,-2)</f>
        <v>28100</v>
      </c>
      <c r="CE1057" s="3">
        <f>Wapato_Inventory[[#This Row],[final_res]]+Wapato_Inventory[[#This Row],[final_det]]</f>
        <v>178600</v>
      </c>
      <c r="CF1057" s="3">
        <f>Wapato_Inventory[[#This Row],[crop_value]]+Wapato_Inventory[[#This Row],[final_land]]+Wapato_Inventory[[#This Row],[final_imp]]</f>
        <v>234000</v>
      </c>
      <c r="CH1057" t="str">
        <f t="shared" si="16"/>
        <v>update valuation set market_land =55400, market_bldg=178600, market_total =234000, market_mdno =405, market_date ='9/10/2023' where link_id = (select link_id from parcel where parcel_year = '2024' and parcel_id = '19111532001');</v>
      </c>
    </row>
    <row r="1058" spans="1:86" x14ac:dyDescent="0.25">
      <c r="A1058">
        <v>19111532003</v>
      </c>
      <c r="B1058">
        <v>0.23</v>
      </c>
      <c r="C1058">
        <v>9959</v>
      </c>
      <c r="D1058" t="s">
        <v>144</v>
      </c>
      <c r="E1058" t="s">
        <v>54</v>
      </c>
      <c r="F1058" t="s">
        <v>54</v>
      </c>
      <c r="G1058">
        <v>3</v>
      </c>
      <c r="H1058" t="s">
        <v>55</v>
      </c>
      <c r="I1058">
        <v>139400</v>
      </c>
      <c r="J1058">
        <v>34900</v>
      </c>
      <c r="K1058">
        <v>0.23</v>
      </c>
      <c r="L1058">
        <f>IF(Wapato_Inventory[[#This Row],[parcel_acres]]-Wapato_Inventory[[#This Row],[non_valued_acres]] =0,0,LN(Wapato_Inventory[[#This Row],[parcel_acres]]-Wapato_Inventory[[#This Row],[non_valued_acres]]))</f>
        <v>-1.4696759700589417</v>
      </c>
      <c r="M1058">
        <v>0</v>
      </c>
      <c r="N1058">
        <v>0</v>
      </c>
      <c r="O1058">
        <v>0</v>
      </c>
      <c r="P1058">
        <v>27904.037</v>
      </c>
      <c r="Q1058">
        <v>74398</v>
      </c>
      <c r="R1058" s="3">
        <f>(Wapato_Inventory[[#This Row],[ln_acres]]*Wapato_Inventory[[#This Row],[coeff]])+Wapato_Inventory[[#This Row],[const]]</f>
        <v>33388.107353464402</v>
      </c>
      <c r="S1058" t="s">
        <v>66</v>
      </c>
      <c r="T1058">
        <v>1</v>
      </c>
      <c r="U1058" t="s">
        <v>75</v>
      </c>
      <c r="V1058" t="s">
        <v>73</v>
      </c>
      <c r="W1058">
        <v>0</v>
      </c>
      <c r="X1058">
        <v>0</v>
      </c>
      <c r="Y1058">
        <v>51</v>
      </c>
      <c r="Z1058">
        <v>83</v>
      </c>
      <c r="AA1058">
        <v>90</v>
      </c>
      <c r="AB1058">
        <v>1500</v>
      </c>
      <c r="AC1058">
        <v>1246</v>
      </c>
      <c r="AD1058">
        <v>1246</v>
      </c>
      <c r="AE1058">
        <v>0</v>
      </c>
      <c r="AF1058">
        <v>0</v>
      </c>
      <c r="AG1058">
        <v>0</v>
      </c>
      <c r="AH1058">
        <v>0</v>
      </c>
      <c r="AI1058">
        <v>448</v>
      </c>
      <c r="AJ1058">
        <v>0</v>
      </c>
      <c r="AK1058">
        <v>112</v>
      </c>
      <c r="AL1058">
        <v>72</v>
      </c>
      <c r="AM1058">
        <v>96</v>
      </c>
      <c r="AN1058">
        <v>0</v>
      </c>
      <c r="AO1058">
        <v>168</v>
      </c>
      <c r="AP1058">
        <v>5</v>
      </c>
      <c r="AQ1058">
        <v>0</v>
      </c>
      <c r="AR1058">
        <v>0</v>
      </c>
      <c r="AS1058" t="s">
        <v>59</v>
      </c>
      <c r="AT1058">
        <v>1</v>
      </c>
      <c r="AU1058" t="s">
        <v>64</v>
      </c>
      <c r="AV1058" t="s">
        <v>77</v>
      </c>
      <c r="AW1058">
        <v>0</v>
      </c>
      <c r="AX1058">
        <v>2</v>
      </c>
      <c r="AY1058">
        <v>0</v>
      </c>
      <c r="AZ1058">
        <v>0</v>
      </c>
      <c r="BA1058">
        <v>100</v>
      </c>
      <c r="BB1058">
        <v>100</v>
      </c>
      <c r="BC1058">
        <v>100</v>
      </c>
      <c r="BD1058">
        <v>100</v>
      </c>
      <c r="BE1058">
        <v>1</v>
      </c>
      <c r="BF1058">
        <v>15000</v>
      </c>
      <c r="BG1058">
        <v>1000</v>
      </c>
      <c r="BH1058" s="7">
        <f>ROUND(Wapato_Inventory[[#This Row],[detatched_value]]*Lookups!$B$22*Lookups!$H$48,-2)</f>
        <v>0</v>
      </c>
      <c r="BI1058" s="7">
        <f>ROUND(((Wapato_Inventory[[#This Row],[land_extract]]*Lookups!$B$3) +(Lookups!$B$2*0.5))*Lookups!$H$48,-2)</f>
        <v>54300</v>
      </c>
      <c r="BJ1058" s="7">
        <f>IF(Wapato_Inventory[[#This Row],[bldg_style]]="",0,Lookups!$B$2*0.5)</f>
        <v>53765.27</v>
      </c>
      <c r="BK1058" s="7">
        <f>_xlfn.IFNA(VLOOKUP(Wapato_Inventory[[#This Row],[quality]],Lookups!$H$2:$J$14,3,FALSE),0)</f>
        <v>48043</v>
      </c>
      <c r="BL1058" s="7">
        <f>_xlfn.IFNA(VLOOKUP(Wapato_Inventory[[#This Row],[condition]],Lookups!$H$17:$J$24,3,FALSE),0)</f>
        <v>16276</v>
      </c>
      <c r="BM1058" s="7">
        <f>Wapato_Inventory[[#This Row],[Age]]*Lookups!$B$16</f>
        <v>-30766.0831</v>
      </c>
      <c r="BN1058" s="7">
        <f>Wapato_Inventory[[#This Row],[Main Floor]]*Lookups!$B$17</f>
        <v>52083.720794000001</v>
      </c>
      <c r="BO1058" s="7">
        <f>Wapato_Inventory[[#This Row],[Upper Floor]]*Lookups!$B$18</f>
        <v>0</v>
      </c>
      <c r="BP1058" s="7">
        <f>Wapato_Inventory[[#This Row],[Fin BSMT]]*Lookups!$B$19</f>
        <v>0</v>
      </c>
      <c r="BQ1058" s="7">
        <f>(Wapato_Inventory[[#This Row],[att_gar]]+Wapato_Inventory[[#This Row],[blt_gar]])*Lookups!$B$20</f>
        <v>16579.920896</v>
      </c>
      <c r="BR1058" s="7">
        <f>Wapato_Inventory[[#This Row],[Patio]]*Lookups!$B$21</f>
        <v>4159.1019839999999</v>
      </c>
      <c r="BS1058" s="7">
        <f>SUM(Wapato_Inventory[[#This Row],[intercept]:[patio_value]])*Wapato_Inventory[[#This Row],[res_pct]]</f>
        <v>160140.930574</v>
      </c>
      <c r="BT1058" s="7">
        <f>Wapato_Inventory[[#This Row],[land_value]]</f>
        <v>54300</v>
      </c>
      <c r="BU1058" s="2">
        <f>_xlfn.IFNA(VLOOKUP(Wapato_Inventory[[#This Row],[quality]],Lookups!$A$28:$C$37,3,FALSE),1)</f>
        <v>0.98196844879778955</v>
      </c>
      <c r="BV1058" s="2">
        <f>_xlfn.IFNA(VLOOKUP(Wapato_Inventory[[#This Row],[condition]],Lookups!$A$41:$C$48,3,FALSE),1)</f>
        <v>0.93399385491337139</v>
      </c>
      <c r="BW1058" s="2">
        <f>IF(Wapato_Inventory[[#This Row],[decade]]="",1,_xlfn.IFNA(VLOOKUP(Wapato_Inventory[[#This Row],[decade]],Lookups!$F$28:$H$45,3,FALSE),1))</f>
        <v>0.94742695999815718</v>
      </c>
      <c r="BX1058" s="2">
        <f>_xlfn.IFNA(VLOOKUP(Wapato_Inventory[[#This Row],[living_area_range]],Lookups!$K$28:$M$37,3,FALSE),1)</f>
        <v>1.0061411172456287</v>
      </c>
      <c r="BY1058" s="2">
        <f>AVERAGE(Wapato_Inventory[[#This Row],[qual_adj]:[range_adj]])</f>
        <v>0.96738259523873671</v>
      </c>
      <c r="BZ1058" s="7">
        <f>(Wapato_Inventory[[#This Row],[sum_land]]-IF(Wapato_Inventory[[#This Row],[no_utilities]]=1,12000,0))/IF(Wapato_Inventory[[#This Row],[unbuildable]]=1,2,1)</f>
        <v>54300</v>
      </c>
      <c r="CA1058" s="7">
        <f>Wapato_Inventory[[#This Row],[pre_res]]*Wapato_Inventory[[#This Row],[overall_adj]]</f>
        <v>154917.54902262246</v>
      </c>
      <c r="CB1058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1058" s="3">
        <f>IF(ROUND(Wapato_Inventory[[#This Row],[adj_res]]*Lookups!$H$48,-2)&lt;Wapato_Inventory[[#This Row],[min_res]],Wapato_Inventory[[#This Row],[min_res]],ROUND(Wapato_Inventory[[#This Row],[adj_res]]*Lookups!$H$48,-2))</f>
        <v>147200</v>
      </c>
      <c r="CD1058" s="3">
        <f>ROUND(Wapato_Inventory[[#This Row],[det_value]]*Lookups!$H$48,-2)</f>
        <v>0</v>
      </c>
      <c r="CE1058" s="3">
        <f>Wapato_Inventory[[#This Row],[final_res]]+Wapato_Inventory[[#This Row],[final_det]]</f>
        <v>147200</v>
      </c>
      <c r="CF1058" s="3">
        <f>Wapato_Inventory[[#This Row],[crop_value]]+Wapato_Inventory[[#This Row],[final_land]]+Wapato_Inventory[[#This Row],[final_imp]]</f>
        <v>198800</v>
      </c>
      <c r="CH1058" t="str">
        <f t="shared" si="16"/>
        <v>update valuation set market_land =51600, market_bldg=147200, market_total =198800, market_mdno =405, market_date ='9/10/2023' where link_id = (select link_id from parcel where parcel_year = '2024' and parcel_id = '19111532003');</v>
      </c>
    </row>
    <row r="1059" spans="1:86" x14ac:dyDescent="0.25">
      <c r="A1059">
        <v>19111532005</v>
      </c>
      <c r="B1059">
        <v>0.33</v>
      </c>
      <c r="C1059">
        <v>14286</v>
      </c>
      <c r="D1059" t="s">
        <v>144</v>
      </c>
      <c r="E1059" t="s">
        <v>54</v>
      </c>
      <c r="F1059" t="s">
        <v>54</v>
      </c>
      <c r="G1059">
        <v>3</v>
      </c>
      <c r="H1059" t="s">
        <v>55</v>
      </c>
      <c r="I1059">
        <v>252900</v>
      </c>
      <c r="J1059">
        <v>37400</v>
      </c>
      <c r="K1059">
        <v>0.33</v>
      </c>
      <c r="L1059">
        <f>IF(Wapato_Inventory[[#This Row],[parcel_acres]]-Wapato_Inventory[[#This Row],[non_valued_acres]] =0,0,LN(Wapato_Inventory[[#This Row],[parcel_acres]]-Wapato_Inventory[[#This Row],[non_valued_acres]]))</f>
        <v>-1.1086626245216111</v>
      </c>
      <c r="M1059">
        <v>0</v>
      </c>
      <c r="N1059">
        <v>0</v>
      </c>
      <c r="O1059">
        <v>0</v>
      </c>
      <c r="P1059">
        <v>27904.037</v>
      </c>
      <c r="Q1059">
        <v>74398</v>
      </c>
      <c r="R1059" s="3">
        <f>(Wapato_Inventory[[#This Row],[ln_acres]]*Wapato_Inventory[[#This Row],[coeff]])+Wapato_Inventory[[#This Row],[const]]</f>
        <v>43461.837104831851</v>
      </c>
      <c r="S1059" t="s">
        <v>66</v>
      </c>
      <c r="T1059">
        <v>1</v>
      </c>
      <c r="U1059" t="s">
        <v>75</v>
      </c>
      <c r="V1059" t="s">
        <v>69</v>
      </c>
      <c r="W1059">
        <v>0</v>
      </c>
      <c r="X1059">
        <v>0</v>
      </c>
      <c r="Y1059">
        <v>50</v>
      </c>
      <c r="Z1059">
        <v>72</v>
      </c>
      <c r="AA1059">
        <v>80</v>
      </c>
      <c r="AB1059">
        <v>2000</v>
      </c>
      <c r="AC1059">
        <v>1990</v>
      </c>
      <c r="AD1059">
        <v>1990</v>
      </c>
      <c r="AE1059">
        <v>0</v>
      </c>
      <c r="AF1059">
        <v>0</v>
      </c>
      <c r="AG1059">
        <v>0</v>
      </c>
      <c r="AH1059">
        <v>0</v>
      </c>
      <c r="AI1059">
        <v>0</v>
      </c>
      <c r="AJ1059">
        <v>0</v>
      </c>
      <c r="AK1059">
        <v>0</v>
      </c>
      <c r="AL1059">
        <v>0</v>
      </c>
      <c r="AM1059">
        <v>252</v>
      </c>
      <c r="AN1059">
        <v>0</v>
      </c>
      <c r="AO1059">
        <v>0</v>
      </c>
      <c r="AP1059">
        <v>5</v>
      </c>
      <c r="AQ1059">
        <v>0</v>
      </c>
      <c r="AR1059">
        <v>0</v>
      </c>
      <c r="AS1059" t="s">
        <v>82</v>
      </c>
      <c r="AT1059">
        <v>1</v>
      </c>
      <c r="AU1059" t="s">
        <v>64</v>
      </c>
      <c r="AV1059" t="s">
        <v>61</v>
      </c>
      <c r="AW1059">
        <v>0</v>
      </c>
      <c r="AX1059">
        <v>3</v>
      </c>
      <c r="AY1059">
        <v>0</v>
      </c>
      <c r="AZ1059">
        <v>0</v>
      </c>
      <c r="BA1059">
        <v>100</v>
      </c>
      <c r="BB1059">
        <v>100</v>
      </c>
      <c r="BC1059">
        <v>100</v>
      </c>
      <c r="BD1059">
        <v>100</v>
      </c>
      <c r="BE1059">
        <v>1</v>
      </c>
      <c r="BF1059">
        <v>15000</v>
      </c>
      <c r="BG1059">
        <v>1000</v>
      </c>
      <c r="BH1059" s="7">
        <f>ROUND(Wapato_Inventory[[#This Row],[detatched_value]]*Lookups!$B$22*Lookups!$H$48,-2)</f>
        <v>0</v>
      </c>
      <c r="BI1059" s="7">
        <f>ROUND(((Wapato_Inventory[[#This Row],[land_extract]]*Lookups!$B$3) +(Lookups!$B$2*0.5))*Lookups!$H$48,-2)</f>
        <v>55300</v>
      </c>
      <c r="BJ1059" s="7">
        <f>IF(Wapato_Inventory[[#This Row],[bldg_style]]="",0,Lookups!$B$2*0.5)</f>
        <v>53765.27</v>
      </c>
      <c r="BK1059" s="7">
        <f>_xlfn.IFNA(VLOOKUP(Wapato_Inventory[[#This Row],[quality]],Lookups!$H$2:$J$14,3,FALSE),0)</f>
        <v>48043</v>
      </c>
      <c r="BL1059" s="7">
        <f>_xlfn.IFNA(VLOOKUP(Wapato_Inventory[[#This Row],[condition]],Lookups!$H$17:$J$24,3,FALSE),0)</f>
        <v>74543</v>
      </c>
      <c r="BM1059" s="7">
        <f>Wapato_Inventory[[#This Row],[Age]]*Lookups!$B$16</f>
        <v>-26688.650399999999</v>
      </c>
      <c r="BN1059" s="7">
        <f>Wapato_Inventory[[#This Row],[Main Floor]]*Lookups!$B$17</f>
        <v>83183.470610000004</v>
      </c>
      <c r="BO1059" s="7">
        <f>Wapato_Inventory[[#This Row],[Upper Floor]]*Lookups!$B$18</f>
        <v>0</v>
      </c>
      <c r="BP1059" s="7">
        <f>Wapato_Inventory[[#This Row],[Fin BSMT]]*Lookups!$B$19</f>
        <v>0</v>
      </c>
      <c r="BQ1059" s="7">
        <f>(Wapato_Inventory[[#This Row],[att_gar]]+Wapato_Inventory[[#This Row],[blt_gar]])*Lookups!$B$20</f>
        <v>0</v>
      </c>
      <c r="BR1059" s="7">
        <f>Wapato_Inventory[[#This Row],[Patio]]*Lookups!$B$21</f>
        <v>10917.642708000001</v>
      </c>
      <c r="BS1059" s="7">
        <f>SUM(Wapato_Inventory[[#This Row],[intercept]:[patio_value]])*Wapato_Inventory[[#This Row],[res_pct]]</f>
        <v>243763.73291799999</v>
      </c>
      <c r="BT1059" s="7">
        <f>Wapato_Inventory[[#This Row],[land_value]]</f>
        <v>55300</v>
      </c>
      <c r="BU1059" s="2">
        <f>_xlfn.IFNA(VLOOKUP(Wapato_Inventory[[#This Row],[quality]],Lookups!$A$28:$C$37,3,FALSE),1)</f>
        <v>0.98196844879778955</v>
      </c>
      <c r="BV1059" s="2">
        <f>_xlfn.IFNA(VLOOKUP(Wapato_Inventory[[#This Row],[condition]],Lookups!$A$41:$C$48,3,FALSE),1)</f>
        <v>0.98442438223270734</v>
      </c>
      <c r="BW1059" s="2">
        <f>IF(Wapato_Inventory[[#This Row],[decade]]="",1,_xlfn.IFNA(VLOOKUP(Wapato_Inventory[[#This Row],[decade]],Lookups!$F$28:$H$45,3,FALSE),1))</f>
        <v>0.8438929209510081</v>
      </c>
      <c r="BX1059" s="2">
        <f>_xlfn.IFNA(VLOOKUP(Wapato_Inventory[[#This Row],[living_area_range]],Lookups!$K$28:$M$37,3,FALSE),1)</f>
        <v>0.99330894324714125</v>
      </c>
      <c r="BY1059" s="2">
        <f>AVERAGE(Wapato_Inventory[[#This Row],[qual_adj]:[range_adj]])</f>
        <v>0.95089867380716153</v>
      </c>
      <c r="BZ1059" s="7">
        <f>(Wapato_Inventory[[#This Row],[sum_land]]-IF(Wapato_Inventory[[#This Row],[no_utilities]]=1,12000,0))/IF(Wapato_Inventory[[#This Row],[unbuildable]]=1,2,1)</f>
        <v>55300</v>
      </c>
      <c r="CA1059" s="7">
        <f>Wapato_Inventory[[#This Row],[pre_res]]*Wapato_Inventory[[#This Row],[overall_adj]]</f>
        <v>231794.61035400932</v>
      </c>
      <c r="CB1059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1059" s="3">
        <f>IF(ROUND(Wapato_Inventory[[#This Row],[adj_res]]*Lookups!$H$48,-2)&lt;Wapato_Inventory[[#This Row],[min_res]],Wapato_Inventory[[#This Row],[min_res]],ROUND(Wapato_Inventory[[#This Row],[adj_res]]*Lookups!$H$48,-2))</f>
        <v>220200</v>
      </c>
      <c r="CD1059" s="3">
        <f>ROUND(Wapato_Inventory[[#This Row],[det_value]]*Lookups!$H$48,-2)</f>
        <v>0</v>
      </c>
      <c r="CE1059" s="3">
        <f>Wapato_Inventory[[#This Row],[final_res]]+Wapato_Inventory[[#This Row],[final_det]]</f>
        <v>220200</v>
      </c>
      <c r="CF1059" s="3">
        <f>Wapato_Inventory[[#This Row],[crop_value]]+Wapato_Inventory[[#This Row],[final_land]]+Wapato_Inventory[[#This Row],[final_imp]]</f>
        <v>272700</v>
      </c>
      <c r="CH1059" t="str">
        <f t="shared" si="16"/>
        <v>update valuation set market_land =52500, market_bldg=220200, market_total =272700, market_mdno =405, market_date ='9/10/2023' where link_id = (select link_id from parcel where parcel_year = '2024' and parcel_id = '19111532005');</v>
      </c>
    </row>
    <row r="1060" spans="1:86" x14ac:dyDescent="0.25">
      <c r="A1060">
        <v>19111532007</v>
      </c>
      <c r="B1060">
        <v>3.91</v>
      </c>
      <c r="C1060">
        <v>170478</v>
      </c>
      <c r="D1060" t="s">
        <v>144</v>
      </c>
      <c r="E1060" t="s">
        <v>54</v>
      </c>
      <c r="F1060" t="s">
        <v>54</v>
      </c>
      <c r="G1060">
        <v>3</v>
      </c>
      <c r="H1060" t="s">
        <v>55</v>
      </c>
      <c r="I1060">
        <v>178800</v>
      </c>
      <c r="J1060">
        <v>54800</v>
      </c>
      <c r="K1060">
        <v>3.91</v>
      </c>
      <c r="L1060">
        <f>IF(Wapato_Inventory[[#This Row],[parcel_acres]]-Wapato_Inventory[[#This Row],[non_valued_acres]] =0,0,LN(Wapato_Inventory[[#This Row],[parcel_acres]]-Wapato_Inventory[[#This Row],[non_valued_acres]]))</f>
        <v>1.3635373739972745</v>
      </c>
      <c r="M1060">
        <v>0</v>
      </c>
      <c r="N1060">
        <v>0</v>
      </c>
      <c r="O1060">
        <v>0</v>
      </c>
      <c r="P1060">
        <v>27904.037</v>
      </c>
      <c r="Q1060">
        <v>74398</v>
      </c>
      <c r="R1060" s="3">
        <f>(Wapato_Inventory[[#This Row],[ln_acres]]*Wapato_Inventory[[#This Row],[coeff]])+Wapato_Inventory[[#This Row],[const]]</f>
        <v>112446.19733490278</v>
      </c>
      <c r="S1060" t="s">
        <v>66</v>
      </c>
      <c r="T1060">
        <v>1</v>
      </c>
      <c r="U1060" t="s">
        <v>75</v>
      </c>
      <c r="V1060" t="s">
        <v>68</v>
      </c>
      <c r="W1060">
        <v>0</v>
      </c>
      <c r="X1060">
        <v>0</v>
      </c>
      <c r="Y1060">
        <v>55</v>
      </c>
      <c r="Z1060">
        <v>99</v>
      </c>
      <c r="AA1060">
        <v>100</v>
      </c>
      <c r="AB1060">
        <v>2000</v>
      </c>
      <c r="AC1060">
        <v>1590</v>
      </c>
      <c r="AD1060">
        <v>1590</v>
      </c>
      <c r="AE1060">
        <v>0</v>
      </c>
      <c r="AF1060">
        <v>0</v>
      </c>
      <c r="AG1060">
        <v>0</v>
      </c>
      <c r="AH1060">
        <v>0</v>
      </c>
      <c r="AI1060">
        <v>0</v>
      </c>
      <c r="AJ1060">
        <v>0</v>
      </c>
      <c r="AK1060">
        <v>0</v>
      </c>
      <c r="AL1060">
        <v>0</v>
      </c>
      <c r="AM1060">
        <v>0</v>
      </c>
      <c r="AN1060">
        <v>270</v>
      </c>
      <c r="AO1060">
        <v>0</v>
      </c>
      <c r="AP1060">
        <v>5</v>
      </c>
      <c r="AQ1060">
        <v>0</v>
      </c>
      <c r="AR1060">
        <v>0</v>
      </c>
      <c r="AS1060" t="s">
        <v>59</v>
      </c>
      <c r="AT1060">
        <v>1</v>
      </c>
      <c r="AU1060" t="s">
        <v>64</v>
      </c>
      <c r="AV1060" t="s">
        <v>65</v>
      </c>
      <c r="AW1060">
        <v>0</v>
      </c>
      <c r="AX1060">
        <v>3</v>
      </c>
      <c r="AY1060">
        <v>0</v>
      </c>
      <c r="AZ1060">
        <v>18000</v>
      </c>
      <c r="BA1060">
        <v>100</v>
      </c>
      <c r="BB1060">
        <v>100</v>
      </c>
      <c r="BC1060">
        <v>100</v>
      </c>
      <c r="BD1060">
        <v>100</v>
      </c>
      <c r="BE1060">
        <v>1</v>
      </c>
      <c r="BF1060">
        <v>15000</v>
      </c>
      <c r="BG1060">
        <v>1000</v>
      </c>
      <c r="BH1060" s="7">
        <f>ROUND(Wapato_Inventory[[#This Row],[detatched_value]]*Lookups!$B$22*Lookups!$H$48,-2)</f>
        <v>16100</v>
      </c>
      <c r="BI1060" s="7">
        <f>ROUND(((Wapato_Inventory[[#This Row],[land_extract]]*Lookups!$B$3) +(Lookups!$B$2*0.5))*Lookups!$H$48,-2)</f>
        <v>61900</v>
      </c>
      <c r="BJ1060" s="7">
        <f>IF(Wapato_Inventory[[#This Row],[bldg_style]]="",0,Lookups!$B$2*0.5)</f>
        <v>53765.27</v>
      </c>
      <c r="BK1060" s="7">
        <f>_xlfn.IFNA(VLOOKUP(Wapato_Inventory[[#This Row],[quality]],Lookups!$H$2:$J$14,3,FALSE),0)</f>
        <v>48043</v>
      </c>
      <c r="BL1060" s="7">
        <f>_xlfn.IFNA(VLOOKUP(Wapato_Inventory[[#This Row],[condition]],Lookups!$H$17:$J$24,3,FALSE),0)</f>
        <v>52231</v>
      </c>
      <c r="BM1060" s="7">
        <f>Wapato_Inventory[[#This Row],[Age]]*Lookups!$B$16</f>
        <v>-36696.8943</v>
      </c>
      <c r="BN1060" s="7">
        <f>Wapato_Inventory[[#This Row],[Main Floor]]*Lookups!$B$17</f>
        <v>66463.175010000006</v>
      </c>
      <c r="BO1060" s="7">
        <f>Wapato_Inventory[[#This Row],[Upper Floor]]*Lookups!$B$18</f>
        <v>0</v>
      </c>
      <c r="BP1060" s="7">
        <f>Wapato_Inventory[[#This Row],[Fin BSMT]]*Lookups!$B$19</f>
        <v>0</v>
      </c>
      <c r="BQ1060" s="7">
        <f>(Wapato_Inventory[[#This Row],[att_gar]]+Wapato_Inventory[[#This Row],[blt_gar]])*Lookups!$B$20</f>
        <v>0</v>
      </c>
      <c r="BR1060" s="7">
        <f>Wapato_Inventory[[#This Row],[Patio]]*Lookups!$B$21</f>
        <v>0</v>
      </c>
      <c r="BS1060" s="7">
        <f>SUM(Wapato_Inventory[[#This Row],[intercept]:[patio_value]])*Wapato_Inventory[[#This Row],[res_pct]]</f>
        <v>183805.55070999998</v>
      </c>
      <c r="BT1060" s="7">
        <f>Wapato_Inventory[[#This Row],[land_value]]</f>
        <v>61900</v>
      </c>
      <c r="BU1060" s="2">
        <f>_xlfn.IFNA(VLOOKUP(Wapato_Inventory[[#This Row],[quality]],Lookups!$A$28:$C$37,3,FALSE),1)</f>
        <v>0.98196844879778955</v>
      </c>
      <c r="BV1060" s="2">
        <f>_xlfn.IFNA(VLOOKUP(Wapato_Inventory[[#This Row],[condition]],Lookups!$A$41:$C$48,3,FALSE),1)</f>
        <v>0.9832333997567807</v>
      </c>
      <c r="BW1060" s="2">
        <f>IF(Wapato_Inventory[[#This Row],[decade]]="",1,_xlfn.IFNA(VLOOKUP(Wapato_Inventory[[#This Row],[decade]],Lookups!$F$28:$H$45,3,FALSE),1))</f>
        <v>1.0114203040664467</v>
      </c>
      <c r="BX1060" s="2">
        <f>_xlfn.IFNA(VLOOKUP(Wapato_Inventory[[#This Row],[living_area_range]],Lookups!$K$28:$M$37,3,FALSE),1)</f>
        <v>0.99330894324714125</v>
      </c>
      <c r="BY1060" s="2">
        <f>AVERAGE(Wapato_Inventory[[#This Row],[qual_adj]:[range_adj]])</f>
        <v>0.99248277396703954</v>
      </c>
      <c r="BZ1060" s="7">
        <f>(Wapato_Inventory[[#This Row],[sum_land]]-IF(Wapato_Inventory[[#This Row],[no_utilities]]=1,12000,0))/IF(Wapato_Inventory[[#This Row],[unbuildable]]=1,2,1)</f>
        <v>61900</v>
      </c>
      <c r="CA1060" s="7">
        <f>Wapato_Inventory[[#This Row],[pre_res]]*Wapato_Inventory[[#This Row],[overall_adj]]</f>
        <v>182423.84283920014</v>
      </c>
      <c r="CB1060" s="3">
        <f>IF(ROUND(Wapato_Inventory[[#This Row],[adj_land]]*Lookups!$H$48,-2)&lt;Wapato_Inventory[[#This Row],[min_land]],Wapato_Inventory[[#This Row],[min_land]],ROUND(Wapato_Inventory[[#This Row],[adj_land]]*Lookups!$H$48,-2))</f>
        <v>58800</v>
      </c>
      <c r="CC1060" s="3">
        <f>IF(ROUND(Wapato_Inventory[[#This Row],[adj_res]]*Lookups!$H$48,-2)&lt;Wapato_Inventory[[#This Row],[min_res]],Wapato_Inventory[[#This Row],[min_res]],ROUND(Wapato_Inventory[[#This Row],[adj_res]]*Lookups!$H$48,-2))</f>
        <v>173300</v>
      </c>
      <c r="CD1060" s="3">
        <f>ROUND(Wapato_Inventory[[#This Row],[det_value]]*Lookups!$H$48,-2)</f>
        <v>15300</v>
      </c>
      <c r="CE1060" s="3">
        <f>Wapato_Inventory[[#This Row],[final_res]]+Wapato_Inventory[[#This Row],[final_det]]</f>
        <v>188600</v>
      </c>
      <c r="CF1060" s="3">
        <f>Wapato_Inventory[[#This Row],[crop_value]]+Wapato_Inventory[[#This Row],[final_land]]+Wapato_Inventory[[#This Row],[final_imp]]</f>
        <v>247400</v>
      </c>
      <c r="CH1060" t="str">
        <f t="shared" si="16"/>
        <v>update valuation set market_land =58800, market_bldg=188600, market_total =247400, market_mdno =405, market_date ='9/10/2023' where link_id = (select link_id from parcel where parcel_year = '2024' and parcel_id = '19111532007');</v>
      </c>
    </row>
    <row r="1061" spans="1:86" x14ac:dyDescent="0.25">
      <c r="A1061">
        <v>19111532008</v>
      </c>
      <c r="B1061">
        <v>4.84</v>
      </c>
      <c r="C1061">
        <v>211004</v>
      </c>
      <c r="D1061" t="s">
        <v>144</v>
      </c>
      <c r="E1061" t="s">
        <v>54</v>
      </c>
      <c r="F1061" t="s">
        <v>54</v>
      </c>
      <c r="G1061">
        <v>3</v>
      </c>
      <c r="H1061" t="s">
        <v>55</v>
      </c>
      <c r="I1061">
        <v>155500</v>
      </c>
      <c r="J1061">
        <v>56300</v>
      </c>
      <c r="K1061">
        <v>4.84</v>
      </c>
      <c r="L1061">
        <f>IF(Wapato_Inventory[[#This Row],[parcel_acres]]-Wapato_Inventory[[#This Row],[non_valued_acres]] =0,0,LN(Wapato_Inventory[[#This Row],[parcel_acres]]-Wapato_Inventory[[#This Row],[non_valued_acres]]))</f>
        <v>1.5769147207285403</v>
      </c>
      <c r="M1061">
        <v>0</v>
      </c>
      <c r="N1061">
        <v>0</v>
      </c>
      <c r="O1061">
        <v>0</v>
      </c>
      <c r="P1061">
        <v>27904.037</v>
      </c>
      <c r="Q1061">
        <v>74398</v>
      </c>
      <c r="R1061" s="3">
        <f>(Wapato_Inventory[[#This Row],[ln_acres]]*Wapato_Inventory[[#This Row],[coeff]])+Wapato_Inventory[[#This Row],[const]]</f>
        <v>118400.28671305385</v>
      </c>
      <c r="S1061" t="s">
        <v>66</v>
      </c>
      <c r="T1061">
        <v>1</v>
      </c>
      <c r="U1061" t="s">
        <v>67</v>
      </c>
      <c r="V1061" t="s">
        <v>68</v>
      </c>
      <c r="W1061">
        <v>0</v>
      </c>
      <c r="X1061">
        <v>0</v>
      </c>
      <c r="Y1061">
        <v>54</v>
      </c>
      <c r="Z1061">
        <v>68</v>
      </c>
      <c r="AA1061">
        <v>70</v>
      </c>
      <c r="AB1061">
        <v>1500</v>
      </c>
      <c r="AC1061">
        <v>1048</v>
      </c>
      <c r="AD1061">
        <v>1048</v>
      </c>
      <c r="AE1061">
        <v>0</v>
      </c>
      <c r="AF1061">
        <v>0</v>
      </c>
      <c r="AG1061">
        <v>0</v>
      </c>
      <c r="AH1061">
        <v>209</v>
      </c>
      <c r="AI1061">
        <v>0</v>
      </c>
      <c r="AJ1061">
        <v>0</v>
      </c>
      <c r="AK1061">
        <v>0</v>
      </c>
      <c r="AL1061">
        <v>0</v>
      </c>
      <c r="AM1061">
        <v>312</v>
      </c>
      <c r="AN1061">
        <v>0</v>
      </c>
      <c r="AO1061">
        <v>312</v>
      </c>
      <c r="AP1061">
        <v>8</v>
      </c>
      <c r="AQ1061">
        <v>0</v>
      </c>
      <c r="AR1061">
        <v>1</v>
      </c>
      <c r="AS1061" t="s">
        <v>59</v>
      </c>
      <c r="AT1061">
        <v>1</v>
      </c>
      <c r="AU1061" t="s">
        <v>64</v>
      </c>
      <c r="AV1061" t="s">
        <v>77</v>
      </c>
      <c r="AW1061">
        <v>1</v>
      </c>
      <c r="AX1061">
        <v>3</v>
      </c>
      <c r="AY1061">
        <v>0</v>
      </c>
      <c r="AZ1061">
        <v>11500</v>
      </c>
      <c r="BA1061">
        <v>100</v>
      </c>
      <c r="BB1061">
        <v>100</v>
      </c>
      <c r="BC1061">
        <v>100</v>
      </c>
      <c r="BD1061">
        <v>100</v>
      </c>
      <c r="BE1061">
        <v>1</v>
      </c>
      <c r="BF1061">
        <v>15000</v>
      </c>
      <c r="BG1061">
        <v>1000</v>
      </c>
      <c r="BH1061" s="7">
        <f>ROUND(Wapato_Inventory[[#This Row],[detatched_value]]*Lookups!$B$22*Lookups!$H$48,-2)</f>
        <v>10300</v>
      </c>
      <c r="BI1061" s="7">
        <f>ROUND(((Wapato_Inventory[[#This Row],[land_extract]]*Lookups!$B$3) +(Lookups!$B$2*0.5))*Lookups!$H$48,-2)</f>
        <v>62500</v>
      </c>
      <c r="BJ1061" s="7">
        <f>IF(Wapato_Inventory[[#This Row],[bldg_style]]="",0,Lookups!$B$2*0.5)</f>
        <v>53765.27</v>
      </c>
      <c r="BK1061" s="7">
        <f>_xlfn.IFNA(VLOOKUP(Wapato_Inventory[[#This Row],[quality]],Lookups!$H$2:$J$14,3,FALSE),0)</f>
        <v>50405</v>
      </c>
      <c r="BL1061" s="7">
        <f>_xlfn.IFNA(VLOOKUP(Wapato_Inventory[[#This Row],[condition]],Lookups!$H$17:$J$24,3,FALSE),0)</f>
        <v>52231</v>
      </c>
      <c r="BM1061" s="7">
        <f>Wapato_Inventory[[#This Row],[Age]]*Lookups!$B$16</f>
        <v>-25205.9476</v>
      </c>
      <c r="BN1061" s="7">
        <f>Wapato_Inventory[[#This Row],[Main Floor]]*Lookups!$B$17</f>
        <v>43807.174471999999</v>
      </c>
      <c r="BO1061" s="7">
        <f>Wapato_Inventory[[#This Row],[Upper Floor]]*Lookups!$B$18</f>
        <v>0</v>
      </c>
      <c r="BP1061" s="7">
        <f>Wapato_Inventory[[#This Row],[Fin BSMT]]*Lookups!$B$19</f>
        <v>0</v>
      </c>
      <c r="BQ1061" s="7">
        <f>(Wapato_Inventory[[#This Row],[att_gar]]+Wapato_Inventory[[#This Row],[blt_gar]])*Lookups!$B$20</f>
        <v>0</v>
      </c>
      <c r="BR1061" s="7">
        <f>Wapato_Inventory[[#This Row],[Patio]]*Lookups!$B$21</f>
        <v>13517.081448000001</v>
      </c>
      <c r="BS1061" s="7">
        <f>SUM(Wapato_Inventory[[#This Row],[intercept]:[patio_value]])*Wapato_Inventory[[#This Row],[res_pct]]</f>
        <v>188519.57832</v>
      </c>
      <c r="BT1061" s="7">
        <f>Wapato_Inventory[[#This Row],[land_value]]</f>
        <v>62500</v>
      </c>
      <c r="BU1061" s="2">
        <f>_xlfn.IFNA(VLOOKUP(Wapato_Inventory[[#This Row],[quality]],Lookups!$A$28:$C$37,3,FALSE),1)</f>
        <v>0.97993206410140754</v>
      </c>
      <c r="BV1061" s="2">
        <f>_xlfn.IFNA(VLOOKUP(Wapato_Inventory[[#This Row],[condition]],Lookups!$A$41:$C$48,3,FALSE),1)</f>
        <v>0.9832333997567807</v>
      </c>
      <c r="BW1061" s="2">
        <f>IF(Wapato_Inventory[[#This Row],[decade]]="",1,_xlfn.IFNA(VLOOKUP(Wapato_Inventory[[#This Row],[decade]],Lookups!$F$28:$H$45,3,FALSE),1))</f>
        <v>1.0012715221492001</v>
      </c>
      <c r="BX1061" s="2">
        <f>_xlfn.IFNA(VLOOKUP(Wapato_Inventory[[#This Row],[living_area_range]],Lookups!$K$28:$M$37,3,FALSE),1)</f>
        <v>1.0061411172456287</v>
      </c>
      <c r="BY1061" s="2">
        <f>AVERAGE(Wapato_Inventory[[#This Row],[qual_adj]:[range_adj]])</f>
        <v>0.99264452581325435</v>
      </c>
      <c r="BZ1061" s="7">
        <f>(Wapato_Inventory[[#This Row],[sum_land]]-IF(Wapato_Inventory[[#This Row],[no_utilities]]=1,12000,0))/IF(Wapato_Inventory[[#This Row],[unbuildable]]=1,2,1)</f>
        <v>62500</v>
      </c>
      <c r="CA1061" s="7">
        <f>Wapato_Inventory[[#This Row],[pre_res]]*Wapato_Inventory[[#This Row],[overall_adj]]</f>
        <v>187132.92742797107</v>
      </c>
      <c r="CB1061" s="3">
        <f>IF(ROUND(Wapato_Inventory[[#This Row],[adj_land]]*Lookups!$H$48,-2)&lt;Wapato_Inventory[[#This Row],[min_land]],Wapato_Inventory[[#This Row],[min_land]],ROUND(Wapato_Inventory[[#This Row],[adj_land]]*Lookups!$H$48,-2))</f>
        <v>59400</v>
      </c>
      <c r="CC1061" s="3">
        <f>IF(ROUND(Wapato_Inventory[[#This Row],[adj_res]]*Lookups!$H$48,-2)&lt;Wapato_Inventory[[#This Row],[min_res]],Wapato_Inventory[[#This Row],[min_res]],ROUND(Wapato_Inventory[[#This Row],[adj_res]]*Lookups!$H$48,-2))</f>
        <v>177800</v>
      </c>
      <c r="CD1061" s="3">
        <f>ROUND(Wapato_Inventory[[#This Row],[det_value]]*Lookups!$H$48,-2)</f>
        <v>9800</v>
      </c>
      <c r="CE1061" s="3">
        <f>Wapato_Inventory[[#This Row],[final_res]]+Wapato_Inventory[[#This Row],[final_det]]</f>
        <v>187600</v>
      </c>
      <c r="CF1061" s="3">
        <f>Wapato_Inventory[[#This Row],[crop_value]]+Wapato_Inventory[[#This Row],[final_land]]+Wapato_Inventory[[#This Row],[final_imp]]</f>
        <v>247000</v>
      </c>
      <c r="CH1061" t="str">
        <f t="shared" si="16"/>
        <v>update valuation set market_land =59400, market_bldg=187600, market_total =247000, market_mdno =405, market_date ='9/10/2023' where link_id = (select link_id from parcel where parcel_year = '2024' and parcel_id = '19111532008');</v>
      </c>
    </row>
    <row r="1062" spans="1:86" x14ac:dyDescent="0.25">
      <c r="A1062">
        <v>19111532009</v>
      </c>
      <c r="B1062">
        <v>0.98</v>
      </c>
      <c r="C1062">
        <v>42707</v>
      </c>
      <c r="D1062" t="s">
        <v>144</v>
      </c>
      <c r="E1062" t="s">
        <v>54</v>
      </c>
      <c r="F1062" t="s">
        <v>54</v>
      </c>
      <c r="G1062">
        <v>3</v>
      </c>
      <c r="H1062" t="s">
        <v>55</v>
      </c>
      <c r="I1062">
        <v>317600</v>
      </c>
      <c r="J1062">
        <v>45100</v>
      </c>
      <c r="K1062">
        <v>0.98</v>
      </c>
      <c r="L1062">
        <f>IF(Wapato_Inventory[[#This Row],[parcel_acres]]-Wapato_Inventory[[#This Row],[non_valued_acres]] =0,0,LN(Wapato_Inventory[[#This Row],[parcel_acres]]-Wapato_Inventory[[#This Row],[non_valued_acres]]))</f>
        <v>-2.0202707317519466E-2</v>
      </c>
      <c r="M1062">
        <v>0</v>
      </c>
      <c r="N1062">
        <v>0</v>
      </c>
      <c r="O1062">
        <v>0</v>
      </c>
      <c r="P1062">
        <v>27904.037</v>
      </c>
      <c r="Q1062">
        <v>74398</v>
      </c>
      <c r="R1062" s="3">
        <f>(Wapato_Inventory[[#This Row],[ln_acres]]*Wapato_Inventory[[#This Row],[coeff]])+Wapato_Inventory[[#This Row],[const]]</f>
        <v>73834.262907511773</v>
      </c>
      <c r="S1062" t="s">
        <v>62</v>
      </c>
      <c r="T1062">
        <v>1</v>
      </c>
      <c r="U1062" t="s">
        <v>67</v>
      </c>
      <c r="V1062" t="s">
        <v>69</v>
      </c>
      <c r="W1062">
        <v>0</v>
      </c>
      <c r="X1062">
        <v>0</v>
      </c>
      <c r="Y1062">
        <v>23</v>
      </c>
      <c r="Z1062">
        <v>23</v>
      </c>
      <c r="AA1062">
        <v>30</v>
      </c>
      <c r="AB1062">
        <v>3000</v>
      </c>
      <c r="AC1062">
        <v>2512</v>
      </c>
      <c r="AD1062">
        <v>2512</v>
      </c>
      <c r="AE1062">
        <v>0</v>
      </c>
      <c r="AF1062">
        <v>0</v>
      </c>
      <c r="AG1062">
        <v>0</v>
      </c>
      <c r="AH1062">
        <v>0</v>
      </c>
      <c r="AI1062">
        <v>743</v>
      </c>
      <c r="AJ1062">
        <v>0</v>
      </c>
      <c r="AK1062">
        <v>0</v>
      </c>
      <c r="AL1062">
        <v>0</v>
      </c>
      <c r="AM1062">
        <v>0</v>
      </c>
      <c r="AN1062">
        <v>60</v>
      </c>
      <c r="AO1062">
        <v>224</v>
      </c>
      <c r="AP1062">
        <v>10</v>
      </c>
      <c r="AQ1062">
        <v>0</v>
      </c>
      <c r="AR1062">
        <v>0</v>
      </c>
      <c r="AS1062" t="s">
        <v>59</v>
      </c>
      <c r="AT1062">
        <v>1</v>
      </c>
      <c r="AU1062" t="s">
        <v>76</v>
      </c>
      <c r="AV1062" t="s">
        <v>61</v>
      </c>
      <c r="AW1062">
        <v>0</v>
      </c>
      <c r="AX1062">
        <v>4</v>
      </c>
      <c r="AY1062">
        <v>0</v>
      </c>
      <c r="AZ1062">
        <v>0</v>
      </c>
      <c r="BA1062">
        <v>100</v>
      </c>
      <c r="BB1062">
        <v>100</v>
      </c>
      <c r="BC1062">
        <v>100</v>
      </c>
      <c r="BD1062">
        <v>100</v>
      </c>
      <c r="BE1062">
        <v>1</v>
      </c>
      <c r="BF1062">
        <v>15000</v>
      </c>
      <c r="BG1062">
        <v>1000</v>
      </c>
      <c r="BH1062" s="7">
        <f>ROUND(Wapato_Inventory[[#This Row],[detatched_value]]*Lookups!$B$22*Lookups!$H$48,-2)</f>
        <v>0</v>
      </c>
      <c r="BI1062" s="7">
        <f>ROUND(((Wapato_Inventory[[#This Row],[land_extract]]*Lookups!$B$3) +(Lookups!$B$2*0.5))*Lookups!$H$48,-2)</f>
        <v>58200</v>
      </c>
      <c r="BJ1062" s="7">
        <f>IF(Wapato_Inventory[[#This Row],[bldg_style]]="",0,Lookups!$B$2*0.5)</f>
        <v>53765.27</v>
      </c>
      <c r="BK1062" s="7">
        <f>_xlfn.IFNA(VLOOKUP(Wapato_Inventory[[#This Row],[quality]],Lookups!$H$2:$J$14,3,FALSE),0)</f>
        <v>50405</v>
      </c>
      <c r="BL1062" s="7">
        <f>_xlfn.IFNA(VLOOKUP(Wapato_Inventory[[#This Row],[condition]],Lookups!$H$17:$J$24,3,FALSE),0)</f>
        <v>74543</v>
      </c>
      <c r="BM1062" s="7">
        <f>Wapato_Inventory[[#This Row],[Age]]*Lookups!$B$16</f>
        <v>-8525.5411000000004</v>
      </c>
      <c r="BN1062" s="7">
        <f>Wapato_Inventory[[#This Row],[Main Floor]]*Lookups!$B$17</f>
        <v>105003.456368</v>
      </c>
      <c r="BO1062" s="7">
        <f>Wapato_Inventory[[#This Row],[Upper Floor]]*Lookups!$B$18</f>
        <v>0</v>
      </c>
      <c r="BP1062" s="7">
        <f>Wapato_Inventory[[#This Row],[Fin BSMT]]*Lookups!$B$19</f>
        <v>0</v>
      </c>
      <c r="BQ1062" s="7">
        <f>(Wapato_Inventory[[#This Row],[att_gar]]+Wapato_Inventory[[#This Row],[blt_gar]])*Lookups!$B$20</f>
        <v>27497.502736000002</v>
      </c>
      <c r="BR1062" s="7">
        <f>Wapato_Inventory[[#This Row],[Patio]]*Lookups!$B$21</f>
        <v>0</v>
      </c>
      <c r="BS1062" s="7">
        <f>SUM(Wapato_Inventory[[#This Row],[intercept]:[patio_value]])*Wapato_Inventory[[#This Row],[res_pct]]</f>
        <v>302688.688004</v>
      </c>
      <c r="BT1062" s="7">
        <f>Wapato_Inventory[[#This Row],[land_value]]</f>
        <v>58200</v>
      </c>
      <c r="BU1062" s="2">
        <f>_xlfn.IFNA(VLOOKUP(Wapato_Inventory[[#This Row],[quality]],Lookups!$A$28:$C$37,3,FALSE),1)</f>
        <v>0.97993206410140754</v>
      </c>
      <c r="BV1062" s="2">
        <f>_xlfn.IFNA(VLOOKUP(Wapato_Inventory[[#This Row],[condition]],Lookups!$A$41:$C$48,3,FALSE),1)</f>
        <v>0.98442438223270734</v>
      </c>
      <c r="BW1062" s="2">
        <f>IF(Wapato_Inventory[[#This Row],[decade]]="",1,_xlfn.IFNA(VLOOKUP(Wapato_Inventory[[#This Row],[decade]],Lookups!$F$28:$H$45,3,FALSE),1))</f>
        <v>1.0490505496896987</v>
      </c>
      <c r="BX1062" s="2">
        <f>_xlfn.IFNA(VLOOKUP(Wapato_Inventory[[#This Row],[living_area_range]],Lookups!$K$28:$M$37,3,FALSE),1)</f>
        <v>1.0155869662067822</v>
      </c>
      <c r="BY1062" s="2">
        <f>AVERAGE(Wapato_Inventory[[#This Row],[qual_adj]:[range_adj]])</f>
        <v>1.0072484905576489</v>
      </c>
      <c r="BZ1062" s="7">
        <f>(Wapato_Inventory[[#This Row],[sum_land]]-IF(Wapato_Inventory[[#This Row],[no_utilities]]=1,12000,0))/IF(Wapato_Inventory[[#This Row],[unbuildable]]=1,2,1)</f>
        <v>58200</v>
      </c>
      <c r="CA1062" s="7">
        <f>Wapato_Inventory[[#This Row],[pre_res]]*Wapato_Inventory[[#This Row],[overall_adj]]</f>
        <v>304882.72410090413</v>
      </c>
      <c r="CB1062" s="3">
        <f>IF(ROUND(Wapato_Inventory[[#This Row],[adj_land]]*Lookups!$H$48,-2)&lt;Wapato_Inventory[[#This Row],[min_land]],Wapato_Inventory[[#This Row],[min_land]],ROUND(Wapato_Inventory[[#This Row],[adj_land]]*Lookups!$H$48,-2))</f>
        <v>55300</v>
      </c>
      <c r="CC1062" s="3">
        <f>IF(ROUND(Wapato_Inventory[[#This Row],[adj_res]]*Lookups!$H$48,-2)&lt;Wapato_Inventory[[#This Row],[min_res]],Wapato_Inventory[[#This Row],[min_res]],ROUND(Wapato_Inventory[[#This Row],[adj_res]]*Lookups!$H$48,-2))</f>
        <v>289600</v>
      </c>
      <c r="CD1062" s="3">
        <f>ROUND(Wapato_Inventory[[#This Row],[det_value]]*Lookups!$H$48,-2)</f>
        <v>0</v>
      </c>
      <c r="CE1062" s="3">
        <f>Wapato_Inventory[[#This Row],[final_res]]+Wapato_Inventory[[#This Row],[final_det]]</f>
        <v>289600</v>
      </c>
      <c r="CF1062" s="3">
        <f>Wapato_Inventory[[#This Row],[crop_value]]+Wapato_Inventory[[#This Row],[final_land]]+Wapato_Inventory[[#This Row],[final_imp]]</f>
        <v>344900</v>
      </c>
      <c r="CH1062" t="str">
        <f t="shared" si="16"/>
        <v>update valuation set market_land =55300, market_bldg=289600, market_total =344900, market_mdno =405, market_date ='9/10/2023' where link_id = (select link_id from parcel where parcel_year = '2024' and parcel_id = '19111532009');</v>
      </c>
    </row>
    <row r="1063" spans="1:86" x14ac:dyDescent="0.25">
      <c r="A1063">
        <v>19111532011</v>
      </c>
      <c r="B1063">
        <v>1.1399999999999999</v>
      </c>
      <c r="C1063">
        <v>49774</v>
      </c>
      <c r="D1063" t="s">
        <v>144</v>
      </c>
      <c r="E1063" t="s">
        <v>54</v>
      </c>
      <c r="F1063" t="s">
        <v>54</v>
      </c>
      <c r="G1063">
        <v>3</v>
      </c>
      <c r="H1063" t="s">
        <v>55</v>
      </c>
      <c r="I1063">
        <v>66300</v>
      </c>
      <c r="J1063">
        <v>46100</v>
      </c>
      <c r="K1063">
        <v>1.1399999999999999</v>
      </c>
      <c r="L1063">
        <f>IF(Wapato_Inventory[[#This Row],[parcel_acres]]-Wapato_Inventory[[#This Row],[non_valued_acres]] =0,0,LN(Wapato_Inventory[[#This Row],[parcel_acres]]-Wapato_Inventory[[#This Row],[non_valued_acres]]))</f>
        <v>0.131028262406404</v>
      </c>
      <c r="M1063">
        <v>0</v>
      </c>
      <c r="N1063">
        <v>0</v>
      </c>
      <c r="O1063">
        <v>0</v>
      </c>
      <c r="P1063">
        <v>27904.037</v>
      </c>
      <c r="Q1063">
        <v>74398</v>
      </c>
      <c r="R1063" s="3">
        <f>(Wapato_Inventory[[#This Row],[ln_acres]]*Wapato_Inventory[[#This Row],[coeff]])+Wapato_Inventory[[#This Row],[const]]</f>
        <v>78054.217482234002</v>
      </c>
      <c r="S1063" t="s">
        <v>66</v>
      </c>
      <c r="T1063">
        <v>1</v>
      </c>
      <c r="U1063" t="s">
        <v>71</v>
      </c>
      <c r="V1063" t="s">
        <v>73</v>
      </c>
      <c r="W1063">
        <v>0</v>
      </c>
      <c r="X1063">
        <v>0</v>
      </c>
      <c r="Y1063">
        <v>52</v>
      </c>
      <c r="Z1063">
        <v>87</v>
      </c>
      <c r="AA1063">
        <v>90</v>
      </c>
      <c r="AB1063">
        <v>1000</v>
      </c>
      <c r="AC1063">
        <v>836</v>
      </c>
      <c r="AD1063">
        <v>836</v>
      </c>
      <c r="AE1063">
        <v>0</v>
      </c>
      <c r="AF1063">
        <v>0</v>
      </c>
      <c r="AG1063">
        <v>0</v>
      </c>
      <c r="AH1063">
        <v>0</v>
      </c>
      <c r="AI1063">
        <v>0</v>
      </c>
      <c r="AJ1063">
        <v>0</v>
      </c>
      <c r="AK1063">
        <v>0</v>
      </c>
      <c r="AL1063">
        <v>0</v>
      </c>
      <c r="AM1063">
        <v>128</v>
      </c>
      <c r="AN1063">
        <v>16</v>
      </c>
      <c r="AO1063">
        <v>128</v>
      </c>
      <c r="AP1063">
        <v>5</v>
      </c>
      <c r="AQ1063">
        <v>0</v>
      </c>
      <c r="AR1063">
        <v>0</v>
      </c>
      <c r="AS1063" t="s">
        <v>146</v>
      </c>
      <c r="AT1063">
        <v>0</v>
      </c>
      <c r="AU1063" t="s">
        <v>80</v>
      </c>
      <c r="AV1063" t="s">
        <v>65</v>
      </c>
      <c r="AW1063">
        <v>0</v>
      </c>
      <c r="AX1063">
        <v>2</v>
      </c>
      <c r="AY1063">
        <v>0</v>
      </c>
      <c r="AZ1063">
        <v>2600</v>
      </c>
      <c r="BA1063">
        <v>100</v>
      </c>
      <c r="BB1063">
        <v>100</v>
      </c>
      <c r="BC1063">
        <v>100</v>
      </c>
      <c r="BD1063">
        <v>100</v>
      </c>
      <c r="BE1063">
        <v>1</v>
      </c>
      <c r="BF1063">
        <v>15000</v>
      </c>
      <c r="BG1063">
        <v>1000</v>
      </c>
      <c r="BH1063" s="7">
        <f>ROUND(Wapato_Inventory[[#This Row],[detatched_value]]*Lookups!$B$22*Lookups!$H$48,-2)</f>
        <v>2300</v>
      </c>
      <c r="BI1063" s="7">
        <f>ROUND(((Wapato_Inventory[[#This Row],[land_extract]]*Lookups!$B$3) +(Lookups!$B$2*0.5))*Lookups!$H$48,-2)</f>
        <v>58600</v>
      </c>
      <c r="BJ1063" s="7">
        <f>IF(Wapato_Inventory[[#This Row],[bldg_style]]="",0,Lookups!$B$2*0.5)</f>
        <v>53765.27</v>
      </c>
      <c r="BK1063" s="7">
        <f>_xlfn.IFNA(VLOOKUP(Wapato_Inventory[[#This Row],[quality]],Lookups!$H$2:$J$14,3,FALSE),0)</f>
        <v>28034</v>
      </c>
      <c r="BL1063" s="7">
        <f>_xlfn.IFNA(VLOOKUP(Wapato_Inventory[[#This Row],[condition]],Lookups!$H$17:$J$24,3,FALSE),0)</f>
        <v>16276</v>
      </c>
      <c r="BM1063" s="7">
        <f>Wapato_Inventory[[#This Row],[Age]]*Lookups!$B$16</f>
        <v>-32248.785899999999</v>
      </c>
      <c r="BN1063" s="7">
        <f>Wapato_Inventory[[#This Row],[Main Floor]]*Lookups!$B$17</f>
        <v>34945.417803999997</v>
      </c>
      <c r="BO1063" s="7">
        <f>Wapato_Inventory[[#This Row],[Upper Floor]]*Lookups!$B$18</f>
        <v>0</v>
      </c>
      <c r="BP1063" s="7">
        <f>Wapato_Inventory[[#This Row],[Fin BSMT]]*Lookups!$B$19</f>
        <v>0</v>
      </c>
      <c r="BQ1063" s="7">
        <f>(Wapato_Inventory[[#This Row],[att_gar]]+Wapato_Inventory[[#This Row],[blt_gar]])*Lookups!$B$20</f>
        <v>0</v>
      </c>
      <c r="BR1063" s="7">
        <f>Wapato_Inventory[[#This Row],[Patio]]*Lookups!$B$21</f>
        <v>5545.4693120000002</v>
      </c>
      <c r="BS1063" s="7">
        <f>SUM(Wapato_Inventory[[#This Row],[intercept]:[patio_value]])*Wapato_Inventory[[#This Row],[res_pct]]</f>
        <v>106317.37121599998</v>
      </c>
      <c r="BT1063" s="7">
        <f>Wapato_Inventory[[#This Row],[land_value]]</f>
        <v>58600</v>
      </c>
      <c r="BU1063" s="2">
        <f>_xlfn.IFNA(VLOOKUP(Wapato_Inventory[[#This Row],[quality]],Lookups!$A$28:$C$37,3,FALSE),1)</f>
        <v>0.96265813922927435</v>
      </c>
      <c r="BV1063" s="2">
        <f>_xlfn.IFNA(VLOOKUP(Wapato_Inventory[[#This Row],[condition]],Lookups!$A$41:$C$48,3,FALSE),1)</f>
        <v>0.93399385491337139</v>
      </c>
      <c r="BW1063" s="2">
        <f>IF(Wapato_Inventory[[#This Row],[decade]]="",1,_xlfn.IFNA(VLOOKUP(Wapato_Inventory[[#This Row],[decade]],Lookups!$F$28:$H$45,3,FALSE),1))</f>
        <v>0.94742695999815718</v>
      </c>
      <c r="BX1063" s="2">
        <f>_xlfn.IFNA(VLOOKUP(Wapato_Inventory[[#This Row],[living_area_range]],Lookups!$K$28:$M$37,3,FALSE),1)</f>
        <v>0.99022994770196116</v>
      </c>
      <c r="BY1063" s="2">
        <f>AVERAGE(Wapato_Inventory[[#This Row],[qual_adj]:[range_adj]])</f>
        <v>0.95857722546069102</v>
      </c>
      <c r="BZ1063" s="7">
        <f>(Wapato_Inventory[[#This Row],[sum_land]]-IF(Wapato_Inventory[[#This Row],[no_utilities]]=1,12000,0))/IF(Wapato_Inventory[[#This Row],[unbuildable]]=1,2,1)</f>
        <v>58600</v>
      </c>
      <c r="CA1063" s="7">
        <f>Wapato_Inventory[[#This Row],[pre_res]]*Wapato_Inventory[[#This Row],[overall_adj]]</f>
        <v>101913.4107185076</v>
      </c>
      <c r="CB1063" s="3">
        <f>IF(ROUND(Wapato_Inventory[[#This Row],[adj_land]]*Lookups!$H$48,-2)&lt;Wapato_Inventory[[#This Row],[min_land]],Wapato_Inventory[[#This Row],[min_land]],ROUND(Wapato_Inventory[[#This Row],[adj_land]]*Lookups!$H$48,-2))</f>
        <v>55700</v>
      </c>
      <c r="CC1063" s="3">
        <f>IF(ROUND(Wapato_Inventory[[#This Row],[adj_res]]*Lookups!$H$48,-2)&lt;Wapato_Inventory[[#This Row],[min_res]],Wapato_Inventory[[#This Row],[min_res]],ROUND(Wapato_Inventory[[#This Row],[adj_res]]*Lookups!$H$48,-2))</f>
        <v>96800</v>
      </c>
      <c r="CD1063" s="3">
        <f>ROUND(Wapato_Inventory[[#This Row],[det_value]]*Lookups!$H$48,-2)</f>
        <v>2200</v>
      </c>
      <c r="CE1063" s="3">
        <f>Wapato_Inventory[[#This Row],[final_res]]+Wapato_Inventory[[#This Row],[final_det]]</f>
        <v>99000</v>
      </c>
      <c r="CF1063" s="3">
        <f>Wapato_Inventory[[#This Row],[crop_value]]+Wapato_Inventory[[#This Row],[final_land]]+Wapato_Inventory[[#This Row],[final_imp]]</f>
        <v>154700</v>
      </c>
      <c r="CH1063" t="str">
        <f t="shared" si="16"/>
        <v>update valuation set market_land =55700, market_bldg=99000, market_total =154700, market_mdno =405, market_date ='9/10/2023' where link_id = (select link_id from parcel where parcel_year = '2024' and parcel_id = '19111532011');</v>
      </c>
    </row>
    <row r="1064" spans="1:86" x14ac:dyDescent="0.25">
      <c r="A1064">
        <v>19111532012</v>
      </c>
      <c r="B1064">
        <v>1.1100000000000001</v>
      </c>
      <c r="C1064">
        <v>48185</v>
      </c>
      <c r="D1064" t="s">
        <v>144</v>
      </c>
      <c r="E1064" t="s">
        <v>54</v>
      </c>
      <c r="F1064" t="s">
        <v>54</v>
      </c>
      <c r="G1064">
        <v>3</v>
      </c>
      <c r="H1064" t="s">
        <v>55</v>
      </c>
      <c r="I1064">
        <v>214900</v>
      </c>
      <c r="J1064">
        <v>45900</v>
      </c>
      <c r="K1064">
        <v>1.1100000000000001</v>
      </c>
      <c r="L1064">
        <f>IF(Wapato_Inventory[[#This Row],[parcel_acres]]-Wapato_Inventory[[#This Row],[non_valued_acres]] =0,0,LN(Wapato_Inventory[[#This Row],[parcel_acres]]-Wapato_Inventory[[#This Row],[non_valued_acres]]))</f>
        <v>0.10436001532424286</v>
      </c>
      <c r="M1064">
        <v>0</v>
      </c>
      <c r="N1064">
        <v>0</v>
      </c>
      <c r="O1064">
        <v>0</v>
      </c>
      <c r="P1064">
        <v>27904.037</v>
      </c>
      <c r="Q1064">
        <v>74398</v>
      </c>
      <c r="R1064" s="3">
        <f>(Wapato_Inventory[[#This Row],[ln_acres]]*Wapato_Inventory[[#This Row],[coeff]])+Wapato_Inventory[[#This Row],[const]]</f>
        <v>77310.065728928239</v>
      </c>
      <c r="S1064" t="s">
        <v>62</v>
      </c>
      <c r="T1064">
        <v>1</v>
      </c>
      <c r="U1064" t="s">
        <v>63</v>
      </c>
      <c r="V1064" t="s">
        <v>70</v>
      </c>
      <c r="W1064">
        <v>0</v>
      </c>
      <c r="X1064">
        <v>0</v>
      </c>
      <c r="Y1064">
        <v>48</v>
      </c>
      <c r="Z1064">
        <v>63</v>
      </c>
      <c r="AA1064">
        <v>70</v>
      </c>
      <c r="AB1064">
        <v>2000</v>
      </c>
      <c r="AC1064">
        <v>1944</v>
      </c>
      <c r="AD1064">
        <v>1944</v>
      </c>
      <c r="AE1064">
        <v>0</v>
      </c>
      <c r="AF1064">
        <v>0</v>
      </c>
      <c r="AG1064">
        <v>0</v>
      </c>
      <c r="AH1064">
        <v>0</v>
      </c>
      <c r="AI1064">
        <v>0</v>
      </c>
      <c r="AJ1064">
        <v>0</v>
      </c>
      <c r="AK1064">
        <v>0</v>
      </c>
      <c r="AL1064">
        <v>0</v>
      </c>
      <c r="AM1064">
        <v>0</v>
      </c>
      <c r="AN1064">
        <v>256</v>
      </c>
      <c r="AO1064">
        <v>0</v>
      </c>
      <c r="AP1064">
        <v>11</v>
      </c>
      <c r="AQ1064">
        <v>0</v>
      </c>
      <c r="AR1064">
        <v>1</v>
      </c>
      <c r="AS1064" t="s">
        <v>59</v>
      </c>
      <c r="AT1064">
        <v>1</v>
      </c>
      <c r="AU1064" t="s">
        <v>60</v>
      </c>
      <c r="AV1064" t="s">
        <v>61</v>
      </c>
      <c r="AW1064">
        <v>1</v>
      </c>
      <c r="AX1064">
        <v>2</v>
      </c>
      <c r="AY1064">
        <v>0</v>
      </c>
      <c r="AZ1064">
        <v>12900</v>
      </c>
      <c r="BA1064">
        <v>100</v>
      </c>
      <c r="BB1064">
        <v>100</v>
      </c>
      <c r="BC1064">
        <v>100</v>
      </c>
      <c r="BD1064">
        <v>40</v>
      </c>
      <c r="BE1064">
        <v>0.4</v>
      </c>
      <c r="BF1064">
        <v>15000</v>
      </c>
      <c r="BG1064">
        <v>1000</v>
      </c>
      <c r="BH1064" s="7">
        <f>ROUND(Wapato_Inventory[[#This Row],[detatched_value]]*Lookups!$B$22*Lookups!$H$48,-2)</f>
        <v>11500</v>
      </c>
      <c r="BI1064" s="7">
        <f>ROUND(((Wapato_Inventory[[#This Row],[land_extract]]*Lookups!$B$3) +(Lookups!$B$2*0.5))*Lookups!$H$48,-2)</f>
        <v>58500</v>
      </c>
      <c r="BJ1064" s="7">
        <f>IF(Wapato_Inventory[[#This Row],[bldg_style]]="",0,Lookups!$B$2*0.5)</f>
        <v>53765.27</v>
      </c>
      <c r="BK1064" s="7">
        <f>_xlfn.IFNA(VLOOKUP(Wapato_Inventory[[#This Row],[quality]],Lookups!$H$2:$J$14,3,FALSE),0)</f>
        <v>50594</v>
      </c>
      <c r="BL1064" s="7">
        <f>_xlfn.IFNA(VLOOKUP(Wapato_Inventory[[#This Row],[condition]],Lookups!$H$17:$J$24,3,FALSE),0)</f>
        <v>84338</v>
      </c>
      <c r="BM1064" s="7">
        <f>Wapato_Inventory[[#This Row],[Age]]*Lookups!$B$16</f>
        <v>-23352.569100000001</v>
      </c>
      <c r="BN1064" s="7">
        <f>Wapato_Inventory[[#This Row],[Main Floor]]*Lookups!$B$17</f>
        <v>81260.636616000003</v>
      </c>
      <c r="BO1064" s="7">
        <f>Wapato_Inventory[[#This Row],[Upper Floor]]*Lookups!$B$18</f>
        <v>0</v>
      </c>
      <c r="BP1064" s="7">
        <f>Wapato_Inventory[[#This Row],[Fin BSMT]]*Lookups!$B$19</f>
        <v>0</v>
      </c>
      <c r="BQ1064" s="7">
        <f>(Wapato_Inventory[[#This Row],[att_gar]]+Wapato_Inventory[[#This Row],[blt_gar]])*Lookups!$B$20</f>
        <v>0</v>
      </c>
      <c r="BR1064" s="7">
        <f>Wapato_Inventory[[#This Row],[Patio]]*Lookups!$B$21</f>
        <v>0</v>
      </c>
      <c r="BS1064" s="7">
        <f>SUM(Wapato_Inventory[[#This Row],[intercept]:[patio_value]])*Wapato_Inventory[[#This Row],[res_pct]]</f>
        <v>98642.1350064</v>
      </c>
      <c r="BT1064" s="7">
        <f>Wapato_Inventory[[#This Row],[land_value]]</f>
        <v>58500</v>
      </c>
      <c r="BU1064" s="2">
        <f>_xlfn.IFNA(VLOOKUP(Wapato_Inventory[[#This Row],[quality]],Lookups!$A$28:$C$37,3,FALSE),1)</f>
        <v>0.99197423394367223</v>
      </c>
      <c r="BV1064" s="2">
        <f>_xlfn.IFNA(VLOOKUP(Wapato_Inventory[[#This Row],[condition]],Lookups!$A$41:$C$48,3,FALSE),1)</f>
        <v>0.99478075210508476</v>
      </c>
      <c r="BW1064" s="2">
        <f>IF(Wapato_Inventory[[#This Row],[decade]]="",1,_xlfn.IFNA(VLOOKUP(Wapato_Inventory[[#This Row],[decade]],Lookups!$F$28:$H$45,3,FALSE),1))</f>
        <v>1.0012715221492001</v>
      </c>
      <c r="BX1064" s="2">
        <f>_xlfn.IFNA(VLOOKUP(Wapato_Inventory[[#This Row],[living_area_range]],Lookups!$K$28:$M$37,3,FALSE),1)</f>
        <v>0.99330894324714125</v>
      </c>
      <c r="BY1064" s="2">
        <f>AVERAGE(Wapato_Inventory[[#This Row],[qual_adj]:[range_adj]])</f>
        <v>0.99533386286127457</v>
      </c>
      <c r="BZ1064" s="7">
        <f>(Wapato_Inventory[[#This Row],[sum_land]]-IF(Wapato_Inventory[[#This Row],[no_utilities]]=1,12000,0))/IF(Wapato_Inventory[[#This Row],[unbuildable]]=1,2,1)</f>
        <v>58500</v>
      </c>
      <c r="CA1064" s="7">
        <f>Wapato_Inventory[[#This Row],[pre_res]]*Wapato_Inventory[[#This Row],[overall_adj]]</f>
        <v>98181.857276803465</v>
      </c>
      <c r="CB1064" s="3">
        <f>IF(ROUND(Wapato_Inventory[[#This Row],[adj_land]]*Lookups!$H$48,-2)&lt;Wapato_Inventory[[#This Row],[min_land]],Wapato_Inventory[[#This Row],[min_land]],ROUND(Wapato_Inventory[[#This Row],[adj_land]]*Lookups!$H$48,-2))</f>
        <v>55600</v>
      </c>
      <c r="CC1064" s="3">
        <f>IF(ROUND(Wapato_Inventory[[#This Row],[adj_res]]*Lookups!$H$48,-2)&lt;Wapato_Inventory[[#This Row],[min_res]],Wapato_Inventory[[#This Row],[min_res]],ROUND(Wapato_Inventory[[#This Row],[adj_res]]*Lookups!$H$48,-2))</f>
        <v>93300</v>
      </c>
      <c r="CD1064" s="3">
        <f>ROUND(Wapato_Inventory[[#This Row],[det_value]]*Lookups!$H$48,-2)</f>
        <v>10900</v>
      </c>
      <c r="CE1064" s="3">
        <f>Wapato_Inventory[[#This Row],[final_res]]+Wapato_Inventory[[#This Row],[final_det]]</f>
        <v>104200</v>
      </c>
      <c r="CF1064" s="3">
        <f>Wapato_Inventory[[#This Row],[crop_value]]+Wapato_Inventory[[#This Row],[final_land]]+Wapato_Inventory[[#This Row],[final_imp]]</f>
        <v>159800</v>
      </c>
      <c r="CH1064" t="str">
        <f t="shared" si="16"/>
        <v>update valuation set market_land =55600, market_bldg=104200, market_total =159800, market_mdno =405, market_date ='9/10/2023' where link_id = (select link_id from parcel where parcel_year = '2024' and parcel_id = '19111532012');</v>
      </c>
    </row>
    <row r="1065" spans="1:86" x14ac:dyDescent="0.25">
      <c r="A1065">
        <v>19111532014</v>
      </c>
      <c r="B1065">
        <v>0.89</v>
      </c>
      <c r="C1065">
        <v>38855</v>
      </c>
      <c r="D1065" t="s">
        <v>144</v>
      </c>
      <c r="E1065" t="s">
        <v>54</v>
      </c>
      <c r="F1065" t="s">
        <v>54</v>
      </c>
      <c r="G1065">
        <v>3</v>
      </c>
      <c r="H1065" t="s">
        <v>55</v>
      </c>
      <c r="I1065">
        <v>185100</v>
      </c>
      <c r="J1065">
        <v>44400</v>
      </c>
      <c r="K1065">
        <v>0.89</v>
      </c>
      <c r="L1065">
        <f>IF(Wapato_Inventory[[#This Row],[parcel_acres]]-Wapato_Inventory[[#This Row],[non_valued_acres]] =0,0,LN(Wapato_Inventory[[#This Row],[parcel_acres]]-Wapato_Inventory[[#This Row],[non_valued_acres]]))</f>
        <v>-0.11653381625595151</v>
      </c>
      <c r="M1065">
        <v>0</v>
      </c>
      <c r="N1065">
        <v>0</v>
      </c>
      <c r="O1065">
        <v>0</v>
      </c>
      <c r="P1065">
        <v>27904.037</v>
      </c>
      <c r="Q1065">
        <v>74398</v>
      </c>
      <c r="R1065" s="3">
        <f>(Wapato_Inventory[[#This Row],[ln_acres]]*Wapato_Inventory[[#This Row],[coeff]])+Wapato_Inventory[[#This Row],[const]]</f>
        <v>71146.236079442722</v>
      </c>
      <c r="S1065" t="s">
        <v>56</v>
      </c>
      <c r="T1065">
        <v>1</v>
      </c>
      <c r="U1065" t="s">
        <v>63</v>
      </c>
      <c r="V1065" t="s">
        <v>58</v>
      </c>
      <c r="W1065">
        <v>0</v>
      </c>
      <c r="X1065">
        <v>0</v>
      </c>
      <c r="Y1065">
        <v>1</v>
      </c>
      <c r="Z1065">
        <v>1</v>
      </c>
      <c r="AA1065">
        <v>10</v>
      </c>
      <c r="AB1065">
        <v>2000</v>
      </c>
      <c r="AC1065">
        <v>1586</v>
      </c>
      <c r="AD1065">
        <v>1586</v>
      </c>
      <c r="AE1065">
        <v>0</v>
      </c>
      <c r="AF1065">
        <v>0</v>
      </c>
      <c r="AG1065">
        <v>0</v>
      </c>
      <c r="AH1065">
        <v>0</v>
      </c>
      <c r="AI1065">
        <v>528</v>
      </c>
      <c r="AJ1065">
        <v>0</v>
      </c>
      <c r="AK1065">
        <v>0</v>
      </c>
      <c r="AL1065">
        <v>0</v>
      </c>
      <c r="AM1065">
        <v>0</v>
      </c>
      <c r="AN1065">
        <v>312</v>
      </c>
      <c r="AO1065">
        <v>0</v>
      </c>
      <c r="AP1065">
        <v>9</v>
      </c>
      <c r="AQ1065">
        <v>0</v>
      </c>
      <c r="AR1065">
        <v>0</v>
      </c>
      <c r="AS1065" t="s">
        <v>59</v>
      </c>
      <c r="AT1065">
        <v>1</v>
      </c>
      <c r="AU1065" t="s">
        <v>60</v>
      </c>
      <c r="AV1065" t="s">
        <v>61</v>
      </c>
      <c r="AW1065">
        <v>1</v>
      </c>
      <c r="AX1065">
        <v>3</v>
      </c>
      <c r="AY1065">
        <v>0</v>
      </c>
      <c r="AZ1065">
        <v>0</v>
      </c>
      <c r="BA1065">
        <v>100</v>
      </c>
      <c r="BB1065">
        <v>100</v>
      </c>
      <c r="BC1065">
        <v>100</v>
      </c>
      <c r="BD1065">
        <v>100</v>
      </c>
      <c r="BE1065">
        <v>1</v>
      </c>
      <c r="BF1065">
        <v>15000</v>
      </c>
      <c r="BG1065">
        <v>1000</v>
      </c>
      <c r="BH1065" s="7">
        <f>ROUND(Wapato_Inventory[[#This Row],[detatched_value]]*Lookups!$B$22*Lookups!$H$48,-2)</f>
        <v>0</v>
      </c>
      <c r="BI1065" s="7">
        <f>ROUND(((Wapato_Inventory[[#This Row],[land_extract]]*Lookups!$B$3) +(Lookups!$B$2*0.5))*Lookups!$H$48,-2)</f>
        <v>57900</v>
      </c>
      <c r="BJ1065" s="7">
        <f>IF(Wapato_Inventory[[#This Row],[bldg_style]]="",0,Lookups!$B$2*0.5)</f>
        <v>53765.27</v>
      </c>
      <c r="BK1065" s="7">
        <f>_xlfn.IFNA(VLOOKUP(Wapato_Inventory[[#This Row],[quality]],Lookups!$H$2:$J$14,3,FALSE),0)</f>
        <v>50594</v>
      </c>
      <c r="BL1065" s="7">
        <f>_xlfn.IFNA(VLOOKUP(Wapato_Inventory[[#This Row],[condition]],Lookups!$H$17:$J$24,3,FALSE),0)</f>
        <v>122095</v>
      </c>
      <c r="BM1065" s="7">
        <f>Wapato_Inventory[[#This Row],[Age]]*Lookups!$B$16</f>
        <v>-370.67570000000001</v>
      </c>
      <c r="BN1065" s="7">
        <f>Wapato_Inventory[[#This Row],[Main Floor]]*Lookups!$B$17</f>
        <v>66295.972053999998</v>
      </c>
      <c r="BO1065" s="7">
        <f>Wapato_Inventory[[#This Row],[Upper Floor]]*Lookups!$B$18</f>
        <v>0</v>
      </c>
      <c r="BP1065" s="7">
        <f>Wapato_Inventory[[#This Row],[Fin BSMT]]*Lookups!$B$19</f>
        <v>0</v>
      </c>
      <c r="BQ1065" s="7">
        <f>(Wapato_Inventory[[#This Row],[att_gar]]+Wapato_Inventory[[#This Row],[blt_gar]])*Lookups!$B$20</f>
        <v>19540.621056</v>
      </c>
      <c r="BR1065" s="7">
        <f>Wapato_Inventory[[#This Row],[Patio]]*Lookups!$B$21</f>
        <v>0</v>
      </c>
      <c r="BS1065" s="7">
        <f>SUM(Wapato_Inventory[[#This Row],[intercept]:[patio_value]])*Wapato_Inventory[[#This Row],[res_pct]]</f>
        <v>311920.18741000001</v>
      </c>
      <c r="BT1065" s="7">
        <f>Wapato_Inventory[[#This Row],[land_value]]</f>
        <v>57900</v>
      </c>
      <c r="BU1065" s="2">
        <f>_xlfn.IFNA(VLOOKUP(Wapato_Inventory[[#This Row],[quality]],Lookups!$A$28:$C$37,3,FALSE),1)</f>
        <v>0.99197423394367223</v>
      </c>
      <c r="BV1065" s="2">
        <f>_xlfn.IFNA(VLOOKUP(Wapato_Inventory[[#This Row],[condition]],Lookups!$A$41:$C$48,3,FALSE),1)</f>
        <v>1.00041560026225</v>
      </c>
      <c r="BW1065" s="2">
        <f>IF(Wapato_Inventory[[#This Row],[decade]]="",1,_xlfn.IFNA(VLOOKUP(Wapato_Inventory[[#This Row],[decade]],Lookups!$F$28:$H$45,3,FALSE),1))</f>
        <v>1.0321018519633791</v>
      </c>
      <c r="BX1065" s="2">
        <f>_xlfn.IFNA(VLOOKUP(Wapato_Inventory[[#This Row],[living_area_range]],Lookups!$K$28:$M$37,3,FALSE),1)</f>
        <v>0.99330894324714125</v>
      </c>
      <c r="BY1065" s="2">
        <f>AVERAGE(Wapato_Inventory[[#This Row],[qual_adj]:[range_adj]])</f>
        <v>1.0044501573541107</v>
      </c>
      <c r="BZ1065" s="7">
        <f>(Wapato_Inventory[[#This Row],[sum_land]]-IF(Wapato_Inventory[[#This Row],[no_utilities]]=1,12000,0))/IF(Wapato_Inventory[[#This Row],[unbuildable]]=1,2,1)</f>
        <v>57900</v>
      </c>
      <c r="CA1065" s="7">
        <f>Wapato_Inventory[[#This Row],[pre_res]]*Wapato_Inventory[[#This Row],[overall_adj]]</f>
        <v>313308.28132589819</v>
      </c>
      <c r="CB1065" s="3">
        <f>IF(ROUND(Wapato_Inventory[[#This Row],[adj_land]]*Lookups!$H$48,-2)&lt;Wapato_Inventory[[#This Row],[min_land]],Wapato_Inventory[[#This Row],[min_land]],ROUND(Wapato_Inventory[[#This Row],[adj_land]]*Lookups!$H$48,-2))</f>
        <v>55000</v>
      </c>
      <c r="CC1065" s="3">
        <f>IF(ROUND(Wapato_Inventory[[#This Row],[adj_res]]*Lookups!$H$48,-2)&lt;Wapato_Inventory[[#This Row],[min_res]],Wapato_Inventory[[#This Row],[min_res]],ROUND(Wapato_Inventory[[#This Row],[adj_res]]*Lookups!$H$48,-2))</f>
        <v>297600</v>
      </c>
      <c r="CD1065" s="3">
        <f>ROUND(Wapato_Inventory[[#This Row],[det_value]]*Lookups!$H$48,-2)</f>
        <v>0</v>
      </c>
      <c r="CE1065" s="3">
        <f>Wapato_Inventory[[#This Row],[final_res]]+Wapato_Inventory[[#This Row],[final_det]]</f>
        <v>297600</v>
      </c>
      <c r="CF1065" s="3">
        <f>Wapato_Inventory[[#This Row],[crop_value]]+Wapato_Inventory[[#This Row],[final_land]]+Wapato_Inventory[[#This Row],[final_imp]]</f>
        <v>352600</v>
      </c>
      <c r="CH1065" t="str">
        <f t="shared" si="16"/>
        <v>update valuation set market_land =55000, market_bldg=297600, market_total =352600, market_mdno =405, market_date ='9/10/2023' where link_id = (select link_id from parcel where parcel_year = '2024' and parcel_id = '19111532014');</v>
      </c>
    </row>
    <row r="1066" spans="1:86" x14ac:dyDescent="0.25">
      <c r="A1066">
        <v>19111532015</v>
      </c>
      <c r="B1066">
        <v>2.2200000000000002</v>
      </c>
      <c r="C1066">
        <v>96723</v>
      </c>
      <c r="D1066" t="s">
        <v>144</v>
      </c>
      <c r="E1066" t="s">
        <v>54</v>
      </c>
      <c r="F1066" t="s">
        <v>54</v>
      </c>
      <c r="G1066">
        <v>3</v>
      </c>
      <c r="H1066" t="s">
        <v>55</v>
      </c>
      <c r="I1066">
        <v>306100</v>
      </c>
      <c r="J1066">
        <v>50800</v>
      </c>
      <c r="K1066">
        <v>2.2200000000000002</v>
      </c>
      <c r="L1066">
        <f>IF(Wapato_Inventory[[#This Row],[parcel_acres]]-Wapato_Inventory[[#This Row],[non_valued_acres]] =0,0,LN(Wapato_Inventory[[#This Row],[parcel_acres]]-Wapato_Inventory[[#This Row],[non_valued_acres]]))</f>
        <v>0.79750719588418817</v>
      </c>
      <c r="M1066">
        <v>0</v>
      </c>
      <c r="N1066">
        <v>0</v>
      </c>
      <c r="O1066">
        <v>0</v>
      </c>
      <c r="P1066">
        <v>27904.037</v>
      </c>
      <c r="Q1066">
        <v>74398</v>
      </c>
      <c r="R1066" s="3">
        <f>(Wapato_Inventory[[#This Row],[ln_acres]]*Wapato_Inventory[[#This Row],[coeff]])+Wapato_Inventory[[#This Row],[const]]</f>
        <v>96651.670301718637</v>
      </c>
      <c r="S1066" t="s">
        <v>56</v>
      </c>
      <c r="T1066">
        <v>2</v>
      </c>
      <c r="U1066" t="s">
        <v>67</v>
      </c>
      <c r="V1066" t="s">
        <v>69</v>
      </c>
      <c r="W1066">
        <v>0</v>
      </c>
      <c r="X1066">
        <v>0</v>
      </c>
      <c r="Y1066">
        <v>52</v>
      </c>
      <c r="Z1066">
        <v>88</v>
      </c>
      <c r="AA1066">
        <v>90</v>
      </c>
      <c r="AB1066">
        <v>2500</v>
      </c>
      <c r="AC1066">
        <v>2340</v>
      </c>
      <c r="AD1066">
        <v>1820</v>
      </c>
      <c r="AE1066">
        <v>520</v>
      </c>
      <c r="AF1066">
        <v>0</v>
      </c>
      <c r="AG1066">
        <v>0</v>
      </c>
      <c r="AH1066">
        <v>0</v>
      </c>
      <c r="AI1066">
        <v>0</v>
      </c>
      <c r="AJ1066">
        <v>0</v>
      </c>
      <c r="AK1066">
        <v>0</v>
      </c>
      <c r="AL1066">
        <v>273</v>
      </c>
      <c r="AM1066">
        <v>0</v>
      </c>
      <c r="AN1066">
        <v>0</v>
      </c>
      <c r="AO1066">
        <v>0</v>
      </c>
      <c r="AP1066">
        <v>8</v>
      </c>
      <c r="AQ1066">
        <v>0</v>
      </c>
      <c r="AR1066">
        <v>0</v>
      </c>
      <c r="AS1066" t="s">
        <v>59</v>
      </c>
      <c r="AT1066">
        <v>1</v>
      </c>
      <c r="AU1066" t="s">
        <v>64</v>
      </c>
      <c r="AV1066" t="s">
        <v>61</v>
      </c>
      <c r="AW1066">
        <v>0</v>
      </c>
      <c r="AX1066">
        <v>5</v>
      </c>
      <c r="AY1066">
        <v>0</v>
      </c>
      <c r="AZ1066">
        <v>58500</v>
      </c>
      <c r="BA1066">
        <v>100</v>
      </c>
      <c r="BB1066">
        <v>100</v>
      </c>
      <c r="BC1066">
        <v>100</v>
      </c>
      <c r="BD1066">
        <v>100</v>
      </c>
      <c r="BE1066">
        <v>1</v>
      </c>
      <c r="BF1066">
        <v>15000</v>
      </c>
      <c r="BG1066">
        <v>1000</v>
      </c>
      <c r="BH1066" s="7">
        <f>ROUND(Wapato_Inventory[[#This Row],[detatched_value]]*Lookups!$B$22*Lookups!$H$48,-2)</f>
        <v>52300</v>
      </c>
      <c r="BI1066" s="7">
        <f>ROUND(((Wapato_Inventory[[#This Row],[land_extract]]*Lookups!$B$3) +(Lookups!$B$2*0.5))*Lookups!$H$48,-2)</f>
        <v>60400</v>
      </c>
      <c r="BJ1066" s="7">
        <f>IF(Wapato_Inventory[[#This Row],[bldg_style]]="",0,Lookups!$B$2*0.5)</f>
        <v>53765.27</v>
      </c>
      <c r="BK1066" s="7">
        <f>_xlfn.IFNA(VLOOKUP(Wapato_Inventory[[#This Row],[quality]],Lookups!$H$2:$J$14,3,FALSE),0)</f>
        <v>50405</v>
      </c>
      <c r="BL1066" s="7">
        <f>_xlfn.IFNA(VLOOKUP(Wapato_Inventory[[#This Row],[condition]],Lookups!$H$17:$J$24,3,FALSE),0)</f>
        <v>74543</v>
      </c>
      <c r="BM1066" s="7">
        <f>Wapato_Inventory[[#This Row],[Age]]*Lookups!$B$16</f>
        <v>-32619.461600000002</v>
      </c>
      <c r="BN1066" s="7">
        <f>Wapato_Inventory[[#This Row],[Main Floor]]*Lookups!$B$17</f>
        <v>76077.344979999994</v>
      </c>
      <c r="BO1066" s="7">
        <f>Wapato_Inventory[[#This Row],[Upper Floor]]*Lookups!$B$18</f>
        <v>25792.592280000001</v>
      </c>
      <c r="BP1066" s="7">
        <f>Wapato_Inventory[[#This Row],[Fin BSMT]]*Lookups!$B$19</f>
        <v>0</v>
      </c>
      <c r="BQ1066" s="7">
        <f>(Wapato_Inventory[[#This Row],[att_gar]]+Wapato_Inventory[[#This Row],[blt_gar]])*Lookups!$B$20</f>
        <v>0</v>
      </c>
      <c r="BR1066" s="7">
        <f>Wapato_Inventory[[#This Row],[Patio]]*Lookups!$B$21</f>
        <v>0</v>
      </c>
      <c r="BS1066" s="7">
        <f>SUM(Wapato_Inventory[[#This Row],[intercept]:[patio_value]])*Wapato_Inventory[[#This Row],[res_pct]]</f>
        <v>247963.74565999999</v>
      </c>
      <c r="BT1066" s="7">
        <f>Wapato_Inventory[[#This Row],[land_value]]</f>
        <v>60400</v>
      </c>
      <c r="BU1066" s="2">
        <f>_xlfn.IFNA(VLOOKUP(Wapato_Inventory[[#This Row],[quality]],Lookups!$A$28:$C$37,3,FALSE),1)</f>
        <v>0.97993206410140754</v>
      </c>
      <c r="BV1066" s="2">
        <f>_xlfn.IFNA(VLOOKUP(Wapato_Inventory[[#This Row],[condition]],Lookups!$A$41:$C$48,3,FALSE),1)</f>
        <v>0.98442438223270734</v>
      </c>
      <c r="BW1066" s="2">
        <f>IF(Wapato_Inventory[[#This Row],[decade]]="",1,_xlfn.IFNA(VLOOKUP(Wapato_Inventory[[#This Row],[decade]],Lookups!$F$28:$H$45,3,FALSE),1))</f>
        <v>0.94742695999815718</v>
      </c>
      <c r="BX1066" s="2">
        <f>_xlfn.IFNA(VLOOKUP(Wapato_Inventory[[#This Row],[living_area_range]],Lookups!$K$28:$M$37,3,FALSE),1)</f>
        <v>0.90813907160181651</v>
      </c>
      <c r="BY1066" s="2">
        <f>AVERAGE(Wapato_Inventory[[#This Row],[qual_adj]:[range_adj]])</f>
        <v>0.9549806194835222</v>
      </c>
      <c r="BZ1066" s="7">
        <f>(Wapato_Inventory[[#This Row],[sum_land]]-IF(Wapato_Inventory[[#This Row],[no_utilities]]=1,12000,0))/IF(Wapato_Inventory[[#This Row],[unbuildable]]=1,2,1)</f>
        <v>60400</v>
      </c>
      <c r="CA1066" s="7">
        <f>Wapato_Inventory[[#This Row],[pre_res]]*Wapato_Inventory[[#This Row],[overall_adj]]</f>
        <v>236800.57143984133</v>
      </c>
      <c r="CB1066" s="3">
        <f>IF(ROUND(Wapato_Inventory[[#This Row],[adj_land]]*Lookups!$H$48,-2)&lt;Wapato_Inventory[[#This Row],[min_land]],Wapato_Inventory[[#This Row],[min_land]],ROUND(Wapato_Inventory[[#This Row],[adj_land]]*Lookups!$H$48,-2))</f>
        <v>57400</v>
      </c>
      <c r="CC1066" s="3">
        <f>IF(ROUND(Wapato_Inventory[[#This Row],[adj_res]]*Lookups!$H$48,-2)&lt;Wapato_Inventory[[#This Row],[min_res]],Wapato_Inventory[[#This Row],[min_res]],ROUND(Wapato_Inventory[[#This Row],[adj_res]]*Lookups!$H$48,-2))</f>
        <v>225000</v>
      </c>
      <c r="CD1066" s="3">
        <f>ROUND(Wapato_Inventory[[#This Row],[det_value]]*Lookups!$H$48,-2)</f>
        <v>49700</v>
      </c>
      <c r="CE1066" s="3">
        <f>Wapato_Inventory[[#This Row],[final_res]]+Wapato_Inventory[[#This Row],[final_det]]</f>
        <v>274700</v>
      </c>
      <c r="CF1066" s="3">
        <f>Wapato_Inventory[[#This Row],[crop_value]]+Wapato_Inventory[[#This Row],[final_land]]+Wapato_Inventory[[#This Row],[final_imp]]</f>
        <v>332100</v>
      </c>
      <c r="CH1066" t="str">
        <f t="shared" si="16"/>
        <v>update valuation set market_land =57400, market_bldg=274700, market_total =332100, market_mdno =405, market_date ='9/10/2023' where link_id = (select link_id from parcel where parcel_year = '2024' and parcel_id = '19111532015');</v>
      </c>
    </row>
    <row r="1067" spans="1:86" x14ac:dyDescent="0.25">
      <c r="A1067">
        <v>19111532018</v>
      </c>
      <c r="B1067">
        <v>0.49</v>
      </c>
      <c r="C1067">
        <v>21328</v>
      </c>
      <c r="D1067" t="s">
        <v>144</v>
      </c>
      <c r="E1067" t="s">
        <v>54</v>
      </c>
      <c r="F1067" t="s">
        <v>54</v>
      </c>
      <c r="G1067">
        <v>3</v>
      </c>
      <c r="H1067" t="s">
        <v>55</v>
      </c>
      <c r="I1067">
        <v>41300</v>
      </c>
      <c r="J1067">
        <v>40200</v>
      </c>
      <c r="K1067">
        <v>0.49</v>
      </c>
      <c r="L1067">
        <f>IF(Wapato_Inventory[[#This Row],[parcel_acres]]-Wapato_Inventory[[#This Row],[non_valued_acres]] =0,0,LN(Wapato_Inventory[[#This Row],[parcel_acres]]-Wapato_Inventory[[#This Row],[non_valued_acres]]))</f>
        <v>-0.71334988787746478</v>
      </c>
      <c r="M1067">
        <v>0</v>
      </c>
      <c r="N1067">
        <v>0</v>
      </c>
      <c r="O1067">
        <v>0</v>
      </c>
      <c r="P1067">
        <v>27904.037</v>
      </c>
      <c r="Q1067">
        <v>74398</v>
      </c>
      <c r="R1067" s="3">
        <f>(Wapato_Inventory[[#This Row],[ln_acres]]*Wapato_Inventory[[#This Row],[coeff]])+Wapato_Inventory[[#This Row],[const]]</f>
        <v>54492.658334721375</v>
      </c>
      <c r="S1067" t="s">
        <v>66</v>
      </c>
      <c r="T1067">
        <v>1</v>
      </c>
      <c r="U1067" t="s">
        <v>71</v>
      </c>
      <c r="V1067" t="s">
        <v>73</v>
      </c>
      <c r="W1067">
        <v>0</v>
      </c>
      <c r="X1067">
        <v>0</v>
      </c>
      <c r="Y1067">
        <v>53</v>
      </c>
      <c r="Z1067">
        <v>93</v>
      </c>
      <c r="AA1067">
        <v>100</v>
      </c>
      <c r="AB1067">
        <v>500</v>
      </c>
      <c r="AC1067">
        <v>440</v>
      </c>
      <c r="AD1067">
        <v>440</v>
      </c>
      <c r="AE1067">
        <v>0</v>
      </c>
      <c r="AF1067">
        <v>0</v>
      </c>
      <c r="AG1067">
        <v>0</v>
      </c>
      <c r="AH1067">
        <v>0</v>
      </c>
      <c r="AI1067">
        <v>0</v>
      </c>
      <c r="AJ1067">
        <v>0</v>
      </c>
      <c r="AK1067">
        <v>0</v>
      </c>
      <c r="AL1067">
        <v>0</v>
      </c>
      <c r="AM1067">
        <v>0</v>
      </c>
      <c r="AN1067">
        <v>0</v>
      </c>
      <c r="AO1067">
        <v>0</v>
      </c>
      <c r="AP1067">
        <v>5</v>
      </c>
      <c r="AQ1067">
        <v>0</v>
      </c>
      <c r="AR1067">
        <v>0</v>
      </c>
      <c r="AS1067" t="s">
        <v>59</v>
      </c>
      <c r="AT1067">
        <v>1</v>
      </c>
      <c r="AU1067" t="s">
        <v>64</v>
      </c>
      <c r="AV1067" t="s">
        <v>77</v>
      </c>
      <c r="AW1067">
        <v>0</v>
      </c>
      <c r="AX1067">
        <v>2</v>
      </c>
      <c r="AY1067">
        <v>0</v>
      </c>
      <c r="AZ1067">
        <v>0</v>
      </c>
      <c r="BA1067">
        <v>100</v>
      </c>
      <c r="BB1067">
        <v>100</v>
      </c>
      <c r="BC1067">
        <v>100</v>
      </c>
      <c r="BD1067">
        <v>100</v>
      </c>
      <c r="BE1067">
        <v>1</v>
      </c>
      <c r="BF1067">
        <v>15000</v>
      </c>
      <c r="BG1067">
        <v>1000</v>
      </c>
      <c r="BH1067" s="7">
        <f>ROUND(Wapato_Inventory[[#This Row],[detatched_value]]*Lookups!$B$22*Lookups!$H$48,-2)</f>
        <v>0</v>
      </c>
      <c r="BI1067" s="7">
        <f>ROUND(((Wapato_Inventory[[#This Row],[land_extract]]*Lookups!$B$3) +(Lookups!$B$2*0.5))*Lookups!$H$48,-2)</f>
        <v>56300</v>
      </c>
      <c r="BJ1067" s="7">
        <f>IF(Wapato_Inventory[[#This Row],[bldg_style]]="",0,Lookups!$B$2*0.5)</f>
        <v>53765.27</v>
      </c>
      <c r="BK1067" s="7">
        <f>_xlfn.IFNA(VLOOKUP(Wapato_Inventory[[#This Row],[quality]],Lookups!$H$2:$J$14,3,FALSE),0)</f>
        <v>28034</v>
      </c>
      <c r="BL1067" s="7">
        <f>_xlfn.IFNA(VLOOKUP(Wapato_Inventory[[#This Row],[condition]],Lookups!$H$17:$J$24,3,FALSE),0)</f>
        <v>16276</v>
      </c>
      <c r="BM1067" s="7">
        <f>Wapato_Inventory[[#This Row],[Age]]*Lookups!$B$16</f>
        <v>-34472.840100000001</v>
      </c>
      <c r="BN1067" s="7">
        <f>Wapato_Inventory[[#This Row],[Main Floor]]*Lookups!$B$17</f>
        <v>18392.32516</v>
      </c>
      <c r="BO1067" s="7">
        <f>Wapato_Inventory[[#This Row],[Upper Floor]]*Lookups!$B$18</f>
        <v>0</v>
      </c>
      <c r="BP1067" s="7">
        <f>Wapato_Inventory[[#This Row],[Fin BSMT]]*Lookups!$B$19</f>
        <v>0</v>
      </c>
      <c r="BQ1067" s="7">
        <f>(Wapato_Inventory[[#This Row],[att_gar]]+Wapato_Inventory[[#This Row],[blt_gar]])*Lookups!$B$20</f>
        <v>0</v>
      </c>
      <c r="BR1067" s="7">
        <f>Wapato_Inventory[[#This Row],[Patio]]*Lookups!$B$21</f>
        <v>0</v>
      </c>
      <c r="BS1067" s="7">
        <f>SUM(Wapato_Inventory[[#This Row],[intercept]:[patio_value]])*Wapato_Inventory[[#This Row],[res_pct]]</f>
        <v>81994.755059999996</v>
      </c>
      <c r="BT1067" s="7">
        <f>Wapato_Inventory[[#This Row],[land_value]]</f>
        <v>56300</v>
      </c>
      <c r="BU1067" s="2">
        <f>_xlfn.IFNA(VLOOKUP(Wapato_Inventory[[#This Row],[quality]],Lookups!$A$28:$C$37,3,FALSE),1)</f>
        <v>0.96265813922927435</v>
      </c>
      <c r="BV1067" s="2">
        <f>_xlfn.IFNA(VLOOKUP(Wapato_Inventory[[#This Row],[condition]],Lookups!$A$41:$C$48,3,FALSE),1)</f>
        <v>0.93399385491337139</v>
      </c>
      <c r="BW1067" s="2">
        <f>IF(Wapato_Inventory[[#This Row],[decade]]="",1,_xlfn.IFNA(VLOOKUP(Wapato_Inventory[[#This Row],[decade]],Lookups!$F$28:$H$45,3,FALSE),1))</f>
        <v>1.0114203040664467</v>
      </c>
      <c r="BX1067" s="2">
        <f>_xlfn.IFNA(VLOOKUP(Wapato_Inventory[[#This Row],[living_area_range]],Lookups!$K$28:$M$37,3,FALSE),1)</f>
        <v>0.62984720518148585</v>
      </c>
      <c r="BY1067" s="2">
        <f>AVERAGE(Wapato_Inventory[[#This Row],[qual_adj]:[range_adj]])</f>
        <v>0.88447987584764465</v>
      </c>
      <c r="BZ1067" s="7">
        <f>(Wapato_Inventory[[#This Row],[sum_land]]-IF(Wapato_Inventory[[#This Row],[no_utilities]]=1,12000,0))/IF(Wapato_Inventory[[#This Row],[unbuildable]]=1,2,1)</f>
        <v>56300</v>
      </c>
      <c r="CA1067" s="7">
        <f>Wapato_Inventory[[#This Row],[pre_res]]*Wapato_Inventory[[#This Row],[overall_adj]]</f>
        <v>72522.710775626823</v>
      </c>
      <c r="CB1067" s="3">
        <f>IF(ROUND(Wapato_Inventory[[#This Row],[adj_land]]*Lookups!$H$48,-2)&lt;Wapato_Inventory[[#This Row],[min_land]],Wapato_Inventory[[#This Row],[min_land]],ROUND(Wapato_Inventory[[#This Row],[adj_land]]*Lookups!$H$48,-2))</f>
        <v>53500</v>
      </c>
      <c r="CC1067" s="3">
        <f>IF(ROUND(Wapato_Inventory[[#This Row],[adj_res]]*Lookups!$H$48,-2)&lt;Wapato_Inventory[[#This Row],[min_res]],Wapato_Inventory[[#This Row],[min_res]],ROUND(Wapato_Inventory[[#This Row],[adj_res]]*Lookups!$H$48,-2))</f>
        <v>68900</v>
      </c>
      <c r="CD1067" s="3">
        <f>ROUND(Wapato_Inventory[[#This Row],[det_value]]*Lookups!$H$48,-2)</f>
        <v>0</v>
      </c>
      <c r="CE1067" s="3">
        <f>Wapato_Inventory[[#This Row],[final_res]]+Wapato_Inventory[[#This Row],[final_det]]</f>
        <v>68900</v>
      </c>
      <c r="CF1067" s="3">
        <f>Wapato_Inventory[[#This Row],[crop_value]]+Wapato_Inventory[[#This Row],[final_land]]+Wapato_Inventory[[#This Row],[final_imp]]</f>
        <v>122400</v>
      </c>
      <c r="CH1067" t="str">
        <f t="shared" si="16"/>
        <v>update valuation set market_land =53500, market_bldg=68900, market_total =122400, market_mdno =405, market_date ='9/10/2023' where link_id = (select link_id from parcel where parcel_year = '2024' and parcel_id = '19111532018');</v>
      </c>
    </row>
    <row r="1068" spans="1:86" x14ac:dyDescent="0.25">
      <c r="A1068">
        <v>19111532019</v>
      </c>
      <c r="B1068">
        <v>0.6</v>
      </c>
      <c r="C1068">
        <v>25941</v>
      </c>
      <c r="D1068" t="s">
        <v>144</v>
      </c>
      <c r="E1068" t="s">
        <v>54</v>
      </c>
      <c r="F1068" t="s">
        <v>54</v>
      </c>
      <c r="G1068">
        <v>3</v>
      </c>
      <c r="H1068" t="s">
        <v>55</v>
      </c>
      <c r="I1068">
        <v>67800</v>
      </c>
      <c r="J1068">
        <v>41600</v>
      </c>
      <c r="K1068">
        <v>0.6</v>
      </c>
      <c r="L1068">
        <f>IF(Wapato_Inventory[[#This Row],[parcel_acres]]-Wapato_Inventory[[#This Row],[non_valued_acres]] =0,0,LN(Wapato_Inventory[[#This Row],[parcel_acres]]-Wapato_Inventory[[#This Row],[non_valued_acres]]))</f>
        <v>-0.51082562376599072</v>
      </c>
      <c r="M1068">
        <v>0</v>
      </c>
      <c r="N1068">
        <v>0</v>
      </c>
      <c r="O1068">
        <v>0</v>
      </c>
      <c r="P1068">
        <v>27904.037</v>
      </c>
      <c r="Q1068">
        <v>74398</v>
      </c>
      <c r="R1068" s="3">
        <f>(Wapato_Inventory[[#This Row],[ln_acres]]*Wapato_Inventory[[#This Row],[coeff]])+Wapato_Inventory[[#This Row],[const]]</f>
        <v>60143.902893885715</v>
      </c>
      <c r="S1068" t="s">
        <v>66</v>
      </c>
      <c r="T1068">
        <v>1</v>
      </c>
      <c r="U1068" t="s">
        <v>71</v>
      </c>
      <c r="V1068" t="s">
        <v>73</v>
      </c>
      <c r="W1068">
        <v>0</v>
      </c>
      <c r="X1068">
        <v>0</v>
      </c>
      <c r="Y1068">
        <v>53</v>
      </c>
      <c r="Z1068">
        <v>93</v>
      </c>
      <c r="AA1068">
        <v>100</v>
      </c>
      <c r="AB1068">
        <v>1000</v>
      </c>
      <c r="AC1068">
        <v>798</v>
      </c>
      <c r="AD1068">
        <v>798</v>
      </c>
      <c r="AE1068">
        <v>0</v>
      </c>
      <c r="AF1068">
        <v>0</v>
      </c>
      <c r="AG1068">
        <v>0</v>
      </c>
      <c r="AH1068">
        <v>0</v>
      </c>
      <c r="AI1068">
        <v>0</v>
      </c>
      <c r="AJ1068">
        <v>0</v>
      </c>
      <c r="AK1068">
        <v>0</v>
      </c>
      <c r="AL1068">
        <v>0</v>
      </c>
      <c r="AM1068">
        <v>0</v>
      </c>
      <c r="AN1068">
        <v>66</v>
      </c>
      <c r="AO1068">
        <v>0</v>
      </c>
      <c r="AP1068">
        <v>5</v>
      </c>
      <c r="AQ1068">
        <v>0</v>
      </c>
      <c r="AR1068">
        <v>0</v>
      </c>
      <c r="AS1068" t="s">
        <v>59</v>
      </c>
      <c r="AT1068">
        <v>1</v>
      </c>
      <c r="AU1068" t="s">
        <v>64</v>
      </c>
      <c r="AV1068" t="s">
        <v>77</v>
      </c>
      <c r="AW1068">
        <v>0</v>
      </c>
      <c r="AX1068">
        <v>4</v>
      </c>
      <c r="AY1068">
        <v>0</v>
      </c>
      <c r="AZ1068">
        <v>7100</v>
      </c>
      <c r="BA1068">
        <v>100</v>
      </c>
      <c r="BB1068">
        <v>100</v>
      </c>
      <c r="BC1068">
        <v>100</v>
      </c>
      <c r="BD1068">
        <v>100</v>
      </c>
      <c r="BE1068">
        <v>1</v>
      </c>
      <c r="BF1068">
        <v>15000</v>
      </c>
      <c r="BG1068">
        <v>1000</v>
      </c>
      <c r="BH1068" s="7">
        <f>ROUND(Wapato_Inventory[[#This Row],[detatched_value]]*Lookups!$B$22*Lookups!$H$48,-2)</f>
        <v>6300</v>
      </c>
      <c r="BI1068" s="7">
        <f>ROUND(((Wapato_Inventory[[#This Row],[land_extract]]*Lookups!$B$3) +(Lookups!$B$2*0.5))*Lookups!$H$48,-2)</f>
        <v>56900</v>
      </c>
      <c r="BJ1068" s="7">
        <f>IF(Wapato_Inventory[[#This Row],[bldg_style]]="",0,Lookups!$B$2*0.5)</f>
        <v>53765.27</v>
      </c>
      <c r="BK1068" s="7">
        <f>_xlfn.IFNA(VLOOKUP(Wapato_Inventory[[#This Row],[quality]],Lookups!$H$2:$J$14,3,FALSE),0)</f>
        <v>28034</v>
      </c>
      <c r="BL1068" s="7">
        <f>_xlfn.IFNA(VLOOKUP(Wapato_Inventory[[#This Row],[condition]],Lookups!$H$17:$J$24,3,FALSE),0)</f>
        <v>16276</v>
      </c>
      <c r="BM1068" s="7">
        <f>Wapato_Inventory[[#This Row],[Age]]*Lookups!$B$16</f>
        <v>-34472.840100000001</v>
      </c>
      <c r="BN1068" s="7">
        <f>Wapato_Inventory[[#This Row],[Main Floor]]*Lookups!$B$17</f>
        <v>33356.989721999998</v>
      </c>
      <c r="BO1068" s="7">
        <f>Wapato_Inventory[[#This Row],[Upper Floor]]*Lookups!$B$18</f>
        <v>0</v>
      </c>
      <c r="BP1068" s="7">
        <f>Wapato_Inventory[[#This Row],[Fin BSMT]]*Lookups!$B$19</f>
        <v>0</v>
      </c>
      <c r="BQ1068" s="7">
        <f>(Wapato_Inventory[[#This Row],[att_gar]]+Wapato_Inventory[[#This Row],[blt_gar]])*Lookups!$B$20</f>
        <v>0</v>
      </c>
      <c r="BR1068" s="7">
        <f>Wapato_Inventory[[#This Row],[Patio]]*Lookups!$B$21</f>
        <v>0</v>
      </c>
      <c r="BS1068" s="7">
        <f>SUM(Wapato_Inventory[[#This Row],[intercept]:[patio_value]])*Wapato_Inventory[[#This Row],[res_pct]]</f>
        <v>96959.419621999987</v>
      </c>
      <c r="BT1068" s="7">
        <f>Wapato_Inventory[[#This Row],[land_value]]</f>
        <v>56900</v>
      </c>
      <c r="BU1068" s="2">
        <f>_xlfn.IFNA(VLOOKUP(Wapato_Inventory[[#This Row],[quality]],Lookups!$A$28:$C$37,3,FALSE),1)</f>
        <v>0.96265813922927435</v>
      </c>
      <c r="BV1068" s="2">
        <f>_xlfn.IFNA(VLOOKUP(Wapato_Inventory[[#This Row],[condition]],Lookups!$A$41:$C$48,3,FALSE),1)</f>
        <v>0.93399385491337139</v>
      </c>
      <c r="BW1068" s="2">
        <f>IF(Wapato_Inventory[[#This Row],[decade]]="",1,_xlfn.IFNA(VLOOKUP(Wapato_Inventory[[#This Row],[decade]],Lookups!$F$28:$H$45,3,FALSE),1))</f>
        <v>1.0114203040664467</v>
      </c>
      <c r="BX1068" s="2">
        <f>_xlfn.IFNA(VLOOKUP(Wapato_Inventory[[#This Row],[living_area_range]],Lookups!$K$28:$M$37,3,FALSE),1)</f>
        <v>0.99022994770196116</v>
      </c>
      <c r="BY1068" s="2">
        <f>AVERAGE(Wapato_Inventory[[#This Row],[qual_adj]:[range_adj]])</f>
        <v>0.97457556147776347</v>
      </c>
      <c r="BZ1068" s="7">
        <f>(Wapato_Inventory[[#This Row],[sum_land]]-IF(Wapato_Inventory[[#This Row],[no_utilities]]=1,12000,0))/IF(Wapato_Inventory[[#This Row],[unbuildable]]=1,2,1)</f>
        <v>56900</v>
      </c>
      <c r="CA1068" s="7">
        <f>Wapato_Inventory[[#This Row],[pre_res]]*Wapato_Inventory[[#This Row],[overall_adj]]</f>
        <v>94494.280818668718</v>
      </c>
      <c r="CB1068" s="3">
        <f>IF(ROUND(Wapato_Inventory[[#This Row],[adj_land]]*Lookups!$H$48,-2)&lt;Wapato_Inventory[[#This Row],[min_land]],Wapato_Inventory[[#This Row],[min_land]],ROUND(Wapato_Inventory[[#This Row],[adj_land]]*Lookups!$H$48,-2))</f>
        <v>54100</v>
      </c>
      <c r="CC1068" s="3">
        <f>IF(ROUND(Wapato_Inventory[[#This Row],[adj_res]]*Lookups!$H$48,-2)&lt;Wapato_Inventory[[#This Row],[min_res]],Wapato_Inventory[[#This Row],[min_res]],ROUND(Wapato_Inventory[[#This Row],[adj_res]]*Lookups!$H$48,-2))</f>
        <v>89800</v>
      </c>
      <c r="CD1068" s="3">
        <f>ROUND(Wapato_Inventory[[#This Row],[det_value]]*Lookups!$H$48,-2)</f>
        <v>6000</v>
      </c>
      <c r="CE1068" s="3">
        <f>Wapato_Inventory[[#This Row],[final_res]]+Wapato_Inventory[[#This Row],[final_det]]</f>
        <v>95800</v>
      </c>
      <c r="CF1068" s="3">
        <f>Wapato_Inventory[[#This Row],[crop_value]]+Wapato_Inventory[[#This Row],[final_land]]+Wapato_Inventory[[#This Row],[final_imp]]</f>
        <v>149900</v>
      </c>
      <c r="CH1068" t="str">
        <f t="shared" si="16"/>
        <v>update valuation set market_land =54100, market_bldg=95800, market_total =149900, market_mdno =405, market_date ='9/10/2023' where link_id = (select link_id from parcel where parcel_year = '2024' and parcel_id = '19111532019');</v>
      </c>
    </row>
    <row r="1069" spans="1:86" x14ac:dyDescent="0.25">
      <c r="A1069">
        <v>19111532020</v>
      </c>
      <c r="B1069">
        <v>2.5499999999999998</v>
      </c>
      <c r="C1069">
        <v>110866</v>
      </c>
      <c r="D1069" t="s">
        <v>144</v>
      </c>
      <c r="E1069" t="s">
        <v>54</v>
      </c>
      <c r="F1069" t="s">
        <v>54</v>
      </c>
      <c r="G1069">
        <v>3</v>
      </c>
      <c r="H1069" t="s">
        <v>55</v>
      </c>
      <c r="I1069">
        <v>474600</v>
      </c>
      <c r="J1069">
        <v>51800</v>
      </c>
      <c r="K1069">
        <v>2.5499999999999998</v>
      </c>
      <c r="L1069">
        <f>IF(Wapato_Inventory[[#This Row],[parcel_acres]]-Wapato_Inventory[[#This Row],[non_valued_acres]] =0,0,LN(Wapato_Inventory[[#This Row],[parcel_acres]]-Wapato_Inventory[[#This Row],[non_valued_acres]]))</f>
        <v>0.93609335917033476</v>
      </c>
      <c r="M1069">
        <v>0</v>
      </c>
      <c r="N1069">
        <v>0</v>
      </c>
      <c r="O1069">
        <v>0</v>
      </c>
      <c r="P1069">
        <v>27904.037</v>
      </c>
      <c r="Q1069">
        <v>74398</v>
      </c>
      <c r="R1069" s="3">
        <f>(Wapato_Inventory[[#This Row],[ln_acres]]*Wapato_Inventory[[#This Row],[coeff]])+Wapato_Inventory[[#This Row],[const]]</f>
        <v>100518.78372974331</v>
      </c>
      <c r="S1069" t="s">
        <v>56</v>
      </c>
      <c r="T1069">
        <v>2</v>
      </c>
      <c r="U1069" t="s">
        <v>65</v>
      </c>
      <c r="V1069" t="s">
        <v>69</v>
      </c>
      <c r="W1069">
        <v>0</v>
      </c>
      <c r="X1069">
        <v>0</v>
      </c>
      <c r="Y1069">
        <v>28</v>
      </c>
      <c r="Z1069">
        <v>28</v>
      </c>
      <c r="AA1069">
        <v>30</v>
      </c>
      <c r="AB1069">
        <v>3500</v>
      </c>
      <c r="AC1069">
        <v>3463</v>
      </c>
      <c r="AD1069">
        <v>2082</v>
      </c>
      <c r="AE1069">
        <v>1381</v>
      </c>
      <c r="AF1069">
        <v>0</v>
      </c>
      <c r="AG1069">
        <v>0</v>
      </c>
      <c r="AH1069">
        <v>0</v>
      </c>
      <c r="AI1069">
        <v>576</v>
      </c>
      <c r="AJ1069">
        <v>0</v>
      </c>
      <c r="AK1069">
        <v>0</v>
      </c>
      <c r="AL1069">
        <v>0</v>
      </c>
      <c r="AM1069">
        <v>308</v>
      </c>
      <c r="AN1069">
        <v>0</v>
      </c>
      <c r="AO1069">
        <v>0</v>
      </c>
      <c r="AP1069">
        <v>20</v>
      </c>
      <c r="AQ1069">
        <v>0</v>
      </c>
      <c r="AR1069">
        <v>0</v>
      </c>
      <c r="AS1069" t="s">
        <v>59</v>
      </c>
      <c r="AT1069">
        <v>1</v>
      </c>
      <c r="AU1069" t="s">
        <v>64</v>
      </c>
      <c r="AV1069" t="s">
        <v>61</v>
      </c>
      <c r="AW1069">
        <v>1</v>
      </c>
      <c r="AX1069">
        <v>4</v>
      </c>
      <c r="AY1069">
        <v>0</v>
      </c>
      <c r="AZ1069">
        <v>95900</v>
      </c>
      <c r="BA1069">
        <v>100</v>
      </c>
      <c r="BB1069">
        <v>100</v>
      </c>
      <c r="BC1069">
        <v>100</v>
      </c>
      <c r="BD1069">
        <v>100</v>
      </c>
      <c r="BE1069">
        <v>1</v>
      </c>
      <c r="BF1069">
        <v>15000</v>
      </c>
      <c r="BG1069">
        <v>1000</v>
      </c>
      <c r="BH1069" s="7">
        <f>ROUND(Wapato_Inventory[[#This Row],[detatched_value]]*Lookups!$B$22*Lookups!$H$48,-2)</f>
        <v>85700</v>
      </c>
      <c r="BI1069" s="7">
        <f>ROUND(((Wapato_Inventory[[#This Row],[land_extract]]*Lookups!$B$3) +(Lookups!$B$2*0.5))*Lookups!$H$48,-2)</f>
        <v>60800</v>
      </c>
      <c r="BJ1069" s="7">
        <f>IF(Wapato_Inventory[[#This Row],[bldg_style]]="",0,Lookups!$B$2*0.5)</f>
        <v>53765.27</v>
      </c>
      <c r="BK1069" s="7">
        <f>_xlfn.IFNA(VLOOKUP(Wapato_Inventory[[#This Row],[quality]],Lookups!$H$2:$J$14,3,FALSE),0)</f>
        <v>92307</v>
      </c>
      <c r="BL1069" s="7">
        <f>_xlfn.IFNA(VLOOKUP(Wapato_Inventory[[#This Row],[condition]],Lookups!$H$17:$J$24,3,FALSE),0)</f>
        <v>74543</v>
      </c>
      <c r="BM1069" s="7">
        <f>Wapato_Inventory[[#This Row],[Age]]*Lookups!$B$16</f>
        <v>-10378.919600000001</v>
      </c>
      <c r="BN1069" s="7">
        <f>Wapato_Inventory[[#This Row],[Main Floor]]*Lookups!$B$17</f>
        <v>87029.138598000005</v>
      </c>
      <c r="BO1069" s="7">
        <f>Wapato_Inventory[[#This Row],[Upper Floor]]*Lookups!$B$18</f>
        <v>68499.172959000003</v>
      </c>
      <c r="BP1069" s="7">
        <f>Wapato_Inventory[[#This Row],[Fin BSMT]]*Lookups!$B$19</f>
        <v>0</v>
      </c>
      <c r="BQ1069" s="7">
        <f>(Wapato_Inventory[[#This Row],[att_gar]]+Wapato_Inventory[[#This Row],[blt_gar]])*Lookups!$B$20</f>
        <v>21317.041152000002</v>
      </c>
      <c r="BR1069" s="7">
        <f>Wapato_Inventory[[#This Row],[Patio]]*Lookups!$B$21</f>
        <v>13343.785532</v>
      </c>
      <c r="BS1069" s="7">
        <f>SUM(Wapato_Inventory[[#This Row],[intercept]:[patio_value]])*Wapato_Inventory[[#This Row],[res_pct]]</f>
        <v>400425.488641</v>
      </c>
      <c r="BT1069" s="7">
        <f>Wapato_Inventory[[#This Row],[land_value]]</f>
        <v>60800</v>
      </c>
      <c r="BU1069" s="2">
        <f>_xlfn.IFNA(VLOOKUP(Wapato_Inventory[[#This Row],[quality]],Lookups!$A$28:$C$37,3,FALSE),1)</f>
        <v>1.0013727718490204</v>
      </c>
      <c r="BV1069" s="2">
        <f>_xlfn.IFNA(VLOOKUP(Wapato_Inventory[[#This Row],[condition]],Lookups!$A$41:$C$48,3,FALSE),1)</f>
        <v>0.98442438223270734</v>
      </c>
      <c r="BW1069" s="2">
        <f>IF(Wapato_Inventory[[#This Row],[decade]]="",1,_xlfn.IFNA(VLOOKUP(Wapato_Inventory[[#This Row],[decade]],Lookups!$F$28:$H$45,3,FALSE),1))</f>
        <v>1.0490505496896987</v>
      </c>
      <c r="BX1069" s="2">
        <f>_xlfn.IFNA(VLOOKUP(Wapato_Inventory[[#This Row],[living_area_range]],Lookups!$K$28:$M$37,3,FALSE),1)</f>
        <v>1.0155869662067822</v>
      </c>
      <c r="BY1069" s="2">
        <f>AVERAGE(Wapato_Inventory[[#This Row],[qual_adj]:[range_adj]])</f>
        <v>1.012608667494552</v>
      </c>
      <c r="BZ1069" s="7">
        <f>(Wapato_Inventory[[#This Row],[sum_land]]-IF(Wapato_Inventory[[#This Row],[no_utilities]]=1,12000,0))/IF(Wapato_Inventory[[#This Row],[unbuildable]]=1,2,1)</f>
        <v>60800</v>
      </c>
      <c r="CA1069" s="7">
        <f>Wapato_Inventory[[#This Row],[pre_res]]*Wapato_Inventory[[#This Row],[overall_adj]]</f>
        <v>405474.32048361789</v>
      </c>
      <c r="CB1069" s="3">
        <f>IF(ROUND(Wapato_Inventory[[#This Row],[adj_land]]*Lookups!$H$48,-2)&lt;Wapato_Inventory[[#This Row],[min_land]],Wapato_Inventory[[#This Row],[min_land]],ROUND(Wapato_Inventory[[#This Row],[adj_land]]*Lookups!$H$48,-2))</f>
        <v>57800</v>
      </c>
      <c r="CC1069" s="3">
        <f>IF(ROUND(Wapato_Inventory[[#This Row],[adj_res]]*Lookups!$H$48,-2)&lt;Wapato_Inventory[[#This Row],[min_res]],Wapato_Inventory[[#This Row],[min_res]],ROUND(Wapato_Inventory[[#This Row],[adj_res]]*Lookups!$H$48,-2))</f>
        <v>385200</v>
      </c>
      <c r="CD1069" s="3">
        <f>ROUND(Wapato_Inventory[[#This Row],[det_value]]*Lookups!$H$48,-2)</f>
        <v>81400</v>
      </c>
      <c r="CE1069" s="3">
        <f>Wapato_Inventory[[#This Row],[final_res]]+Wapato_Inventory[[#This Row],[final_det]]</f>
        <v>466600</v>
      </c>
      <c r="CF1069" s="3">
        <f>Wapato_Inventory[[#This Row],[crop_value]]+Wapato_Inventory[[#This Row],[final_land]]+Wapato_Inventory[[#This Row],[final_imp]]</f>
        <v>524400</v>
      </c>
      <c r="CH1069" t="str">
        <f t="shared" si="16"/>
        <v>update valuation set market_land =57800, market_bldg=466600, market_total =524400, market_mdno =405, market_date ='9/10/2023' where link_id = (select link_id from parcel where parcel_year = '2024' and parcel_id = '19111532020');</v>
      </c>
    </row>
    <row r="1070" spans="1:86" x14ac:dyDescent="0.25">
      <c r="A1070">
        <v>19111532021</v>
      </c>
      <c r="B1070">
        <v>2.2400000000000002</v>
      </c>
      <c r="C1070">
        <v>97638</v>
      </c>
      <c r="D1070" t="s">
        <v>144</v>
      </c>
      <c r="E1070" t="s">
        <v>54</v>
      </c>
      <c r="F1070" t="s">
        <v>54</v>
      </c>
      <c r="G1070">
        <v>3</v>
      </c>
      <c r="H1070" t="s">
        <v>55</v>
      </c>
      <c r="I1070">
        <v>175900</v>
      </c>
      <c r="J1070">
        <v>50900</v>
      </c>
      <c r="K1070">
        <v>2.2400000000000002</v>
      </c>
      <c r="L1070">
        <f>IF(Wapato_Inventory[[#This Row],[parcel_acres]]-Wapato_Inventory[[#This Row],[non_valued_acres]] =0,0,LN(Wapato_Inventory[[#This Row],[parcel_acres]]-Wapato_Inventory[[#This Row],[non_valued_acres]]))</f>
        <v>0.80647586586694853</v>
      </c>
      <c r="M1070">
        <v>0</v>
      </c>
      <c r="N1070">
        <v>0</v>
      </c>
      <c r="O1070">
        <v>0</v>
      </c>
      <c r="P1070">
        <v>27904.037</v>
      </c>
      <c r="Q1070">
        <v>74398</v>
      </c>
      <c r="R1070" s="3">
        <f>(Wapato_Inventory[[#This Row],[ln_acres]]*Wapato_Inventory[[#This Row],[coeff]])+Wapato_Inventory[[#This Row],[const]]</f>
        <v>96901.932400758364</v>
      </c>
      <c r="S1070" t="s">
        <v>66</v>
      </c>
      <c r="T1070">
        <v>1</v>
      </c>
      <c r="U1070" t="s">
        <v>67</v>
      </c>
      <c r="V1070" t="s">
        <v>68</v>
      </c>
      <c r="W1070">
        <v>0</v>
      </c>
      <c r="X1070">
        <v>0</v>
      </c>
      <c r="Y1070">
        <v>52</v>
      </c>
      <c r="Z1070">
        <v>88</v>
      </c>
      <c r="AA1070">
        <v>90</v>
      </c>
      <c r="AB1070">
        <v>1500</v>
      </c>
      <c r="AC1070">
        <v>1226</v>
      </c>
      <c r="AD1070">
        <v>1226</v>
      </c>
      <c r="AE1070">
        <v>0</v>
      </c>
      <c r="AF1070">
        <v>0</v>
      </c>
      <c r="AG1070">
        <v>0</v>
      </c>
      <c r="AH1070">
        <v>280</v>
      </c>
      <c r="AI1070">
        <v>0</v>
      </c>
      <c r="AJ1070">
        <v>0</v>
      </c>
      <c r="AK1070">
        <v>0</v>
      </c>
      <c r="AL1070">
        <v>0</v>
      </c>
      <c r="AM1070">
        <v>72</v>
      </c>
      <c r="AN1070">
        <v>24</v>
      </c>
      <c r="AO1070">
        <v>72</v>
      </c>
      <c r="AP1070">
        <v>5</v>
      </c>
      <c r="AQ1070">
        <v>1</v>
      </c>
      <c r="AR1070">
        <v>0</v>
      </c>
      <c r="AS1070" t="s">
        <v>59</v>
      </c>
      <c r="AT1070">
        <v>1</v>
      </c>
      <c r="AU1070" t="s">
        <v>64</v>
      </c>
      <c r="AV1070" t="s">
        <v>61</v>
      </c>
      <c r="AW1070">
        <v>0</v>
      </c>
      <c r="AX1070">
        <v>3</v>
      </c>
      <c r="AY1070">
        <v>0</v>
      </c>
      <c r="AZ1070">
        <v>20500</v>
      </c>
      <c r="BA1070">
        <v>100</v>
      </c>
      <c r="BB1070">
        <v>100</v>
      </c>
      <c r="BC1070">
        <v>100</v>
      </c>
      <c r="BD1070">
        <v>100</v>
      </c>
      <c r="BE1070">
        <v>1</v>
      </c>
      <c r="BF1070">
        <v>15000</v>
      </c>
      <c r="BG1070">
        <v>1000</v>
      </c>
      <c r="BH1070" s="7">
        <f>ROUND(Wapato_Inventory[[#This Row],[detatched_value]]*Lookups!$B$22*Lookups!$H$48,-2)</f>
        <v>18300</v>
      </c>
      <c r="BI1070" s="7">
        <f>ROUND(((Wapato_Inventory[[#This Row],[land_extract]]*Lookups!$B$3) +(Lookups!$B$2*0.5))*Lookups!$H$48,-2)</f>
        <v>60400</v>
      </c>
      <c r="BJ1070" s="7">
        <f>IF(Wapato_Inventory[[#This Row],[bldg_style]]="",0,Lookups!$B$2*0.5)</f>
        <v>53765.27</v>
      </c>
      <c r="BK1070" s="7">
        <f>_xlfn.IFNA(VLOOKUP(Wapato_Inventory[[#This Row],[quality]],Lookups!$H$2:$J$14,3,FALSE),0)</f>
        <v>50405</v>
      </c>
      <c r="BL1070" s="7">
        <f>_xlfn.IFNA(VLOOKUP(Wapato_Inventory[[#This Row],[condition]],Lookups!$H$17:$J$24,3,FALSE),0)</f>
        <v>52231</v>
      </c>
      <c r="BM1070" s="7">
        <f>Wapato_Inventory[[#This Row],[Age]]*Lookups!$B$16</f>
        <v>-32619.461600000002</v>
      </c>
      <c r="BN1070" s="7">
        <f>Wapato_Inventory[[#This Row],[Main Floor]]*Lookups!$B$17</f>
        <v>51247.706014000003</v>
      </c>
      <c r="BO1070" s="7">
        <f>Wapato_Inventory[[#This Row],[Upper Floor]]*Lookups!$B$18</f>
        <v>0</v>
      </c>
      <c r="BP1070" s="7">
        <f>Wapato_Inventory[[#This Row],[Fin BSMT]]*Lookups!$B$19</f>
        <v>0</v>
      </c>
      <c r="BQ1070" s="7">
        <f>(Wapato_Inventory[[#This Row],[att_gar]]+Wapato_Inventory[[#This Row],[blt_gar]])*Lookups!$B$20</f>
        <v>0</v>
      </c>
      <c r="BR1070" s="7">
        <f>Wapato_Inventory[[#This Row],[Patio]]*Lookups!$B$21</f>
        <v>3119.3264880000002</v>
      </c>
      <c r="BS1070" s="7">
        <f>SUM(Wapato_Inventory[[#This Row],[intercept]:[patio_value]])*Wapato_Inventory[[#This Row],[res_pct]]</f>
        <v>178148.84090199997</v>
      </c>
      <c r="BT1070" s="7">
        <f>Wapato_Inventory[[#This Row],[land_value]]</f>
        <v>60400</v>
      </c>
      <c r="BU1070" s="2">
        <f>_xlfn.IFNA(VLOOKUP(Wapato_Inventory[[#This Row],[quality]],Lookups!$A$28:$C$37,3,FALSE),1)</f>
        <v>0.97993206410140754</v>
      </c>
      <c r="BV1070" s="2">
        <f>_xlfn.IFNA(VLOOKUP(Wapato_Inventory[[#This Row],[condition]],Lookups!$A$41:$C$48,3,FALSE),1)</f>
        <v>0.9832333997567807</v>
      </c>
      <c r="BW1070" s="2">
        <f>IF(Wapato_Inventory[[#This Row],[decade]]="",1,_xlfn.IFNA(VLOOKUP(Wapato_Inventory[[#This Row],[decade]],Lookups!$F$28:$H$45,3,FALSE),1))</f>
        <v>0.94742695999815718</v>
      </c>
      <c r="BX1070" s="2">
        <f>_xlfn.IFNA(VLOOKUP(Wapato_Inventory[[#This Row],[living_area_range]],Lookups!$K$28:$M$37,3,FALSE),1)</f>
        <v>1.0061411172456287</v>
      </c>
      <c r="BY1070" s="2">
        <f>AVERAGE(Wapato_Inventory[[#This Row],[qual_adj]:[range_adj]])</f>
        <v>0.97918338527549353</v>
      </c>
      <c r="BZ1070" s="7">
        <f>(Wapato_Inventory[[#This Row],[sum_land]]-IF(Wapato_Inventory[[#This Row],[no_utilities]]=1,12000,0))/IF(Wapato_Inventory[[#This Row],[unbuildable]]=1,2,1)</f>
        <v>60400</v>
      </c>
      <c r="CA1070" s="7">
        <f>Wapato_Inventory[[#This Row],[pre_res]]*Wapato_Inventory[[#This Row],[overall_adj]]</f>
        <v>174440.38511732564</v>
      </c>
      <c r="CB1070" s="3">
        <f>IF(ROUND(Wapato_Inventory[[#This Row],[adj_land]]*Lookups!$H$48,-2)&lt;Wapato_Inventory[[#This Row],[min_land]],Wapato_Inventory[[#This Row],[min_land]],ROUND(Wapato_Inventory[[#This Row],[adj_land]]*Lookups!$H$48,-2))</f>
        <v>57400</v>
      </c>
      <c r="CC1070" s="3">
        <f>IF(ROUND(Wapato_Inventory[[#This Row],[adj_res]]*Lookups!$H$48,-2)&lt;Wapato_Inventory[[#This Row],[min_res]],Wapato_Inventory[[#This Row],[min_res]],ROUND(Wapato_Inventory[[#This Row],[adj_res]]*Lookups!$H$48,-2))</f>
        <v>165700</v>
      </c>
      <c r="CD1070" s="3">
        <f>ROUND(Wapato_Inventory[[#This Row],[det_value]]*Lookups!$H$48,-2)</f>
        <v>17400</v>
      </c>
      <c r="CE1070" s="3">
        <f>Wapato_Inventory[[#This Row],[final_res]]+Wapato_Inventory[[#This Row],[final_det]]</f>
        <v>183100</v>
      </c>
      <c r="CF1070" s="3">
        <f>Wapato_Inventory[[#This Row],[crop_value]]+Wapato_Inventory[[#This Row],[final_land]]+Wapato_Inventory[[#This Row],[final_imp]]</f>
        <v>240500</v>
      </c>
      <c r="CH1070" t="str">
        <f t="shared" si="16"/>
        <v>update valuation set market_land =57400, market_bldg=183100, market_total =240500, market_mdno =405, market_date ='9/10/2023' where link_id = (select link_id from parcel where parcel_year = '2024' and parcel_id = '19111532021');</v>
      </c>
    </row>
    <row r="1071" spans="1:86" x14ac:dyDescent="0.25">
      <c r="A1071">
        <v>19111532024</v>
      </c>
      <c r="B1071">
        <v>1.26</v>
      </c>
      <c r="C1071">
        <v>54931</v>
      </c>
      <c r="D1071" t="s">
        <v>144</v>
      </c>
      <c r="E1071" t="s">
        <v>54</v>
      </c>
      <c r="F1071" t="s">
        <v>54</v>
      </c>
      <c r="G1071">
        <v>3</v>
      </c>
      <c r="H1071" t="s">
        <v>55</v>
      </c>
      <c r="I1071">
        <v>118800</v>
      </c>
      <c r="J1071">
        <v>46900</v>
      </c>
      <c r="K1071">
        <v>1.26</v>
      </c>
      <c r="L1071">
        <f>IF(Wapato_Inventory[[#This Row],[parcel_acres]]-Wapato_Inventory[[#This Row],[non_valued_acres]] =0,0,LN(Wapato_Inventory[[#This Row],[parcel_acres]]-Wapato_Inventory[[#This Row],[non_valued_acres]]))</f>
        <v>0.23111172096338664</v>
      </c>
      <c r="M1071">
        <v>0</v>
      </c>
      <c r="N1071">
        <v>0</v>
      </c>
      <c r="O1071">
        <v>0</v>
      </c>
      <c r="P1071">
        <v>27904.037</v>
      </c>
      <c r="Q1071">
        <v>74398</v>
      </c>
      <c r="R1071" s="3">
        <f>(Wapato_Inventory[[#This Row],[ln_acres]]*Wapato_Inventory[[#This Row],[coeff]])+Wapato_Inventory[[#This Row],[const]]</f>
        <v>80846.950012896021</v>
      </c>
      <c r="S1071" t="s">
        <v>66</v>
      </c>
      <c r="T1071">
        <v>1</v>
      </c>
      <c r="U1071" t="s">
        <v>71</v>
      </c>
      <c r="V1071" t="s">
        <v>68</v>
      </c>
      <c r="W1071">
        <v>0</v>
      </c>
      <c r="X1071">
        <v>0</v>
      </c>
      <c r="Y1071">
        <v>65</v>
      </c>
      <c r="Z1071">
        <v>113</v>
      </c>
      <c r="AA1071">
        <v>120</v>
      </c>
      <c r="AB1071">
        <v>1000</v>
      </c>
      <c r="AC1071">
        <v>832</v>
      </c>
      <c r="AD1071">
        <v>832</v>
      </c>
      <c r="AE1071">
        <v>0</v>
      </c>
      <c r="AF1071">
        <v>0</v>
      </c>
      <c r="AG1071">
        <v>0</v>
      </c>
      <c r="AH1071">
        <v>549</v>
      </c>
      <c r="AI1071">
        <v>0</v>
      </c>
      <c r="AJ1071">
        <v>0</v>
      </c>
      <c r="AK1071">
        <v>0</v>
      </c>
      <c r="AL1071">
        <v>0</v>
      </c>
      <c r="AM1071">
        <v>0</v>
      </c>
      <c r="AN1071">
        <v>0</v>
      </c>
      <c r="AO1071">
        <v>0</v>
      </c>
      <c r="AP1071">
        <v>5</v>
      </c>
      <c r="AQ1071">
        <v>1</v>
      </c>
      <c r="AR1071">
        <v>0</v>
      </c>
      <c r="AS1071" t="s">
        <v>59</v>
      </c>
      <c r="AT1071">
        <v>1</v>
      </c>
      <c r="AU1071" t="s">
        <v>64</v>
      </c>
      <c r="AV1071" t="s">
        <v>77</v>
      </c>
      <c r="AW1071">
        <v>0</v>
      </c>
      <c r="AX1071">
        <v>2</v>
      </c>
      <c r="AY1071">
        <v>0</v>
      </c>
      <c r="AZ1071">
        <v>27300</v>
      </c>
      <c r="BA1071">
        <v>100</v>
      </c>
      <c r="BB1071">
        <v>100</v>
      </c>
      <c r="BC1071">
        <v>100</v>
      </c>
      <c r="BD1071">
        <v>100</v>
      </c>
      <c r="BE1071">
        <v>1</v>
      </c>
      <c r="BF1071">
        <v>15000</v>
      </c>
      <c r="BG1071">
        <v>1000</v>
      </c>
      <c r="BH1071" s="7">
        <f>ROUND(Wapato_Inventory[[#This Row],[detatched_value]]*Lookups!$B$22*Lookups!$H$48,-2)</f>
        <v>24400</v>
      </c>
      <c r="BI1071" s="7">
        <f>ROUND(((Wapato_Inventory[[#This Row],[land_extract]]*Lookups!$B$3) +(Lookups!$B$2*0.5))*Lookups!$H$48,-2)</f>
        <v>58900</v>
      </c>
      <c r="BJ1071" s="7">
        <f>IF(Wapato_Inventory[[#This Row],[bldg_style]]="",0,Lookups!$B$2*0.5)</f>
        <v>53765.27</v>
      </c>
      <c r="BK1071" s="7">
        <f>_xlfn.IFNA(VLOOKUP(Wapato_Inventory[[#This Row],[quality]],Lookups!$H$2:$J$14,3,FALSE),0)</f>
        <v>28034</v>
      </c>
      <c r="BL1071" s="7">
        <f>_xlfn.IFNA(VLOOKUP(Wapato_Inventory[[#This Row],[condition]],Lookups!$H$17:$J$24,3,FALSE),0)</f>
        <v>52231</v>
      </c>
      <c r="BM1071" s="7">
        <f>Wapato_Inventory[[#This Row],[Age]]*Lookups!$B$16</f>
        <v>-41886.354100000004</v>
      </c>
      <c r="BN1071" s="7">
        <f>Wapato_Inventory[[#This Row],[Main Floor]]*Lookups!$B$17</f>
        <v>34778.214848000003</v>
      </c>
      <c r="BO1071" s="7">
        <f>Wapato_Inventory[[#This Row],[Upper Floor]]*Lookups!$B$18</f>
        <v>0</v>
      </c>
      <c r="BP1071" s="7">
        <f>Wapato_Inventory[[#This Row],[Fin BSMT]]*Lookups!$B$19</f>
        <v>0</v>
      </c>
      <c r="BQ1071" s="7">
        <f>(Wapato_Inventory[[#This Row],[att_gar]]+Wapato_Inventory[[#This Row],[blt_gar]])*Lookups!$B$20</f>
        <v>0</v>
      </c>
      <c r="BR1071" s="7">
        <f>Wapato_Inventory[[#This Row],[Patio]]*Lookups!$B$21</f>
        <v>0</v>
      </c>
      <c r="BS1071" s="7">
        <f>SUM(Wapato_Inventory[[#This Row],[intercept]:[patio_value]])*Wapato_Inventory[[#This Row],[res_pct]]</f>
        <v>126922.130748</v>
      </c>
      <c r="BT1071" s="7">
        <f>Wapato_Inventory[[#This Row],[land_value]]</f>
        <v>58900</v>
      </c>
      <c r="BU1071" s="2">
        <f>_xlfn.IFNA(VLOOKUP(Wapato_Inventory[[#This Row],[quality]],Lookups!$A$28:$C$37,3,FALSE),1)</f>
        <v>0.96265813922927435</v>
      </c>
      <c r="BV1071" s="2">
        <f>_xlfn.IFNA(VLOOKUP(Wapato_Inventory[[#This Row],[condition]],Lookups!$A$41:$C$48,3,FALSE),1)</f>
        <v>0.9832333997567807</v>
      </c>
      <c r="BW1071" s="2">
        <f>IF(Wapato_Inventory[[#This Row],[decade]]="",1,_xlfn.IFNA(VLOOKUP(Wapato_Inventory[[#This Row],[decade]],Lookups!$F$28:$H$45,3,FALSE),1))</f>
        <v>0.93664589651353292</v>
      </c>
      <c r="BX1071" s="2">
        <f>_xlfn.IFNA(VLOOKUP(Wapato_Inventory[[#This Row],[living_area_range]],Lookups!$K$28:$M$37,3,FALSE),1)</f>
        <v>0.99022994770196116</v>
      </c>
      <c r="BY1071" s="2">
        <f>AVERAGE(Wapato_Inventory[[#This Row],[qual_adj]:[range_adj]])</f>
        <v>0.9681918458003872</v>
      </c>
      <c r="BZ1071" s="7">
        <f>(Wapato_Inventory[[#This Row],[sum_land]]-IF(Wapato_Inventory[[#This Row],[no_utilities]]=1,12000,0))/IF(Wapato_Inventory[[#This Row],[unbuildable]]=1,2,1)</f>
        <v>58900</v>
      </c>
      <c r="CA1071" s="7">
        <f>Wapato_Inventory[[#This Row],[pre_res]]*Wapato_Inventory[[#This Row],[overall_adj]]</f>
        <v>122884.97204182419</v>
      </c>
      <c r="CB1071" s="3">
        <f>IF(ROUND(Wapato_Inventory[[#This Row],[adj_land]]*Lookups!$H$48,-2)&lt;Wapato_Inventory[[#This Row],[min_land]],Wapato_Inventory[[#This Row],[min_land]],ROUND(Wapato_Inventory[[#This Row],[adj_land]]*Lookups!$H$48,-2))</f>
        <v>56000</v>
      </c>
      <c r="CC1071" s="3">
        <f>IF(ROUND(Wapato_Inventory[[#This Row],[adj_res]]*Lookups!$H$48,-2)&lt;Wapato_Inventory[[#This Row],[min_res]],Wapato_Inventory[[#This Row],[min_res]],ROUND(Wapato_Inventory[[#This Row],[adj_res]]*Lookups!$H$48,-2))</f>
        <v>116700</v>
      </c>
      <c r="CD1071" s="3">
        <f>ROUND(Wapato_Inventory[[#This Row],[det_value]]*Lookups!$H$48,-2)</f>
        <v>23200</v>
      </c>
      <c r="CE1071" s="3">
        <f>Wapato_Inventory[[#This Row],[final_res]]+Wapato_Inventory[[#This Row],[final_det]]</f>
        <v>139900</v>
      </c>
      <c r="CF1071" s="3">
        <f>Wapato_Inventory[[#This Row],[crop_value]]+Wapato_Inventory[[#This Row],[final_land]]+Wapato_Inventory[[#This Row],[final_imp]]</f>
        <v>195900</v>
      </c>
      <c r="CH1071" t="str">
        <f t="shared" si="16"/>
        <v>update valuation set market_land =56000, market_bldg=139900, market_total =195900, market_mdno =405, market_date ='9/10/2023' where link_id = (select link_id from parcel where parcel_year = '2024' and parcel_id = '19111532024');</v>
      </c>
    </row>
    <row r="1072" spans="1:86" x14ac:dyDescent="0.25">
      <c r="A1072">
        <v>19111532027</v>
      </c>
      <c r="B1072">
        <v>0.6</v>
      </c>
      <c r="C1072">
        <v>26034</v>
      </c>
      <c r="D1072" t="s">
        <v>144</v>
      </c>
      <c r="E1072" t="s">
        <v>54</v>
      </c>
      <c r="F1072" t="s">
        <v>54</v>
      </c>
      <c r="G1072">
        <v>3</v>
      </c>
      <c r="H1072" t="s">
        <v>55</v>
      </c>
      <c r="I1072">
        <v>241600</v>
      </c>
      <c r="J1072">
        <v>41600</v>
      </c>
      <c r="K1072">
        <v>0.6</v>
      </c>
      <c r="L1072">
        <f>IF(Wapato_Inventory[[#This Row],[parcel_acres]]-Wapato_Inventory[[#This Row],[non_valued_acres]] =0,0,LN(Wapato_Inventory[[#This Row],[parcel_acres]]-Wapato_Inventory[[#This Row],[non_valued_acres]]))</f>
        <v>-0.51082562376599072</v>
      </c>
      <c r="M1072">
        <v>0</v>
      </c>
      <c r="N1072">
        <v>0</v>
      </c>
      <c r="O1072">
        <v>0</v>
      </c>
      <c r="P1072">
        <v>27904.037</v>
      </c>
      <c r="Q1072">
        <v>74398</v>
      </c>
      <c r="R1072" s="3">
        <f>(Wapato_Inventory[[#This Row],[ln_acres]]*Wapato_Inventory[[#This Row],[coeff]])+Wapato_Inventory[[#This Row],[const]]</f>
        <v>60143.902893885715</v>
      </c>
      <c r="S1072" t="s">
        <v>66</v>
      </c>
      <c r="T1072">
        <v>1</v>
      </c>
      <c r="U1072" t="s">
        <v>75</v>
      </c>
      <c r="V1072" t="s">
        <v>68</v>
      </c>
      <c r="W1072">
        <v>0</v>
      </c>
      <c r="X1072">
        <v>0</v>
      </c>
      <c r="Y1072">
        <v>53</v>
      </c>
      <c r="Z1072">
        <v>93</v>
      </c>
      <c r="AA1072">
        <v>100</v>
      </c>
      <c r="AB1072">
        <v>2000</v>
      </c>
      <c r="AC1072">
        <v>1920</v>
      </c>
      <c r="AD1072">
        <v>1920</v>
      </c>
      <c r="AE1072">
        <v>0</v>
      </c>
      <c r="AF1072">
        <v>0</v>
      </c>
      <c r="AG1072">
        <v>0</v>
      </c>
      <c r="AH1072">
        <v>408</v>
      </c>
      <c r="AI1072">
        <v>0</v>
      </c>
      <c r="AJ1072">
        <v>0</v>
      </c>
      <c r="AK1072">
        <v>0</v>
      </c>
      <c r="AL1072">
        <v>0</v>
      </c>
      <c r="AM1072">
        <v>0</v>
      </c>
      <c r="AN1072">
        <v>140</v>
      </c>
      <c r="AO1072">
        <v>0</v>
      </c>
      <c r="AP1072">
        <v>8</v>
      </c>
      <c r="AQ1072">
        <v>0</v>
      </c>
      <c r="AR1072">
        <v>0</v>
      </c>
      <c r="AS1072" t="s">
        <v>59</v>
      </c>
      <c r="AT1072">
        <v>1</v>
      </c>
      <c r="AU1072" t="s">
        <v>60</v>
      </c>
      <c r="AV1072" t="s">
        <v>61</v>
      </c>
      <c r="AW1072">
        <v>1</v>
      </c>
      <c r="AX1072">
        <v>5</v>
      </c>
      <c r="AY1072">
        <v>0</v>
      </c>
      <c r="AZ1072">
        <v>25500</v>
      </c>
      <c r="BA1072">
        <v>100</v>
      </c>
      <c r="BB1072">
        <v>100</v>
      </c>
      <c r="BC1072">
        <v>100</v>
      </c>
      <c r="BD1072">
        <v>100</v>
      </c>
      <c r="BE1072">
        <v>1</v>
      </c>
      <c r="BF1072">
        <v>15000</v>
      </c>
      <c r="BG1072">
        <v>1000</v>
      </c>
      <c r="BH1072" s="7">
        <f>ROUND(Wapato_Inventory[[#This Row],[detatched_value]]*Lookups!$B$22*Lookups!$H$48,-2)</f>
        <v>22800</v>
      </c>
      <c r="BI1072" s="7">
        <f>ROUND(((Wapato_Inventory[[#This Row],[land_extract]]*Lookups!$B$3) +(Lookups!$B$2*0.5))*Lookups!$H$48,-2)</f>
        <v>56900</v>
      </c>
      <c r="BJ1072" s="7">
        <f>IF(Wapato_Inventory[[#This Row],[bldg_style]]="",0,Lookups!$B$2*0.5)</f>
        <v>53765.27</v>
      </c>
      <c r="BK1072" s="7">
        <f>_xlfn.IFNA(VLOOKUP(Wapato_Inventory[[#This Row],[quality]],Lookups!$H$2:$J$14,3,FALSE),0)</f>
        <v>48043</v>
      </c>
      <c r="BL1072" s="7">
        <f>_xlfn.IFNA(VLOOKUP(Wapato_Inventory[[#This Row],[condition]],Lookups!$H$17:$J$24,3,FALSE),0)</f>
        <v>52231</v>
      </c>
      <c r="BM1072" s="7">
        <f>Wapato_Inventory[[#This Row],[Age]]*Lookups!$B$16</f>
        <v>-34472.840100000001</v>
      </c>
      <c r="BN1072" s="7">
        <f>Wapato_Inventory[[#This Row],[Main Floor]]*Lookups!$B$17</f>
        <v>80257.418879999997</v>
      </c>
      <c r="BO1072" s="7">
        <f>Wapato_Inventory[[#This Row],[Upper Floor]]*Lookups!$B$18</f>
        <v>0</v>
      </c>
      <c r="BP1072" s="7">
        <f>Wapato_Inventory[[#This Row],[Fin BSMT]]*Lookups!$B$19</f>
        <v>0</v>
      </c>
      <c r="BQ1072" s="7">
        <f>(Wapato_Inventory[[#This Row],[att_gar]]+Wapato_Inventory[[#This Row],[blt_gar]])*Lookups!$B$20</f>
        <v>0</v>
      </c>
      <c r="BR1072" s="7">
        <f>Wapato_Inventory[[#This Row],[Patio]]*Lookups!$B$21</f>
        <v>0</v>
      </c>
      <c r="BS1072" s="7">
        <f>SUM(Wapato_Inventory[[#This Row],[intercept]:[patio_value]])*Wapato_Inventory[[#This Row],[res_pct]]</f>
        <v>199823.84878</v>
      </c>
      <c r="BT1072" s="7">
        <f>Wapato_Inventory[[#This Row],[land_value]]</f>
        <v>56900</v>
      </c>
      <c r="BU1072" s="2">
        <f>_xlfn.IFNA(VLOOKUP(Wapato_Inventory[[#This Row],[quality]],Lookups!$A$28:$C$37,3,FALSE),1)</f>
        <v>0.98196844879778955</v>
      </c>
      <c r="BV1072" s="2">
        <f>_xlfn.IFNA(VLOOKUP(Wapato_Inventory[[#This Row],[condition]],Lookups!$A$41:$C$48,3,FALSE),1)</f>
        <v>0.9832333997567807</v>
      </c>
      <c r="BW1072" s="2">
        <f>IF(Wapato_Inventory[[#This Row],[decade]]="",1,_xlfn.IFNA(VLOOKUP(Wapato_Inventory[[#This Row],[decade]],Lookups!$F$28:$H$45,3,FALSE),1))</f>
        <v>1.0114203040664467</v>
      </c>
      <c r="BX1072" s="2">
        <f>_xlfn.IFNA(VLOOKUP(Wapato_Inventory[[#This Row],[living_area_range]],Lookups!$K$28:$M$37,3,FALSE),1)</f>
        <v>0.99330894324714125</v>
      </c>
      <c r="BY1072" s="2">
        <f>AVERAGE(Wapato_Inventory[[#This Row],[qual_adj]:[range_adj]])</f>
        <v>0.99248277396703954</v>
      </c>
      <c r="BZ1072" s="7">
        <f>(Wapato_Inventory[[#This Row],[sum_land]]-IF(Wapato_Inventory[[#This Row],[no_utilities]]=1,12000,0))/IF(Wapato_Inventory[[#This Row],[unbuildable]]=1,2,1)</f>
        <v>56900</v>
      </c>
      <c r="CA1072" s="7">
        <f>Wapato_Inventory[[#This Row],[pre_res]]*Wapato_Inventory[[#This Row],[overall_adj]]</f>
        <v>198321.72774194463</v>
      </c>
      <c r="CB1072" s="3">
        <f>IF(ROUND(Wapato_Inventory[[#This Row],[adj_land]]*Lookups!$H$48,-2)&lt;Wapato_Inventory[[#This Row],[min_land]],Wapato_Inventory[[#This Row],[min_land]],ROUND(Wapato_Inventory[[#This Row],[adj_land]]*Lookups!$H$48,-2))</f>
        <v>54100</v>
      </c>
      <c r="CC1072" s="3">
        <f>IF(ROUND(Wapato_Inventory[[#This Row],[adj_res]]*Lookups!$H$48,-2)&lt;Wapato_Inventory[[#This Row],[min_res]],Wapato_Inventory[[#This Row],[min_res]],ROUND(Wapato_Inventory[[#This Row],[adj_res]]*Lookups!$H$48,-2))</f>
        <v>188400</v>
      </c>
      <c r="CD1072" s="3">
        <f>ROUND(Wapato_Inventory[[#This Row],[det_value]]*Lookups!$H$48,-2)</f>
        <v>21700</v>
      </c>
      <c r="CE1072" s="3">
        <f>Wapato_Inventory[[#This Row],[final_res]]+Wapato_Inventory[[#This Row],[final_det]]</f>
        <v>210100</v>
      </c>
      <c r="CF1072" s="3">
        <f>Wapato_Inventory[[#This Row],[crop_value]]+Wapato_Inventory[[#This Row],[final_land]]+Wapato_Inventory[[#This Row],[final_imp]]</f>
        <v>264200</v>
      </c>
      <c r="CH1072" t="str">
        <f t="shared" si="16"/>
        <v>update valuation set market_land =54100, market_bldg=210100, market_total =264200, market_mdno =405, market_date ='9/10/2023' where link_id = (select link_id from parcel where parcel_year = '2024' and parcel_id = '19111532027');</v>
      </c>
    </row>
    <row r="1073" spans="1:86" x14ac:dyDescent="0.25">
      <c r="A1073">
        <v>19111532028</v>
      </c>
      <c r="B1073">
        <v>0.5</v>
      </c>
      <c r="C1073">
        <v>21672</v>
      </c>
      <c r="D1073" t="s">
        <v>144</v>
      </c>
      <c r="E1073" t="s">
        <v>54</v>
      </c>
      <c r="F1073" t="s">
        <v>54</v>
      </c>
      <c r="G1073">
        <v>3</v>
      </c>
      <c r="H1073" t="s">
        <v>55</v>
      </c>
      <c r="I1073">
        <v>314300</v>
      </c>
      <c r="J1073">
        <v>40400</v>
      </c>
      <c r="K1073">
        <v>0.5</v>
      </c>
      <c r="L1073">
        <f>IF(Wapato_Inventory[[#This Row],[parcel_acres]]-Wapato_Inventory[[#This Row],[non_valued_acres]] =0,0,LN(Wapato_Inventory[[#This Row],[parcel_acres]]-Wapato_Inventory[[#This Row],[non_valued_acres]]))</f>
        <v>-0.69314718055994529</v>
      </c>
      <c r="M1073">
        <v>0</v>
      </c>
      <c r="N1073">
        <v>0</v>
      </c>
      <c r="O1073">
        <v>0</v>
      </c>
      <c r="P1073">
        <v>27904.037</v>
      </c>
      <c r="Q1073">
        <v>74398</v>
      </c>
      <c r="R1073" s="3">
        <f>(Wapato_Inventory[[#This Row],[ln_acres]]*Wapato_Inventory[[#This Row],[coeff]])+Wapato_Inventory[[#This Row],[const]]</f>
        <v>55056.395427209602</v>
      </c>
      <c r="S1073" t="s">
        <v>59</v>
      </c>
      <c r="T1073">
        <v>1</v>
      </c>
      <c r="U1073" t="s">
        <v>63</v>
      </c>
      <c r="V1073" t="s">
        <v>69</v>
      </c>
      <c r="W1073">
        <v>0</v>
      </c>
      <c r="X1073">
        <v>0</v>
      </c>
      <c r="Y1073">
        <v>23</v>
      </c>
      <c r="Z1073">
        <v>23</v>
      </c>
      <c r="AA1073">
        <v>30</v>
      </c>
      <c r="AB1073">
        <v>2000</v>
      </c>
      <c r="AC1073">
        <v>1836</v>
      </c>
      <c r="AD1073">
        <v>1836</v>
      </c>
      <c r="AE1073">
        <v>0</v>
      </c>
      <c r="AF1073">
        <v>0</v>
      </c>
      <c r="AG1073">
        <v>0</v>
      </c>
      <c r="AH1073">
        <v>0</v>
      </c>
      <c r="AI1073">
        <v>576</v>
      </c>
      <c r="AJ1073">
        <v>0</v>
      </c>
      <c r="AK1073">
        <v>0</v>
      </c>
      <c r="AL1073">
        <v>0</v>
      </c>
      <c r="AM1073">
        <v>367</v>
      </c>
      <c r="AN1073">
        <v>48</v>
      </c>
      <c r="AO1073">
        <v>0</v>
      </c>
      <c r="AP1073">
        <v>10</v>
      </c>
      <c r="AQ1073">
        <v>0</v>
      </c>
      <c r="AR1073">
        <v>0</v>
      </c>
      <c r="AS1073" t="s">
        <v>59</v>
      </c>
      <c r="AT1073">
        <v>1</v>
      </c>
      <c r="AU1073" t="s">
        <v>64</v>
      </c>
      <c r="AV1073" t="s">
        <v>61</v>
      </c>
      <c r="AW1073">
        <v>1</v>
      </c>
      <c r="AX1073">
        <v>3</v>
      </c>
      <c r="AY1073">
        <v>0</v>
      </c>
      <c r="AZ1073">
        <v>41100</v>
      </c>
      <c r="BA1073">
        <v>100</v>
      </c>
      <c r="BB1073">
        <v>100</v>
      </c>
      <c r="BC1073">
        <v>100</v>
      </c>
      <c r="BD1073">
        <v>100</v>
      </c>
      <c r="BE1073">
        <v>1</v>
      </c>
      <c r="BF1073">
        <v>15000</v>
      </c>
      <c r="BG1073">
        <v>1000</v>
      </c>
      <c r="BH1073" s="7">
        <f>ROUND(Wapato_Inventory[[#This Row],[detatched_value]]*Lookups!$B$22*Lookups!$H$48,-2)</f>
        <v>36700</v>
      </c>
      <c r="BI1073" s="7">
        <f>ROUND(((Wapato_Inventory[[#This Row],[land_extract]]*Lookups!$B$3) +(Lookups!$B$2*0.5))*Lookups!$H$48,-2)</f>
        <v>56400</v>
      </c>
      <c r="BJ1073" s="7">
        <f>IF(Wapato_Inventory[[#This Row],[bldg_style]]="",0,Lookups!$B$2*0.5)</f>
        <v>53765.27</v>
      </c>
      <c r="BK1073" s="7">
        <f>_xlfn.IFNA(VLOOKUP(Wapato_Inventory[[#This Row],[quality]],Lookups!$H$2:$J$14,3,FALSE),0)</f>
        <v>50594</v>
      </c>
      <c r="BL1073" s="7">
        <f>_xlfn.IFNA(VLOOKUP(Wapato_Inventory[[#This Row],[condition]],Lookups!$H$17:$J$24,3,FALSE),0)</f>
        <v>74543</v>
      </c>
      <c r="BM1073" s="7">
        <f>Wapato_Inventory[[#This Row],[Age]]*Lookups!$B$16</f>
        <v>-8525.5411000000004</v>
      </c>
      <c r="BN1073" s="7">
        <f>Wapato_Inventory[[#This Row],[Main Floor]]*Lookups!$B$17</f>
        <v>76746.156803999998</v>
      </c>
      <c r="BO1073" s="7">
        <f>Wapato_Inventory[[#This Row],[Upper Floor]]*Lookups!$B$18</f>
        <v>0</v>
      </c>
      <c r="BP1073" s="7">
        <f>Wapato_Inventory[[#This Row],[Fin BSMT]]*Lookups!$B$19</f>
        <v>0</v>
      </c>
      <c r="BQ1073" s="7">
        <f>(Wapato_Inventory[[#This Row],[att_gar]]+Wapato_Inventory[[#This Row],[blt_gar]])*Lookups!$B$20</f>
        <v>21317.041152000002</v>
      </c>
      <c r="BR1073" s="7">
        <f>Wapato_Inventory[[#This Row],[Patio]]*Lookups!$B$21</f>
        <v>15899.900293000001</v>
      </c>
      <c r="BS1073" s="7">
        <f>SUM(Wapato_Inventory[[#This Row],[intercept]:[patio_value]])*Wapato_Inventory[[#This Row],[res_pct]]</f>
        <v>284339.82714899996</v>
      </c>
      <c r="BT1073" s="7">
        <f>Wapato_Inventory[[#This Row],[land_value]]</f>
        <v>56400</v>
      </c>
      <c r="BU1073" s="2">
        <f>_xlfn.IFNA(VLOOKUP(Wapato_Inventory[[#This Row],[quality]],Lookups!$A$28:$C$37,3,FALSE),1)</f>
        <v>0.99197423394367223</v>
      </c>
      <c r="BV1073" s="2">
        <f>_xlfn.IFNA(VLOOKUP(Wapato_Inventory[[#This Row],[condition]],Lookups!$A$41:$C$48,3,FALSE),1)</f>
        <v>0.98442438223270734</v>
      </c>
      <c r="BW1073" s="2">
        <f>IF(Wapato_Inventory[[#This Row],[decade]]="",1,_xlfn.IFNA(VLOOKUP(Wapato_Inventory[[#This Row],[decade]],Lookups!$F$28:$H$45,3,FALSE),1))</f>
        <v>1.0490505496896987</v>
      </c>
      <c r="BX1073" s="2">
        <f>_xlfn.IFNA(VLOOKUP(Wapato_Inventory[[#This Row],[living_area_range]],Lookups!$K$28:$M$37,3,FALSE),1)</f>
        <v>0.99330894324714125</v>
      </c>
      <c r="BY1073" s="2">
        <f>AVERAGE(Wapato_Inventory[[#This Row],[qual_adj]:[range_adj]])</f>
        <v>1.004689527278305</v>
      </c>
      <c r="BZ1073" s="7">
        <f>(Wapato_Inventory[[#This Row],[sum_land]]-IF(Wapato_Inventory[[#This Row],[no_utilities]]=1,12000,0))/IF(Wapato_Inventory[[#This Row],[unbuildable]]=1,2,1)</f>
        <v>56400</v>
      </c>
      <c r="CA1073" s="7">
        <f>Wapato_Inventory[[#This Row],[pre_res]]*Wapato_Inventory[[#This Row],[overall_adj]]</f>
        <v>285673.24652472371</v>
      </c>
      <c r="CB1073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1073" s="3">
        <f>IF(ROUND(Wapato_Inventory[[#This Row],[adj_res]]*Lookups!$H$48,-2)&lt;Wapato_Inventory[[#This Row],[min_res]],Wapato_Inventory[[#This Row],[min_res]],ROUND(Wapato_Inventory[[#This Row],[adj_res]]*Lookups!$H$48,-2))</f>
        <v>271400</v>
      </c>
      <c r="CD1073" s="3">
        <f>ROUND(Wapato_Inventory[[#This Row],[det_value]]*Lookups!$H$48,-2)</f>
        <v>34900</v>
      </c>
      <c r="CE1073" s="3">
        <f>Wapato_Inventory[[#This Row],[final_res]]+Wapato_Inventory[[#This Row],[final_det]]</f>
        <v>306300</v>
      </c>
      <c r="CF1073" s="3">
        <f>Wapato_Inventory[[#This Row],[crop_value]]+Wapato_Inventory[[#This Row],[final_land]]+Wapato_Inventory[[#This Row],[final_imp]]</f>
        <v>359900</v>
      </c>
      <c r="CH1073" t="str">
        <f t="shared" si="16"/>
        <v>update valuation set market_land =53600, market_bldg=306300, market_total =359900, market_mdno =405, market_date ='9/10/2023' where link_id = (select link_id from parcel where parcel_year = '2024' and parcel_id = '19111532028');</v>
      </c>
    </row>
    <row r="1074" spans="1:86" x14ac:dyDescent="0.25">
      <c r="A1074">
        <v>19111532032</v>
      </c>
      <c r="B1074">
        <v>1.54</v>
      </c>
      <c r="C1074">
        <v>66904</v>
      </c>
      <c r="D1074" t="s">
        <v>144</v>
      </c>
      <c r="E1074" t="s">
        <v>54</v>
      </c>
      <c r="F1074" t="s">
        <v>54</v>
      </c>
      <c r="G1074">
        <v>3</v>
      </c>
      <c r="H1074" t="s">
        <v>55</v>
      </c>
      <c r="I1074">
        <v>291600</v>
      </c>
      <c r="J1074">
        <v>48200</v>
      </c>
      <c r="K1074">
        <v>1.54</v>
      </c>
      <c r="L1074">
        <f>IF(Wapato_Inventory[[#This Row],[parcel_acres]]-Wapato_Inventory[[#This Row],[non_valued_acres]] =0,0,LN(Wapato_Inventory[[#This Row],[parcel_acres]]-Wapato_Inventory[[#This Row],[non_valued_acres]]))</f>
        <v>0.43178241642553783</v>
      </c>
      <c r="M1074">
        <v>0</v>
      </c>
      <c r="N1074">
        <v>0</v>
      </c>
      <c r="O1074">
        <v>0</v>
      </c>
      <c r="P1074">
        <v>27904.037</v>
      </c>
      <c r="Q1074">
        <v>74398</v>
      </c>
      <c r="R1074" s="3">
        <f>(Wapato_Inventory[[#This Row],[ln_acres]]*Wapato_Inventory[[#This Row],[coeff]])+Wapato_Inventory[[#This Row],[const]]</f>
        <v>86446.472523887613</v>
      </c>
      <c r="S1074" t="s">
        <v>145</v>
      </c>
      <c r="T1074">
        <v>1</v>
      </c>
      <c r="U1074" t="s">
        <v>75</v>
      </c>
      <c r="V1074" t="s">
        <v>69</v>
      </c>
      <c r="W1074">
        <v>0</v>
      </c>
      <c r="X1074">
        <v>0</v>
      </c>
      <c r="Y1074">
        <v>52</v>
      </c>
      <c r="Z1074">
        <v>88</v>
      </c>
      <c r="AA1074">
        <v>90</v>
      </c>
      <c r="AB1074">
        <v>1000</v>
      </c>
      <c r="AC1074">
        <v>792</v>
      </c>
      <c r="AD1074">
        <v>792</v>
      </c>
      <c r="AE1074">
        <v>0</v>
      </c>
      <c r="AF1074">
        <v>0</v>
      </c>
      <c r="AG1074">
        <v>0</v>
      </c>
      <c r="AH1074">
        <v>0</v>
      </c>
      <c r="AI1074">
        <v>0</v>
      </c>
      <c r="AJ1074">
        <v>0</v>
      </c>
      <c r="AK1074">
        <v>0</v>
      </c>
      <c r="AL1074">
        <v>0</v>
      </c>
      <c r="AM1074">
        <v>0</v>
      </c>
      <c r="AN1074">
        <v>36</v>
      </c>
      <c r="AO1074">
        <v>100</v>
      </c>
      <c r="AP1074">
        <v>5</v>
      </c>
      <c r="AQ1074">
        <v>0</v>
      </c>
      <c r="AR1074">
        <v>0</v>
      </c>
      <c r="AS1074" t="s">
        <v>59</v>
      </c>
      <c r="AT1074">
        <v>1</v>
      </c>
      <c r="AU1074" t="s">
        <v>64</v>
      </c>
      <c r="AV1074" t="s">
        <v>61</v>
      </c>
      <c r="AW1074">
        <v>0</v>
      </c>
      <c r="AX1074">
        <v>2</v>
      </c>
      <c r="AY1074">
        <v>0</v>
      </c>
      <c r="AZ1074">
        <v>61900</v>
      </c>
      <c r="BA1074">
        <v>100</v>
      </c>
      <c r="BB1074">
        <v>100</v>
      </c>
      <c r="BC1074">
        <v>100</v>
      </c>
      <c r="BD1074">
        <v>100</v>
      </c>
      <c r="BE1074">
        <v>1</v>
      </c>
      <c r="BF1074">
        <v>15000</v>
      </c>
      <c r="BG1074">
        <v>1000</v>
      </c>
      <c r="BH1074" s="7">
        <f>ROUND(Wapato_Inventory[[#This Row],[detatched_value]]*Lookups!$B$22*Lookups!$H$48,-2)</f>
        <v>55300</v>
      </c>
      <c r="BI1074" s="7">
        <f>ROUND(((Wapato_Inventory[[#This Row],[land_extract]]*Lookups!$B$3) +(Lookups!$B$2*0.5))*Lookups!$H$48,-2)</f>
        <v>59400</v>
      </c>
      <c r="BJ1074" s="7">
        <f>IF(Wapato_Inventory[[#This Row],[bldg_style]]="",0,Lookups!$B$2*0.5)</f>
        <v>53765.27</v>
      </c>
      <c r="BK1074" s="7">
        <f>_xlfn.IFNA(VLOOKUP(Wapato_Inventory[[#This Row],[quality]],Lookups!$H$2:$J$14,3,FALSE),0)</f>
        <v>48043</v>
      </c>
      <c r="BL1074" s="7">
        <f>_xlfn.IFNA(VLOOKUP(Wapato_Inventory[[#This Row],[condition]],Lookups!$H$17:$J$24,3,FALSE),0)</f>
        <v>74543</v>
      </c>
      <c r="BM1074" s="7">
        <f>Wapato_Inventory[[#This Row],[Age]]*Lookups!$B$16</f>
        <v>-32619.461600000002</v>
      </c>
      <c r="BN1074" s="7">
        <f>Wapato_Inventory[[#This Row],[Main Floor]]*Lookups!$B$17</f>
        <v>33106.185288000001</v>
      </c>
      <c r="BO1074" s="7">
        <f>Wapato_Inventory[[#This Row],[Upper Floor]]*Lookups!$B$18</f>
        <v>0</v>
      </c>
      <c r="BP1074" s="7">
        <f>Wapato_Inventory[[#This Row],[Fin BSMT]]*Lookups!$B$19</f>
        <v>0</v>
      </c>
      <c r="BQ1074" s="7">
        <f>(Wapato_Inventory[[#This Row],[att_gar]]+Wapato_Inventory[[#This Row],[blt_gar]])*Lookups!$B$20</f>
        <v>0</v>
      </c>
      <c r="BR1074" s="7">
        <f>Wapato_Inventory[[#This Row],[Patio]]*Lookups!$B$21</f>
        <v>0</v>
      </c>
      <c r="BS1074" s="7">
        <f>SUM(Wapato_Inventory[[#This Row],[intercept]:[patio_value]])*Wapato_Inventory[[#This Row],[res_pct]]</f>
        <v>176837.99368799999</v>
      </c>
      <c r="BT1074" s="7">
        <f>Wapato_Inventory[[#This Row],[land_value]]</f>
        <v>59400</v>
      </c>
      <c r="BU1074" s="2">
        <f>_xlfn.IFNA(VLOOKUP(Wapato_Inventory[[#This Row],[quality]],Lookups!$A$28:$C$37,3,FALSE),1)</f>
        <v>0.98196844879778955</v>
      </c>
      <c r="BV1074" s="2">
        <f>_xlfn.IFNA(VLOOKUP(Wapato_Inventory[[#This Row],[condition]],Lookups!$A$41:$C$48,3,FALSE),1)</f>
        <v>0.98442438223270734</v>
      </c>
      <c r="BW1074" s="2">
        <f>IF(Wapato_Inventory[[#This Row],[decade]]="",1,_xlfn.IFNA(VLOOKUP(Wapato_Inventory[[#This Row],[decade]],Lookups!$F$28:$H$45,3,FALSE),1))</f>
        <v>0.94742695999815718</v>
      </c>
      <c r="BX1074" s="2">
        <f>_xlfn.IFNA(VLOOKUP(Wapato_Inventory[[#This Row],[living_area_range]],Lookups!$K$28:$M$37,3,FALSE),1)</f>
        <v>0.99022994770196116</v>
      </c>
      <c r="BY1074" s="2">
        <f>AVERAGE(Wapato_Inventory[[#This Row],[qual_adj]:[range_adj]])</f>
        <v>0.97601243468265375</v>
      </c>
      <c r="BZ1074" s="7">
        <f>(Wapato_Inventory[[#This Row],[sum_land]]-IF(Wapato_Inventory[[#This Row],[no_utilities]]=1,12000,0))/IF(Wapato_Inventory[[#This Row],[unbuildable]]=1,2,1)</f>
        <v>59400</v>
      </c>
      <c r="CA1074" s="7">
        <f>Wapato_Inventory[[#This Row],[pre_res]]*Wapato_Inventory[[#This Row],[overall_adj]]</f>
        <v>172596.08076382062</v>
      </c>
      <c r="CB1074" s="3">
        <f>IF(ROUND(Wapato_Inventory[[#This Row],[adj_land]]*Lookups!$H$48,-2)&lt;Wapato_Inventory[[#This Row],[min_land]],Wapato_Inventory[[#This Row],[min_land]],ROUND(Wapato_Inventory[[#This Row],[adj_land]]*Lookups!$H$48,-2))</f>
        <v>56400</v>
      </c>
      <c r="CC1074" s="3">
        <f>IF(ROUND(Wapato_Inventory[[#This Row],[adj_res]]*Lookups!$H$48,-2)&lt;Wapato_Inventory[[#This Row],[min_res]],Wapato_Inventory[[#This Row],[min_res]],ROUND(Wapato_Inventory[[#This Row],[adj_res]]*Lookups!$H$48,-2))</f>
        <v>164000</v>
      </c>
      <c r="CD1074" s="3">
        <f>ROUND(Wapato_Inventory[[#This Row],[det_value]]*Lookups!$H$48,-2)</f>
        <v>52500</v>
      </c>
      <c r="CE1074" s="3">
        <f>Wapato_Inventory[[#This Row],[final_res]]+Wapato_Inventory[[#This Row],[final_det]]</f>
        <v>216500</v>
      </c>
      <c r="CF1074" s="3">
        <f>Wapato_Inventory[[#This Row],[crop_value]]+Wapato_Inventory[[#This Row],[final_land]]+Wapato_Inventory[[#This Row],[final_imp]]</f>
        <v>272900</v>
      </c>
      <c r="CH1074" t="str">
        <f t="shared" si="16"/>
        <v>update valuation set market_land =56400, market_bldg=216500, market_total =272900, market_mdno =405, market_date ='9/10/2023' where link_id = (select link_id from parcel where parcel_year = '2024' and parcel_id = '19111532032');</v>
      </c>
    </row>
    <row r="1075" spans="1:86" x14ac:dyDescent="0.25">
      <c r="A1075">
        <v>19111532400</v>
      </c>
      <c r="B1075">
        <v>0.19</v>
      </c>
      <c r="C1075">
        <v>8441</v>
      </c>
      <c r="D1075" t="s">
        <v>144</v>
      </c>
      <c r="E1075" t="s">
        <v>54</v>
      </c>
      <c r="F1075" t="s">
        <v>54</v>
      </c>
      <c r="G1075">
        <v>3</v>
      </c>
      <c r="H1075" t="s">
        <v>55</v>
      </c>
      <c r="I1075">
        <v>122600</v>
      </c>
      <c r="J1075">
        <v>33600</v>
      </c>
      <c r="K1075">
        <v>0.19</v>
      </c>
      <c r="L1075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75">
        <v>0</v>
      </c>
      <c r="N1075">
        <v>0</v>
      </c>
      <c r="O1075">
        <v>0</v>
      </c>
      <c r="P1075">
        <v>27904.037</v>
      </c>
      <c r="Q1075">
        <v>74398</v>
      </c>
      <c r="R1075" s="3">
        <f>(Wapato_Inventory[[#This Row],[ln_acres]]*Wapato_Inventory[[#This Row],[coeff]])+Wapato_Inventory[[#This Row],[const]]</f>
        <v>28056.894957794</v>
      </c>
      <c r="S1075" t="s">
        <v>66</v>
      </c>
      <c r="T1075">
        <v>1</v>
      </c>
      <c r="U1075" t="s">
        <v>75</v>
      </c>
      <c r="V1075" t="s">
        <v>73</v>
      </c>
      <c r="W1075">
        <v>0</v>
      </c>
      <c r="X1075">
        <v>0</v>
      </c>
      <c r="Y1075">
        <v>50</v>
      </c>
      <c r="Z1075">
        <v>75</v>
      </c>
      <c r="AA1075">
        <v>80</v>
      </c>
      <c r="AB1075">
        <v>1500</v>
      </c>
      <c r="AC1075">
        <v>1116</v>
      </c>
      <c r="AD1075">
        <v>1116</v>
      </c>
      <c r="AE1075">
        <v>0</v>
      </c>
      <c r="AF1075">
        <v>0</v>
      </c>
      <c r="AG1075">
        <v>0</v>
      </c>
      <c r="AH1075">
        <v>0</v>
      </c>
      <c r="AI1075">
        <v>0</v>
      </c>
      <c r="AJ1075">
        <v>0</v>
      </c>
      <c r="AK1075">
        <v>240</v>
      </c>
      <c r="AL1075">
        <v>0</v>
      </c>
      <c r="AM1075">
        <v>336</v>
      </c>
      <c r="AN1075">
        <v>0</v>
      </c>
      <c r="AO1075">
        <v>456</v>
      </c>
      <c r="AP1075">
        <v>5</v>
      </c>
      <c r="AQ1075">
        <v>1</v>
      </c>
      <c r="AR1075">
        <v>0</v>
      </c>
      <c r="AS1075" t="s">
        <v>59</v>
      </c>
      <c r="AT1075">
        <v>1</v>
      </c>
      <c r="AU1075" t="s">
        <v>64</v>
      </c>
      <c r="AV1075" t="s">
        <v>77</v>
      </c>
      <c r="AW1075">
        <v>0</v>
      </c>
      <c r="AX1075">
        <v>2</v>
      </c>
      <c r="AY1075">
        <v>0</v>
      </c>
      <c r="AZ1075">
        <v>6600</v>
      </c>
      <c r="BA1075">
        <v>100</v>
      </c>
      <c r="BB1075">
        <v>100</v>
      </c>
      <c r="BC1075">
        <v>100</v>
      </c>
      <c r="BD1075">
        <v>100</v>
      </c>
      <c r="BE1075">
        <v>1</v>
      </c>
      <c r="BF1075">
        <v>15000</v>
      </c>
      <c r="BG1075">
        <v>1000</v>
      </c>
      <c r="BH1075" s="7">
        <f>ROUND(Wapato_Inventory[[#This Row],[detatched_value]]*Lookups!$B$22*Lookups!$H$48,-2)</f>
        <v>5900</v>
      </c>
      <c r="BI1075" s="7">
        <f>ROUND(((Wapato_Inventory[[#This Row],[land_extract]]*Lookups!$B$3) +(Lookups!$B$2*0.5))*Lookups!$H$48,-2)</f>
        <v>53800</v>
      </c>
      <c r="BJ1075" s="7">
        <f>IF(Wapato_Inventory[[#This Row],[bldg_style]]="",0,Lookups!$B$2*0.5)</f>
        <v>53765.27</v>
      </c>
      <c r="BK1075" s="7">
        <f>_xlfn.IFNA(VLOOKUP(Wapato_Inventory[[#This Row],[quality]],Lookups!$H$2:$J$14,3,FALSE),0)</f>
        <v>48043</v>
      </c>
      <c r="BL1075" s="7">
        <f>_xlfn.IFNA(VLOOKUP(Wapato_Inventory[[#This Row],[condition]],Lookups!$H$17:$J$24,3,FALSE),0)</f>
        <v>16276</v>
      </c>
      <c r="BM1075" s="7">
        <f>Wapato_Inventory[[#This Row],[Age]]*Lookups!$B$16</f>
        <v>-27800.677500000002</v>
      </c>
      <c r="BN1075" s="7">
        <f>Wapato_Inventory[[#This Row],[Main Floor]]*Lookups!$B$17</f>
        <v>46649.624724000001</v>
      </c>
      <c r="BO1075" s="7">
        <f>Wapato_Inventory[[#This Row],[Upper Floor]]*Lookups!$B$18</f>
        <v>0</v>
      </c>
      <c r="BP1075" s="7">
        <f>Wapato_Inventory[[#This Row],[Fin BSMT]]*Lookups!$B$19</f>
        <v>0</v>
      </c>
      <c r="BQ1075" s="7">
        <f>(Wapato_Inventory[[#This Row],[att_gar]]+Wapato_Inventory[[#This Row],[blt_gar]])*Lookups!$B$20</f>
        <v>0</v>
      </c>
      <c r="BR1075" s="7">
        <f>Wapato_Inventory[[#This Row],[Patio]]*Lookups!$B$21</f>
        <v>14556.856944000001</v>
      </c>
      <c r="BS1075" s="7">
        <f>SUM(Wapato_Inventory[[#This Row],[intercept]:[patio_value]])*Wapato_Inventory[[#This Row],[res_pct]]</f>
        <v>151490.07416799999</v>
      </c>
      <c r="BT1075" s="7">
        <f>Wapato_Inventory[[#This Row],[land_value]]</f>
        <v>53800</v>
      </c>
      <c r="BU1075" s="2">
        <f>_xlfn.IFNA(VLOOKUP(Wapato_Inventory[[#This Row],[quality]],Lookups!$A$28:$C$37,3,FALSE),1)</f>
        <v>0.98196844879778955</v>
      </c>
      <c r="BV1075" s="2">
        <f>_xlfn.IFNA(VLOOKUP(Wapato_Inventory[[#This Row],[condition]],Lookups!$A$41:$C$48,3,FALSE),1)</f>
        <v>0.93399385491337139</v>
      </c>
      <c r="BW1075" s="2">
        <f>IF(Wapato_Inventory[[#This Row],[decade]]="",1,_xlfn.IFNA(VLOOKUP(Wapato_Inventory[[#This Row],[decade]],Lookups!$F$28:$H$45,3,FALSE),1))</f>
        <v>0.8438929209510081</v>
      </c>
      <c r="BX1075" s="2">
        <f>_xlfn.IFNA(VLOOKUP(Wapato_Inventory[[#This Row],[living_area_range]],Lookups!$K$28:$M$37,3,FALSE),1)</f>
        <v>1.0061411172456287</v>
      </c>
      <c r="BY1075" s="2">
        <f>AVERAGE(Wapato_Inventory[[#This Row],[qual_adj]:[range_adj]])</f>
        <v>0.94149908547694949</v>
      </c>
      <c r="BZ1075" s="7">
        <f>(Wapato_Inventory[[#This Row],[sum_land]]-IF(Wapato_Inventory[[#This Row],[no_utilities]]=1,12000,0))/IF(Wapato_Inventory[[#This Row],[unbuildable]]=1,2,1)</f>
        <v>53800</v>
      </c>
      <c r="CA1075" s="7">
        <f>Wapato_Inventory[[#This Row],[pre_res]]*Wapato_Inventory[[#This Row],[overall_adj]]</f>
        <v>142627.76628800723</v>
      </c>
      <c r="CB1075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75" s="3">
        <f>IF(ROUND(Wapato_Inventory[[#This Row],[adj_res]]*Lookups!$H$48,-2)&lt;Wapato_Inventory[[#This Row],[min_res]],Wapato_Inventory[[#This Row],[min_res]],ROUND(Wapato_Inventory[[#This Row],[adj_res]]*Lookups!$H$48,-2))</f>
        <v>135500</v>
      </c>
      <c r="CD1075" s="3">
        <f>ROUND(Wapato_Inventory[[#This Row],[det_value]]*Lookups!$H$48,-2)</f>
        <v>5600</v>
      </c>
      <c r="CE1075" s="3">
        <f>Wapato_Inventory[[#This Row],[final_res]]+Wapato_Inventory[[#This Row],[final_det]]</f>
        <v>141100</v>
      </c>
      <c r="CF1075" s="3">
        <f>Wapato_Inventory[[#This Row],[crop_value]]+Wapato_Inventory[[#This Row],[final_land]]+Wapato_Inventory[[#This Row],[final_imp]]</f>
        <v>192200</v>
      </c>
      <c r="CH1075" t="str">
        <f t="shared" si="16"/>
        <v>update valuation set market_land =51100, market_bldg=141100, market_total =192200, market_mdno =405, market_date ='9/10/2023' where link_id = (select link_id from parcel where parcel_year = '2024' and parcel_id = '19111532400');</v>
      </c>
    </row>
    <row r="1076" spans="1:86" x14ac:dyDescent="0.25">
      <c r="A1076">
        <v>19111532401</v>
      </c>
      <c r="B1076">
        <v>0.21</v>
      </c>
      <c r="C1076">
        <v>9288</v>
      </c>
      <c r="D1076" t="s">
        <v>144</v>
      </c>
      <c r="E1076" t="s">
        <v>54</v>
      </c>
      <c r="F1076" t="s">
        <v>54</v>
      </c>
      <c r="G1076">
        <v>3</v>
      </c>
      <c r="H1076" t="s">
        <v>55</v>
      </c>
      <c r="I1076">
        <v>146200</v>
      </c>
      <c r="J1076">
        <v>34300</v>
      </c>
      <c r="K1076">
        <v>0.21</v>
      </c>
      <c r="L1076">
        <f>IF(Wapato_Inventory[[#This Row],[parcel_acres]]-Wapato_Inventory[[#This Row],[non_valued_acres]] =0,0,LN(Wapato_Inventory[[#This Row],[parcel_acres]]-Wapato_Inventory[[#This Row],[non_valued_acres]]))</f>
        <v>-1.5606477482646683</v>
      </c>
      <c r="M1076">
        <v>0</v>
      </c>
      <c r="N1076">
        <v>0</v>
      </c>
      <c r="O1076">
        <v>0</v>
      </c>
      <c r="P1076">
        <v>27904.037</v>
      </c>
      <c r="Q1076">
        <v>74398</v>
      </c>
      <c r="R1076" s="3">
        <f>(Wapato_Inventory[[#This Row],[ln_acres]]*Wapato_Inventory[[#This Row],[coeff]])+Wapato_Inventory[[#This Row],[const]]</f>
        <v>30849.627488456012</v>
      </c>
      <c r="S1076" t="s">
        <v>66</v>
      </c>
      <c r="T1076">
        <v>1</v>
      </c>
      <c r="U1076" t="s">
        <v>75</v>
      </c>
      <c r="V1076" t="s">
        <v>68</v>
      </c>
      <c r="W1076">
        <v>0</v>
      </c>
      <c r="X1076">
        <v>0</v>
      </c>
      <c r="Y1076">
        <v>51</v>
      </c>
      <c r="Z1076">
        <v>77</v>
      </c>
      <c r="AA1076">
        <v>80</v>
      </c>
      <c r="AB1076">
        <v>1000</v>
      </c>
      <c r="AC1076">
        <v>920</v>
      </c>
      <c r="AD1076">
        <v>920</v>
      </c>
      <c r="AE1076">
        <v>0</v>
      </c>
      <c r="AF1076">
        <v>0</v>
      </c>
      <c r="AG1076">
        <v>0</v>
      </c>
      <c r="AH1076">
        <v>0</v>
      </c>
      <c r="AI1076">
        <v>0</v>
      </c>
      <c r="AJ1076">
        <v>0</v>
      </c>
      <c r="AK1076">
        <v>200</v>
      </c>
      <c r="AL1076">
        <v>0</v>
      </c>
      <c r="AM1076">
        <v>200</v>
      </c>
      <c r="AN1076">
        <v>0</v>
      </c>
      <c r="AO1076">
        <v>200</v>
      </c>
      <c r="AP1076">
        <v>5</v>
      </c>
      <c r="AQ1076">
        <v>0</v>
      </c>
      <c r="AR1076">
        <v>0</v>
      </c>
      <c r="AS1076" t="s">
        <v>59</v>
      </c>
      <c r="AT1076">
        <v>1</v>
      </c>
      <c r="AU1076" t="s">
        <v>64</v>
      </c>
      <c r="AV1076" t="s">
        <v>61</v>
      </c>
      <c r="AW1076">
        <v>0</v>
      </c>
      <c r="AX1076">
        <v>2</v>
      </c>
      <c r="AY1076">
        <v>0</v>
      </c>
      <c r="AZ1076">
        <v>1900</v>
      </c>
      <c r="BA1076">
        <v>100</v>
      </c>
      <c r="BB1076">
        <v>100</v>
      </c>
      <c r="BC1076">
        <v>100</v>
      </c>
      <c r="BD1076">
        <v>100</v>
      </c>
      <c r="BE1076">
        <v>1</v>
      </c>
      <c r="BF1076">
        <v>15000</v>
      </c>
      <c r="BG1076">
        <v>1000</v>
      </c>
      <c r="BH1076" s="7">
        <f>ROUND(Wapato_Inventory[[#This Row],[detatched_value]]*Lookups!$B$22*Lookups!$H$48,-2)</f>
        <v>1700</v>
      </c>
      <c r="BI1076" s="7">
        <f>ROUND(((Wapato_Inventory[[#This Row],[land_extract]]*Lookups!$B$3) +(Lookups!$B$2*0.5))*Lookups!$H$48,-2)</f>
        <v>54100</v>
      </c>
      <c r="BJ1076" s="7">
        <f>IF(Wapato_Inventory[[#This Row],[bldg_style]]="",0,Lookups!$B$2*0.5)</f>
        <v>53765.27</v>
      </c>
      <c r="BK1076" s="7">
        <f>_xlfn.IFNA(VLOOKUP(Wapato_Inventory[[#This Row],[quality]],Lookups!$H$2:$J$14,3,FALSE),0)</f>
        <v>48043</v>
      </c>
      <c r="BL1076" s="7">
        <f>_xlfn.IFNA(VLOOKUP(Wapato_Inventory[[#This Row],[condition]],Lookups!$H$17:$J$24,3,FALSE),0)</f>
        <v>52231</v>
      </c>
      <c r="BM1076" s="7">
        <f>Wapato_Inventory[[#This Row],[Age]]*Lookups!$B$16</f>
        <v>-28542.028900000001</v>
      </c>
      <c r="BN1076" s="7">
        <f>Wapato_Inventory[[#This Row],[Main Floor]]*Lookups!$B$17</f>
        <v>38456.679880000003</v>
      </c>
      <c r="BO1076" s="7">
        <f>Wapato_Inventory[[#This Row],[Upper Floor]]*Lookups!$B$18</f>
        <v>0</v>
      </c>
      <c r="BP1076" s="7">
        <f>Wapato_Inventory[[#This Row],[Fin BSMT]]*Lookups!$B$19</f>
        <v>0</v>
      </c>
      <c r="BQ1076" s="7">
        <f>(Wapato_Inventory[[#This Row],[att_gar]]+Wapato_Inventory[[#This Row],[blt_gar]])*Lookups!$B$20</f>
        <v>0</v>
      </c>
      <c r="BR1076" s="7">
        <f>Wapato_Inventory[[#This Row],[Patio]]*Lookups!$B$21</f>
        <v>8664.7957999999999</v>
      </c>
      <c r="BS1076" s="7">
        <f>SUM(Wapato_Inventory[[#This Row],[intercept]:[patio_value]])*Wapato_Inventory[[#This Row],[res_pct]]</f>
        <v>172618.71677999999</v>
      </c>
      <c r="BT1076" s="7">
        <f>Wapato_Inventory[[#This Row],[land_value]]</f>
        <v>54100</v>
      </c>
      <c r="BU1076" s="2">
        <f>_xlfn.IFNA(VLOOKUP(Wapato_Inventory[[#This Row],[quality]],Lookups!$A$28:$C$37,3,FALSE),1)</f>
        <v>0.98196844879778955</v>
      </c>
      <c r="BV1076" s="2">
        <f>_xlfn.IFNA(VLOOKUP(Wapato_Inventory[[#This Row],[condition]],Lookups!$A$41:$C$48,3,FALSE),1)</f>
        <v>0.9832333997567807</v>
      </c>
      <c r="BW1076" s="2">
        <f>IF(Wapato_Inventory[[#This Row],[decade]]="",1,_xlfn.IFNA(VLOOKUP(Wapato_Inventory[[#This Row],[decade]],Lookups!$F$28:$H$45,3,FALSE),1))</f>
        <v>0.8438929209510081</v>
      </c>
      <c r="BX1076" s="2">
        <f>_xlfn.IFNA(VLOOKUP(Wapato_Inventory[[#This Row],[living_area_range]],Lookups!$K$28:$M$37,3,FALSE),1)</f>
        <v>0.99022994770196116</v>
      </c>
      <c r="BY1076" s="2">
        <f>AVERAGE(Wapato_Inventory[[#This Row],[qual_adj]:[range_adj]])</f>
        <v>0.94983117930188488</v>
      </c>
      <c r="BZ1076" s="7">
        <f>(Wapato_Inventory[[#This Row],[sum_land]]-IF(Wapato_Inventory[[#This Row],[no_utilities]]=1,12000,0))/IF(Wapato_Inventory[[#This Row],[unbuildable]]=1,2,1)</f>
        <v>54100</v>
      </c>
      <c r="CA1076" s="7">
        <f>Wapato_Inventory[[#This Row],[pre_res]]*Wapato_Inventory[[#This Row],[overall_adj]]</f>
        <v>163958.63932872546</v>
      </c>
      <c r="CB1076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076" s="3">
        <f>IF(ROUND(Wapato_Inventory[[#This Row],[adj_res]]*Lookups!$H$48,-2)&lt;Wapato_Inventory[[#This Row],[min_res]],Wapato_Inventory[[#This Row],[min_res]],ROUND(Wapato_Inventory[[#This Row],[adj_res]]*Lookups!$H$48,-2))</f>
        <v>155800</v>
      </c>
      <c r="CD1076" s="3">
        <f>ROUND(Wapato_Inventory[[#This Row],[det_value]]*Lookups!$H$48,-2)</f>
        <v>1600</v>
      </c>
      <c r="CE1076" s="3">
        <f>Wapato_Inventory[[#This Row],[final_res]]+Wapato_Inventory[[#This Row],[final_det]]</f>
        <v>157400</v>
      </c>
      <c r="CF1076" s="3">
        <f>Wapato_Inventory[[#This Row],[crop_value]]+Wapato_Inventory[[#This Row],[final_land]]+Wapato_Inventory[[#This Row],[final_imp]]</f>
        <v>208800</v>
      </c>
      <c r="CH1076" t="str">
        <f t="shared" si="16"/>
        <v>update valuation set market_land =51400, market_bldg=157400, market_total =208800, market_mdno =405, market_date ='9/10/2023' where link_id = (select link_id from parcel where parcel_year = '2024' and parcel_id = '19111532401');</v>
      </c>
    </row>
    <row r="1077" spans="1:86" x14ac:dyDescent="0.25">
      <c r="A1077">
        <v>19111532403</v>
      </c>
      <c r="B1077">
        <v>0.89</v>
      </c>
      <c r="C1077">
        <v>38952</v>
      </c>
      <c r="D1077" t="s">
        <v>144</v>
      </c>
      <c r="E1077" t="s">
        <v>54</v>
      </c>
      <c r="F1077" t="s">
        <v>54</v>
      </c>
      <c r="G1077">
        <v>3</v>
      </c>
      <c r="H1077" t="s">
        <v>55</v>
      </c>
      <c r="I1077">
        <v>140300</v>
      </c>
      <c r="J1077">
        <v>44400</v>
      </c>
      <c r="K1077">
        <v>0.89</v>
      </c>
      <c r="L1077">
        <f>IF(Wapato_Inventory[[#This Row],[parcel_acres]]-Wapato_Inventory[[#This Row],[non_valued_acres]] =0,0,LN(Wapato_Inventory[[#This Row],[parcel_acres]]-Wapato_Inventory[[#This Row],[non_valued_acres]]))</f>
        <v>-0.11653381625595151</v>
      </c>
      <c r="M1077">
        <v>0</v>
      </c>
      <c r="N1077">
        <v>0</v>
      </c>
      <c r="O1077">
        <v>0</v>
      </c>
      <c r="P1077">
        <v>27904.037</v>
      </c>
      <c r="Q1077">
        <v>74398</v>
      </c>
      <c r="R1077" s="3">
        <f>(Wapato_Inventory[[#This Row],[ln_acres]]*Wapato_Inventory[[#This Row],[coeff]])+Wapato_Inventory[[#This Row],[const]]</f>
        <v>71146.236079442722</v>
      </c>
      <c r="S1077" t="s">
        <v>66</v>
      </c>
      <c r="T1077">
        <v>1</v>
      </c>
      <c r="U1077" t="s">
        <v>71</v>
      </c>
      <c r="V1077" t="s">
        <v>69</v>
      </c>
      <c r="W1077">
        <v>0</v>
      </c>
      <c r="X1077">
        <v>0</v>
      </c>
      <c r="Y1077">
        <v>65</v>
      </c>
      <c r="Z1077">
        <v>113</v>
      </c>
      <c r="AA1077">
        <v>120</v>
      </c>
      <c r="AB1077">
        <v>1500</v>
      </c>
      <c r="AC1077">
        <v>1136</v>
      </c>
      <c r="AD1077">
        <v>1136</v>
      </c>
      <c r="AE1077">
        <v>0</v>
      </c>
      <c r="AF1077">
        <v>0</v>
      </c>
      <c r="AG1077">
        <v>0</v>
      </c>
      <c r="AH1077">
        <v>0</v>
      </c>
      <c r="AI1077">
        <v>0</v>
      </c>
      <c r="AJ1077">
        <v>0</v>
      </c>
      <c r="AK1077">
        <v>0</v>
      </c>
      <c r="AL1077">
        <v>0</v>
      </c>
      <c r="AM1077">
        <v>0</v>
      </c>
      <c r="AN1077">
        <v>0</v>
      </c>
      <c r="AO1077">
        <v>0</v>
      </c>
      <c r="AP1077">
        <v>5</v>
      </c>
      <c r="AQ1077">
        <v>0</v>
      </c>
      <c r="AR1077">
        <v>0</v>
      </c>
      <c r="AS1077" t="s">
        <v>59</v>
      </c>
      <c r="AT1077">
        <v>1</v>
      </c>
      <c r="AU1077" t="s">
        <v>64</v>
      </c>
      <c r="AV1077" t="s">
        <v>77</v>
      </c>
      <c r="AW1077">
        <v>0</v>
      </c>
      <c r="AX1077">
        <v>3</v>
      </c>
      <c r="AY1077">
        <v>0</v>
      </c>
      <c r="AZ1077">
        <v>0</v>
      </c>
      <c r="BA1077">
        <v>100</v>
      </c>
      <c r="BB1077">
        <v>100</v>
      </c>
      <c r="BC1077">
        <v>100</v>
      </c>
      <c r="BD1077">
        <v>100</v>
      </c>
      <c r="BE1077">
        <v>1</v>
      </c>
      <c r="BF1077">
        <v>15000</v>
      </c>
      <c r="BG1077">
        <v>1000</v>
      </c>
      <c r="BH1077" s="7">
        <f>ROUND(Wapato_Inventory[[#This Row],[detatched_value]]*Lookups!$B$22*Lookups!$H$48,-2)</f>
        <v>0</v>
      </c>
      <c r="BI1077" s="7">
        <f>ROUND(((Wapato_Inventory[[#This Row],[land_extract]]*Lookups!$B$3) +(Lookups!$B$2*0.5))*Lookups!$H$48,-2)</f>
        <v>57900</v>
      </c>
      <c r="BJ1077" s="7">
        <f>IF(Wapato_Inventory[[#This Row],[bldg_style]]="",0,Lookups!$B$2*0.5)</f>
        <v>53765.27</v>
      </c>
      <c r="BK1077" s="7">
        <f>_xlfn.IFNA(VLOOKUP(Wapato_Inventory[[#This Row],[quality]],Lookups!$H$2:$J$14,3,FALSE),0)</f>
        <v>28034</v>
      </c>
      <c r="BL1077" s="7">
        <f>_xlfn.IFNA(VLOOKUP(Wapato_Inventory[[#This Row],[condition]],Lookups!$H$17:$J$24,3,FALSE),0)</f>
        <v>74543</v>
      </c>
      <c r="BM1077" s="7">
        <f>Wapato_Inventory[[#This Row],[Age]]*Lookups!$B$16</f>
        <v>-41886.354100000004</v>
      </c>
      <c r="BN1077" s="7">
        <f>Wapato_Inventory[[#This Row],[Main Floor]]*Lookups!$B$17</f>
        <v>47485.639503999999</v>
      </c>
      <c r="BO1077" s="7">
        <f>Wapato_Inventory[[#This Row],[Upper Floor]]*Lookups!$B$18</f>
        <v>0</v>
      </c>
      <c r="BP1077" s="7">
        <f>Wapato_Inventory[[#This Row],[Fin BSMT]]*Lookups!$B$19</f>
        <v>0</v>
      </c>
      <c r="BQ1077" s="7">
        <f>(Wapato_Inventory[[#This Row],[att_gar]]+Wapato_Inventory[[#This Row],[blt_gar]])*Lookups!$B$20</f>
        <v>0</v>
      </c>
      <c r="BR1077" s="7">
        <f>Wapato_Inventory[[#This Row],[Patio]]*Lookups!$B$21</f>
        <v>0</v>
      </c>
      <c r="BS1077" s="7">
        <f>SUM(Wapato_Inventory[[#This Row],[intercept]:[patio_value]])*Wapato_Inventory[[#This Row],[res_pct]]</f>
        <v>161941.55540399998</v>
      </c>
      <c r="BT1077" s="7">
        <f>Wapato_Inventory[[#This Row],[land_value]]</f>
        <v>57900</v>
      </c>
      <c r="BU1077" s="2">
        <f>_xlfn.IFNA(VLOOKUP(Wapato_Inventory[[#This Row],[quality]],Lookups!$A$28:$C$37,3,FALSE),1)</f>
        <v>0.96265813922927435</v>
      </c>
      <c r="BV1077" s="2">
        <f>_xlfn.IFNA(VLOOKUP(Wapato_Inventory[[#This Row],[condition]],Lookups!$A$41:$C$48,3,FALSE),1)</f>
        <v>0.98442438223270734</v>
      </c>
      <c r="BW1077" s="2">
        <f>IF(Wapato_Inventory[[#This Row],[decade]]="",1,_xlfn.IFNA(VLOOKUP(Wapato_Inventory[[#This Row],[decade]],Lookups!$F$28:$H$45,3,FALSE),1))</f>
        <v>0.93664589651353292</v>
      </c>
      <c r="BX1077" s="2">
        <f>_xlfn.IFNA(VLOOKUP(Wapato_Inventory[[#This Row],[living_area_range]],Lookups!$K$28:$M$37,3,FALSE),1)</f>
        <v>1.0061411172456287</v>
      </c>
      <c r="BY1077" s="2">
        <f>AVERAGE(Wapato_Inventory[[#This Row],[qual_adj]:[range_adj]])</f>
        <v>0.97246738380528575</v>
      </c>
      <c r="BZ1077" s="7">
        <f>(Wapato_Inventory[[#This Row],[sum_land]]-IF(Wapato_Inventory[[#This Row],[no_utilities]]=1,12000,0))/IF(Wapato_Inventory[[#This Row],[unbuildable]]=1,2,1)</f>
        <v>57900</v>
      </c>
      <c r="CA1077" s="7">
        <f>Wapato_Inventory[[#This Row],[pre_res]]*Wapato_Inventory[[#This Row],[overall_adj]]</f>
        <v>157482.8807130866</v>
      </c>
      <c r="CB1077" s="3">
        <f>IF(ROUND(Wapato_Inventory[[#This Row],[adj_land]]*Lookups!$H$48,-2)&lt;Wapato_Inventory[[#This Row],[min_land]],Wapato_Inventory[[#This Row],[min_land]],ROUND(Wapato_Inventory[[#This Row],[adj_land]]*Lookups!$H$48,-2))</f>
        <v>55000</v>
      </c>
      <c r="CC1077" s="3">
        <f>IF(ROUND(Wapato_Inventory[[#This Row],[adj_res]]*Lookups!$H$48,-2)&lt;Wapato_Inventory[[#This Row],[min_res]],Wapato_Inventory[[#This Row],[min_res]],ROUND(Wapato_Inventory[[#This Row],[adj_res]]*Lookups!$H$48,-2))</f>
        <v>149600</v>
      </c>
      <c r="CD1077" s="3">
        <f>ROUND(Wapato_Inventory[[#This Row],[det_value]]*Lookups!$H$48,-2)</f>
        <v>0</v>
      </c>
      <c r="CE1077" s="3">
        <f>Wapato_Inventory[[#This Row],[final_res]]+Wapato_Inventory[[#This Row],[final_det]]</f>
        <v>149600</v>
      </c>
      <c r="CF1077" s="3">
        <f>Wapato_Inventory[[#This Row],[crop_value]]+Wapato_Inventory[[#This Row],[final_land]]+Wapato_Inventory[[#This Row],[final_imp]]</f>
        <v>204600</v>
      </c>
      <c r="CH1077" t="str">
        <f t="shared" si="16"/>
        <v>update valuation set market_land =55000, market_bldg=149600, market_total =204600, market_mdno =405, market_date ='9/10/2023' where link_id = (select link_id from parcel where parcel_year = '2024' and parcel_id = '19111532403');</v>
      </c>
    </row>
    <row r="1078" spans="1:86" x14ac:dyDescent="0.25">
      <c r="A1078">
        <v>19111532405</v>
      </c>
      <c r="B1078">
        <v>0.18</v>
      </c>
      <c r="C1078">
        <v>7749</v>
      </c>
      <c r="D1078" t="s">
        <v>144</v>
      </c>
      <c r="E1078" t="s">
        <v>54</v>
      </c>
      <c r="F1078" t="s">
        <v>54</v>
      </c>
      <c r="G1078">
        <v>3</v>
      </c>
      <c r="H1078" t="s">
        <v>55</v>
      </c>
      <c r="I1078">
        <v>116900</v>
      </c>
      <c r="J1078">
        <v>33200</v>
      </c>
      <c r="K1078">
        <v>0.18</v>
      </c>
      <c r="L1078">
        <f>IF(Wapato_Inventory[[#This Row],[parcel_acres]]-Wapato_Inventory[[#This Row],[non_valued_acres]] =0,0,LN(Wapato_Inventory[[#This Row],[parcel_acres]]-Wapato_Inventory[[#This Row],[non_valued_acres]]))</f>
        <v>-1.7147984280919266</v>
      </c>
      <c r="M1078">
        <v>0</v>
      </c>
      <c r="N1078">
        <v>0</v>
      </c>
      <c r="O1078">
        <v>0</v>
      </c>
      <c r="P1078">
        <v>27904.037</v>
      </c>
      <c r="Q1078">
        <v>74398</v>
      </c>
      <c r="R1078" s="3">
        <f>(Wapato_Inventory[[#This Row],[ln_acres]]*Wapato_Inventory[[#This Row],[coeff]])+Wapato_Inventory[[#This Row],[const]]</f>
        <v>26548.20121498104</v>
      </c>
      <c r="S1078" t="s">
        <v>66</v>
      </c>
      <c r="T1078">
        <v>1</v>
      </c>
      <c r="U1078" t="s">
        <v>71</v>
      </c>
      <c r="V1078" t="s">
        <v>68</v>
      </c>
      <c r="W1078">
        <v>0</v>
      </c>
      <c r="X1078">
        <v>0</v>
      </c>
      <c r="Y1078">
        <v>50</v>
      </c>
      <c r="Z1078">
        <v>75</v>
      </c>
      <c r="AA1078">
        <v>80</v>
      </c>
      <c r="AB1078">
        <v>1000</v>
      </c>
      <c r="AC1078">
        <v>924</v>
      </c>
      <c r="AD1078">
        <v>924</v>
      </c>
      <c r="AE1078">
        <v>0</v>
      </c>
      <c r="AF1078">
        <v>0</v>
      </c>
      <c r="AG1078">
        <v>0</v>
      </c>
      <c r="AH1078">
        <v>0</v>
      </c>
      <c r="AI1078">
        <v>0</v>
      </c>
      <c r="AJ1078">
        <v>0</v>
      </c>
      <c r="AK1078">
        <v>0</v>
      </c>
      <c r="AL1078">
        <v>0</v>
      </c>
      <c r="AM1078">
        <v>0</v>
      </c>
      <c r="AN1078">
        <v>0</v>
      </c>
      <c r="AO1078">
        <v>0</v>
      </c>
      <c r="AP1078">
        <v>5</v>
      </c>
      <c r="AQ1078">
        <v>0</v>
      </c>
      <c r="AR1078">
        <v>1</v>
      </c>
      <c r="AS1078" t="s">
        <v>59</v>
      </c>
      <c r="AT1078">
        <v>1</v>
      </c>
      <c r="AU1078" t="s">
        <v>64</v>
      </c>
      <c r="AV1078" t="s">
        <v>77</v>
      </c>
      <c r="AW1078">
        <v>0</v>
      </c>
      <c r="AX1078">
        <v>2</v>
      </c>
      <c r="AY1078">
        <v>0</v>
      </c>
      <c r="AZ1078">
        <v>1000</v>
      </c>
      <c r="BA1078">
        <v>100</v>
      </c>
      <c r="BB1078">
        <v>100</v>
      </c>
      <c r="BC1078">
        <v>100</v>
      </c>
      <c r="BD1078">
        <v>100</v>
      </c>
      <c r="BE1078">
        <v>1</v>
      </c>
      <c r="BF1078">
        <v>15000</v>
      </c>
      <c r="BG1078">
        <v>1000</v>
      </c>
      <c r="BH1078" s="7">
        <f>ROUND(Wapato_Inventory[[#This Row],[detatched_value]]*Lookups!$B$22*Lookups!$H$48,-2)</f>
        <v>900</v>
      </c>
      <c r="BI1078" s="7">
        <f>ROUND(((Wapato_Inventory[[#This Row],[land_extract]]*Lookups!$B$3) +(Lookups!$B$2*0.5))*Lookups!$H$48,-2)</f>
        <v>53600</v>
      </c>
      <c r="BJ1078" s="7">
        <f>IF(Wapato_Inventory[[#This Row],[bldg_style]]="",0,Lookups!$B$2*0.5)</f>
        <v>53765.27</v>
      </c>
      <c r="BK1078" s="7">
        <f>_xlfn.IFNA(VLOOKUP(Wapato_Inventory[[#This Row],[quality]],Lookups!$H$2:$J$14,3,FALSE),0)</f>
        <v>28034</v>
      </c>
      <c r="BL1078" s="7">
        <f>_xlfn.IFNA(VLOOKUP(Wapato_Inventory[[#This Row],[condition]],Lookups!$H$17:$J$24,3,FALSE),0)</f>
        <v>52231</v>
      </c>
      <c r="BM1078" s="7">
        <f>Wapato_Inventory[[#This Row],[Age]]*Lookups!$B$16</f>
        <v>-27800.677500000002</v>
      </c>
      <c r="BN1078" s="7">
        <f>Wapato_Inventory[[#This Row],[Main Floor]]*Lookups!$B$17</f>
        <v>38623.882835999997</v>
      </c>
      <c r="BO1078" s="7">
        <f>Wapato_Inventory[[#This Row],[Upper Floor]]*Lookups!$B$18</f>
        <v>0</v>
      </c>
      <c r="BP1078" s="7">
        <f>Wapato_Inventory[[#This Row],[Fin BSMT]]*Lookups!$B$19</f>
        <v>0</v>
      </c>
      <c r="BQ1078" s="7">
        <f>(Wapato_Inventory[[#This Row],[att_gar]]+Wapato_Inventory[[#This Row],[blt_gar]])*Lookups!$B$20</f>
        <v>0</v>
      </c>
      <c r="BR1078" s="7">
        <f>Wapato_Inventory[[#This Row],[Patio]]*Lookups!$B$21</f>
        <v>0</v>
      </c>
      <c r="BS1078" s="7">
        <f>SUM(Wapato_Inventory[[#This Row],[intercept]:[patio_value]])*Wapato_Inventory[[#This Row],[res_pct]]</f>
        <v>144853.47533599997</v>
      </c>
      <c r="BT1078" s="7">
        <f>Wapato_Inventory[[#This Row],[land_value]]</f>
        <v>53600</v>
      </c>
      <c r="BU1078" s="2">
        <f>_xlfn.IFNA(VLOOKUP(Wapato_Inventory[[#This Row],[quality]],Lookups!$A$28:$C$37,3,FALSE),1)</f>
        <v>0.96265813922927435</v>
      </c>
      <c r="BV1078" s="2">
        <f>_xlfn.IFNA(VLOOKUP(Wapato_Inventory[[#This Row],[condition]],Lookups!$A$41:$C$48,3,FALSE),1)</f>
        <v>0.9832333997567807</v>
      </c>
      <c r="BW1078" s="2">
        <f>IF(Wapato_Inventory[[#This Row],[decade]]="",1,_xlfn.IFNA(VLOOKUP(Wapato_Inventory[[#This Row],[decade]],Lookups!$F$28:$H$45,3,FALSE),1))</f>
        <v>0.8438929209510081</v>
      </c>
      <c r="BX1078" s="2">
        <f>_xlfn.IFNA(VLOOKUP(Wapato_Inventory[[#This Row],[living_area_range]],Lookups!$K$28:$M$37,3,FALSE),1)</f>
        <v>0.99022994770196116</v>
      </c>
      <c r="BY1078" s="2">
        <f>AVERAGE(Wapato_Inventory[[#This Row],[qual_adj]:[range_adj]])</f>
        <v>0.94500360190975607</v>
      </c>
      <c r="BZ1078" s="7">
        <f>(Wapato_Inventory[[#This Row],[sum_land]]-IF(Wapato_Inventory[[#This Row],[no_utilities]]=1,12000,0))/IF(Wapato_Inventory[[#This Row],[unbuildable]]=1,2,1)</f>
        <v>53600</v>
      </c>
      <c r="CA1078" s="7">
        <f>Wapato_Inventory[[#This Row],[pre_res]]*Wapato_Inventory[[#This Row],[overall_adj]]</f>
        <v>136887.05594166598</v>
      </c>
      <c r="CB1078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078" s="3">
        <f>IF(ROUND(Wapato_Inventory[[#This Row],[adj_res]]*Lookups!$H$48,-2)&lt;Wapato_Inventory[[#This Row],[min_res]],Wapato_Inventory[[#This Row],[min_res]],ROUND(Wapato_Inventory[[#This Row],[adj_res]]*Lookups!$H$48,-2))</f>
        <v>130000</v>
      </c>
      <c r="CD1078" s="3">
        <f>ROUND(Wapato_Inventory[[#This Row],[det_value]]*Lookups!$H$48,-2)</f>
        <v>900</v>
      </c>
      <c r="CE1078" s="3">
        <f>Wapato_Inventory[[#This Row],[final_res]]+Wapato_Inventory[[#This Row],[final_det]]</f>
        <v>130900</v>
      </c>
      <c r="CF1078" s="3">
        <f>Wapato_Inventory[[#This Row],[crop_value]]+Wapato_Inventory[[#This Row],[final_land]]+Wapato_Inventory[[#This Row],[final_imp]]</f>
        <v>181800</v>
      </c>
      <c r="CH1078" t="str">
        <f t="shared" si="16"/>
        <v>update valuation set market_land =50900, market_bldg=130900, market_total =181800, market_mdno =405, market_date ='9/10/2023' where link_id = (select link_id from parcel where parcel_year = '2024' and parcel_id = '19111532405');</v>
      </c>
    </row>
    <row r="1079" spans="1:86" x14ac:dyDescent="0.25">
      <c r="A1079">
        <v>19111532406</v>
      </c>
      <c r="B1079">
        <v>0.65</v>
      </c>
      <c r="C1079">
        <v>28198</v>
      </c>
      <c r="D1079" t="s">
        <v>144</v>
      </c>
      <c r="E1079" t="s">
        <v>54</v>
      </c>
      <c r="F1079" t="s">
        <v>54</v>
      </c>
      <c r="G1079">
        <v>3</v>
      </c>
      <c r="H1079" t="s">
        <v>55</v>
      </c>
      <c r="I1079">
        <v>256800</v>
      </c>
      <c r="J1079">
        <v>42200</v>
      </c>
      <c r="K1079">
        <v>0.65</v>
      </c>
      <c r="L1079">
        <f>IF(Wapato_Inventory[[#This Row],[parcel_acres]]-Wapato_Inventory[[#This Row],[non_valued_acres]] =0,0,LN(Wapato_Inventory[[#This Row],[parcel_acres]]-Wapato_Inventory[[#This Row],[non_valued_acres]]))</f>
        <v>-0.43078291609245423</v>
      </c>
      <c r="M1079">
        <v>0</v>
      </c>
      <c r="N1079">
        <v>0</v>
      </c>
      <c r="O1079">
        <v>0</v>
      </c>
      <c r="P1079">
        <v>27904.037</v>
      </c>
      <c r="Q1079">
        <v>74398</v>
      </c>
      <c r="R1079" s="3">
        <f>(Wapato_Inventory[[#This Row],[ln_acres]]*Wapato_Inventory[[#This Row],[coeff]])+Wapato_Inventory[[#This Row],[const]]</f>
        <v>62377.417570388265</v>
      </c>
      <c r="S1079" t="s">
        <v>59</v>
      </c>
      <c r="T1079">
        <v>1</v>
      </c>
      <c r="U1079" t="s">
        <v>67</v>
      </c>
      <c r="V1079" t="s">
        <v>73</v>
      </c>
      <c r="W1079">
        <v>0</v>
      </c>
      <c r="X1079">
        <v>0</v>
      </c>
      <c r="Y1079">
        <v>43</v>
      </c>
      <c r="Z1079">
        <v>43</v>
      </c>
      <c r="AA1079">
        <v>50</v>
      </c>
      <c r="AB1079">
        <v>2000</v>
      </c>
      <c r="AC1079">
        <v>1734</v>
      </c>
      <c r="AD1079">
        <v>1562</v>
      </c>
      <c r="AE1079">
        <v>0</v>
      </c>
      <c r="AF1079">
        <v>0</v>
      </c>
      <c r="AG1079">
        <v>172</v>
      </c>
      <c r="AH1079">
        <v>686</v>
      </c>
      <c r="AI1079">
        <v>0</v>
      </c>
      <c r="AJ1079">
        <v>0</v>
      </c>
      <c r="AK1079">
        <v>0</v>
      </c>
      <c r="AL1079">
        <v>300</v>
      </c>
      <c r="AM1079">
        <v>0</v>
      </c>
      <c r="AN1079">
        <v>0</v>
      </c>
      <c r="AO1079">
        <v>0</v>
      </c>
      <c r="AP1079">
        <v>8</v>
      </c>
      <c r="AQ1079">
        <v>0</v>
      </c>
      <c r="AR1079">
        <v>1</v>
      </c>
      <c r="AS1079" t="s">
        <v>79</v>
      </c>
      <c r="AT1079">
        <v>1</v>
      </c>
      <c r="AU1079" t="s">
        <v>60</v>
      </c>
      <c r="AV1079" t="s">
        <v>61</v>
      </c>
      <c r="AW1079">
        <v>1</v>
      </c>
      <c r="AX1079">
        <v>3</v>
      </c>
      <c r="AY1079">
        <v>0</v>
      </c>
      <c r="AZ1079">
        <v>28500</v>
      </c>
      <c r="BA1079">
        <v>100</v>
      </c>
      <c r="BB1079">
        <v>100</v>
      </c>
      <c r="BC1079">
        <v>100</v>
      </c>
      <c r="BD1079">
        <v>100</v>
      </c>
      <c r="BE1079">
        <v>1</v>
      </c>
      <c r="BF1079">
        <v>15000</v>
      </c>
      <c r="BG1079">
        <v>1000</v>
      </c>
      <c r="BH1079" s="7">
        <f>ROUND(Wapato_Inventory[[#This Row],[detatched_value]]*Lookups!$B$22*Lookups!$H$48,-2)</f>
        <v>25500</v>
      </c>
      <c r="BI1079" s="7">
        <f>ROUND(((Wapato_Inventory[[#This Row],[land_extract]]*Lookups!$B$3) +(Lookups!$B$2*0.5))*Lookups!$H$48,-2)</f>
        <v>57100</v>
      </c>
      <c r="BJ1079" s="7">
        <f>IF(Wapato_Inventory[[#This Row],[bldg_style]]="",0,Lookups!$B$2*0.5)</f>
        <v>53765.27</v>
      </c>
      <c r="BK1079" s="7">
        <f>_xlfn.IFNA(VLOOKUP(Wapato_Inventory[[#This Row],[quality]],Lookups!$H$2:$J$14,3,FALSE),0)</f>
        <v>50405</v>
      </c>
      <c r="BL1079" s="7">
        <f>_xlfn.IFNA(VLOOKUP(Wapato_Inventory[[#This Row],[condition]],Lookups!$H$17:$J$24,3,FALSE),0)</f>
        <v>16276</v>
      </c>
      <c r="BM1079" s="7">
        <f>Wapato_Inventory[[#This Row],[Age]]*Lookups!$B$16</f>
        <v>-15939.0551</v>
      </c>
      <c r="BN1079" s="7">
        <f>Wapato_Inventory[[#This Row],[Main Floor]]*Lookups!$B$17</f>
        <v>65292.754317999999</v>
      </c>
      <c r="BO1079" s="7">
        <f>Wapato_Inventory[[#This Row],[Upper Floor]]*Lookups!$B$18</f>
        <v>0</v>
      </c>
      <c r="BP1079" s="7">
        <f>Wapato_Inventory[[#This Row],[Fin BSMT]]*Lookups!$B$19</f>
        <v>4191.0792799999999</v>
      </c>
      <c r="BQ1079" s="7">
        <f>(Wapato_Inventory[[#This Row],[att_gar]]+Wapato_Inventory[[#This Row],[blt_gar]])*Lookups!$B$20</f>
        <v>0</v>
      </c>
      <c r="BR1079" s="7">
        <f>Wapato_Inventory[[#This Row],[Patio]]*Lookups!$B$21</f>
        <v>0</v>
      </c>
      <c r="BS1079" s="7">
        <f>SUM(Wapato_Inventory[[#This Row],[intercept]:[patio_value]])*Wapato_Inventory[[#This Row],[res_pct]]</f>
        <v>173991.04849799999</v>
      </c>
      <c r="BT1079" s="7">
        <f>Wapato_Inventory[[#This Row],[land_value]]</f>
        <v>57100</v>
      </c>
      <c r="BU1079" s="2">
        <f>_xlfn.IFNA(VLOOKUP(Wapato_Inventory[[#This Row],[quality]],Lookups!$A$28:$C$37,3,FALSE),1)</f>
        <v>0.97993206410140754</v>
      </c>
      <c r="BV1079" s="2">
        <f>_xlfn.IFNA(VLOOKUP(Wapato_Inventory[[#This Row],[condition]],Lookups!$A$41:$C$48,3,FALSE),1)</f>
        <v>0.93399385491337139</v>
      </c>
      <c r="BW1079" s="2">
        <f>IF(Wapato_Inventory[[#This Row],[decade]]="",1,_xlfn.IFNA(VLOOKUP(Wapato_Inventory[[#This Row],[decade]],Lookups!$F$28:$H$45,3,FALSE),1))</f>
        <v>0.96240333884358298</v>
      </c>
      <c r="BX1079" s="2">
        <f>_xlfn.IFNA(VLOOKUP(Wapato_Inventory[[#This Row],[living_area_range]],Lookups!$K$28:$M$37,3,FALSE),1)</f>
        <v>0.99330894324714125</v>
      </c>
      <c r="BY1079" s="2">
        <f>AVERAGE(Wapato_Inventory[[#This Row],[qual_adj]:[range_adj]])</f>
        <v>0.96740955027637576</v>
      </c>
      <c r="BZ1079" s="7">
        <f>(Wapato_Inventory[[#This Row],[sum_land]]-IF(Wapato_Inventory[[#This Row],[no_utilities]]=1,12000,0))/IF(Wapato_Inventory[[#This Row],[unbuildable]]=1,2,1)</f>
        <v>57100</v>
      </c>
      <c r="CA1079" s="7">
        <f>Wapato_Inventory[[#This Row],[pre_res]]*Wapato_Inventory[[#This Row],[overall_adj]]</f>
        <v>168320.60197956525</v>
      </c>
      <c r="CB1079" s="3">
        <f>IF(ROUND(Wapato_Inventory[[#This Row],[adj_land]]*Lookups!$H$48,-2)&lt;Wapato_Inventory[[#This Row],[min_land]],Wapato_Inventory[[#This Row],[min_land]],ROUND(Wapato_Inventory[[#This Row],[adj_land]]*Lookups!$H$48,-2))</f>
        <v>54200</v>
      </c>
      <c r="CC1079" s="3">
        <f>IF(ROUND(Wapato_Inventory[[#This Row],[adj_res]]*Lookups!$H$48,-2)&lt;Wapato_Inventory[[#This Row],[min_res]],Wapato_Inventory[[#This Row],[min_res]],ROUND(Wapato_Inventory[[#This Row],[adj_res]]*Lookups!$H$48,-2))</f>
        <v>159900</v>
      </c>
      <c r="CD1079" s="3">
        <f>ROUND(Wapato_Inventory[[#This Row],[det_value]]*Lookups!$H$48,-2)</f>
        <v>24200</v>
      </c>
      <c r="CE1079" s="3">
        <f>Wapato_Inventory[[#This Row],[final_res]]+Wapato_Inventory[[#This Row],[final_det]]</f>
        <v>184100</v>
      </c>
      <c r="CF1079" s="3">
        <f>Wapato_Inventory[[#This Row],[crop_value]]+Wapato_Inventory[[#This Row],[final_land]]+Wapato_Inventory[[#This Row],[final_imp]]</f>
        <v>238300</v>
      </c>
      <c r="CH1079" t="str">
        <f t="shared" si="16"/>
        <v>update valuation set market_land =54200, market_bldg=184100, market_total =238300, market_mdno =405, market_date ='9/10/2023' where link_id = (select link_id from parcel where parcel_year = '2024' and parcel_id = '19111532406');</v>
      </c>
    </row>
    <row r="1080" spans="1:86" x14ac:dyDescent="0.25">
      <c r="A1080">
        <v>19111532407</v>
      </c>
      <c r="B1080">
        <v>1.1299999999999999</v>
      </c>
      <c r="C1080" t="s">
        <v>144</v>
      </c>
      <c r="D1080" t="s">
        <v>144</v>
      </c>
      <c r="E1080" t="s">
        <v>54</v>
      </c>
      <c r="F1080" t="s">
        <v>54</v>
      </c>
      <c r="G1080">
        <v>3</v>
      </c>
      <c r="H1080" t="s">
        <v>55</v>
      </c>
      <c r="I1080">
        <v>282000</v>
      </c>
      <c r="J1080">
        <v>46100</v>
      </c>
      <c r="K1080">
        <v>1.1299999999999999</v>
      </c>
      <c r="L1080">
        <f>IF(Wapato_Inventory[[#This Row],[parcel_acres]]-Wapato_Inventory[[#This Row],[non_valued_acres]] =0,0,LN(Wapato_Inventory[[#This Row],[parcel_acres]]-Wapato_Inventory[[#This Row],[non_valued_acres]]))</f>
        <v>0.12221763272424911</v>
      </c>
      <c r="M1080">
        <v>0</v>
      </c>
      <c r="N1080">
        <v>0</v>
      </c>
      <c r="O1080">
        <v>0</v>
      </c>
      <c r="P1080">
        <v>27904.037</v>
      </c>
      <c r="Q1080">
        <v>74398</v>
      </c>
      <c r="R1080" s="3">
        <f>(Wapato_Inventory[[#This Row],[ln_acres]]*Wapato_Inventory[[#This Row],[coeff]])+Wapato_Inventory[[#This Row],[const]]</f>
        <v>77808.36534558986</v>
      </c>
      <c r="S1080" t="s">
        <v>56</v>
      </c>
      <c r="T1080">
        <v>1</v>
      </c>
      <c r="U1080" t="s">
        <v>63</v>
      </c>
      <c r="V1080" t="s">
        <v>69</v>
      </c>
      <c r="W1080">
        <v>0</v>
      </c>
      <c r="X1080">
        <v>0</v>
      </c>
      <c r="Y1080">
        <v>27</v>
      </c>
      <c r="Z1080">
        <v>27</v>
      </c>
      <c r="AA1080">
        <v>30</v>
      </c>
      <c r="AB1080">
        <v>2000</v>
      </c>
      <c r="AC1080">
        <v>1525</v>
      </c>
      <c r="AD1080">
        <v>1525</v>
      </c>
      <c r="AE1080">
        <v>0</v>
      </c>
      <c r="AF1080">
        <v>0</v>
      </c>
      <c r="AG1080">
        <v>0</v>
      </c>
      <c r="AH1080">
        <v>0</v>
      </c>
      <c r="AI1080">
        <v>621</v>
      </c>
      <c r="AJ1080">
        <v>0</v>
      </c>
      <c r="AK1080">
        <v>0</v>
      </c>
      <c r="AL1080">
        <v>0</v>
      </c>
      <c r="AM1080">
        <v>419</v>
      </c>
      <c r="AN1080">
        <v>0</v>
      </c>
      <c r="AO1080">
        <v>419</v>
      </c>
      <c r="AP1080">
        <v>8</v>
      </c>
      <c r="AQ1080">
        <v>0</v>
      </c>
      <c r="AR1080">
        <v>0</v>
      </c>
      <c r="AS1080" t="s">
        <v>59</v>
      </c>
      <c r="AT1080">
        <v>1</v>
      </c>
      <c r="AU1080" t="s">
        <v>60</v>
      </c>
      <c r="AV1080" t="s">
        <v>61</v>
      </c>
      <c r="AW1080">
        <v>1</v>
      </c>
      <c r="AX1080">
        <v>3</v>
      </c>
      <c r="AY1080">
        <v>0</v>
      </c>
      <c r="AZ1080">
        <v>0</v>
      </c>
      <c r="BA1080">
        <v>100</v>
      </c>
      <c r="BB1080">
        <v>100</v>
      </c>
      <c r="BC1080">
        <v>100</v>
      </c>
      <c r="BD1080">
        <v>100</v>
      </c>
      <c r="BE1080">
        <v>1</v>
      </c>
      <c r="BF1080">
        <v>15000</v>
      </c>
      <c r="BG1080">
        <v>1000</v>
      </c>
      <c r="BH1080" s="7">
        <f>ROUND(Wapato_Inventory[[#This Row],[detatched_value]]*Lookups!$B$22*Lookups!$H$48,-2)</f>
        <v>0</v>
      </c>
      <c r="BI1080" s="7">
        <f>ROUND(((Wapato_Inventory[[#This Row],[land_extract]]*Lookups!$B$3) +(Lookups!$B$2*0.5))*Lookups!$H$48,-2)</f>
        <v>58600</v>
      </c>
      <c r="BJ1080" s="7">
        <f>IF(Wapato_Inventory[[#This Row],[bldg_style]]="",0,Lookups!$B$2*0.5)</f>
        <v>53765.27</v>
      </c>
      <c r="BK1080" s="7">
        <f>_xlfn.IFNA(VLOOKUP(Wapato_Inventory[[#This Row],[quality]],Lookups!$H$2:$J$14,3,FALSE),0)</f>
        <v>50594</v>
      </c>
      <c r="BL1080" s="7">
        <f>_xlfn.IFNA(VLOOKUP(Wapato_Inventory[[#This Row],[condition]],Lookups!$H$17:$J$24,3,FALSE),0)</f>
        <v>74543</v>
      </c>
      <c r="BM1080" s="7">
        <f>Wapato_Inventory[[#This Row],[Age]]*Lookups!$B$16</f>
        <v>-10008.243899999999</v>
      </c>
      <c r="BN1080" s="7">
        <f>Wapato_Inventory[[#This Row],[Main Floor]]*Lookups!$B$17</f>
        <v>63746.126974999999</v>
      </c>
      <c r="BO1080" s="7">
        <f>Wapato_Inventory[[#This Row],[Upper Floor]]*Lookups!$B$18</f>
        <v>0</v>
      </c>
      <c r="BP1080" s="7">
        <f>Wapato_Inventory[[#This Row],[Fin BSMT]]*Lookups!$B$19</f>
        <v>0</v>
      </c>
      <c r="BQ1080" s="7">
        <f>(Wapato_Inventory[[#This Row],[att_gar]]+Wapato_Inventory[[#This Row],[blt_gar]])*Lookups!$B$20</f>
        <v>22982.434992000002</v>
      </c>
      <c r="BR1080" s="7">
        <f>Wapato_Inventory[[#This Row],[Patio]]*Lookups!$B$21</f>
        <v>18152.747201000002</v>
      </c>
      <c r="BS1080" s="7">
        <f>SUM(Wapato_Inventory[[#This Row],[intercept]:[patio_value]])*Wapato_Inventory[[#This Row],[res_pct]]</f>
        <v>273775.33526799997</v>
      </c>
      <c r="BT1080" s="7">
        <f>Wapato_Inventory[[#This Row],[land_value]]</f>
        <v>58600</v>
      </c>
      <c r="BU1080" s="2">
        <f>_xlfn.IFNA(VLOOKUP(Wapato_Inventory[[#This Row],[quality]],Lookups!$A$28:$C$37,3,FALSE),1)</f>
        <v>0.99197423394367223</v>
      </c>
      <c r="BV1080" s="2">
        <f>_xlfn.IFNA(VLOOKUP(Wapato_Inventory[[#This Row],[condition]],Lookups!$A$41:$C$48,3,FALSE),1)</f>
        <v>0.98442438223270734</v>
      </c>
      <c r="BW1080" s="2">
        <f>IF(Wapato_Inventory[[#This Row],[decade]]="",1,_xlfn.IFNA(VLOOKUP(Wapato_Inventory[[#This Row],[decade]],Lookups!$F$28:$H$45,3,FALSE),1))</f>
        <v>1.0490505496896987</v>
      </c>
      <c r="BX1080" s="2">
        <f>_xlfn.IFNA(VLOOKUP(Wapato_Inventory[[#This Row],[living_area_range]],Lookups!$K$28:$M$37,3,FALSE),1)</f>
        <v>0.99330894324714125</v>
      </c>
      <c r="BY1080" s="2">
        <f>AVERAGE(Wapato_Inventory[[#This Row],[qual_adj]:[range_adj]])</f>
        <v>1.004689527278305</v>
      </c>
      <c r="BZ1080" s="7">
        <f>(Wapato_Inventory[[#This Row],[sum_land]]-IF(Wapato_Inventory[[#This Row],[no_utilities]]=1,12000,0))/IF(Wapato_Inventory[[#This Row],[unbuildable]]=1,2,1)</f>
        <v>58600</v>
      </c>
      <c r="CA1080" s="7">
        <f>Wapato_Inventory[[#This Row],[pre_res]]*Wapato_Inventory[[#This Row],[overall_adj]]</f>
        <v>275059.21217086632</v>
      </c>
      <c r="CB1080" s="3">
        <f>IF(ROUND(Wapato_Inventory[[#This Row],[adj_land]]*Lookups!$H$48,-2)&lt;Wapato_Inventory[[#This Row],[min_land]],Wapato_Inventory[[#This Row],[min_land]],ROUND(Wapato_Inventory[[#This Row],[adj_land]]*Lookups!$H$48,-2))</f>
        <v>55700</v>
      </c>
      <c r="CC1080" s="3">
        <f>IF(ROUND(Wapato_Inventory[[#This Row],[adj_res]]*Lookups!$H$48,-2)&lt;Wapato_Inventory[[#This Row],[min_res]],Wapato_Inventory[[#This Row],[min_res]],ROUND(Wapato_Inventory[[#This Row],[adj_res]]*Lookups!$H$48,-2))</f>
        <v>261300</v>
      </c>
      <c r="CD1080" s="3">
        <f>ROUND(Wapato_Inventory[[#This Row],[det_value]]*Lookups!$H$48,-2)</f>
        <v>0</v>
      </c>
      <c r="CE1080" s="3">
        <f>Wapato_Inventory[[#This Row],[final_res]]+Wapato_Inventory[[#This Row],[final_det]]</f>
        <v>261300</v>
      </c>
      <c r="CF1080" s="3">
        <f>Wapato_Inventory[[#This Row],[crop_value]]+Wapato_Inventory[[#This Row],[final_land]]+Wapato_Inventory[[#This Row],[final_imp]]</f>
        <v>317000</v>
      </c>
      <c r="CH1080" t="str">
        <f t="shared" si="16"/>
        <v>update valuation set market_land =55700, market_bldg=261300, market_total =317000, market_mdno =405, market_date ='9/10/2023' where link_id = (select link_id from parcel where parcel_year = '2024' and parcel_id = '19111532407');</v>
      </c>
    </row>
    <row r="1081" spans="1:86" x14ac:dyDescent="0.25">
      <c r="A1081">
        <v>19111532408</v>
      </c>
      <c r="B1081">
        <v>2.96</v>
      </c>
      <c r="C1081" t="s">
        <v>144</v>
      </c>
      <c r="D1081" t="s">
        <v>144</v>
      </c>
      <c r="E1081" t="s">
        <v>54</v>
      </c>
      <c r="F1081" t="s">
        <v>54</v>
      </c>
      <c r="G1081">
        <v>3</v>
      </c>
      <c r="H1081" t="s">
        <v>55</v>
      </c>
      <c r="I1081">
        <v>224700</v>
      </c>
      <c r="J1081">
        <v>52800</v>
      </c>
      <c r="K1081">
        <v>2.96</v>
      </c>
      <c r="L1081">
        <f>IF(Wapato_Inventory[[#This Row],[parcel_acres]]-Wapato_Inventory[[#This Row],[non_valued_acres]] =0,0,LN(Wapato_Inventory[[#This Row],[parcel_acres]]-Wapato_Inventory[[#This Row],[non_valued_acres]]))</f>
        <v>1.085189268335969</v>
      </c>
      <c r="M1081">
        <v>0</v>
      </c>
      <c r="N1081">
        <v>0</v>
      </c>
      <c r="O1081">
        <v>0</v>
      </c>
      <c r="P1081">
        <v>27904.037</v>
      </c>
      <c r="Q1081">
        <v>74398</v>
      </c>
      <c r="R1081" s="3">
        <f>(Wapato_Inventory[[#This Row],[ln_acres]]*Wapato_Inventory[[#This Row],[coeff]])+Wapato_Inventory[[#This Row],[const]]</f>
        <v>104679.16149564981</v>
      </c>
      <c r="S1081" t="s">
        <v>62</v>
      </c>
      <c r="T1081">
        <v>1</v>
      </c>
      <c r="U1081" t="s">
        <v>67</v>
      </c>
      <c r="V1081" t="s">
        <v>68</v>
      </c>
      <c r="W1081">
        <v>0</v>
      </c>
      <c r="X1081">
        <v>0</v>
      </c>
      <c r="Y1081">
        <v>28</v>
      </c>
      <c r="Z1081">
        <v>28</v>
      </c>
      <c r="AA1081">
        <v>30</v>
      </c>
      <c r="AB1081">
        <v>1500</v>
      </c>
      <c r="AC1081">
        <v>1306</v>
      </c>
      <c r="AD1081">
        <v>1306</v>
      </c>
      <c r="AE1081">
        <v>0</v>
      </c>
      <c r="AF1081">
        <v>0</v>
      </c>
      <c r="AG1081">
        <v>0</v>
      </c>
      <c r="AH1081">
        <v>0</v>
      </c>
      <c r="AI1081">
        <v>484</v>
      </c>
      <c r="AJ1081">
        <v>0</v>
      </c>
      <c r="AK1081">
        <v>0</v>
      </c>
      <c r="AL1081">
        <v>0</v>
      </c>
      <c r="AM1081">
        <v>576</v>
      </c>
      <c r="AN1081">
        <v>0</v>
      </c>
      <c r="AO1081">
        <v>0</v>
      </c>
      <c r="AP1081">
        <v>8</v>
      </c>
      <c r="AQ1081">
        <v>0</v>
      </c>
      <c r="AR1081">
        <v>0</v>
      </c>
      <c r="AS1081" t="s">
        <v>59</v>
      </c>
      <c r="AT1081">
        <v>1</v>
      </c>
      <c r="AU1081" t="s">
        <v>60</v>
      </c>
      <c r="AV1081" t="s">
        <v>61</v>
      </c>
      <c r="AW1081">
        <v>1</v>
      </c>
      <c r="AX1081">
        <v>3</v>
      </c>
      <c r="AY1081">
        <v>0</v>
      </c>
      <c r="AZ1081">
        <v>0</v>
      </c>
      <c r="BA1081">
        <v>100</v>
      </c>
      <c r="BB1081">
        <v>100</v>
      </c>
      <c r="BC1081">
        <v>100</v>
      </c>
      <c r="BD1081">
        <v>100</v>
      </c>
      <c r="BE1081">
        <v>1</v>
      </c>
      <c r="BF1081">
        <v>15000</v>
      </c>
      <c r="BG1081">
        <v>1000</v>
      </c>
      <c r="BH1081" s="7">
        <f>ROUND(Wapato_Inventory[[#This Row],[detatched_value]]*Lookups!$B$22*Lookups!$H$48,-2)</f>
        <v>0</v>
      </c>
      <c r="BI1081" s="7">
        <f>ROUND(((Wapato_Inventory[[#This Row],[land_extract]]*Lookups!$B$3) +(Lookups!$B$2*0.5))*Lookups!$H$48,-2)</f>
        <v>61200</v>
      </c>
      <c r="BJ1081" s="7">
        <f>IF(Wapato_Inventory[[#This Row],[bldg_style]]="",0,Lookups!$B$2*0.5)</f>
        <v>53765.27</v>
      </c>
      <c r="BK1081" s="7">
        <f>_xlfn.IFNA(VLOOKUP(Wapato_Inventory[[#This Row],[quality]],Lookups!$H$2:$J$14,3,FALSE),0)</f>
        <v>50405</v>
      </c>
      <c r="BL1081" s="7">
        <f>_xlfn.IFNA(VLOOKUP(Wapato_Inventory[[#This Row],[condition]],Lookups!$H$17:$J$24,3,FALSE),0)</f>
        <v>52231</v>
      </c>
      <c r="BM1081" s="7">
        <f>Wapato_Inventory[[#This Row],[Age]]*Lookups!$B$16</f>
        <v>-10378.919600000001</v>
      </c>
      <c r="BN1081" s="7">
        <f>Wapato_Inventory[[#This Row],[Main Floor]]*Lookups!$B$17</f>
        <v>54591.765134000001</v>
      </c>
      <c r="BO1081" s="7">
        <f>Wapato_Inventory[[#This Row],[Upper Floor]]*Lookups!$B$18</f>
        <v>0</v>
      </c>
      <c r="BP1081" s="7">
        <f>Wapato_Inventory[[#This Row],[Fin BSMT]]*Lookups!$B$19</f>
        <v>0</v>
      </c>
      <c r="BQ1081" s="7">
        <f>(Wapato_Inventory[[#This Row],[att_gar]]+Wapato_Inventory[[#This Row],[blt_gar]])*Lookups!$B$20</f>
        <v>17912.235968000001</v>
      </c>
      <c r="BR1081" s="7">
        <f>Wapato_Inventory[[#This Row],[Patio]]*Lookups!$B$21</f>
        <v>24954.611904000001</v>
      </c>
      <c r="BS1081" s="7">
        <f>SUM(Wapato_Inventory[[#This Row],[intercept]:[patio_value]])*Wapato_Inventory[[#This Row],[res_pct]]</f>
        <v>243480.96340599997</v>
      </c>
      <c r="BT1081" s="7">
        <f>Wapato_Inventory[[#This Row],[land_value]]</f>
        <v>61200</v>
      </c>
      <c r="BU1081" s="2">
        <f>_xlfn.IFNA(VLOOKUP(Wapato_Inventory[[#This Row],[quality]],Lookups!$A$28:$C$37,3,FALSE),1)</f>
        <v>0.97993206410140754</v>
      </c>
      <c r="BV1081" s="2">
        <f>_xlfn.IFNA(VLOOKUP(Wapato_Inventory[[#This Row],[condition]],Lookups!$A$41:$C$48,3,FALSE),1)</f>
        <v>0.9832333997567807</v>
      </c>
      <c r="BW1081" s="2">
        <f>IF(Wapato_Inventory[[#This Row],[decade]]="",1,_xlfn.IFNA(VLOOKUP(Wapato_Inventory[[#This Row],[decade]],Lookups!$F$28:$H$45,3,FALSE),1))</f>
        <v>1.0490505496896987</v>
      </c>
      <c r="BX1081" s="2">
        <f>_xlfn.IFNA(VLOOKUP(Wapato_Inventory[[#This Row],[living_area_range]],Lookups!$K$28:$M$37,3,FALSE),1)</f>
        <v>1.0061411172456287</v>
      </c>
      <c r="BY1081" s="2">
        <f>AVERAGE(Wapato_Inventory[[#This Row],[qual_adj]:[range_adj]])</f>
        <v>1.0045892826983789</v>
      </c>
      <c r="BZ1081" s="7">
        <f>(Wapato_Inventory[[#This Row],[sum_land]]-IF(Wapato_Inventory[[#This Row],[no_utilities]]=1,12000,0))/IF(Wapato_Inventory[[#This Row],[unbuildable]]=1,2,1)</f>
        <v>61200</v>
      </c>
      <c r="CA1081" s="7">
        <f>Wapato_Inventory[[#This Row],[pre_res]]*Wapato_Inventory[[#This Row],[overall_adj]]</f>
        <v>244598.36637874375</v>
      </c>
      <c r="CB1081" s="3">
        <f>IF(ROUND(Wapato_Inventory[[#This Row],[adj_land]]*Lookups!$H$48,-2)&lt;Wapato_Inventory[[#This Row],[min_land]],Wapato_Inventory[[#This Row],[min_land]],ROUND(Wapato_Inventory[[#This Row],[adj_land]]*Lookups!$H$48,-2))</f>
        <v>58100</v>
      </c>
      <c r="CC1081" s="3">
        <f>IF(ROUND(Wapato_Inventory[[#This Row],[adj_res]]*Lookups!$H$48,-2)&lt;Wapato_Inventory[[#This Row],[min_res]],Wapato_Inventory[[#This Row],[min_res]],ROUND(Wapato_Inventory[[#This Row],[adj_res]]*Lookups!$H$48,-2))</f>
        <v>232400</v>
      </c>
      <c r="CD1081" s="3">
        <f>ROUND(Wapato_Inventory[[#This Row],[det_value]]*Lookups!$H$48,-2)</f>
        <v>0</v>
      </c>
      <c r="CE1081" s="3">
        <f>Wapato_Inventory[[#This Row],[final_res]]+Wapato_Inventory[[#This Row],[final_det]]</f>
        <v>232400</v>
      </c>
      <c r="CF1081" s="3">
        <f>Wapato_Inventory[[#This Row],[crop_value]]+Wapato_Inventory[[#This Row],[final_land]]+Wapato_Inventory[[#This Row],[final_imp]]</f>
        <v>290500</v>
      </c>
      <c r="CH1081" t="str">
        <f t="shared" si="16"/>
        <v>update valuation set market_land =58100, market_bldg=232400, market_total =290500, market_mdno =405, market_date ='9/10/2023' where link_id = (select link_id from parcel where parcel_year = '2024' and parcel_id = '19111532408');</v>
      </c>
    </row>
    <row r="1082" spans="1:86" x14ac:dyDescent="0.25">
      <c r="A1082">
        <v>19111533001</v>
      </c>
      <c r="B1082">
        <v>18.62</v>
      </c>
      <c r="C1082" t="s">
        <v>144</v>
      </c>
      <c r="D1082" t="s">
        <v>144</v>
      </c>
      <c r="E1082" t="s">
        <v>54</v>
      </c>
      <c r="F1082" t="s">
        <v>54</v>
      </c>
      <c r="G1082">
        <v>3</v>
      </c>
      <c r="H1082" t="s">
        <v>55</v>
      </c>
      <c r="I1082">
        <v>413800</v>
      </c>
      <c r="J1082">
        <v>114400</v>
      </c>
      <c r="K1082">
        <v>18.62</v>
      </c>
      <c r="L1082">
        <f>IF(Wapato_Inventory[[#This Row],[parcel_acres]]-Wapato_Inventory[[#This Row],[non_valued_acres]] =0,0,LN(Wapato_Inventory[[#This Row],[parcel_acres]]-Wapato_Inventory[[#This Row],[non_valued_acres]]))</f>
        <v>2.9242362718489212</v>
      </c>
      <c r="M1082">
        <v>0</v>
      </c>
      <c r="N1082">
        <v>0</v>
      </c>
      <c r="O1082">
        <v>0</v>
      </c>
      <c r="P1082">
        <v>27904.037</v>
      </c>
      <c r="Q1082">
        <v>74398</v>
      </c>
      <c r="R1082" s="3">
        <f>(Wapato_Inventory[[#This Row],[ln_acres]]*Wapato_Inventory[[#This Row],[coeff]])+Wapato_Inventory[[#This Row],[const]]</f>
        <v>155995.99712641435</v>
      </c>
      <c r="S1082" t="s">
        <v>56</v>
      </c>
      <c r="T1082">
        <v>1</v>
      </c>
      <c r="U1082" t="s">
        <v>65</v>
      </c>
      <c r="V1082" t="s">
        <v>58</v>
      </c>
      <c r="W1082">
        <v>0</v>
      </c>
      <c r="X1082">
        <v>0</v>
      </c>
      <c r="Y1082">
        <v>4</v>
      </c>
      <c r="Z1082">
        <v>4</v>
      </c>
      <c r="AA1082">
        <v>10</v>
      </c>
      <c r="AB1082">
        <v>3000</v>
      </c>
      <c r="AC1082">
        <v>2720</v>
      </c>
      <c r="AD1082">
        <v>2720</v>
      </c>
      <c r="AE1082">
        <v>0</v>
      </c>
      <c r="AF1082">
        <v>0</v>
      </c>
      <c r="AG1082">
        <v>0</v>
      </c>
      <c r="AH1082">
        <v>0</v>
      </c>
      <c r="AI1082">
        <v>0</v>
      </c>
      <c r="AJ1082">
        <v>0</v>
      </c>
      <c r="AK1082">
        <v>0</v>
      </c>
      <c r="AL1082">
        <v>0</v>
      </c>
      <c r="AM1082">
        <v>0</v>
      </c>
      <c r="AN1082">
        <v>894</v>
      </c>
      <c r="AO1082">
        <v>0</v>
      </c>
      <c r="AP1082">
        <v>11</v>
      </c>
      <c r="AQ1082">
        <v>0</v>
      </c>
      <c r="AR1082">
        <v>0</v>
      </c>
      <c r="AS1082" t="s">
        <v>59</v>
      </c>
      <c r="AT1082">
        <v>1</v>
      </c>
      <c r="AU1082" t="s">
        <v>60</v>
      </c>
      <c r="AV1082" t="s">
        <v>61</v>
      </c>
      <c r="AW1082">
        <v>1</v>
      </c>
      <c r="AX1082">
        <v>3</v>
      </c>
      <c r="AY1082">
        <v>0</v>
      </c>
      <c r="AZ1082">
        <v>31100</v>
      </c>
      <c r="BA1082">
        <v>100</v>
      </c>
      <c r="BB1082">
        <v>100</v>
      </c>
      <c r="BC1082">
        <v>100</v>
      </c>
      <c r="BD1082">
        <v>100</v>
      </c>
      <c r="BE1082">
        <v>1</v>
      </c>
      <c r="BF1082">
        <v>15000</v>
      </c>
      <c r="BG1082">
        <v>1000</v>
      </c>
      <c r="BH1082" s="7">
        <f>ROUND(Wapato_Inventory[[#This Row],[detatched_value]]*Lookups!$B$22*Lookups!$H$48,-2)</f>
        <v>27800</v>
      </c>
      <c r="BI1082" s="7">
        <f>ROUND(((Wapato_Inventory[[#This Row],[land_extract]]*Lookups!$B$3) +(Lookups!$B$2*0.5))*Lookups!$H$48,-2)</f>
        <v>66100</v>
      </c>
      <c r="BJ1082" s="7">
        <f>IF(Wapato_Inventory[[#This Row],[bldg_style]]="",0,Lookups!$B$2*0.5)</f>
        <v>53765.27</v>
      </c>
      <c r="BK1082" s="7">
        <f>_xlfn.IFNA(VLOOKUP(Wapato_Inventory[[#This Row],[quality]],Lookups!$H$2:$J$14,3,FALSE),0)</f>
        <v>92307</v>
      </c>
      <c r="BL1082" s="7">
        <f>_xlfn.IFNA(VLOOKUP(Wapato_Inventory[[#This Row],[condition]],Lookups!$H$17:$J$24,3,FALSE),0)</f>
        <v>122095</v>
      </c>
      <c r="BM1082" s="7">
        <f>Wapato_Inventory[[#This Row],[Age]]*Lookups!$B$16</f>
        <v>-1482.7028</v>
      </c>
      <c r="BN1082" s="7">
        <f>Wapato_Inventory[[#This Row],[Main Floor]]*Lookups!$B$17</f>
        <v>113698.01008000001</v>
      </c>
      <c r="BO1082" s="7">
        <f>Wapato_Inventory[[#This Row],[Upper Floor]]*Lookups!$B$18</f>
        <v>0</v>
      </c>
      <c r="BP1082" s="7">
        <f>Wapato_Inventory[[#This Row],[Fin BSMT]]*Lookups!$B$19</f>
        <v>0</v>
      </c>
      <c r="BQ1082" s="7">
        <f>(Wapato_Inventory[[#This Row],[att_gar]]+Wapato_Inventory[[#This Row],[blt_gar]])*Lookups!$B$20</f>
        <v>0</v>
      </c>
      <c r="BR1082" s="7">
        <f>Wapato_Inventory[[#This Row],[Patio]]*Lookups!$B$21</f>
        <v>0</v>
      </c>
      <c r="BS1082" s="7">
        <f>SUM(Wapato_Inventory[[#This Row],[intercept]:[patio_value]])*Wapato_Inventory[[#This Row],[res_pct]]</f>
        <v>380382.57727999997</v>
      </c>
      <c r="BT1082" s="7">
        <f>Wapato_Inventory[[#This Row],[land_value]]</f>
        <v>66100</v>
      </c>
      <c r="BU1082" s="2">
        <f>_xlfn.IFNA(VLOOKUP(Wapato_Inventory[[#This Row],[quality]],Lookups!$A$28:$C$37,3,FALSE),1)</f>
        <v>1.0013727718490204</v>
      </c>
      <c r="BV1082" s="2">
        <f>_xlfn.IFNA(VLOOKUP(Wapato_Inventory[[#This Row],[condition]],Lookups!$A$41:$C$48,3,FALSE),1)</f>
        <v>1.00041560026225</v>
      </c>
      <c r="BW1082" s="2">
        <f>IF(Wapato_Inventory[[#This Row],[decade]]="",1,_xlfn.IFNA(VLOOKUP(Wapato_Inventory[[#This Row],[decade]],Lookups!$F$28:$H$45,3,FALSE),1))</f>
        <v>1.0321018519633791</v>
      </c>
      <c r="BX1082" s="2">
        <f>_xlfn.IFNA(VLOOKUP(Wapato_Inventory[[#This Row],[living_area_range]],Lookups!$K$28:$M$37,3,FALSE),1)</f>
        <v>1.0155869662067822</v>
      </c>
      <c r="BY1082" s="2">
        <f>AVERAGE(Wapato_Inventory[[#This Row],[qual_adj]:[range_adj]])</f>
        <v>1.0123692975703578</v>
      </c>
      <c r="BZ1082" s="7">
        <f>(Wapato_Inventory[[#This Row],[sum_land]]-IF(Wapato_Inventory[[#This Row],[no_utilities]]=1,12000,0))/IF(Wapato_Inventory[[#This Row],[unbuildable]]=1,2,1)</f>
        <v>66100</v>
      </c>
      <c r="CA1082" s="7">
        <f>Wapato_Inventory[[#This Row],[pre_res]]*Wapato_Inventory[[#This Row],[overall_adj]]</f>
        <v>385087.6425689559</v>
      </c>
      <c r="CB1082" s="3">
        <f>IF(ROUND(Wapato_Inventory[[#This Row],[adj_land]]*Lookups!$H$48,-2)&lt;Wapato_Inventory[[#This Row],[min_land]],Wapato_Inventory[[#This Row],[min_land]],ROUND(Wapato_Inventory[[#This Row],[adj_land]]*Lookups!$H$48,-2))</f>
        <v>62800</v>
      </c>
      <c r="CC1082" s="3">
        <f>IF(ROUND(Wapato_Inventory[[#This Row],[adj_res]]*Lookups!$H$48,-2)&lt;Wapato_Inventory[[#This Row],[min_res]],Wapato_Inventory[[#This Row],[min_res]],ROUND(Wapato_Inventory[[#This Row],[adj_res]]*Lookups!$H$48,-2))</f>
        <v>365800</v>
      </c>
      <c r="CD1082" s="3">
        <f>ROUND(Wapato_Inventory[[#This Row],[det_value]]*Lookups!$H$48,-2)</f>
        <v>26400</v>
      </c>
      <c r="CE1082" s="3">
        <f>Wapato_Inventory[[#This Row],[final_res]]+Wapato_Inventory[[#This Row],[final_det]]</f>
        <v>392200</v>
      </c>
      <c r="CF1082" s="3">
        <f>Wapato_Inventory[[#This Row],[crop_value]]+Wapato_Inventory[[#This Row],[final_land]]+Wapato_Inventory[[#This Row],[final_imp]]</f>
        <v>455000</v>
      </c>
      <c r="CH1082" t="str">
        <f t="shared" si="16"/>
        <v>update valuation set market_land =62800, market_bldg=392200, market_total =455000, market_mdno =405, market_date ='9/10/2023' where link_id = (select link_id from parcel where parcel_year = '2024' and parcel_id = '19111533001');</v>
      </c>
    </row>
    <row r="1083" spans="1:86" x14ac:dyDescent="0.25">
      <c r="A1083">
        <v>19111533003</v>
      </c>
      <c r="B1083">
        <v>0.94</v>
      </c>
      <c r="C1083">
        <v>41047</v>
      </c>
      <c r="D1083" t="s">
        <v>144</v>
      </c>
      <c r="E1083" t="s">
        <v>54</v>
      </c>
      <c r="F1083" t="s">
        <v>54</v>
      </c>
      <c r="G1083">
        <v>3</v>
      </c>
      <c r="H1083" t="s">
        <v>55</v>
      </c>
      <c r="I1083">
        <v>170500</v>
      </c>
      <c r="J1083">
        <v>44800</v>
      </c>
      <c r="K1083">
        <v>0.94</v>
      </c>
      <c r="L1083">
        <f>IF(Wapato_Inventory[[#This Row],[parcel_acres]]-Wapato_Inventory[[#This Row],[non_valued_acres]] =0,0,LN(Wapato_Inventory[[#This Row],[parcel_acres]]-Wapato_Inventory[[#This Row],[non_valued_acres]]))</f>
        <v>-6.1875403718087529E-2</v>
      </c>
      <c r="M1083">
        <v>0</v>
      </c>
      <c r="N1083">
        <v>0</v>
      </c>
      <c r="O1083">
        <v>0</v>
      </c>
      <c r="P1083">
        <v>27904.037</v>
      </c>
      <c r="Q1083">
        <v>74398</v>
      </c>
      <c r="R1083" s="3">
        <f>(Wapato_Inventory[[#This Row],[ln_acres]]*Wapato_Inventory[[#This Row],[coeff]])+Wapato_Inventory[[#This Row],[const]]</f>
        <v>72671.426445260542</v>
      </c>
      <c r="S1083" t="s">
        <v>66</v>
      </c>
      <c r="T1083">
        <v>1</v>
      </c>
      <c r="U1083" t="s">
        <v>71</v>
      </c>
      <c r="V1083" t="s">
        <v>68</v>
      </c>
      <c r="W1083">
        <v>0</v>
      </c>
      <c r="X1083">
        <v>0</v>
      </c>
      <c r="Y1083">
        <v>51</v>
      </c>
      <c r="Z1083">
        <v>83</v>
      </c>
      <c r="AA1083">
        <v>90</v>
      </c>
      <c r="AB1083">
        <v>1500</v>
      </c>
      <c r="AC1083">
        <v>1340</v>
      </c>
      <c r="AD1083">
        <v>1040</v>
      </c>
      <c r="AE1083">
        <v>0</v>
      </c>
      <c r="AF1083">
        <v>0</v>
      </c>
      <c r="AG1083">
        <v>300</v>
      </c>
      <c r="AH1083">
        <v>316</v>
      </c>
      <c r="AI1083">
        <v>0</v>
      </c>
      <c r="AJ1083">
        <v>0</v>
      </c>
      <c r="AK1083">
        <v>832</v>
      </c>
      <c r="AL1083">
        <v>0</v>
      </c>
      <c r="AM1083">
        <v>0</v>
      </c>
      <c r="AN1083">
        <v>0</v>
      </c>
      <c r="AO1083">
        <v>0</v>
      </c>
      <c r="AP1083">
        <v>5</v>
      </c>
      <c r="AQ1083">
        <v>0</v>
      </c>
      <c r="AR1083">
        <v>0</v>
      </c>
      <c r="AS1083" t="s">
        <v>59</v>
      </c>
      <c r="AT1083">
        <v>1</v>
      </c>
      <c r="AU1083" t="s">
        <v>60</v>
      </c>
      <c r="AV1083" t="s">
        <v>61</v>
      </c>
      <c r="AW1083">
        <v>1</v>
      </c>
      <c r="AX1083">
        <v>4</v>
      </c>
      <c r="AY1083">
        <v>0</v>
      </c>
      <c r="AZ1083">
        <v>26900</v>
      </c>
      <c r="BA1083">
        <v>100</v>
      </c>
      <c r="BB1083">
        <v>100</v>
      </c>
      <c r="BC1083">
        <v>100</v>
      </c>
      <c r="BD1083">
        <v>100</v>
      </c>
      <c r="BE1083">
        <v>1</v>
      </c>
      <c r="BF1083">
        <v>15000</v>
      </c>
      <c r="BG1083">
        <v>1000</v>
      </c>
      <c r="BH1083" s="7">
        <f>ROUND(Wapato_Inventory[[#This Row],[detatched_value]]*Lookups!$B$22*Lookups!$H$48,-2)</f>
        <v>24000</v>
      </c>
      <c r="BI1083" s="7">
        <f>ROUND(((Wapato_Inventory[[#This Row],[land_extract]]*Lookups!$B$3) +(Lookups!$B$2*0.5))*Lookups!$H$48,-2)</f>
        <v>58100</v>
      </c>
      <c r="BJ1083" s="7">
        <f>IF(Wapato_Inventory[[#This Row],[bldg_style]]="",0,Lookups!$B$2*0.5)</f>
        <v>53765.27</v>
      </c>
      <c r="BK1083" s="7">
        <f>_xlfn.IFNA(VLOOKUP(Wapato_Inventory[[#This Row],[quality]],Lookups!$H$2:$J$14,3,FALSE),0)</f>
        <v>28034</v>
      </c>
      <c r="BL1083" s="7">
        <f>_xlfn.IFNA(VLOOKUP(Wapato_Inventory[[#This Row],[condition]],Lookups!$H$17:$J$24,3,FALSE),0)</f>
        <v>52231</v>
      </c>
      <c r="BM1083" s="7">
        <f>Wapato_Inventory[[#This Row],[Age]]*Lookups!$B$16</f>
        <v>-30766.0831</v>
      </c>
      <c r="BN1083" s="7">
        <f>Wapato_Inventory[[#This Row],[Main Floor]]*Lookups!$B$17</f>
        <v>43472.768559999997</v>
      </c>
      <c r="BO1083" s="7">
        <f>Wapato_Inventory[[#This Row],[Upper Floor]]*Lookups!$B$18</f>
        <v>0</v>
      </c>
      <c r="BP1083" s="7">
        <f>Wapato_Inventory[[#This Row],[Fin BSMT]]*Lookups!$B$19</f>
        <v>7310.0219999999999</v>
      </c>
      <c r="BQ1083" s="7">
        <f>(Wapato_Inventory[[#This Row],[att_gar]]+Wapato_Inventory[[#This Row],[blt_gar]])*Lookups!$B$20</f>
        <v>0</v>
      </c>
      <c r="BR1083" s="7">
        <f>Wapato_Inventory[[#This Row],[Patio]]*Lookups!$B$21</f>
        <v>0</v>
      </c>
      <c r="BS1083" s="7">
        <f>SUM(Wapato_Inventory[[#This Row],[intercept]:[patio_value]])*Wapato_Inventory[[#This Row],[res_pct]]</f>
        <v>154046.97745999997</v>
      </c>
      <c r="BT1083" s="7">
        <f>Wapato_Inventory[[#This Row],[land_value]]</f>
        <v>58100</v>
      </c>
      <c r="BU1083" s="2">
        <f>_xlfn.IFNA(VLOOKUP(Wapato_Inventory[[#This Row],[quality]],Lookups!$A$28:$C$37,3,FALSE),1)</f>
        <v>0.96265813922927435</v>
      </c>
      <c r="BV1083" s="2">
        <f>_xlfn.IFNA(VLOOKUP(Wapato_Inventory[[#This Row],[condition]],Lookups!$A$41:$C$48,3,FALSE),1)</f>
        <v>0.9832333997567807</v>
      </c>
      <c r="BW1083" s="2">
        <f>IF(Wapato_Inventory[[#This Row],[decade]]="",1,_xlfn.IFNA(VLOOKUP(Wapato_Inventory[[#This Row],[decade]],Lookups!$F$28:$H$45,3,FALSE),1))</f>
        <v>0.94742695999815718</v>
      </c>
      <c r="BX1083" s="2">
        <f>_xlfn.IFNA(VLOOKUP(Wapato_Inventory[[#This Row],[living_area_range]],Lookups!$K$28:$M$37,3,FALSE),1)</f>
        <v>1.0061411172456287</v>
      </c>
      <c r="BY1083" s="2">
        <f>AVERAGE(Wapato_Inventory[[#This Row],[qual_adj]:[range_adj]])</f>
        <v>0.97486490405746018</v>
      </c>
      <c r="BZ1083" s="7">
        <f>(Wapato_Inventory[[#This Row],[sum_land]]-IF(Wapato_Inventory[[#This Row],[no_utilities]]=1,12000,0))/IF(Wapato_Inventory[[#This Row],[unbuildable]]=1,2,1)</f>
        <v>58100</v>
      </c>
      <c r="CA1083" s="7">
        <f>Wapato_Inventory[[#This Row],[pre_res]]*Wapato_Inventory[[#This Row],[overall_adj]]</f>
        <v>150174.99190188458</v>
      </c>
      <c r="CB1083" s="3">
        <f>IF(ROUND(Wapato_Inventory[[#This Row],[adj_land]]*Lookups!$H$48,-2)&lt;Wapato_Inventory[[#This Row],[min_land]],Wapato_Inventory[[#This Row],[min_land]],ROUND(Wapato_Inventory[[#This Row],[adj_land]]*Lookups!$H$48,-2))</f>
        <v>55200</v>
      </c>
      <c r="CC1083" s="3">
        <f>IF(ROUND(Wapato_Inventory[[#This Row],[adj_res]]*Lookups!$H$48,-2)&lt;Wapato_Inventory[[#This Row],[min_res]],Wapato_Inventory[[#This Row],[min_res]],ROUND(Wapato_Inventory[[#This Row],[adj_res]]*Lookups!$H$48,-2))</f>
        <v>142700</v>
      </c>
      <c r="CD1083" s="3">
        <f>ROUND(Wapato_Inventory[[#This Row],[det_value]]*Lookups!$H$48,-2)</f>
        <v>22800</v>
      </c>
      <c r="CE1083" s="3">
        <f>Wapato_Inventory[[#This Row],[final_res]]+Wapato_Inventory[[#This Row],[final_det]]</f>
        <v>165500</v>
      </c>
      <c r="CF1083" s="3">
        <f>Wapato_Inventory[[#This Row],[crop_value]]+Wapato_Inventory[[#This Row],[final_land]]+Wapato_Inventory[[#This Row],[final_imp]]</f>
        <v>220700</v>
      </c>
      <c r="CH1083" t="str">
        <f t="shared" si="16"/>
        <v>update valuation set market_land =55200, market_bldg=165500, market_total =220700, market_mdno =405, market_date ='9/10/2023' where link_id = (select link_id from parcel where parcel_year = '2024' and parcel_id = '19111533003');</v>
      </c>
    </row>
    <row r="1084" spans="1:86" x14ac:dyDescent="0.25">
      <c r="A1084">
        <v>19111541004</v>
      </c>
      <c r="B1084">
        <v>0.17</v>
      </c>
      <c r="C1084">
        <v>7441</v>
      </c>
      <c r="D1084" t="s">
        <v>144</v>
      </c>
      <c r="E1084" t="s">
        <v>54</v>
      </c>
      <c r="F1084" t="s">
        <v>54</v>
      </c>
      <c r="G1084">
        <v>3</v>
      </c>
      <c r="H1084" t="s">
        <v>55</v>
      </c>
      <c r="I1084">
        <v>91200</v>
      </c>
      <c r="J1084">
        <v>33200</v>
      </c>
      <c r="K1084">
        <v>0.17</v>
      </c>
      <c r="L1084">
        <f>IF(Wapato_Inventory[[#This Row],[parcel_acres]]-Wapato_Inventory[[#This Row],[non_valued_acres]] =0,0,LN(Wapato_Inventory[[#This Row],[parcel_acres]]-Wapato_Inventory[[#This Row],[non_valued_acres]]))</f>
        <v>-1.7719568419318752</v>
      </c>
      <c r="M1084">
        <v>0</v>
      </c>
      <c r="N1084">
        <v>0</v>
      </c>
      <c r="O1084">
        <v>0</v>
      </c>
      <c r="P1084">
        <v>27904.037</v>
      </c>
      <c r="Q1084">
        <v>74398</v>
      </c>
      <c r="R1084" s="3">
        <f>(Wapato_Inventory[[#This Row],[ln_acres]]*Wapato_Inventory[[#This Row],[coeff]])+Wapato_Inventory[[#This Row],[const]]</f>
        <v>24953.250720329801</v>
      </c>
      <c r="S1084" t="s">
        <v>66</v>
      </c>
      <c r="T1084">
        <v>1</v>
      </c>
      <c r="U1084" t="s">
        <v>71</v>
      </c>
      <c r="V1084" t="s">
        <v>68</v>
      </c>
      <c r="W1084">
        <v>0</v>
      </c>
      <c r="X1084">
        <v>0</v>
      </c>
      <c r="Y1084">
        <v>53</v>
      </c>
      <c r="Z1084">
        <v>93</v>
      </c>
      <c r="AA1084">
        <v>100</v>
      </c>
      <c r="AB1084">
        <v>1000</v>
      </c>
      <c r="AC1084">
        <v>720</v>
      </c>
      <c r="AD1084">
        <v>720</v>
      </c>
      <c r="AE1084">
        <v>0</v>
      </c>
      <c r="AF1084">
        <v>0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0</v>
      </c>
      <c r="AM1084">
        <v>0</v>
      </c>
      <c r="AN1084">
        <v>0</v>
      </c>
      <c r="AO1084">
        <v>0</v>
      </c>
      <c r="AP1084">
        <v>5</v>
      </c>
      <c r="AQ1084">
        <v>0</v>
      </c>
      <c r="AR1084">
        <v>0</v>
      </c>
      <c r="AS1084" t="s">
        <v>59</v>
      </c>
      <c r="AT1084">
        <v>0</v>
      </c>
      <c r="AU1084" t="s">
        <v>80</v>
      </c>
      <c r="AV1084" t="s">
        <v>77</v>
      </c>
      <c r="AW1084">
        <v>0</v>
      </c>
      <c r="AX1084">
        <v>2</v>
      </c>
      <c r="AY1084">
        <v>0</v>
      </c>
      <c r="AZ1084">
        <v>0</v>
      </c>
      <c r="BA1084">
        <v>100</v>
      </c>
      <c r="BB1084">
        <v>100</v>
      </c>
      <c r="BC1084">
        <v>100</v>
      </c>
      <c r="BD1084">
        <v>100</v>
      </c>
      <c r="BE1084">
        <v>1</v>
      </c>
      <c r="BF1084">
        <v>15000</v>
      </c>
      <c r="BG1084">
        <v>1000</v>
      </c>
      <c r="BH1084" s="7">
        <f>ROUND(Wapato_Inventory[[#This Row],[detatched_value]]*Lookups!$B$22*Lookups!$H$48,-2)</f>
        <v>0</v>
      </c>
      <c r="BI1084" s="7">
        <f>ROUND(((Wapato_Inventory[[#This Row],[land_extract]]*Lookups!$B$3) +(Lookups!$B$2*0.5))*Lookups!$H$48,-2)</f>
        <v>53500</v>
      </c>
      <c r="BJ1084" s="7">
        <f>IF(Wapato_Inventory[[#This Row],[bldg_style]]="",0,Lookups!$B$2*0.5)</f>
        <v>53765.27</v>
      </c>
      <c r="BK1084" s="7">
        <f>_xlfn.IFNA(VLOOKUP(Wapato_Inventory[[#This Row],[quality]],Lookups!$H$2:$J$14,3,FALSE),0)</f>
        <v>28034</v>
      </c>
      <c r="BL1084" s="7">
        <f>_xlfn.IFNA(VLOOKUP(Wapato_Inventory[[#This Row],[condition]],Lookups!$H$17:$J$24,3,FALSE),0)</f>
        <v>52231</v>
      </c>
      <c r="BM1084" s="7">
        <f>Wapato_Inventory[[#This Row],[Age]]*Lookups!$B$16</f>
        <v>-34472.840100000001</v>
      </c>
      <c r="BN1084" s="7">
        <f>Wapato_Inventory[[#This Row],[Main Floor]]*Lookups!$B$17</f>
        <v>30096.532080000001</v>
      </c>
      <c r="BO1084" s="7">
        <f>Wapato_Inventory[[#This Row],[Upper Floor]]*Lookups!$B$18</f>
        <v>0</v>
      </c>
      <c r="BP1084" s="7">
        <f>Wapato_Inventory[[#This Row],[Fin BSMT]]*Lookups!$B$19</f>
        <v>0</v>
      </c>
      <c r="BQ1084" s="7">
        <f>(Wapato_Inventory[[#This Row],[att_gar]]+Wapato_Inventory[[#This Row],[blt_gar]])*Lookups!$B$20</f>
        <v>0</v>
      </c>
      <c r="BR1084" s="7">
        <f>Wapato_Inventory[[#This Row],[Patio]]*Lookups!$B$21</f>
        <v>0</v>
      </c>
      <c r="BS1084" s="7">
        <f>SUM(Wapato_Inventory[[#This Row],[intercept]:[patio_value]])*Wapato_Inventory[[#This Row],[res_pct]]</f>
        <v>129653.96197999999</v>
      </c>
      <c r="BT1084" s="7">
        <f>Wapato_Inventory[[#This Row],[land_value]]</f>
        <v>53500</v>
      </c>
      <c r="BU1084" s="2">
        <f>_xlfn.IFNA(VLOOKUP(Wapato_Inventory[[#This Row],[quality]],Lookups!$A$28:$C$37,3,FALSE),1)</f>
        <v>0.96265813922927435</v>
      </c>
      <c r="BV1084" s="2">
        <f>_xlfn.IFNA(VLOOKUP(Wapato_Inventory[[#This Row],[condition]],Lookups!$A$41:$C$48,3,FALSE),1)</f>
        <v>0.9832333997567807</v>
      </c>
      <c r="BW1084" s="2">
        <f>IF(Wapato_Inventory[[#This Row],[decade]]="",1,_xlfn.IFNA(VLOOKUP(Wapato_Inventory[[#This Row],[decade]],Lookups!$F$28:$H$45,3,FALSE),1))</f>
        <v>1.0114203040664467</v>
      </c>
      <c r="BX1084" s="2">
        <f>_xlfn.IFNA(VLOOKUP(Wapato_Inventory[[#This Row],[living_area_range]],Lookups!$K$28:$M$37,3,FALSE),1)</f>
        <v>0.99022994770196116</v>
      </c>
      <c r="BY1084" s="2">
        <f>AVERAGE(Wapato_Inventory[[#This Row],[qual_adj]:[range_adj]])</f>
        <v>0.98688544768861564</v>
      </c>
      <c r="BZ1084" s="7">
        <f>(Wapato_Inventory[[#This Row],[sum_land]]-IF(Wapato_Inventory[[#This Row],[no_utilities]]=1,12000,0))/IF(Wapato_Inventory[[#This Row],[unbuildable]]=1,2,1)</f>
        <v>53500</v>
      </c>
      <c r="CA1084" s="7">
        <f>Wapato_Inventory[[#This Row],[pre_res]]*Wapato_Inventory[[#This Row],[overall_adj]]</f>
        <v>127953.60831323505</v>
      </c>
      <c r="CB1084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084" s="3">
        <f>IF(ROUND(Wapato_Inventory[[#This Row],[adj_res]]*Lookups!$H$48,-2)&lt;Wapato_Inventory[[#This Row],[min_res]],Wapato_Inventory[[#This Row],[min_res]],ROUND(Wapato_Inventory[[#This Row],[adj_res]]*Lookups!$H$48,-2))</f>
        <v>121600</v>
      </c>
      <c r="CD1084" s="3">
        <f>ROUND(Wapato_Inventory[[#This Row],[det_value]]*Lookups!$H$48,-2)</f>
        <v>0</v>
      </c>
      <c r="CE1084" s="3">
        <f>Wapato_Inventory[[#This Row],[final_res]]+Wapato_Inventory[[#This Row],[final_det]]</f>
        <v>121600</v>
      </c>
      <c r="CF1084" s="3">
        <f>Wapato_Inventory[[#This Row],[crop_value]]+Wapato_Inventory[[#This Row],[final_land]]+Wapato_Inventory[[#This Row],[final_imp]]</f>
        <v>172400</v>
      </c>
      <c r="CH1084" t="str">
        <f t="shared" si="16"/>
        <v>update valuation set market_land =50800, market_bldg=121600, market_total =172400, market_mdno =405, market_date ='9/10/2023' where link_id = (select link_id from parcel where parcel_year = '2024' and parcel_id = '19111541004');</v>
      </c>
    </row>
    <row r="1085" spans="1:86" x14ac:dyDescent="0.25">
      <c r="A1085">
        <v>19111541005</v>
      </c>
      <c r="B1085">
        <v>0.09</v>
      </c>
      <c r="C1085">
        <v>4070</v>
      </c>
      <c r="D1085" t="s">
        <v>144</v>
      </c>
      <c r="E1085" t="s">
        <v>54</v>
      </c>
      <c r="F1085" t="s">
        <v>54</v>
      </c>
      <c r="G1085">
        <v>3</v>
      </c>
      <c r="H1085" t="s">
        <v>55</v>
      </c>
      <c r="I1085">
        <v>114700</v>
      </c>
      <c r="J1085">
        <v>28700</v>
      </c>
      <c r="K1085">
        <v>0.09</v>
      </c>
      <c r="L1085">
        <f>IF(Wapato_Inventory[[#This Row],[parcel_acres]]-Wapato_Inventory[[#This Row],[non_valued_acres]] =0,0,LN(Wapato_Inventory[[#This Row],[parcel_acres]]-Wapato_Inventory[[#This Row],[non_valued_acres]]))</f>
        <v>-2.4079456086518722</v>
      </c>
      <c r="M1085">
        <v>0</v>
      </c>
      <c r="N1085">
        <v>0</v>
      </c>
      <c r="O1085">
        <v>0</v>
      </c>
      <c r="P1085">
        <v>27904.037</v>
      </c>
      <c r="Q1085">
        <v>74398</v>
      </c>
      <c r="R1085" s="3">
        <f>(Wapato_Inventory[[#This Row],[ln_acres]]*Wapato_Inventory[[#This Row],[coeff]])+Wapato_Inventory[[#This Row],[const]]</f>
        <v>7206.5966421906342</v>
      </c>
      <c r="S1085" t="s">
        <v>66</v>
      </c>
      <c r="T1085">
        <v>1</v>
      </c>
      <c r="U1085" t="s">
        <v>71</v>
      </c>
      <c r="V1085" t="s">
        <v>68</v>
      </c>
      <c r="W1085">
        <v>0</v>
      </c>
      <c r="X1085">
        <v>0</v>
      </c>
      <c r="Y1085">
        <v>51</v>
      </c>
      <c r="Z1085">
        <v>83</v>
      </c>
      <c r="AA1085">
        <v>90</v>
      </c>
      <c r="AB1085">
        <v>1500</v>
      </c>
      <c r="AC1085">
        <v>1055</v>
      </c>
      <c r="AD1085">
        <v>1055</v>
      </c>
      <c r="AE1085">
        <v>0</v>
      </c>
      <c r="AF1085">
        <v>0</v>
      </c>
      <c r="AG1085">
        <v>0</v>
      </c>
      <c r="AH1085">
        <v>0</v>
      </c>
      <c r="AI1085">
        <v>0</v>
      </c>
      <c r="AJ1085">
        <v>0</v>
      </c>
      <c r="AK1085">
        <v>0</v>
      </c>
      <c r="AL1085">
        <v>0</v>
      </c>
      <c r="AM1085">
        <v>0</v>
      </c>
      <c r="AN1085">
        <v>0</v>
      </c>
      <c r="AO1085">
        <v>0</v>
      </c>
      <c r="AP1085">
        <v>8</v>
      </c>
      <c r="AQ1085">
        <v>0</v>
      </c>
      <c r="AR1085">
        <v>0</v>
      </c>
      <c r="AS1085" t="s">
        <v>59</v>
      </c>
      <c r="AT1085">
        <v>1</v>
      </c>
      <c r="AU1085" t="s">
        <v>64</v>
      </c>
      <c r="AV1085" t="s">
        <v>65</v>
      </c>
      <c r="AW1085">
        <v>0</v>
      </c>
      <c r="AX1085">
        <v>3</v>
      </c>
      <c r="AY1085">
        <v>0</v>
      </c>
      <c r="AZ1085">
        <v>0</v>
      </c>
      <c r="BA1085">
        <v>100</v>
      </c>
      <c r="BB1085">
        <v>100</v>
      </c>
      <c r="BC1085">
        <v>100</v>
      </c>
      <c r="BD1085">
        <v>100</v>
      </c>
      <c r="BE1085">
        <v>1</v>
      </c>
      <c r="BF1085">
        <v>15000</v>
      </c>
      <c r="BG1085">
        <v>1000</v>
      </c>
      <c r="BH1085" s="7">
        <f>ROUND(Wapato_Inventory[[#This Row],[detatched_value]]*Lookups!$B$22*Lookups!$H$48,-2)</f>
        <v>0</v>
      </c>
      <c r="BI1085" s="7">
        <f>ROUND(((Wapato_Inventory[[#This Row],[land_extract]]*Lookups!$B$3) +(Lookups!$B$2*0.5))*Lookups!$H$48,-2)</f>
        <v>51800</v>
      </c>
      <c r="BJ1085" s="7">
        <f>IF(Wapato_Inventory[[#This Row],[bldg_style]]="",0,Lookups!$B$2*0.5)</f>
        <v>53765.27</v>
      </c>
      <c r="BK1085" s="7">
        <f>_xlfn.IFNA(VLOOKUP(Wapato_Inventory[[#This Row],[quality]],Lookups!$H$2:$J$14,3,FALSE),0)</f>
        <v>28034</v>
      </c>
      <c r="BL1085" s="7">
        <f>_xlfn.IFNA(VLOOKUP(Wapato_Inventory[[#This Row],[condition]],Lookups!$H$17:$J$24,3,FALSE),0)</f>
        <v>52231</v>
      </c>
      <c r="BM1085" s="7">
        <f>Wapato_Inventory[[#This Row],[Age]]*Lookups!$B$16</f>
        <v>-30766.0831</v>
      </c>
      <c r="BN1085" s="7">
        <f>Wapato_Inventory[[#This Row],[Main Floor]]*Lookups!$B$17</f>
        <v>44099.779645000002</v>
      </c>
      <c r="BO1085" s="7">
        <f>Wapato_Inventory[[#This Row],[Upper Floor]]*Lookups!$B$18</f>
        <v>0</v>
      </c>
      <c r="BP1085" s="7">
        <f>Wapato_Inventory[[#This Row],[Fin BSMT]]*Lookups!$B$19</f>
        <v>0</v>
      </c>
      <c r="BQ1085" s="7">
        <f>(Wapato_Inventory[[#This Row],[att_gar]]+Wapato_Inventory[[#This Row],[blt_gar]])*Lookups!$B$20</f>
        <v>0</v>
      </c>
      <c r="BR1085" s="7">
        <f>Wapato_Inventory[[#This Row],[Patio]]*Lookups!$B$21</f>
        <v>0</v>
      </c>
      <c r="BS1085" s="7">
        <f>SUM(Wapato_Inventory[[#This Row],[intercept]:[patio_value]])*Wapato_Inventory[[#This Row],[res_pct]]</f>
        <v>147363.96654499997</v>
      </c>
      <c r="BT1085" s="7">
        <f>Wapato_Inventory[[#This Row],[land_value]]</f>
        <v>51800</v>
      </c>
      <c r="BU1085" s="2">
        <f>_xlfn.IFNA(VLOOKUP(Wapato_Inventory[[#This Row],[quality]],Lookups!$A$28:$C$37,3,FALSE),1)</f>
        <v>0.96265813922927435</v>
      </c>
      <c r="BV1085" s="2">
        <f>_xlfn.IFNA(VLOOKUP(Wapato_Inventory[[#This Row],[condition]],Lookups!$A$41:$C$48,3,FALSE),1)</f>
        <v>0.9832333997567807</v>
      </c>
      <c r="BW1085" s="2">
        <f>IF(Wapato_Inventory[[#This Row],[decade]]="",1,_xlfn.IFNA(VLOOKUP(Wapato_Inventory[[#This Row],[decade]],Lookups!$F$28:$H$45,3,FALSE),1))</f>
        <v>0.94742695999815718</v>
      </c>
      <c r="BX1085" s="2">
        <f>_xlfn.IFNA(VLOOKUP(Wapato_Inventory[[#This Row],[living_area_range]],Lookups!$K$28:$M$37,3,FALSE),1)</f>
        <v>1.0061411172456287</v>
      </c>
      <c r="BY1085" s="2">
        <f>AVERAGE(Wapato_Inventory[[#This Row],[qual_adj]:[range_adj]])</f>
        <v>0.97486490405746018</v>
      </c>
      <c r="BZ1085" s="7">
        <f>(Wapato_Inventory[[#This Row],[sum_land]]-IF(Wapato_Inventory[[#This Row],[no_utilities]]=1,12000,0))/IF(Wapato_Inventory[[#This Row],[unbuildable]]=1,2,1)</f>
        <v>51800</v>
      </c>
      <c r="CA1085" s="7">
        <f>Wapato_Inventory[[#This Row],[pre_res]]*Wapato_Inventory[[#This Row],[overall_adj]]</f>
        <v>143659.95910741817</v>
      </c>
      <c r="CB1085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1085" s="3">
        <f>IF(ROUND(Wapato_Inventory[[#This Row],[adj_res]]*Lookups!$H$48,-2)&lt;Wapato_Inventory[[#This Row],[min_res]],Wapato_Inventory[[#This Row],[min_res]],ROUND(Wapato_Inventory[[#This Row],[adj_res]]*Lookups!$H$48,-2))</f>
        <v>136500</v>
      </c>
      <c r="CD1085" s="3">
        <f>ROUND(Wapato_Inventory[[#This Row],[det_value]]*Lookups!$H$48,-2)</f>
        <v>0</v>
      </c>
      <c r="CE1085" s="3">
        <f>Wapato_Inventory[[#This Row],[final_res]]+Wapato_Inventory[[#This Row],[final_det]]</f>
        <v>136500</v>
      </c>
      <c r="CF1085" s="3">
        <f>Wapato_Inventory[[#This Row],[crop_value]]+Wapato_Inventory[[#This Row],[final_land]]+Wapato_Inventory[[#This Row],[final_imp]]</f>
        <v>185700</v>
      </c>
      <c r="CH1085" t="str">
        <f t="shared" si="16"/>
        <v>update valuation set market_land =49200, market_bldg=136500, market_total =185700, market_mdno =405, market_date ='9/10/2023' where link_id = (select link_id from parcel where parcel_year = '2024' and parcel_id = '19111541005');</v>
      </c>
    </row>
    <row r="1086" spans="1:86" x14ac:dyDescent="0.25">
      <c r="A1086">
        <v>19111541006</v>
      </c>
      <c r="B1086">
        <v>0.18</v>
      </c>
      <c r="C1086">
        <v>7853</v>
      </c>
      <c r="D1086" t="s">
        <v>144</v>
      </c>
      <c r="E1086" t="s">
        <v>54</v>
      </c>
      <c r="F1086" t="s">
        <v>54</v>
      </c>
      <c r="G1086">
        <v>3</v>
      </c>
      <c r="H1086" t="s">
        <v>55</v>
      </c>
      <c r="I1086">
        <v>64700</v>
      </c>
      <c r="J1086">
        <v>33700</v>
      </c>
      <c r="K1086">
        <v>0.18</v>
      </c>
      <c r="L1086">
        <f>IF(Wapato_Inventory[[#This Row],[parcel_acres]]-Wapato_Inventory[[#This Row],[non_valued_acres]] =0,0,LN(Wapato_Inventory[[#This Row],[parcel_acres]]-Wapato_Inventory[[#This Row],[non_valued_acres]]))</f>
        <v>-1.7147984280919266</v>
      </c>
      <c r="M1086">
        <v>0</v>
      </c>
      <c r="N1086">
        <v>0</v>
      </c>
      <c r="O1086">
        <v>0</v>
      </c>
      <c r="P1086">
        <v>27904.037</v>
      </c>
      <c r="Q1086">
        <v>74398</v>
      </c>
      <c r="R1086" s="3">
        <f>(Wapato_Inventory[[#This Row],[ln_acres]]*Wapato_Inventory[[#This Row],[coeff]])+Wapato_Inventory[[#This Row],[const]]</f>
        <v>26548.20121498104</v>
      </c>
      <c r="S1086" t="s">
        <v>66</v>
      </c>
      <c r="T1086">
        <v>1</v>
      </c>
      <c r="U1086" t="s">
        <v>71</v>
      </c>
      <c r="V1086" t="s">
        <v>73</v>
      </c>
      <c r="W1086">
        <v>0</v>
      </c>
      <c r="X1086">
        <v>0</v>
      </c>
      <c r="Y1086">
        <v>53</v>
      </c>
      <c r="Z1086">
        <v>93</v>
      </c>
      <c r="AA1086">
        <v>100</v>
      </c>
      <c r="AB1086">
        <v>1000</v>
      </c>
      <c r="AC1086">
        <v>720</v>
      </c>
      <c r="AD1086">
        <v>720</v>
      </c>
      <c r="AE1086">
        <v>0</v>
      </c>
      <c r="AF1086">
        <v>0</v>
      </c>
      <c r="AG1086">
        <v>0</v>
      </c>
      <c r="AH1086">
        <v>0</v>
      </c>
      <c r="AI1086">
        <v>0</v>
      </c>
      <c r="AJ1086">
        <v>0</v>
      </c>
      <c r="AK1086">
        <v>0</v>
      </c>
      <c r="AL1086">
        <v>0</v>
      </c>
      <c r="AM1086">
        <v>0</v>
      </c>
      <c r="AN1086">
        <v>0</v>
      </c>
      <c r="AO1086">
        <v>0</v>
      </c>
      <c r="AP1086">
        <v>5</v>
      </c>
      <c r="AQ1086">
        <v>0</v>
      </c>
      <c r="AR1086">
        <v>0</v>
      </c>
      <c r="AS1086" t="s">
        <v>59</v>
      </c>
      <c r="AT1086">
        <v>1</v>
      </c>
      <c r="AU1086" t="s">
        <v>64</v>
      </c>
      <c r="AV1086" t="s">
        <v>65</v>
      </c>
      <c r="AW1086">
        <v>0</v>
      </c>
      <c r="AX1086">
        <v>2</v>
      </c>
      <c r="AY1086">
        <v>0</v>
      </c>
      <c r="AZ1086">
        <v>7200</v>
      </c>
      <c r="BA1086">
        <v>100</v>
      </c>
      <c r="BB1086">
        <v>100</v>
      </c>
      <c r="BC1086">
        <v>100</v>
      </c>
      <c r="BD1086">
        <v>100</v>
      </c>
      <c r="BE1086">
        <v>1</v>
      </c>
      <c r="BF1086">
        <v>15000</v>
      </c>
      <c r="BG1086">
        <v>1000</v>
      </c>
      <c r="BH1086" s="7">
        <f>ROUND(Wapato_Inventory[[#This Row],[detatched_value]]*Lookups!$B$22*Lookups!$H$48,-2)</f>
        <v>6400</v>
      </c>
      <c r="BI1086" s="7">
        <f>ROUND(((Wapato_Inventory[[#This Row],[land_extract]]*Lookups!$B$3) +(Lookups!$B$2*0.5))*Lookups!$H$48,-2)</f>
        <v>53600</v>
      </c>
      <c r="BJ1086" s="7">
        <f>IF(Wapato_Inventory[[#This Row],[bldg_style]]="",0,Lookups!$B$2*0.5)</f>
        <v>53765.27</v>
      </c>
      <c r="BK1086" s="7">
        <f>_xlfn.IFNA(VLOOKUP(Wapato_Inventory[[#This Row],[quality]],Lookups!$H$2:$J$14,3,FALSE),0)</f>
        <v>28034</v>
      </c>
      <c r="BL1086" s="7">
        <f>_xlfn.IFNA(VLOOKUP(Wapato_Inventory[[#This Row],[condition]],Lookups!$H$17:$J$24,3,FALSE),0)</f>
        <v>16276</v>
      </c>
      <c r="BM1086" s="7">
        <f>Wapato_Inventory[[#This Row],[Age]]*Lookups!$B$16</f>
        <v>-34472.840100000001</v>
      </c>
      <c r="BN1086" s="7">
        <f>Wapato_Inventory[[#This Row],[Main Floor]]*Lookups!$B$17</f>
        <v>30096.532080000001</v>
      </c>
      <c r="BO1086" s="7">
        <f>Wapato_Inventory[[#This Row],[Upper Floor]]*Lookups!$B$18</f>
        <v>0</v>
      </c>
      <c r="BP1086" s="7">
        <f>Wapato_Inventory[[#This Row],[Fin BSMT]]*Lookups!$B$19</f>
        <v>0</v>
      </c>
      <c r="BQ1086" s="7">
        <f>(Wapato_Inventory[[#This Row],[att_gar]]+Wapato_Inventory[[#This Row],[blt_gar]])*Lookups!$B$20</f>
        <v>0</v>
      </c>
      <c r="BR1086" s="7">
        <f>Wapato_Inventory[[#This Row],[Patio]]*Lookups!$B$21</f>
        <v>0</v>
      </c>
      <c r="BS1086" s="7">
        <f>SUM(Wapato_Inventory[[#This Row],[intercept]:[patio_value]])*Wapato_Inventory[[#This Row],[res_pct]]</f>
        <v>93698.961979999993</v>
      </c>
      <c r="BT1086" s="7">
        <f>Wapato_Inventory[[#This Row],[land_value]]</f>
        <v>53600</v>
      </c>
      <c r="BU1086" s="2">
        <f>_xlfn.IFNA(VLOOKUP(Wapato_Inventory[[#This Row],[quality]],Lookups!$A$28:$C$37,3,FALSE),1)</f>
        <v>0.96265813922927435</v>
      </c>
      <c r="BV1086" s="2">
        <f>_xlfn.IFNA(VLOOKUP(Wapato_Inventory[[#This Row],[condition]],Lookups!$A$41:$C$48,3,FALSE),1)</f>
        <v>0.93399385491337139</v>
      </c>
      <c r="BW1086" s="2">
        <f>IF(Wapato_Inventory[[#This Row],[decade]]="",1,_xlfn.IFNA(VLOOKUP(Wapato_Inventory[[#This Row],[decade]],Lookups!$F$28:$H$45,3,FALSE),1))</f>
        <v>1.0114203040664467</v>
      </c>
      <c r="BX1086" s="2">
        <f>_xlfn.IFNA(VLOOKUP(Wapato_Inventory[[#This Row],[living_area_range]],Lookups!$K$28:$M$37,3,FALSE),1)</f>
        <v>0.99022994770196116</v>
      </c>
      <c r="BY1086" s="2">
        <f>AVERAGE(Wapato_Inventory[[#This Row],[qual_adj]:[range_adj]])</f>
        <v>0.97457556147776347</v>
      </c>
      <c r="BZ1086" s="7">
        <f>(Wapato_Inventory[[#This Row],[sum_land]]-IF(Wapato_Inventory[[#This Row],[no_utilities]]=1,12000,0))/IF(Wapato_Inventory[[#This Row],[unbuildable]]=1,2,1)</f>
        <v>53600</v>
      </c>
      <c r="CA1086" s="7">
        <f>Wapato_Inventory[[#This Row],[pre_res]]*Wapato_Inventory[[#This Row],[overall_adj]]</f>
        <v>91316.718481542106</v>
      </c>
      <c r="CB1086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086" s="3">
        <f>IF(ROUND(Wapato_Inventory[[#This Row],[adj_res]]*Lookups!$H$48,-2)&lt;Wapato_Inventory[[#This Row],[min_res]],Wapato_Inventory[[#This Row],[min_res]],ROUND(Wapato_Inventory[[#This Row],[adj_res]]*Lookups!$H$48,-2))</f>
        <v>86800</v>
      </c>
      <c r="CD1086" s="3">
        <f>ROUND(Wapato_Inventory[[#This Row],[det_value]]*Lookups!$H$48,-2)</f>
        <v>6100</v>
      </c>
      <c r="CE1086" s="3">
        <f>Wapato_Inventory[[#This Row],[final_res]]+Wapato_Inventory[[#This Row],[final_det]]</f>
        <v>92900</v>
      </c>
      <c r="CF1086" s="3">
        <f>Wapato_Inventory[[#This Row],[crop_value]]+Wapato_Inventory[[#This Row],[final_land]]+Wapato_Inventory[[#This Row],[final_imp]]</f>
        <v>143800</v>
      </c>
      <c r="CH1086" t="str">
        <f t="shared" si="16"/>
        <v>update valuation set market_land =50900, market_bldg=92900, market_total =143800, market_mdno =405, market_date ='9/10/2023' where link_id = (select link_id from parcel where parcel_year = '2024' and parcel_id = '19111541006');</v>
      </c>
    </row>
    <row r="1087" spans="1:86" x14ac:dyDescent="0.25">
      <c r="A1087">
        <v>19111541007</v>
      </c>
      <c r="B1087">
        <v>0.08</v>
      </c>
      <c r="C1087">
        <v>3656</v>
      </c>
      <c r="D1087" t="s">
        <v>144</v>
      </c>
      <c r="E1087" t="s">
        <v>54</v>
      </c>
      <c r="F1087" t="s">
        <v>54</v>
      </c>
      <c r="G1087">
        <v>3</v>
      </c>
      <c r="H1087" t="s">
        <v>55</v>
      </c>
      <c r="I1087">
        <v>49200</v>
      </c>
      <c r="J1087">
        <v>27900</v>
      </c>
      <c r="K1087">
        <v>0.08</v>
      </c>
      <c r="L1087">
        <f>IF(Wapato_Inventory[[#This Row],[parcel_acres]]-Wapato_Inventory[[#This Row],[non_valued_acres]] =0,0,LN(Wapato_Inventory[[#This Row],[parcel_acres]]-Wapato_Inventory[[#This Row],[non_valued_acres]]))</f>
        <v>-2.5257286443082556</v>
      </c>
      <c r="M1087">
        <v>0</v>
      </c>
      <c r="N1087">
        <v>0</v>
      </c>
      <c r="O1087">
        <v>0</v>
      </c>
      <c r="P1087">
        <v>27904.037</v>
      </c>
      <c r="Q1087">
        <v>74398</v>
      </c>
      <c r="R1087" s="3">
        <f>(Wapato_Inventory[[#This Row],[ln_acres]]*Wapato_Inventory[[#This Row],[coeff]])+Wapato_Inventory[[#This Row],[const]]</f>
        <v>3919.9744572625932</v>
      </c>
      <c r="S1087" t="s">
        <v>66</v>
      </c>
      <c r="T1087">
        <v>1</v>
      </c>
      <c r="U1087" t="s">
        <v>71</v>
      </c>
      <c r="V1087" t="s">
        <v>73</v>
      </c>
      <c r="W1087">
        <v>0</v>
      </c>
      <c r="X1087">
        <v>0</v>
      </c>
      <c r="Y1087">
        <v>53</v>
      </c>
      <c r="Z1087">
        <v>93</v>
      </c>
      <c r="AA1087">
        <v>100</v>
      </c>
      <c r="AB1087">
        <v>1000</v>
      </c>
      <c r="AC1087">
        <v>720</v>
      </c>
      <c r="AD1087">
        <v>720</v>
      </c>
      <c r="AE1087">
        <v>0</v>
      </c>
      <c r="AF1087">
        <v>0</v>
      </c>
      <c r="AG1087">
        <v>0</v>
      </c>
      <c r="AH1087">
        <v>0</v>
      </c>
      <c r="AI1087">
        <v>0</v>
      </c>
      <c r="AJ1087">
        <v>0</v>
      </c>
      <c r="AK1087">
        <v>0</v>
      </c>
      <c r="AL1087">
        <v>0</v>
      </c>
      <c r="AM1087">
        <v>0</v>
      </c>
      <c r="AN1087">
        <v>0</v>
      </c>
      <c r="AO1087">
        <v>0</v>
      </c>
      <c r="AP1087">
        <v>5</v>
      </c>
      <c r="AQ1087">
        <v>0</v>
      </c>
      <c r="AR1087">
        <v>0</v>
      </c>
      <c r="AS1087" t="s">
        <v>59</v>
      </c>
      <c r="AT1087">
        <v>1</v>
      </c>
      <c r="AU1087" t="s">
        <v>72</v>
      </c>
      <c r="AV1087" t="s">
        <v>65</v>
      </c>
      <c r="AW1087">
        <v>0</v>
      </c>
      <c r="AX1087">
        <v>2</v>
      </c>
      <c r="AY1087">
        <v>0</v>
      </c>
      <c r="AZ1087">
        <v>0</v>
      </c>
      <c r="BA1087">
        <v>100</v>
      </c>
      <c r="BB1087">
        <v>100</v>
      </c>
      <c r="BC1087">
        <v>100</v>
      </c>
      <c r="BD1087">
        <v>100</v>
      </c>
      <c r="BE1087">
        <v>1</v>
      </c>
      <c r="BF1087">
        <v>15000</v>
      </c>
      <c r="BG1087">
        <v>1000</v>
      </c>
      <c r="BH1087" s="7">
        <f>ROUND(Wapato_Inventory[[#This Row],[detatched_value]]*Lookups!$B$22*Lookups!$H$48,-2)</f>
        <v>0</v>
      </c>
      <c r="BI1087" s="7">
        <f>ROUND(((Wapato_Inventory[[#This Row],[land_extract]]*Lookups!$B$3) +(Lookups!$B$2*0.5))*Lookups!$H$48,-2)</f>
        <v>51500</v>
      </c>
      <c r="BJ1087" s="7">
        <f>IF(Wapato_Inventory[[#This Row],[bldg_style]]="",0,Lookups!$B$2*0.5)</f>
        <v>53765.27</v>
      </c>
      <c r="BK1087" s="7">
        <f>_xlfn.IFNA(VLOOKUP(Wapato_Inventory[[#This Row],[quality]],Lookups!$H$2:$J$14,3,FALSE),0)</f>
        <v>28034</v>
      </c>
      <c r="BL1087" s="7">
        <f>_xlfn.IFNA(VLOOKUP(Wapato_Inventory[[#This Row],[condition]],Lookups!$H$17:$J$24,3,FALSE),0)</f>
        <v>16276</v>
      </c>
      <c r="BM1087" s="7">
        <f>Wapato_Inventory[[#This Row],[Age]]*Lookups!$B$16</f>
        <v>-34472.840100000001</v>
      </c>
      <c r="BN1087" s="7">
        <f>Wapato_Inventory[[#This Row],[Main Floor]]*Lookups!$B$17</f>
        <v>30096.532080000001</v>
      </c>
      <c r="BO1087" s="7">
        <f>Wapato_Inventory[[#This Row],[Upper Floor]]*Lookups!$B$18</f>
        <v>0</v>
      </c>
      <c r="BP1087" s="7">
        <f>Wapato_Inventory[[#This Row],[Fin BSMT]]*Lookups!$B$19</f>
        <v>0</v>
      </c>
      <c r="BQ1087" s="7">
        <f>(Wapato_Inventory[[#This Row],[att_gar]]+Wapato_Inventory[[#This Row],[blt_gar]])*Lookups!$B$20</f>
        <v>0</v>
      </c>
      <c r="BR1087" s="7">
        <f>Wapato_Inventory[[#This Row],[Patio]]*Lookups!$B$21</f>
        <v>0</v>
      </c>
      <c r="BS1087" s="7">
        <f>SUM(Wapato_Inventory[[#This Row],[intercept]:[patio_value]])*Wapato_Inventory[[#This Row],[res_pct]]</f>
        <v>93698.961979999993</v>
      </c>
      <c r="BT1087" s="7">
        <f>Wapato_Inventory[[#This Row],[land_value]]</f>
        <v>51500</v>
      </c>
      <c r="BU1087" s="2">
        <f>_xlfn.IFNA(VLOOKUP(Wapato_Inventory[[#This Row],[quality]],Lookups!$A$28:$C$37,3,FALSE),1)</f>
        <v>0.96265813922927435</v>
      </c>
      <c r="BV1087" s="2">
        <f>_xlfn.IFNA(VLOOKUP(Wapato_Inventory[[#This Row],[condition]],Lookups!$A$41:$C$48,3,FALSE),1)</f>
        <v>0.93399385491337139</v>
      </c>
      <c r="BW1087" s="2">
        <f>IF(Wapato_Inventory[[#This Row],[decade]]="",1,_xlfn.IFNA(VLOOKUP(Wapato_Inventory[[#This Row],[decade]],Lookups!$F$28:$H$45,3,FALSE),1))</f>
        <v>1.0114203040664467</v>
      </c>
      <c r="BX1087" s="2">
        <f>_xlfn.IFNA(VLOOKUP(Wapato_Inventory[[#This Row],[living_area_range]],Lookups!$K$28:$M$37,3,FALSE),1)</f>
        <v>0.99022994770196116</v>
      </c>
      <c r="BY1087" s="2">
        <f>AVERAGE(Wapato_Inventory[[#This Row],[qual_adj]:[range_adj]])</f>
        <v>0.97457556147776347</v>
      </c>
      <c r="BZ1087" s="7">
        <f>(Wapato_Inventory[[#This Row],[sum_land]]-IF(Wapato_Inventory[[#This Row],[no_utilities]]=1,12000,0))/IF(Wapato_Inventory[[#This Row],[unbuildable]]=1,2,1)</f>
        <v>51500</v>
      </c>
      <c r="CA1087" s="7">
        <f>Wapato_Inventory[[#This Row],[pre_res]]*Wapato_Inventory[[#This Row],[overall_adj]]</f>
        <v>91316.718481542106</v>
      </c>
      <c r="CB1087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1087" s="3">
        <f>IF(ROUND(Wapato_Inventory[[#This Row],[adj_res]]*Lookups!$H$48,-2)&lt;Wapato_Inventory[[#This Row],[min_res]],Wapato_Inventory[[#This Row],[min_res]],ROUND(Wapato_Inventory[[#This Row],[adj_res]]*Lookups!$H$48,-2))</f>
        <v>86800</v>
      </c>
      <c r="CD1087" s="3">
        <f>ROUND(Wapato_Inventory[[#This Row],[det_value]]*Lookups!$H$48,-2)</f>
        <v>0</v>
      </c>
      <c r="CE1087" s="3">
        <f>Wapato_Inventory[[#This Row],[final_res]]+Wapato_Inventory[[#This Row],[final_det]]</f>
        <v>86800</v>
      </c>
      <c r="CF1087" s="3">
        <f>Wapato_Inventory[[#This Row],[crop_value]]+Wapato_Inventory[[#This Row],[final_land]]+Wapato_Inventory[[#This Row],[final_imp]]</f>
        <v>135700</v>
      </c>
      <c r="CH1087" t="str">
        <f t="shared" si="16"/>
        <v>update valuation set market_land =48900, market_bldg=86800, market_total =135700, market_mdno =405, market_date ='9/10/2023' where link_id = (select link_id from parcel where parcel_year = '2024' and parcel_id = '19111541007');</v>
      </c>
    </row>
    <row r="1088" spans="1:86" x14ac:dyDescent="0.25">
      <c r="A1088">
        <v>19111541008</v>
      </c>
      <c r="B1088">
        <v>0.16</v>
      </c>
      <c r="C1088">
        <v>6755</v>
      </c>
      <c r="D1088" t="s">
        <v>144</v>
      </c>
      <c r="E1088" t="s">
        <v>54</v>
      </c>
      <c r="F1088" t="s">
        <v>54</v>
      </c>
      <c r="G1088">
        <v>3</v>
      </c>
      <c r="H1088" t="s">
        <v>55</v>
      </c>
      <c r="I1088">
        <v>181700</v>
      </c>
      <c r="J1088">
        <v>32800</v>
      </c>
      <c r="K1088">
        <v>0.16</v>
      </c>
      <c r="L1088">
        <f>IF(Wapato_Inventory[[#This Row],[parcel_acres]]-Wapato_Inventory[[#This Row],[non_valued_acres]] =0,0,LN(Wapato_Inventory[[#This Row],[parcel_acres]]-Wapato_Inventory[[#This Row],[non_valued_acres]]))</f>
        <v>-1.8325814637483102</v>
      </c>
      <c r="M1088">
        <v>0</v>
      </c>
      <c r="N1088">
        <v>0</v>
      </c>
      <c r="O1088">
        <v>0</v>
      </c>
      <c r="P1088">
        <v>27904.037</v>
      </c>
      <c r="Q1088">
        <v>74398</v>
      </c>
      <c r="R1088" s="3">
        <f>(Wapato_Inventory[[#This Row],[ln_acres]]*Wapato_Inventory[[#This Row],[coeff]])+Wapato_Inventory[[#This Row],[const]]</f>
        <v>23261.579030052992</v>
      </c>
      <c r="S1088" t="s">
        <v>66</v>
      </c>
      <c r="T1088">
        <v>1</v>
      </c>
      <c r="U1088" t="s">
        <v>75</v>
      </c>
      <c r="V1088" t="s">
        <v>69</v>
      </c>
      <c r="W1088">
        <v>0</v>
      </c>
      <c r="X1088">
        <v>0</v>
      </c>
      <c r="Y1088">
        <v>53</v>
      </c>
      <c r="Z1088">
        <v>93</v>
      </c>
      <c r="AA1088">
        <v>100</v>
      </c>
      <c r="AB1088">
        <v>1500</v>
      </c>
      <c r="AC1088">
        <v>1140</v>
      </c>
      <c r="AD1088">
        <v>1140</v>
      </c>
      <c r="AE1088">
        <v>0</v>
      </c>
      <c r="AF1088">
        <v>0</v>
      </c>
      <c r="AG1088">
        <v>0</v>
      </c>
      <c r="AH1088">
        <v>0</v>
      </c>
      <c r="AI1088">
        <v>0</v>
      </c>
      <c r="AJ1088">
        <v>0</v>
      </c>
      <c r="AK1088">
        <v>0</v>
      </c>
      <c r="AL1088">
        <v>0</v>
      </c>
      <c r="AM1088">
        <v>0</v>
      </c>
      <c r="AN1088">
        <v>32</v>
      </c>
      <c r="AO1088">
        <v>0</v>
      </c>
      <c r="AP1088">
        <v>5</v>
      </c>
      <c r="AQ1088">
        <v>0</v>
      </c>
      <c r="AR1088">
        <v>0</v>
      </c>
      <c r="AS1088" t="s">
        <v>59</v>
      </c>
      <c r="AT1088">
        <v>1</v>
      </c>
      <c r="AU1088" t="s">
        <v>76</v>
      </c>
      <c r="AV1088" t="s">
        <v>61</v>
      </c>
      <c r="AW1088">
        <v>0</v>
      </c>
      <c r="AX1088">
        <v>3</v>
      </c>
      <c r="AY1088">
        <v>0</v>
      </c>
      <c r="AZ1088">
        <v>6000</v>
      </c>
      <c r="BA1088">
        <v>100</v>
      </c>
      <c r="BB1088">
        <v>100</v>
      </c>
      <c r="BC1088">
        <v>100</v>
      </c>
      <c r="BD1088">
        <v>100</v>
      </c>
      <c r="BE1088">
        <v>1</v>
      </c>
      <c r="BF1088">
        <v>15000</v>
      </c>
      <c r="BG1088">
        <v>1000</v>
      </c>
      <c r="BH1088" s="7">
        <f>ROUND(Wapato_Inventory[[#This Row],[detatched_value]]*Lookups!$B$22*Lookups!$H$48,-2)</f>
        <v>5400</v>
      </c>
      <c r="BI1088" s="7">
        <f>ROUND(((Wapato_Inventory[[#This Row],[land_extract]]*Lookups!$B$3) +(Lookups!$B$2*0.5))*Lookups!$H$48,-2)</f>
        <v>53300</v>
      </c>
      <c r="BJ1088" s="7">
        <f>IF(Wapato_Inventory[[#This Row],[bldg_style]]="",0,Lookups!$B$2*0.5)</f>
        <v>53765.27</v>
      </c>
      <c r="BK1088" s="7">
        <f>_xlfn.IFNA(VLOOKUP(Wapato_Inventory[[#This Row],[quality]],Lookups!$H$2:$J$14,3,FALSE),0)</f>
        <v>48043</v>
      </c>
      <c r="BL1088" s="7">
        <f>_xlfn.IFNA(VLOOKUP(Wapato_Inventory[[#This Row],[condition]],Lookups!$H$17:$J$24,3,FALSE),0)</f>
        <v>74543</v>
      </c>
      <c r="BM1088" s="7">
        <f>Wapato_Inventory[[#This Row],[Age]]*Lookups!$B$16</f>
        <v>-34472.840100000001</v>
      </c>
      <c r="BN1088" s="7">
        <f>Wapato_Inventory[[#This Row],[Main Floor]]*Lookups!$B$17</f>
        <v>47652.84246</v>
      </c>
      <c r="BO1088" s="7">
        <f>Wapato_Inventory[[#This Row],[Upper Floor]]*Lookups!$B$18</f>
        <v>0</v>
      </c>
      <c r="BP1088" s="7">
        <f>Wapato_Inventory[[#This Row],[Fin BSMT]]*Lookups!$B$19</f>
        <v>0</v>
      </c>
      <c r="BQ1088" s="7">
        <f>(Wapato_Inventory[[#This Row],[att_gar]]+Wapato_Inventory[[#This Row],[blt_gar]])*Lookups!$B$20</f>
        <v>0</v>
      </c>
      <c r="BR1088" s="7">
        <f>Wapato_Inventory[[#This Row],[Patio]]*Lookups!$B$21</f>
        <v>0</v>
      </c>
      <c r="BS1088" s="7">
        <f>SUM(Wapato_Inventory[[#This Row],[intercept]:[patio_value]])*Wapato_Inventory[[#This Row],[res_pct]]</f>
        <v>189531.27236</v>
      </c>
      <c r="BT1088" s="7">
        <f>Wapato_Inventory[[#This Row],[land_value]]</f>
        <v>53300</v>
      </c>
      <c r="BU1088" s="2">
        <f>_xlfn.IFNA(VLOOKUP(Wapato_Inventory[[#This Row],[quality]],Lookups!$A$28:$C$37,3,FALSE),1)</f>
        <v>0.98196844879778955</v>
      </c>
      <c r="BV1088" s="2">
        <f>_xlfn.IFNA(VLOOKUP(Wapato_Inventory[[#This Row],[condition]],Lookups!$A$41:$C$48,3,FALSE),1)</f>
        <v>0.98442438223270734</v>
      </c>
      <c r="BW1088" s="2">
        <f>IF(Wapato_Inventory[[#This Row],[decade]]="",1,_xlfn.IFNA(VLOOKUP(Wapato_Inventory[[#This Row],[decade]],Lookups!$F$28:$H$45,3,FALSE),1))</f>
        <v>1.0114203040664467</v>
      </c>
      <c r="BX1088" s="2">
        <f>_xlfn.IFNA(VLOOKUP(Wapato_Inventory[[#This Row],[living_area_range]],Lookups!$K$28:$M$37,3,FALSE),1)</f>
        <v>1.0061411172456287</v>
      </c>
      <c r="BY1088" s="2">
        <f>AVERAGE(Wapato_Inventory[[#This Row],[qual_adj]:[range_adj]])</f>
        <v>0.9959885630856431</v>
      </c>
      <c r="BZ1088" s="7">
        <f>(Wapato_Inventory[[#This Row],[sum_land]]-IF(Wapato_Inventory[[#This Row],[no_utilities]]=1,12000,0))/IF(Wapato_Inventory[[#This Row],[unbuildable]]=1,2,1)</f>
        <v>53300</v>
      </c>
      <c r="CA1088" s="7">
        <f>Wapato_Inventory[[#This Row],[pre_res]]*Wapato_Inventory[[#This Row],[overall_adj]]</f>
        <v>188770.97961763007</v>
      </c>
      <c r="CB1088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1088" s="3">
        <f>IF(ROUND(Wapato_Inventory[[#This Row],[adj_res]]*Lookups!$H$48,-2)&lt;Wapato_Inventory[[#This Row],[min_res]],Wapato_Inventory[[#This Row],[min_res]],ROUND(Wapato_Inventory[[#This Row],[adj_res]]*Lookups!$H$48,-2))</f>
        <v>179300</v>
      </c>
      <c r="CD1088" s="3">
        <f>ROUND(Wapato_Inventory[[#This Row],[det_value]]*Lookups!$H$48,-2)</f>
        <v>5100</v>
      </c>
      <c r="CE1088" s="3">
        <f>Wapato_Inventory[[#This Row],[final_res]]+Wapato_Inventory[[#This Row],[final_det]]</f>
        <v>184400</v>
      </c>
      <c r="CF1088" s="3">
        <f>Wapato_Inventory[[#This Row],[crop_value]]+Wapato_Inventory[[#This Row],[final_land]]+Wapato_Inventory[[#This Row],[final_imp]]</f>
        <v>235000</v>
      </c>
      <c r="CH1088" t="str">
        <f t="shared" si="16"/>
        <v>update valuation set market_land =50600, market_bldg=184400, market_total =235000, market_mdno =405, market_date ='9/10/2023' where link_id = (select link_id from parcel where parcel_year = '2024' and parcel_id = '19111541008');</v>
      </c>
    </row>
    <row r="1089" spans="1:86" x14ac:dyDescent="0.25">
      <c r="A1089">
        <v>19111541009</v>
      </c>
      <c r="B1089">
        <v>0.19</v>
      </c>
      <c r="C1089">
        <v>8358</v>
      </c>
      <c r="D1089" t="s">
        <v>144</v>
      </c>
      <c r="E1089" t="s">
        <v>54</v>
      </c>
      <c r="F1089" t="s">
        <v>54</v>
      </c>
      <c r="G1089">
        <v>3</v>
      </c>
      <c r="H1089" t="s">
        <v>55</v>
      </c>
      <c r="I1089">
        <v>98900</v>
      </c>
      <c r="J1089">
        <v>34100</v>
      </c>
      <c r="K1089">
        <v>0.19</v>
      </c>
      <c r="L1089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89">
        <v>0</v>
      </c>
      <c r="N1089">
        <v>0</v>
      </c>
      <c r="O1089">
        <v>0</v>
      </c>
      <c r="P1089">
        <v>27904.037</v>
      </c>
      <c r="Q1089">
        <v>74398</v>
      </c>
      <c r="R1089" s="3">
        <f>(Wapato_Inventory[[#This Row],[ln_acres]]*Wapato_Inventory[[#This Row],[coeff]])+Wapato_Inventory[[#This Row],[const]]</f>
        <v>28056.894957794</v>
      </c>
      <c r="S1089" t="s">
        <v>66</v>
      </c>
      <c r="T1089">
        <v>1</v>
      </c>
      <c r="U1089" t="s">
        <v>71</v>
      </c>
      <c r="V1089" t="s">
        <v>68</v>
      </c>
      <c r="W1089">
        <v>0</v>
      </c>
      <c r="X1089">
        <v>0</v>
      </c>
      <c r="Y1089">
        <v>53</v>
      </c>
      <c r="Z1089">
        <v>93</v>
      </c>
      <c r="AA1089">
        <v>100</v>
      </c>
      <c r="AB1089">
        <v>1000</v>
      </c>
      <c r="AC1089">
        <v>720</v>
      </c>
      <c r="AD1089">
        <v>720</v>
      </c>
      <c r="AE1089">
        <v>0</v>
      </c>
      <c r="AF1089">
        <v>0</v>
      </c>
      <c r="AG1089">
        <v>0</v>
      </c>
      <c r="AH1089">
        <v>0</v>
      </c>
      <c r="AI1089">
        <v>0</v>
      </c>
      <c r="AJ1089">
        <v>0</v>
      </c>
      <c r="AK1089">
        <v>0</v>
      </c>
      <c r="AL1089">
        <v>0</v>
      </c>
      <c r="AM1089">
        <v>0</v>
      </c>
      <c r="AN1089">
        <v>0</v>
      </c>
      <c r="AO1089">
        <v>0</v>
      </c>
      <c r="AP1089">
        <v>5</v>
      </c>
      <c r="AQ1089">
        <v>0</v>
      </c>
      <c r="AR1089">
        <v>0</v>
      </c>
      <c r="AS1089" t="s">
        <v>59</v>
      </c>
      <c r="AT1089">
        <v>0</v>
      </c>
      <c r="AU1089" t="s">
        <v>80</v>
      </c>
      <c r="AV1089" t="s">
        <v>65</v>
      </c>
      <c r="AW1089">
        <v>0</v>
      </c>
      <c r="AX1089">
        <v>2</v>
      </c>
      <c r="AY1089">
        <v>0</v>
      </c>
      <c r="AZ1089">
        <v>8600</v>
      </c>
      <c r="BA1089">
        <v>100</v>
      </c>
      <c r="BB1089">
        <v>100</v>
      </c>
      <c r="BC1089">
        <v>100</v>
      </c>
      <c r="BD1089">
        <v>100</v>
      </c>
      <c r="BE1089">
        <v>1</v>
      </c>
      <c r="BF1089">
        <v>15000</v>
      </c>
      <c r="BG1089">
        <v>1000</v>
      </c>
      <c r="BH1089" s="7">
        <f>ROUND(Wapato_Inventory[[#This Row],[detatched_value]]*Lookups!$B$22*Lookups!$H$48,-2)</f>
        <v>7700</v>
      </c>
      <c r="BI1089" s="7">
        <f>ROUND(((Wapato_Inventory[[#This Row],[land_extract]]*Lookups!$B$3) +(Lookups!$B$2*0.5))*Lookups!$H$48,-2)</f>
        <v>53800</v>
      </c>
      <c r="BJ1089" s="7">
        <f>IF(Wapato_Inventory[[#This Row],[bldg_style]]="",0,Lookups!$B$2*0.5)</f>
        <v>53765.27</v>
      </c>
      <c r="BK1089" s="7">
        <f>_xlfn.IFNA(VLOOKUP(Wapato_Inventory[[#This Row],[quality]],Lookups!$H$2:$J$14,3,FALSE),0)</f>
        <v>28034</v>
      </c>
      <c r="BL1089" s="7">
        <f>_xlfn.IFNA(VLOOKUP(Wapato_Inventory[[#This Row],[condition]],Lookups!$H$17:$J$24,3,FALSE),0)</f>
        <v>52231</v>
      </c>
      <c r="BM1089" s="7">
        <f>Wapato_Inventory[[#This Row],[Age]]*Lookups!$B$16</f>
        <v>-34472.840100000001</v>
      </c>
      <c r="BN1089" s="7">
        <f>Wapato_Inventory[[#This Row],[Main Floor]]*Lookups!$B$17</f>
        <v>30096.532080000001</v>
      </c>
      <c r="BO1089" s="7">
        <f>Wapato_Inventory[[#This Row],[Upper Floor]]*Lookups!$B$18</f>
        <v>0</v>
      </c>
      <c r="BP1089" s="7">
        <f>Wapato_Inventory[[#This Row],[Fin BSMT]]*Lookups!$B$19</f>
        <v>0</v>
      </c>
      <c r="BQ1089" s="7">
        <f>(Wapato_Inventory[[#This Row],[att_gar]]+Wapato_Inventory[[#This Row],[blt_gar]])*Lookups!$B$20</f>
        <v>0</v>
      </c>
      <c r="BR1089" s="7">
        <f>Wapato_Inventory[[#This Row],[Patio]]*Lookups!$B$21</f>
        <v>0</v>
      </c>
      <c r="BS1089" s="7">
        <f>SUM(Wapato_Inventory[[#This Row],[intercept]:[patio_value]])*Wapato_Inventory[[#This Row],[res_pct]]</f>
        <v>129653.96197999999</v>
      </c>
      <c r="BT1089" s="7">
        <f>Wapato_Inventory[[#This Row],[land_value]]</f>
        <v>53800</v>
      </c>
      <c r="BU1089" s="2">
        <f>_xlfn.IFNA(VLOOKUP(Wapato_Inventory[[#This Row],[quality]],Lookups!$A$28:$C$37,3,FALSE),1)</f>
        <v>0.96265813922927435</v>
      </c>
      <c r="BV1089" s="2">
        <f>_xlfn.IFNA(VLOOKUP(Wapato_Inventory[[#This Row],[condition]],Lookups!$A$41:$C$48,3,FALSE),1)</f>
        <v>0.9832333997567807</v>
      </c>
      <c r="BW1089" s="2">
        <f>IF(Wapato_Inventory[[#This Row],[decade]]="",1,_xlfn.IFNA(VLOOKUP(Wapato_Inventory[[#This Row],[decade]],Lookups!$F$28:$H$45,3,FALSE),1))</f>
        <v>1.0114203040664467</v>
      </c>
      <c r="BX1089" s="2">
        <f>_xlfn.IFNA(VLOOKUP(Wapato_Inventory[[#This Row],[living_area_range]],Lookups!$K$28:$M$37,3,FALSE),1)</f>
        <v>0.99022994770196116</v>
      </c>
      <c r="BY1089" s="2">
        <f>AVERAGE(Wapato_Inventory[[#This Row],[qual_adj]:[range_adj]])</f>
        <v>0.98688544768861564</v>
      </c>
      <c r="BZ1089" s="7">
        <f>(Wapato_Inventory[[#This Row],[sum_land]]-IF(Wapato_Inventory[[#This Row],[no_utilities]]=1,12000,0))/IF(Wapato_Inventory[[#This Row],[unbuildable]]=1,2,1)</f>
        <v>53800</v>
      </c>
      <c r="CA1089" s="7">
        <f>Wapato_Inventory[[#This Row],[pre_res]]*Wapato_Inventory[[#This Row],[overall_adj]]</f>
        <v>127953.60831323505</v>
      </c>
      <c r="CB1089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89" s="3">
        <f>IF(ROUND(Wapato_Inventory[[#This Row],[adj_res]]*Lookups!$H$48,-2)&lt;Wapato_Inventory[[#This Row],[min_res]],Wapato_Inventory[[#This Row],[min_res]],ROUND(Wapato_Inventory[[#This Row],[adj_res]]*Lookups!$H$48,-2))</f>
        <v>121600</v>
      </c>
      <c r="CD1089" s="3">
        <f>ROUND(Wapato_Inventory[[#This Row],[det_value]]*Lookups!$H$48,-2)</f>
        <v>7300</v>
      </c>
      <c r="CE1089" s="3">
        <f>Wapato_Inventory[[#This Row],[final_res]]+Wapato_Inventory[[#This Row],[final_det]]</f>
        <v>128900</v>
      </c>
      <c r="CF1089" s="3">
        <f>Wapato_Inventory[[#This Row],[crop_value]]+Wapato_Inventory[[#This Row],[final_land]]+Wapato_Inventory[[#This Row],[final_imp]]</f>
        <v>180000</v>
      </c>
      <c r="CH1089" t="str">
        <f t="shared" si="16"/>
        <v>update valuation set market_land =51100, market_bldg=128900, market_total =180000, market_mdno =405, market_date ='9/10/2023' where link_id = (select link_id from parcel where parcel_year = '2024' and parcel_id = '19111541009');</v>
      </c>
    </row>
    <row r="1090" spans="1:86" x14ac:dyDescent="0.25">
      <c r="A1090">
        <v>19111541011</v>
      </c>
      <c r="B1090">
        <v>0.08</v>
      </c>
      <c r="C1090">
        <v>3533</v>
      </c>
      <c r="D1090" t="s">
        <v>144</v>
      </c>
      <c r="E1090" t="s">
        <v>54</v>
      </c>
      <c r="F1090" t="s">
        <v>54</v>
      </c>
      <c r="G1090">
        <v>3</v>
      </c>
      <c r="H1090" t="s">
        <v>55</v>
      </c>
      <c r="I1090">
        <v>101300</v>
      </c>
      <c r="J1090">
        <v>27900</v>
      </c>
      <c r="K1090">
        <v>0.08</v>
      </c>
      <c r="L1090">
        <f>IF(Wapato_Inventory[[#This Row],[parcel_acres]]-Wapato_Inventory[[#This Row],[non_valued_acres]] =0,0,LN(Wapato_Inventory[[#This Row],[parcel_acres]]-Wapato_Inventory[[#This Row],[non_valued_acres]]))</f>
        <v>-2.5257286443082556</v>
      </c>
      <c r="M1090">
        <v>0</v>
      </c>
      <c r="N1090">
        <v>0</v>
      </c>
      <c r="O1090">
        <v>0</v>
      </c>
      <c r="P1090">
        <v>27904.037</v>
      </c>
      <c r="Q1090">
        <v>74398</v>
      </c>
      <c r="R1090" s="3">
        <f>(Wapato_Inventory[[#This Row],[ln_acres]]*Wapato_Inventory[[#This Row],[coeff]])+Wapato_Inventory[[#This Row],[const]]</f>
        <v>3919.9744572625932</v>
      </c>
      <c r="S1090" t="s">
        <v>66</v>
      </c>
      <c r="T1090">
        <v>1</v>
      </c>
      <c r="U1090" t="s">
        <v>71</v>
      </c>
      <c r="V1090" t="s">
        <v>68</v>
      </c>
      <c r="W1090">
        <v>0</v>
      </c>
      <c r="X1090">
        <v>0</v>
      </c>
      <c r="Y1090">
        <v>55</v>
      </c>
      <c r="Z1090">
        <v>98</v>
      </c>
      <c r="AA1090">
        <v>100</v>
      </c>
      <c r="AB1090">
        <v>1000</v>
      </c>
      <c r="AC1090">
        <v>888</v>
      </c>
      <c r="AD1090">
        <v>888</v>
      </c>
      <c r="AE1090">
        <v>0</v>
      </c>
      <c r="AF1090">
        <v>0</v>
      </c>
      <c r="AG1090">
        <v>0</v>
      </c>
      <c r="AH1090">
        <v>0</v>
      </c>
      <c r="AI1090">
        <v>0</v>
      </c>
      <c r="AJ1090">
        <v>0</v>
      </c>
      <c r="AK1090">
        <v>0</v>
      </c>
      <c r="AL1090">
        <v>0</v>
      </c>
      <c r="AM1090">
        <v>0</v>
      </c>
      <c r="AN1090">
        <v>64</v>
      </c>
      <c r="AO1090">
        <v>0</v>
      </c>
      <c r="AP1090">
        <v>5</v>
      </c>
      <c r="AQ1090">
        <v>0</v>
      </c>
      <c r="AR1090">
        <v>0</v>
      </c>
      <c r="AS1090" t="s">
        <v>59</v>
      </c>
      <c r="AT1090">
        <v>1</v>
      </c>
      <c r="AU1090" t="s">
        <v>72</v>
      </c>
      <c r="AV1090" t="s">
        <v>61</v>
      </c>
      <c r="AW1090">
        <v>0</v>
      </c>
      <c r="AX1090">
        <v>2</v>
      </c>
      <c r="AY1090">
        <v>0</v>
      </c>
      <c r="AZ1090">
        <v>0</v>
      </c>
      <c r="BA1090">
        <v>100</v>
      </c>
      <c r="BB1090">
        <v>100</v>
      </c>
      <c r="BC1090">
        <v>100</v>
      </c>
      <c r="BD1090">
        <v>100</v>
      </c>
      <c r="BE1090">
        <v>1</v>
      </c>
      <c r="BF1090">
        <v>15000</v>
      </c>
      <c r="BG1090">
        <v>1000</v>
      </c>
      <c r="BH1090" s="7">
        <f>ROUND(Wapato_Inventory[[#This Row],[detatched_value]]*Lookups!$B$22*Lookups!$H$48,-2)</f>
        <v>0</v>
      </c>
      <c r="BI1090" s="7">
        <f>ROUND(((Wapato_Inventory[[#This Row],[land_extract]]*Lookups!$B$3) +(Lookups!$B$2*0.5))*Lookups!$H$48,-2)</f>
        <v>51500</v>
      </c>
      <c r="BJ1090" s="7">
        <f>IF(Wapato_Inventory[[#This Row],[bldg_style]]="",0,Lookups!$B$2*0.5)</f>
        <v>53765.27</v>
      </c>
      <c r="BK1090" s="7">
        <f>_xlfn.IFNA(VLOOKUP(Wapato_Inventory[[#This Row],[quality]],Lookups!$H$2:$J$14,3,FALSE),0)</f>
        <v>28034</v>
      </c>
      <c r="BL1090" s="7">
        <f>_xlfn.IFNA(VLOOKUP(Wapato_Inventory[[#This Row],[condition]],Lookups!$H$17:$J$24,3,FALSE),0)</f>
        <v>52231</v>
      </c>
      <c r="BM1090" s="7">
        <f>Wapato_Inventory[[#This Row],[Age]]*Lookups!$B$16</f>
        <v>-36326.2186</v>
      </c>
      <c r="BN1090" s="7">
        <f>Wapato_Inventory[[#This Row],[Main Floor]]*Lookups!$B$17</f>
        <v>37119.056232000003</v>
      </c>
      <c r="BO1090" s="7">
        <f>Wapato_Inventory[[#This Row],[Upper Floor]]*Lookups!$B$18</f>
        <v>0</v>
      </c>
      <c r="BP1090" s="7">
        <f>Wapato_Inventory[[#This Row],[Fin BSMT]]*Lookups!$B$19</f>
        <v>0</v>
      </c>
      <c r="BQ1090" s="7">
        <f>(Wapato_Inventory[[#This Row],[att_gar]]+Wapato_Inventory[[#This Row],[blt_gar]])*Lookups!$B$20</f>
        <v>0</v>
      </c>
      <c r="BR1090" s="7">
        <f>Wapato_Inventory[[#This Row],[Patio]]*Lookups!$B$21</f>
        <v>0</v>
      </c>
      <c r="BS1090" s="7">
        <f>SUM(Wapato_Inventory[[#This Row],[intercept]:[patio_value]])*Wapato_Inventory[[#This Row],[res_pct]]</f>
        <v>134823.107632</v>
      </c>
      <c r="BT1090" s="7">
        <f>Wapato_Inventory[[#This Row],[land_value]]</f>
        <v>51500</v>
      </c>
      <c r="BU1090" s="2">
        <f>_xlfn.IFNA(VLOOKUP(Wapato_Inventory[[#This Row],[quality]],Lookups!$A$28:$C$37,3,FALSE),1)</f>
        <v>0.96265813922927435</v>
      </c>
      <c r="BV1090" s="2">
        <f>_xlfn.IFNA(VLOOKUP(Wapato_Inventory[[#This Row],[condition]],Lookups!$A$41:$C$48,3,FALSE),1)</f>
        <v>0.9832333997567807</v>
      </c>
      <c r="BW1090" s="2">
        <f>IF(Wapato_Inventory[[#This Row],[decade]]="",1,_xlfn.IFNA(VLOOKUP(Wapato_Inventory[[#This Row],[decade]],Lookups!$F$28:$H$45,3,FALSE),1))</f>
        <v>1.0114203040664467</v>
      </c>
      <c r="BX1090" s="2">
        <f>_xlfn.IFNA(VLOOKUP(Wapato_Inventory[[#This Row],[living_area_range]],Lookups!$K$28:$M$37,3,FALSE),1)</f>
        <v>0.99022994770196116</v>
      </c>
      <c r="BY1090" s="2">
        <f>AVERAGE(Wapato_Inventory[[#This Row],[qual_adj]:[range_adj]])</f>
        <v>0.98688544768861564</v>
      </c>
      <c r="BZ1090" s="7">
        <f>(Wapato_Inventory[[#This Row],[sum_land]]-IF(Wapato_Inventory[[#This Row],[no_utilities]]=1,12000,0))/IF(Wapato_Inventory[[#This Row],[unbuildable]]=1,2,1)</f>
        <v>51500</v>
      </c>
      <c r="CA1090" s="7">
        <f>Wapato_Inventory[[#This Row],[pre_res]]*Wapato_Inventory[[#This Row],[overall_adj]]</f>
        <v>133054.96293417673</v>
      </c>
      <c r="CB1090" s="3">
        <f>IF(ROUND(Wapato_Inventory[[#This Row],[adj_land]]*Lookups!$H$48,-2)&lt;Wapato_Inventory[[#This Row],[min_land]],Wapato_Inventory[[#This Row],[min_land]],ROUND(Wapato_Inventory[[#This Row],[adj_land]]*Lookups!$H$48,-2))</f>
        <v>48900</v>
      </c>
      <c r="CC1090" s="3">
        <f>IF(ROUND(Wapato_Inventory[[#This Row],[adj_res]]*Lookups!$H$48,-2)&lt;Wapato_Inventory[[#This Row],[min_res]],Wapato_Inventory[[#This Row],[min_res]],ROUND(Wapato_Inventory[[#This Row],[adj_res]]*Lookups!$H$48,-2))</f>
        <v>126400</v>
      </c>
      <c r="CD1090" s="3">
        <f>ROUND(Wapato_Inventory[[#This Row],[det_value]]*Lookups!$H$48,-2)</f>
        <v>0</v>
      </c>
      <c r="CE1090" s="3">
        <f>Wapato_Inventory[[#This Row],[final_res]]+Wapato_Inventory[[#This Row],[final_det]]</f>
        <v>126400</v>
      </c>
      <c r="CF1090" s="3">
        <f>Wapato_Inventory[[#This Row],[crop_value]]+Wapato_Inventory[[#This Row],[final_land]]+Wapato_Inventory[[#This Row],[final_imp]]</f>
        <v>175300</v>
      </c>
      <c r="CH1090" t="str">
        <f t="shared" ref="CH1090:CH1153" si="17">"update valuation set market_land ="&amp;CB1090&amp;", market_bldg="&amp;CE1090&amp;", market_total ="&amp;CF1090&amp;", market_mdno ="&amp;$CH$1&amp;", market_date ='"&amp;TEXT($CI$1,"m/d/yyyy")&amp;"' where link_id = (select link_id from parcel where parcel_year = '2024' and parcel_id = '"&amp;A1090&amp;"');"</f>
        <v>update valuation set market_land =48900, market_bldg=126400, market_total =175300, market_mdno =405, market_date ='9/10/2023' where link_id = (select link_id from parcel where parcel_year = '2024' and parcel_id = '19111541011');</v>
      </c>
    </row>
    <row r="1091" spans="1:86" x14ac:dyDescent="0.25">
      <c r="A1091">
        <v>19111542402</v>
      </c>
      <c r="B1091">
        <v>0.37</v>
      </c>
      <c r="C1091">
        <v>15975</v>
      </c>
      <c r="D1091" t="s">
        <v>144</v>
      </c>
      <c r="E1091" t="s">
        <v>54</v>
      </c>
      <c r="F1091" t="s">
        <v>54</v>
      </c>
      <c r="G1091">
        <v>3</v>
      </c>
      <c r="H1091" t="s">
        <v>55</v>
      </c>
      <c r="I1091">
        <v>256900</v>
      </c>
      <c r="J1091">
        <v>38300</v>
      </c>
      <c r="K1091">
        <v>0.37</v>
      </c>
      <c r="L1091">
        <f>IF(Wapato_Inventory[[#This Row],[parcel_acres]]-Wapato_Inventory[[#This Row],[non_valued_acres]] =0,0,LN(Wapato_Inventory[[#This Row],[parcel_acres]]-Wapato_Inventory[[#This Row],[non_valued_acres]]))</f>
        <v>-0.9942522733438669</v>
      </c>
      <c r="M1091">
        <v>0</v>
      </c>
      <c r="N1091">
        <v>0</v>
      </c>
      <c r="O1091">
        <v>0</v>
      </c>
      <c r="P1091">
        <v>27904.037</v>
      </c>
      <c r="Q1091">
        <v>74398</v>
      </c>
      <c r="R1091" s="3">
        <f>(Wapato_Inventory[[#This Row],[ln_acres]]*Wapato_Inventory[[#This Row],[coeff]])+Wapato_Inventory[[#This Row],[const]]</f>
        <v>46654.347777278628</v>
      </c>
      <c r="S1091" t="s">
        <v>62</v>
      </c>
      <c r="T1091">
        <v>1</v>
      </c>
      <c r="U1091" t="s">
        <v>67</v>
      </c>
      <c r="V1091" t="s">
        <v>69</v>
      </c>
      <c r="W1091">
        <v>0</v>
      </c>
      <c r="X1091">
        <v>0</v>
      </c>
      <c r="Y1091">
        <v>44</v>
      </c>
      <c r="Z1091">
        <v>49</v>
      </c>
      <c r="AA1091">
        <v>50</v>
      </c>
      <c r="AB1091">
        <v>2000</v>
      </c>
      <c r="AC1091">
        <v>1976</v>
      </c>
      <c r="AD1091">
        <v>1976</v>
      </c>
      <c r="AE1091">
        <v>0</v>
      </c>
      <c r="AF1091">
        <v>0</v>
      </c>
      <c r="AG1091">
        <v>0</v>
      </c>
      <c r="AH1091">
        <v>0</v>
      </c>
      <c r="AI1091">
        <v>352</v>
      </c>
      <c r="AJ1091">
        <v>0</v>
      </c>
      <c r="AK1091">
        <v>0</v>
      </c>
      <c r="AL1091">
        <v>0</v>
      </c>
      <c r="AM1091">
        <v>690</v>
      </c>
      <c r="AN1091">
        <v>0</v>
      </c>
      <c r="AO1091">
        <v>0</v>
      </c>
      <c r="AP1091">
        <v>9</v>
      </c>
      <c r="AQ1091">
        <v>0</v>
      </c>
      <c r="AR1091">
        <v>0</v>
      </c>
      <c r="AS1091" t="s">
        <v>59</v>
      </c>
      <c r="AT1091">
        <v>1</v>
      </c>
      <c r="AU1091" t="s">
        <v>64</v>
      </c>
      <c r="AV1091" t="s">
        <v>65</v>
      </c>
      <c r="AW1091">
        <v>1</v>
      </c>
      <c r="AX1091">
        <v>4</v>
      </c>
      <c r="AY1091">
        <v>0</v>
      </c>
      <c r="AZ1091">
        <v>0</v>
      </c>
      <c r="BA1091">
        <v>100</v>
      </c>
      <c r="BB1091">
        <v>100</v>
      </c>
      <c r="BC1091">
        <v>100</v>
      </c>
      <c r="BD1091">
        <v>100</v>
      </c>
      <c r="BE1091">
        <v>1</v>
      </c>
      <c r="BF1091">
        <v>15000</v>
      </c>
      <c r="BG1091">
        <v>1000</v>
      </c>
      <c r="BH1091" s="7">
        <f>ROUND(Wapato_Inventory[[#This Row],[detatched_value]]*Lookups!$B$22*Lookups!$H$48,-2)</f>
        <v>0</v>
      </c>
      <c r="BI1091" s="7">
        <f>ROUND(((Wapato_Inventory[[#This Row],[land_extract]]*Lookups!$B$3) +(Lookups!$B$2*0.5))*Lookups!$H$48,-2)</f>
        <v>55600</v>
      </c>
      <c r="BJ1091" s="7">
        <f>IF(Wapato_Inventory[[#This Row],[bldg_style]]="",0,Lookups!$B$2*0.5)</f>
        <v>53765.27</v>
      </c>
      <c r="BK1091" s="7">
        <f>_xlfn.IFNA(VLOOKUP(Wapato_Inventory[[#This Row],[quality]],Lookups!$H$2:$J$14,3,FALSE),0)</f>
        <v>50405</v>
      </c>
      <c r="BL1091" s="7">
        <f>_xlfn.IFNA(VLOOKUP(Wapato_Inventory[[#This Row],[condition]],Lookups!$H$17:$J$24,3,FALSE),0)</f>
        <v>74543</v>
      </c>
      <c r="BM1091" s="7">
        <f>Wapato_Inventory[[#This Row],[Age]]*Lookups!$B$16</f>
        <v>-18163.1093</v>
      </c>
      <c r="BN1091" s="7">
        <f>Wapato_Inventory[[#This Row],[Main Floor]]*Lookups!$B$17</f>
        <v>82598.260263999997</v>
      </c>
      <c r="BO1091" s="7">
        <f>Wapato_Inventory[[#This Row],[Upper Floor]]*Lookups!$B$18</f>
        <v>0</v>
      </c>
      <c r="BP1091" s="7">
        <f>Wapato_Inventory[[#This Row],[Fin BSMT]]*Lookups!$B$19</f>
        <v>0</v>
      </c>
      <c r="BQ1091" s="7">
        <f>(Wapato_Inventory[[#This Row],[att_gar]]+Wapato_Inventory[[#This Row],[blt_gar]])*Lookups!$B$20</f>
        <v>13027.080704</v>
      </c>
      <c r="BR1091" s="7">
        <f>Wapato_Inventory[[#This Row],[Patio]]*Lookups!$B$21</f>
        <v>29893.54551</v>
      </c>
      <c r="BS1091" s="7">
        <f>SUM(Wapato_Inventory[[#This Row],[intercept]:[patio_value]])*Wapato_Inventory[[#This Row],[res_pct]]</f>
        <v>286069.04717799998</v>
      </c>
      <c r="BT1091" s="7">
        <f>Wapato_Inventory[[#This Row],[land_value]]</f>
        <v>55600</v>
      </c>
      <c r="BU1091" s="2">
        <f>_xlfn.IFNA(VLOOKUP(Wapato_Inventory[[#This Row],[quality]],Lookups!$A$28:$C$37,3,FALSE),1)</f>
        <v>0.97993206410140754</v>
      </c>
      <c r="BV1091" s="2">
        <f>_xlfn.IFNA(VLOOKUP(Wapato_Inventory[[#This Row],[condition]],Lookups!$A$41:$C$48,3,FALSE),1)</f>
        <v>0.98442438223270734</v>
      </c>
      <c r="BW1091" s="2">
        <f>IF(Wapato_Inventory[[#This Row],[decade]]="",1,_xlfn.IFNA(VLOOKUP(Wapato_Inventory[[#This Row],[decade]],Lookups!$F$28:$H$45,3,FALSE),1))</f>
        <v>0.96240333884358298</v>
      </c>
      <c r="BX1091" s="2">
        <f>_xlfn.IFNA(VLOOKUP(Wapato_Inventory[[#This Row],[living_area_range]],Lookups!$K$28:$M$37,3,FALSE),1)</f>
        <v>0.99330894324714125</v>
      </c>
      <c r="BY1091" s="2">
        <f>AVERAGE(Wapato_Inventory[[#This Row],[qual_adj]:[range_adj]])</f>
        <v>0.98001718210620981</v>
      </c>
      <c r="BZ1091" s="7">
        <f>(Wapato_Inventory[[#This Row],[sum_land]]-IF(Wapato_Inventory[[#This Row],[no_utilities]]=1,12000,0))/IF(Wapato_Inventory[[#This Row],[unbuildable]]=1,2,1)</f>
        <v>55600</v>
      </c>
      <c r="CA1091" s="7">
        <f>Wapato_Inventory[[#This Row],[pre_res]]*Wapato_Inventory[[#This Row],[overall_adj]]</f>
        <v>280352.5815031919</v>
      </c>
      <c r="CB1091" s="3">
        <f>IF(ROUND(Wapato_Inventory[[#This Row],[adj_land]]*Lookups!$H$48,-2)&lt;Wapato_Inventory[[#This Row],[min_land]],Wapato_Inventory[[#This Row],[min_land]],ROUND(Wapato_Inventory[[#This Row],[adj_land]]*Lookups!$H$48,-2))</f>
        <v>52800</v>
      </c>
      <c r="CC1091" s="3">
        <f>IF(ROUND(Wapato_Inventory[[#This Row],[adj_res]]*Lookups!$H$48,-2)&lt;Wapato_Inventory[[#This Row],[min_res]],Wapato_Inventory[[#This Row],[min_res]],ROUND(Wapato_Inventory[[#This Row],[adj_res]]*Lookups!$H$48,-2))</f>
        <v>266300</v>
      </c>
      <c r="CD1091" s="3">
        <f>ROUND(Wapato_Inventory[[#This Row],[det_value]]*Lookups!$H$48,-2)</f>
        <v>0</v>
      </c>
      <c r="CE1091" s="3">
        <f>Wapato_Inventory[[#This Row],[final_res]]+Wapato_Inventory[[#This Row],[final_det]]</f>
        <v>266300</v>
      </c>
      <c r="CF1091" s="3">
        <f>Wapato_Inventory[[#This Row],[crop_value]]+Wapato_Inventory[[#This Row],[final_land]]+Wapato_Inventory[[#This Row],[final_imp]]</f>
        <v>319100</v>
      </c>
      <c r="CH1091" t="str">
        <f t="shared" si="17"/>
        <v>update valuation set market_land =52800, market_bldg=266300, market_total =319100, market_mdno =405, market_date ='9/10/2023' where link_id = (select link_id from parcel where parcel_year = '2024' and parcel_id = '19111542402');</v>
      </c>
    </row>
    <row r="1092" spans="1:86" x14ac:dyDescent="0.25">
      <c r="A1092">
        <v>19111542403</v>
      </c>
      <c r="B1092">
        <v>0.24</v>
      </c>
      <c r="C1092">
        <v>10436</v>
      </c>
      <c r="D1092" t="s">
        <v>144</v>
      </c>
      <c r="E1092" t="s">
        <v>54</v>
      </c>
      <c r="F1092" t="s">
        <v>54</v>
      </c>
      <c r="G1092">
        <v>3</v>
      </c>
      <c r="H1092" t="s">
        <v>55</v>
      </c>
      <c r="I1092">
        <v>231900</v>
      </c>
      <c r="J1092">
        <v>35200</v>
      </c>
      <c r="K1092">
        <v>0.24</v>
      </c>
      <c r="L1092">
        <f>IF(Wapato_Inventory[[#This Row],[parcel_acres]]-Wapato_Inventory[[#This Row],[non_valued_acres]] =0,0,LN(Wapato_Inventory[[#This Row],[parcel_acres]]-Wapato_Inventory[[#This Row],[non_valued_acres]]))</f>
        <v>-1.4271163556401458</v>
      </c>
      <c r="M1092">
        <v>0</v>
      </c>
      <c r="N1092">
        <v>0</v>
      </c>
      <c r="O1092">
        <v>0</v>
      </c>
      <c r="P1092">
        <v>27904.037</v>
      </c>
      <c r="Q1092">
        <v>74398</v>
      </c>
      <c r="R1092" s="3">
        <f>(Wapato_Inventory[[#This Row],[ln_acres]]*Wapato_Inventory[[#This Row],[coeff]])+Wapato_Inventory[[#This Row],[const]]</f>
        <v>34575.692408912211</v>
      </c>
      <c r="S1092" t="s">
        <v>62</v>
      </c>
      <c r="T1092">
        <v>1</v>
      </c>
      <c r="U1092" t="s">
        <v>67</v>
      </c>
      <c r="V1092" t="s">
        <v>68</v>
      </c>
      <c r="W1092">
        <v>0</v>
      </c>
      <c r="X1092">
        <v>0</v>
      </c>
      <c r="Y1092">
        <v>43</v>
      </c>
      <c r="Z1092">
        <v>45</v>
      </c>
      <c r="AA1092">
        <v>50</v>
      </c>
      <c r="AB1092">
        <v>1500</v>
      </c>
      <c r="AC1092">
        <v>1396</v>
      </c>
      <c r="AD1092">
        <v>1396</v>
      </c>
      <c r="AE1092">
        <v>0</v>
      </c>
      <c r="AF1092">
        <v>0</v>
      </c>
      <c r="AG1092">
        <v>0</v>
      </c>
      <c r="AH1092">
        <v>0</v>
      </c>
      <c r="AI1092">
        <v>440</v>
      </c>
      <c r="AJ1092">
        <v>0</v>
      </c>
      <c r="AK1092">
        <v>0</v>
      </c>
      <c r="AL1092">
        <v>236</v>
      </c>
      <c r="AM1092">
        <v>144</v>
      </c>
      <c r="AN1092">
        <v>0</v>
      </c>
      <c r="AO1092">
        <v>380</v>
      </c>
      <c r="AP1092">
        <v>8</v>
      </c>
      <c r="AQ1092">
        <v>1</v>
      </c>
      <c r="AR1092">
        <v>0</v>
      </c>
      <c r="AS1092" t="s">
        <v>59</v>
      </c>
      <c r="AT1092">
        <v>1</v>
      </c>
      <c r="AU1092" t="s">
        <v>60</v>
      </c>
      <c r="AV1092" t="s">
        <v>61</v>
      </c>
      <c r="AW1092">
        <v>1</v>
      </c>
      <c r="AX1092">
        <v>3</v>
      </c>
      <c r="AY1092">
        <v>0</v>
      </c>
      <c r="AZ1092">
        <v>0</v>
      </c>
      <c r="BA1092">
        <v>100</v>
      </c>
      <c r="BB1092">
        <v>100</v>
      </c>
      <c r="BC1092">
        <v>100</v>
      </c>
      <c r="BD1092">
        <v>100</v>
      </c>
      <c r="BE1092">
        <v>1</v>
      </c>
      <c r="BF1092">
        <v>15000</v>
      </c>
      <c r="BG1092">
        <v>1000</v>
      </c>
      <c r="BH1092" s="7">
        <f>ROUND(Wapato_Inventory[[#This Row],[detatched_value]]*Lookups!$B$22*Lookups!$H$48,-2)</f>
        <v>0</v>
      </c>
      <c r="BI1092" s="7">
        <f>ROUND(((Wapato_Inventory[[#This Row],[land_extract]]*Lookups!$B$3) +(Lookups!$B$2*0.5))*Lookups!$H$48,-2)</f>
        <v>54400</v>
      </c>
      <c r="BJ1092" s="7">
        <f>IF(Wapato_Inventory[[#This Row],[bldg_style]]="",0,Lookups!$B$2*0.5)</f>
        <v>53765.27</v>
      </c>
      <c r="BK1092" s="7">
        <f>_xlfn.IFNA(VLOOKUP(Wapato_Inventory[[#This Row],[quality]],Lookups!$H$2:$J$14,3,FALSE),0)</f>
        <v>50405</v>
      </c>
      <c r="BL1092" s="7">
        <f>_xlfn.IFNA(VLOOKUP(Wapato_Inventory[[#This Row],[condition]],Lookups!$H$17:$J$24,3,FALSE),0)</f>
        <v>52231</v>
      </c>
      <c r="BM1092" s="7">
        <f>Wapato_Inventory[[#This Row],[Age]]*Lookups!$B$16</f>
        <v>-16680.406500000001</v>
      </c>
      <c r="BN1092" s="7">
        <f>Wapato_Inventory[[#This Row],[Main Floor]]*Lookups!$B$17</f>
        <v>58353.831643999998</v>
      </c>
      <c r="BO1092" s="7">
        <f>Wapato_Inventory[[#This Row],[Upper Floor]]*Lookups!$B$18</f>
        <v>0</v>
      </c>
      <c r="BP1092" s="7">
        <f>Wapato_Inventory[[#This Row],[Fin BSMT]]*Lookups!$B$19</f>
        <v>0</v>
      </c>
      <c r="BQ1092" s="7">
        <f>(Wapato_Inventory[[#This Row],[att_gar]]+Wapato_Inventory[[#This Row],[blt_gar]])*Lookups!$B$20</f>
        <v>16283.85088</v>
      </c>
      <c r="BR1092" s="7">
        <f>Wapato_Inventory[[#This Row],[Patio]]*Lookups!$B$21</f>
        <v>6238.6529760000003</v>
      </c>
      <c r="BS1092" s="7">
        <f>SUM(Wapato_Inventory[[#This Row],[intercept]:[patio_value]])*Wapato_Inventory[[#This Row],[res_pct]]</f>
        <v>220597.19899999999</v>
      </c>
      <c r="BT1092" s="7">
        <f>Wapato_Inventory[[#This Row],[land_value]]</f>
        <v>54400</v>
      </c>
      <c r="BU1092" s="2">
        <f>_xlfn.IFNA(VLOOKUP(Wapato_Inventory[[#This Row],[quality]],Lookups!$A$28:$C$37,3,FALSE),1)</f>
        <v>0.97993206410140754</v>
      </c>
      <c r="BV1092" s="2">
        <f>_xlfn.IFNA(VLOOKUP(Wapato_Inventory[[#This Row],[condition]],Lookups!$A$41:$C$48,3,FALSE),1)</f>
        <v>0.9832333997567807</v>
      </c>
      <c r="BW1092" s="2">
        <f>IF(Wapato_Inventory[[#This Row],[decade]]="",1,_xlfn.IFNA(VLOOKUP(Wapato_Inventory[[#This Row],[decade]],Lookups!$F$28:$H$45,3,FALSE),1))</f>
        <v>0.96240333884358298</v>
      </c>
      <c r="BX1092" s="2">
        <f>_xlfn.IFNA(VLOOKUP(Wapato_Inventory[[#This Row],[living_area_range]],Lookups!$K$28:$M$37,3,FALSE),1)</f>
        <v>1.0061411172456287</v>
      </c>
      <c r="BY1092" s="2">
        <f>AVERAGE(Wapato_Inventory[[#This Row],[qual_adj]:[range_adj]])</f>
        <v>0.98292747998685004</v>
      </c>
      <c r="BZ1092" s="7">
        <f>(Wapato_Inventory[[#This Row],[sum_land]]-IF(Wapato_Inventory[[#This Row],[no_utilities]]=1,12000,0))/IF(Wapato_Inventory[[#This Row],[unbuildable]]=1,2,1)</f>
        <v>54400</v>
      </c>
      <c r="CA1092" s="7">
        <f>Wapato_Inventory[[#This Row],[pre_res]]*Wapato_Inventory[[#This Row],[overall_adj]]</f>
        <v>216831.04890522768</v>
      </c>
      <c r="CB1092" s="3">
        <f>IF(ROUND(Wapato_Inventory[[#This Row],[adj_land]]*Lookups!$H$48,-2)&lt;Wapato_Inventory[[#This Row],[min_land]],Wapato_Inventory[[#This Row],[min_land]],ROUND(Wapato_Inventory[[#This Row],[adj_land]]*Lookups!$H$48,-2))</f>
        <v>51700</v>
      </c>
      <c r="CC1092" s="3">
        <f>IF(ROUND(Wapato_Inventory[[#This Row],[adj_res]]*Lookups!$H$48,-2)&lt;Wapato_Inventory[[#This Row],[min_res]],Wapato_Inventory[[#This Row],[min_res]],ROUND(Wapato_Inventory[[#This Row],[adj_res]]*Lookups!$H$48,-2))</f>
        <v>206000</v>
      </c>
      <c r="CD1092" s="3">
        <f>ROUND(Wapato_Inventory[[#This Row],[det_value]]*Lookups!$H$48,-2)</f>
        <v>0</v>
      </c>
      <c r="CE1092" s="3">
        <f>Wapato_Inventory[[#This Row],[final_res]]+Wapato_Inventory[[#This Row],[final_det]]</f>
        <v>206000</v>
      </c>
      <c r="CF1092" s="3">
        <f>Wapato_Inventory[[#This Row],[crop_value]]+Wapato_Inventory[[#This Row],[final_land]]+Wapato_Inventory[[#This Row],[final_imp]]</f>
        <v>257700</v>
      </c>
      <c r="CH1092" t="str">
        <f t="shared" si="17"/>
        <v>update valuation set market_land =51700, market_bldg=206000, market_total =257700, market_mdno =405, market_date ='9/10/2023' where link_id = (select link_id from parcel where parcel_year = '2024' and parcel_id = '19111542403');</v>
      </c>
    </row>
    <row r="1093" spans="1:86" x14ac:dyDescent="0.25">
      <c r="A1093">
        <v>19111542404</v>
      </c>
      <c r="B1093">
        <v>0.24</v>
      </c>
      <c r="C1093">
        <v>10417</v>
      </c>
      <c r="D1093" t="s">
        <v>144</v>
      </c>
      <c r="E1093" t="s">
        <v>54</v>
      </c>
      <c r="F1093" t="s">
        <v>54</v>
      </c>
      <c r="G1093">
        <v>3</v>
      </c>
      <c r="H1093" t="s">
        <v>55</v>
      </c>
      <c r="I1093">
        <v>271200</v>
      </c>
      <c r="J1093">
        <v>35200</v>
      </c>
      <c r="K1093">
        <v>0.24</v>
      </c>
      <c r="L1093">
        <f>IF(Wapato_Inventory[[#This Row],[parcel_acres]]-Wapato_Inventory[[#This Row],[non_valued_acres]] =0,0,LN(Wapato_Inventory[[#This Row],[parcel_acres]]-Wapato_Inventory[[#This Row],[non_valued_acres]]))</f>
        <v>-1.4271163556401458</v>
      </c>
      <c r="M1093">
        <v>0</v>
      </c>
      <c r="N1093">
        <v>0</v>
      </c>
      <c r="O1093">
        <v>0</v>
      </c>
      <c r="P1093">
        <v>27904.037</v>
      </c>
      <c r="Q1093">
        <v>74398</v>
      </c>
      <c r="R1093" s="3">
        <f>(Wapato_Inventory[[#This Row],[ln_acres]]*Wapato_Inventory[[#This Row],[coeff]])+Wapato_Inventory[[#This Row],[const]]</f>
        <v>34575.692408912211</v>
      </c>
      <c r="S1093" t="s">
        <v>62</v>
      </c>
      <c r="T1093">
        <v>1</v>
      </c>
      <c r="U1093" t="s">
        <v>63</v>
      </c>
      <c r="V1093" t="s">
        <v>69</v>
      </c>
      <c r="W1093">
        <v>0</v>
      </c>
      <c r="X1093">
        <v>0</v>
      </c>
      <c r="Y1093">
        <v>44</v>
      </c>
      <c r="Z1093">
        <v>48</v>
      </c>
      <c r="AA1093">
        <v>50</v>
      </c>
      <c r="AB1093">
        <v>2000</v>
      </c>
      <c r="AC1093">
        <v>1856</v>
      </c>
      <c r="AD1093">
        <v>1856</v>
      </c>
      <c r="AE1093">
        <v>0</v>
      </c>
      <c r="AF1093">
        <v>0</v>
      </c>
      <c r="AG1093">
        <v>0</v>
      </c>
      <c r="AH1093">
        <v>0</v>
      </c>
      <c r="AI1093">
        <v>440</v>
      </c>
      <c r="AJ1093">
        <v>0</v>
      </c>
      <c r="AK1093">
        <v>0</v>
      </c>
      <c r="AL1093">
        <v>0</v>
      </c>
      <c r="AM1093">
        <v>0</v>
      </c>
      <c r="AN1093">
        <v>272</v>
      </c>
      <c r="AO1093">
        <v>0</v>
      </c>
      <c r="AP1093">
        <v>9</v>
      </c>
      <c r="AQ1093">
        <v>0</v>
      </c>
      <c r="AR1093">
        <v>1</v>
      </c>
      <c r="AS1093" t="s">
        <v>59</v>
      </c>
      <c r="AT1093">
        <v>1</v>
      </c>
      <c r="AU1093" t="s">
        <v>64</v>
      </c>
      <c r="AV1093" t="s">
        <v>61</v>
      </c>
      <c r="AW1093">
        <v>1</v>
      </c>
      <c r="AX1093">
        <v>4</v>
      </c>
      <c r="AY1093">
        <v>0</v>
      </c>
      <c r="AZ1093">
        <v>0</v>
      </c>
      <c r="BA1093">
        <v>100</v>
      </c>
      <c r="BB1093">
        <v>100</v>
      </c>
      <c r="BC1093">
        <v>100</v>
      </c>
      <c r="BD1093">
        <v>100</v>
      </c>
      <c r="BE1093">
        <v>1</v>
      </c>
      <c r="BF1093">
        <v>15000</v>
      </c>
      <c r="BG1093">
        <v>1000</v>
      </c>
      <c r="BH1093" s="7">
        <f>ROUND(Wapato_Inventory[[#This Row],[detatched_value]]*Lookups!$B$22*Lookups!$H$48,-2)</f>
        <v>0</v>
      </c>
      <c r="BI1093" s="7">
        <f>ROUND(((Wapato_Inventory[[#This Row],[land_extract]]*Lookups!$B$3) +(Lookups!$B$2*0.5))*Lookups!$H$48,-2)</f>
        <v>54400</v>
      </c>
      <c r="BJ1093" s="7">
        <f>IF(Wapato_Inventory[[#This Row],[bldg_style]]="",0,Lookups!$B$2*0.5)</f>
        <v>53765.27</v>
      </c>
      <c r="BK1093" s="7">
        <f>_xlfn.IFNA(VLOOKUP(Wapato_Inventory[[#This Row],[quality]],Lookups!$H$2:$J$14,3,FALSE),0)</f>
        <v>50594</v>
      </c>
      <c r="BL1093" s="7">
        <f>_xlfn.IFNA(VLOOKUP(Wapato_Inventory[[#This Row],[condition]],Lookups!$H$17:$J$24,3,FALSE),0)</f>
        <v>74543</v>
      </c>
      <c r="BM1093" s="7">
        <f>Wapato_Inventory[[#This Row],[Age]]*Lookups!$B$16</f>
        <v>-17792.4336</v>
      </c>
      <c r="BN1093" s="7">
        <f>Wapato_Inventory[[#This Row],[Main Floor]]*Lookups!$B$17</f>
        <v>77582.171583999996</v>
      </c>
      <c r="BO1093" s="7">
        <f>Wapato_Inventory[[#This Row],[Upper Floor]]*Lookups!$B$18</f>
        <v>0</v>
      </c>
      <c r="BP1093" s="7">
        <f>Wapato_Inventory[[#This Row],[Fin BSMT]]*Lookups!$B$19</f>
        <v>0</v>
      </c>
      <c r="BQ1093" s="7">
        <f>(Wapato_Inventory[[#This Row],[att_gar]]+Wapato_Inventory[[#This Row],[blt_gar]])*Lookups!$B$20</f>
        <v>16283.85088</v>
      </c>
      <c r="BR1093" s="7">
        <f>Wapato_Inventory[[#This Row],[Patio]]*Lookups!$B$21</f>
        <v>0</v>
      </c>
      <c r="BS1093" s="7">
        <f>SUM(Wapato_Inventory[[#This Row],[intercept]:[patio_value]])*Wapato_Inventory[[#This Row],[res_pct]]</f>
        <v>254975.85886400001</v>
      </c>
      <c r="BT1093" s="7">
        <f>Wapato_Inventory[[#This Row],[land_value]]</f>
        <v>54400</v>
      </c>
      <c r="BU1093" s="2">
        <f>_xlfn.IFNA(VLOOKUP(Wapato_Inventory[[#This Row],[quality]],Lookups!$A$28:$C$37,3,FALSE),1)</f>
        <v>0.99197423394367223</v>
      </c>
      <c r="BV1093" s="2">
        <f>_xlfn.IFNA(VLOOKUP(Wapato_Inventory[[#This Row],[condition]],Lookups!$A$41:$C$48,3,FALSE),1)</f>
        <v>0.98442438223270734</v>
      </c>
      <c r="BW1093" s="2">
        <f>IF(Wapato_Inventory[[#This Row],[decade]]="",1,_xlfn.IFNA(VLOOKUP(Wapato_Inventory[[#This Row],[decade]],Lookups!$F$28:$H$45,3,FALSE),1))</f>
        <v>0.96240333884358298</v>
      </c>
      <c r="BX1093" s="2">
        <f>_xlfn.IFNA(VLOOKUP(Wapato_Inventory[[#This Row],[living_area_range]],Lookups!$K$28:$M$37,3,FALSE),1)</f>
        <v>0.99330894324714125</v>
      </c>
      <c r="BY1093" s="2">
        <f>AVERAGE(Wapato_Inventory[[#This Row],[qual_adj]:[range_adj]])</f>
        <v>0.9830277245667759</v>
      </c>
      <c r="BZ1093" s="7">
        <f>(Wapato_Inventory[[#This Row],[sum_land]]-IF(Wapato_Inventory[[#This Row],[no_utilities]]=1,12000,0))/IF(Wapato_Inventory[[#This Row],[unbuildable]]=1,2,1)</f>
        <v>54400</v>
      </c>
      <c r="CA1093" s="7">
        <f>Wapato_Inventory[[#This Row],[pre_res]]*Wapato_Inventory[[#This Row],[overall_adj]]</f>
        <v>250648.33835853732</v>
      </c>
      <c r="CB1093" s="3">
        <f>IF(ROUND(Wapato_Inventory[[#This Row],[adj_land]]*Lookups!$H$48,-2)&lt;Wapato_Inventory[[#This Row],[min_land]],Wapato_Inventory[[#This Row],[min_land]],ROUND(Wapato_Inventory[[#This Row],[adj_land]]*Lookups!$H$48,-2))</f>
        <v>51700</v>
      </c>
      <c r="CC1093" s="3">
        <f>IF(ROUND(Wapato_Inventory[[#This Row],[adj_res]]*Lookups!$H$48,-2)&lt;Wapato_Inventory[[#This Row],[min_res]],Wapato_Inventory[[#This Row],[min_res]],ROUND(Wapato_Inventory[[#This Row],[adj_res]]*Lookups!$H$48,-2))</f>
        <v>238100</v>
      </c>
      <c r="CD1093" s="3">
        <f>ROUND(Wapato_Inventory[[#This Row],[det_value]]*Lookups!$H$48,-2)</f>
        <v>0</v>
      </c>
      <c r="CE1093" s="3">
        <f>Wapato_Inventory[[#This Row],[final_res]]+Wapato_Inventory[[#This Row],[final_det]]</f>
        <v>238100</v>
      </c>
      <c r="CF1093" s="3">
        <f>Wapato_Inventory[[#This Row],[crop_value]]+Wapato_Inventory[[#This Row],[final_land]]+Wapato_Inventory[[#This Row],[final_imp]]</f>
        <v>289800</v>
      </c>
      <c r="CH1093" t="str">
        <f t="shared" si="17"/>
        <v>update valuation set market_land =51700, market_bldg=238100, market_total =289800, market_mdno =405, market_date ='9/10/2023' where link_id = (select link_id from parcel where parcel_year = '2024' and parcel_id = '19111542404');</v>
      </c>
    </row>
    <row r="1094" spans="1:86" x14ac:dyDescent="0.25">
      <c r="A1094">
        <v>19111542405</v>
      </c>
      <c r="B1094">
        <v>0.37</v>
      </c>
      <c r="C1094">
        <v>16331</v>
      </c>
      <c r="D1094" t="s">
        <v>144</v>
      </c>
      <c r="E1094" t="s">
        <v>54</v>
      </c>
      <c r="F1094" t="s">
        <v>54</v>
      </c>
      <c r="G1094">
        <v>3</v>
      </c>
      <c r="H1094" t="s">
        <v>55</v>
      </c>
      <c r="I1094">
        <v>226200</v>
      </c>
      <c r="J1094">
        <v>38300</v>
      </c>
      <c r="K1094">
        <v>0.37</v>
      </c>
      <c r="L1094">
        <f>IF(Wapato_Inventory[[#This Row],[parcel_acres]]-Wapato_Inventory[[#This Row],[non_valued_acres]] =0,0,LN(Wapato_Inventory[[#This Row],[parcel_acres]]-Wapato_Inventory[[#This Row],[non_valued_acres]]))</f>
        <v>-0.9942522733438669</v>
      </c>
      <c r="M1094">
        <v>0</v>
      </c>
      <c r="N1094">
        <v>0</v>
      </c>
      <c r="O1094">
        <v>0</v>
      </c>
      <c r="P1094">
        <v>27904.037</v>
      </c>
      <c r="Q1094">
        <v>74398</v>
      </c>
      <c r="R1094" s="3">
        <f>(Wapato_Inventory[[#This Row],[ln_acres]]*Wapato_Inventory[[#This Row],[coeff]])+Wapato_Inventory[[#This Row],[const]]</f>
        <v>46654.347777278628</v>
      </c>
      <c r="S1094" t="s">
        <v>62</v>
      </c>
      <c r="T1094">
        <v>1</v>
      </c>
      <c r="U1094" t="s">
        <v>75</v>
      </c>
      <c r="V1094" t="s">
        <v>69</v>
      </c>
      <c r="W1094">
        <v>0</v>
      </c>
      <c r="X1094">
        <v>0</v>
      </c>
      <c r="Y1094">
        <v>44</v>
      </c>
      <c r="Z1094">
        <v>47</v>
      </c>
      <c r="AA1094">
        <v>50</v>
      </c>
      <c r="AB1094">
        <v>1500</v>
      </c>
      <c r="AC1094">
        <v>1305</v>
      </c>
      <c r="AD1094">
        <v>1305</v>
      </c>
      <c r="AE1094">
        <v>0</v>
      </c>
      <c r="AF1094">
        <v>0</v>
      </c>
      <c r="AG1094">
        <v>0</v>
      </c>
      <c r="AH1094">
        <v>0</v>
      </c>
      <c r="AI1094">
        <v>399</v>
      </c>
      <c r="AJ1094">
        <v>0</v>
      </c>
      <c r="AK1094">
        <v>0</v>
      </c>
      <c r="AL1094">
        <v>0</v>
      </c>
      <c r="AM1094">
        <v>288</v>
      </c>
      <c r="AN1094">
        <v>48</v>
      </c>
      <c r="AO1094">
        <v>288</v>
      </c>
      <c r="AP1094">
        <v>5</v>
      </c>
      <c r="AQ1094">
        <v>0</v>
      </c>
      <c r="AR1094">
        <v>0</v>
      </c>
      <c r="AS1094" t="s">
        <v>59</v>
      </c>
      <c r="AT1094">
        <v>1</v>
      </c>
      <c r="AU1094" t="s">
        <v>64</v>
      </c>
      <c r="AV1094" t="s">
        <v>65</v>
      </c>
      <c r="AW1094">
        <v>1</v>
      </c>
      <c r="AX1094">
        <v>3</v>
      </c>
      <c r="AY1094">
        <v>0</v>
      </c>
      <c r="AZ1094">
        <v>0</v>
      </c>
      <c r="BA1094">
        <v>100</v>
      </c>
      <c r="BB1094">
        <v>100</v>
      </c>
      <c r="BC1094">
        <v>100</v>
      </c>
      <c r="BD1094">
        <v>100</v>
      </c>
      <c r="BE1094">
        <v>1</v>
      </c>
      <c r="BF1094">
        <v>15000</v>
      </c>
      <c r="BG1094">
        <v>1000</v>
      </c>
      <c r="BH1094" s="7">
        <f>ROUND(Wapato_Inventory[[#This Row],[detatched_value]]*Lookups!$B$22*Lookups!$H$48,-2)</f>
        <v>0</v>
      </c>
      <c r="BI1094" s="7">
        <f>ROUND(((Wapato_Inventory[[#This Row],[land_extract]]*Lookups!$B$3) +(Lookups!$B$2*0.5))*Lookups!$H$48,-2)</f>
        <v>55600</v>
      </c>
      <c r="BJ1094" s="7">
        <f>IF(Wapato_Inventory[[#This Row],[bldg_style]]="",0,Lookups!$B$2*0.5)</f>
        <v>53765.27</v>
      </c>
      <c r="BK1094" s="7">
        <f>_xlfn.IFNA(VLOOKUP(Wapato_Inventory[[#This Row],[quality]],Lookups!$H$2:$J$14,3,FALSE),0)</f>
        <v>48043</v>
      </c>
      <c r="BL1094" s="7">
        <f>_xlfn.IFNA(VLOOKUP(Wapato_Inventory[[#This Row],[condition]],Lookups!$H$17:$J$24,3,FALSE),0)</f>
        <v>74543</v>
      </c>
      <c r="BM1094" s="7">
        <f>Wapato_Inventory[[#This Row],[Age]]*Lookups!$B$16</f>
        <v>-17421.757900000001</v>
      </c>
      <c r="BN1094" s="7">
        <f>Wapato_Inventory[[#This Row],[Main Floor]]*Lookups!$B$17</f>
        <v>54549.964395000003</v>
      </c>
      <c r="BO1094" s="7">
        <f>Wapato_Inventory[[#This Row],[Upper Floor]]*Lookups!$B$18</f>
        <v>0</v>
      </c>
      <c r="BP1094" s="7">
        <f>Wapato_Inventory[[#This Row],[Fin BSMT]]*Lookups!$B$19</f>
        <v>0</v>
      </c>
      <c r="BQ1094" s="7">
        <f>(Wapato_Inventory[[#This Row],[att_gar]]+Wapato_Inventory[[#This Row],[blt_gar]])*Lookups!$B$20</f>
        <v>14766.492048</v>
      </c>
      <c r="BR1094" s="7">
        <f>Wapato_Inventory[[#This Row],[Patio]]*Lookups!$B$21</f>
        <v>12477.305952000001</v>
      </c>
      <c r="BS1094" s="7">
        <f>SUM(Wapato_Inventory[[#This Row],[intercept]:[patio_value]])*Wapato_Inventory[[#This Row],[res_pct]]</f>
        <v>240723.27449499999</v>
      </c>
      <c r="BT1094" s="7">
        <f>Wapato_Inventory[[#This Row],[land_value]]</f>
        <v>55600</v>
      </c>
      <c r="BU1094" s="2">
        <f>_xlfn.IFNA(VLOOKUP(Wapato_Inventory[[#This Row],[quality]],Lookups!$A$28:$C$37,3,FALSE),1)</f>
        <v>0.98196844879778955</v>
      </c>
      <c r="BV1094" s="2">
        <f>_xlfn.IFNA(VLOOKUP(Wapato_Inventory[[#This Row],[condition]],Lookups!$A$41:$C$48,3,FALSE),1)</f>
        <v>0.98442438223270734</v>
      </c>
      <c r="BW1094" s="2">
        <f>IF(Wapato_Inventory[[#This Row],[decade]]="",1,_xlfn.IFNA(VLOOKUP(Wapato_Inventory[[#This Row],[decade]],Lookups!$F$28:$H$45,3,FALSE),1))</f>
        <v>0.96240333884358298</v>
      </c>
      <c r="BX1094" s="2">
        <f>_xlfn.IFNA(VLOOKUP(Wapato_Inventory[[#This Row],[living_area_range]],Lookups!$K$28:$M$37,3,FALSE),1)</f>
        <v>1.0061411172456287</v>
      </c>
      <c r="BY1094" s="2">
        <f>AVERAGE(Wapato_Inventory[[#This Row],[qual_adj]:[range_adj]])</f>
        <v>0.98373432177992715</v>
      </c>
      <c r="BZ1094" s="7">
        <f>(Wapato_Inventory[[#This Row],[sum_land]]-IF(Wapato_Inventory[[#This Row],[no_utilities]]=1,12000,0))/IF(Wapato_Inventory[[#This Row],[unbuildable]]=1,2,1)</f>
        <v>55600</v>
      </c>
      <c r="CA1094" s="7">
        <f>Wapato_Inventory[[#This Row],[pre_res]]*Wapato_Inventory[[#This Row],[overall_adj]]</f>
        <v>236807.74717198205</v>
      </c>
      <c r="CB1094" s="3">
        <f>IF(ROUND(Wapato_Inventory[[#This Row],[adj_land]]*Lookups!$H$48,-2)&lt;Wapato_Inventory[[#This Row],[min_land]],Wapato_Inventory[[#This Row],[min_land]],ROUND(Wapato_Inventory[[#This Row],[adj_land]]*Lookups!$H$48,-2))</f>
        <v>52800</v>
      </c>
      <c r="CC1094" s="3">
        <f>IF(ROUND(Wapato_Inventory[[#This Row],[adj_res]]*Lookups!$H$48,-2)&lt;Wapato_Inventory[[#This Row],[min_res]],Wapato_Inventory[[#This Row],[min_res]],ROUND(Wapato_Inventory[[#This Row],[adj_res]]*Lookups!$H$48,-2))</f>
        <v>225000</v>
      </c>
      <c r="CD1094" s="3">
        <f>ROUND(Wapato_Inventory[[#This Row],[det_value]]*Lookups!$H$48,-2)</f>
        <v>0</v>
      </c>
      <c r="CE1094" s="3">
        <f>Wapato_Inventory[[#This Row],[final_res]]+Wapato_Inventory[[#This Row],[final_det]]</f>
        <v>225000</v>
      </c>
      <c r="CF1094" s="3">
        <f>Wapato_Inventory[[#This Row],[crop_value]]+Wapato_Inventory[[#This Row],[final_land]]+Wapato_Inventory[[#This Row],[final_imp]]</f>
        <v>277800</v>
      </c>
      <c r="CH1094" t="str">
        <f t="shared" si="17"/>
        <v>update valuation set market_land =52800, market_bldg=225000, market_total =277800, market_mdno =405, market_date ='9/10/2023' where link_id = (select link_id from parcel where parcel_year = '2024' and parcel_id = '19111542405');</v>
      </c>
    </row>
    <row r="1095" spans="1:86" x14ac:dyDescent="0.25">
      <c r="A1095">
        <v>19111542406</v>
      </c>
      <c r="B1095">
        <v>0.28999999999999998</v>
      </c>
      <c r="C1095">
        <v>12684</v>
      </c>
      <c r="D1095" t="s">
        <v>144</v>
      </c>
      <c r="E1095" t="s">
        <v>54</v>
      </c>
      <c r="F1095" t="s">
        <v>54</v>
      </c>
      <c r="G1095">
        <v>3</v>
      </c>
      <c r="H1095" t="s">
        <v>55</v>
      </c>
      <c r="I1095">
        <v>216700</v>
      </c>
      <c r="J1095">
        <v>36600</v>
      </c>
      <c r="K1095">
        <v>0.28999999999999998</v>
      </c>
      <c r="L1095">
        <f>IF(Wapato_Inventory[[#This Row],[parcel_acres]]-Wapato_Inventory[[#This Row],[non_valued_acres]] =0,0,LN(Wapato_Inventory[[#This Row],[parcel_acres]]-Wapato_Inventory[[#This Row],[non_valued_acres]]))</f>
        <v>-1.2378743560016174</v>
      </c>
      <c r="M1095">
        <v>0</v>
      </c>
      <c r="N1095">
        <v>0</v>
      </c>
      <c r="O1095">
        <v>0</v>
      </c>
      <c r="P1095">
        <v>27904.037</v>
      </c>
      <c r="Q1095">
        <v>74398</v>
      </c>
      <c r="R1095" s="3">
        <f>(Wapato_Inventory[[#This Row],[ln_acres]]*Wapato_Inventory[[#This Row],[coeff]])+Wapato_Inventory[[#This Row],[const]]</f>
        <v>39856.308168779695</v>
      </c>
      <c r="S1095" t="s">
        <v>110</v>
      </c>
      <c r="T1095">
        <v>1</v>
      </c>
      <c r="U1095" t="s">
        <v>63</v>
      </c>
      <c r="V1095" t="s">
        <v>68</v>
      </c>
      <c r="W1095">
        <v>0</v>
      </c>
      <c r="X1095">
        <v>0</v>
      </c>
      <c r="Y1095">
        <v>47</v>
      </c>
      <c r="Z1095">
        <v>58</v>
      </c>
      <c r="AA1095">
        <v>60</v>
      </c>
      <c r="AB1095">
        <v>2500</v>
      </c>
      <c r="AC1095">
        <v>2374</v>
      </c>
      <c r="AD1095">
        <v>1798</v>
      </c>
      <c r="AE1095">
        <v>0</v>
      </c>
      <c r="AF1095">
        <v>0</v>
      </c>
      <c r="AG1095">
        <v>576</v>
      </c>
      <c r="AH1095">
        <v>192</v>
      </c>
      <c r="AI1095">
        <v>420</v>
      </c>
      <c r="AJ1095">
        <v>0</v>
      </c>
      <c r="AK1095">
        <v>0</v>
      </c>
      <c r="AL1095">
        <v>0</v>
      </c>
      <c r="AM1095">
        <v>375</v>
      </c>
      <c r="AN1095">
        <v>0</v>
      </c>
      <c r="AO1095">
        <v>30</v>
      </c>
      <c r="AP1095">
        <v>9</v>
      </c>
      <c r="AQ1095">
        <v>0</v>
      </c>
      <c r="AR1095">
        <v>1</v>
      </c>
      <c r="AS1095" t="s">
        <v>59</v>
      </c>
      <c r="AT1095">
        <v>1</v>
      </c>
      <c r="AU1095" t="s">
        <v>64</v>
      </c>
      <c r="AV1095" t="s">
        <v>65</v>
      </c>
      <c r="AW1095">
        <v>1</v>
      </c>
      <c r="AX1095">
        <v>3</v>
      </c>
      <c r="AY1095">
        <v>0</v>
      </c>
      <c r="AZ1095">
        <v>0</v>
      </c>
      <c r="BA1095">
        <v>100</v>
      </c>
      <c r="BB1095">
        <v>100</v>
      </c>
      <c r="BC1095">
        <v>100</v>
      </c>
      <c r="BD1095">
        <v>100</v>
      </c>
      <c r="BE1095">
        <v>1</v>
      </c>
      <c r="BF1095">
        <v>15000</v>
      </c>
      <c r="BG1095">
        <v>1000</v>
      </c>
      <c r="BH1095" s="7">
        <f>ROUND(Wapato_Inventory[[#This Row],[detatched_value]]*Lookups!$B$22*Lookups!$H$48,-2)</f>
        <v>0</v>
      </c>
      <c r="BI1095" s="7">
        <f>ROUND(((Wapato_Inventory[[#This Row],[land_extract]]*Lookups!$B$3) +(Lookups!$B$2*0.5))*Lookups!$H$48,-2)</f>
        <v>54900</v>
      </c>
      <c r="BJ1095" s="7">
        <f>IF(Wapato_Inventory[[#This Row],[bldg_style]]="",0,Lookups!$B$2*0.5)</f>
        <v>53765.27</v>
      </c>
      <c r="BK1095" s="7">
        <f>_xlfn.IFNA(VLOOKUP(Wapato_Inventory[[#This Row],[quality]],Lookups!$H$2:$J$14,3,FALSE),0)</f>
        <v>50594</v>
      </c>
      <c r="BL1095" s="7">
        <f>_xlfn.IFNA(VLOOKUP(Wapato_Inventory[[#This Row],[condition]],Lookups!$H$17:$J$24,3,FALSE),0)</f>
        <v>52231</v>
      </c>
      <c r="BM1095" s="7">
        <f>Wapato_Inventory[[#This Row],[Age]]*Lookups!$B$16</f>
        <v>-21499.190600000002</v>
      </c>
      <c r="BN1095" s="7">
        <f>Wapato_Inventory[[#This Row],[Main Floor]]*Lookups!$B$17</f>
        <v>75157.728722</v>
      </c>
      <c r="BO1095" s="7">
        <f>Wapato_Inventory[[#This Row],[Upper Floor]]*Lookups!$B$18</f>
        <v>0</v>
      </c>
      <c r="BP1095" s="7">
        <f>Wapato_Inventory[[#This Row],[Fin BSMT]]*Lookups!$B$19</f>
        <v>14035.24224</v>
      </c>
      <c r="BQ1095" s="7">
        <f>(Wapato_Inventory[[#This Row],[att_gar]]+Wapato_Inventory[[#This Row],[blt_gar]])*Lookups!$B$20</f>
        <v>15543.67584</v>
      </c>
      <c r="BR1095" s="7">
        <f>Wapato_Inventory[[#This Row],[Patio]]*Lookups!$B$21</f>
        <v>16246.492125000001</v>
      </c>
      <c r="BS1095" s="7">
        <f>SUM(Wapato_Inventory[[#This Row],[intercept]:[patio_value]])*Wapato_Inventory[[#This Row],[res_pct]]</f>
        <v>256074.21832699998</v>
      </c>
      <c r="BT1095" s="7">
        <f>Wapato_Inventory[[#This Row],[land_value]]</f>
        <v>54900</v>
      </c>
      <c r="BU1095" s="2">
        <f>_xlfn.IFNA(VLOOKUP(Wapato_Inventory[[#This Row],[quality]],Lookups!$A$28:$C$37,3,FALSE),1)</f>
        <v>0.99197423394367223</v>
      </c>
      <c r="BV1095" s="2">
        <f>_xlfn.IFNA(VLOOKUP(Wapato_Inventory[[#This Row],[condition]],Lookups!$A$41:$C$48,3,FALSE),1)</f>
        <v>0.9832333997567807</v>
      </c>
      <c r="BW1095" s="2">
        <f>IF(Wapato_Inventory[[#This Row],[decade]]="",1,_xlfn.IFNA(VLOOKUP(Wapato_Inventory[[#This Row],[decade]],Lookups!$F$28:$H$45,3,FALSE),1))</f>
        <v>1.035341704162583</v>
      </c>
      <c r="BX1095" s="2">
        <f>_xlfn.IFNA(VLOOKUP(Wapato_Inventory[[#This Row],[living_area_range]],Lookups!$K$28:$M$37,3,FALSE),1)</f>
        <v>0.90813907160181651</v>
      </c>
      <c r="BY1095" s="2">
        <f>AVERAGE(Wapato_Inventory[[#This Row],[qual_adj]:[range_adj]])</f>
        <v>0.97967210236621316</v>
      </c>
      <c r="BZ1095" s="7">
        <f>(Wapato_Inventory[[#This Row],[sum_land]]-IF(Wapato_Inventory[[#This Row],[no_utilities]]=1,12000,0))/IF(Wapato_Inventory[[#This Row],[unbuildable]]=1,2,1)</f>
        <v>54900</v>
      </c>
      <c r="CA1095" s="7">
        <f>Wapato_Inventory[[#This Row],[pre_res]]*Wapato_Inventory[[#This Row],[overall_adj]]</f>
        <v>250868.76783019674</v>
      </c>
      <c r="CB1095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1095" s="3">
        <f>IF(ROUND(Wapato_Inventory[[#This Row],[adj_res]]*Lookups!$H$48,-2)&lt;Wapato_Inventory[[#This Row],[min_res]],Wapato_Inventory[[#This Row],[min_res]],ROUND(Wapato_Inventory[[#This Row],[adj_res]]*Lookups!$H$48,-2))</f>
        <v>238300</v>
      </c>
      <c r="CD1095" s="3">
        <f>ROUND(Wapato_Inventory[[#This Row],[det_value]]*Lookups!$H$48,-2)</f>
        <v>0</v>
      </c>
      <c r="CE1095" s="3">
        <f>Wapato_Inventory[[#This Row],[final_res]]+Wapato_Inventory[[#This Row],[final_det]]</f>
        <v>238300</v>
      </c>
      <c r="CF1095" s="3">
        <f>Wapato_Inventory[[#This Row],[crop_value]]+Wapato_Inventory[[#This Row],[final_land]]+Wapato_Inventory[[#This Row],[final_imp]]</f>
        <v>290500</v>
      </c>
      <c r="CH1095" t="str">
        <f t="shared" si="17"/>
        <v>update valuation set market_land =52200, market_bldg=238300, market_total =290500, market_mdno =405, market_date ='9/10/2023' where link_id = (select link_id from parcel where parcel_year = '2024' and parcel_id = '19111542406');</v>
      </c>
    </row>
    <row r="1096" spans="1:86" x14ac:dyDescent="0.25">
      <c r="A1096">
        <v>19111542407</v>
      </c>
      <c r="B1096">
        <v>0.27</v>
      </c>
      <c r="C1096">
        <v>11678</v>
      </c>
      <c r="D1096" t="s">
        <v>144</v>
      </c>
      <c r="E1096" t="s">
        <v>54</v>
      </c>
      <c r="F1096" t="s">
        <v>54</v>
      </c>
      <c r="G1096">
        <v>3</v>
      </c>
      <c r="H1096" t="s">
        <v>55</v>
      </c>
      <c r="I1096">
        <v>246300</v>
      </c>
      <c r="J1096">
        <v>36000</v>
      </c>
      <c r="K1096">
        <v>0.27</v>
      </c>
      <c r="L1096">
        <f>IF(Wapato_Inventory[[#This Row],[parcel_acres]]-Wapato_Inventory[[#This Row],[non_valued_acres]] =0,0,LN(Wapato_Inventory[[#This Row],[parcel_acres]]-Wapato_Inventory[[#This Row],[non_valued_acres]]))</f>
        <v>-1.3093333199837622</v>
      </c>
      <c r="M1096">
        <v>0</v>
      </c>
      <c r="N1096">
        <v>0</v>
      </c>
      <c r="O1096">
        <v>0</v>
      </c>
      <c r="P1096">
        <v>27904.037</v>
      </c>
      <c r="Q1096">
        <v>74398</v>
      </c>
      <c r="R1096" s="3">
        <f>(Wapato_Inventory[[#This Row],[ln_acres]]*Wapato_Inventory[[#This Row],[coeff]])+Wapato_Inventory[[#This Row],[const]]</f>
        <v>37862.314593840259</v>
      </c>
      <c r="S1096" t="s">
        <v>62</v>
      </c>
      <c r="T1096">
        <v>1</v>
      </c>
      <c r="U1096" t="s">
        <v>63</v>
      </c>
      <c r="V1096" t="s">
        <v>68</v>
      </c>
      <c r="W1096">
        <v>0</v>
      </c>
      <c r="X1096">
        <v>0</v>
      </c>
      <c r="Y1096">
        <v>46</v>
      </c>
      <c r="Z1096">
        <v>54</v>
      </c>
      <c r="AA1096">
        <v>60</v>
      </c>
      <c r="AB1096">
        <v>2500</v>
      </c>
      <c r="AC1096">
        <v>2107</v>
      </c>
      <c r="AD1096">
        <v>2107</v>
      </c>
      <c r="AE1096">
        <v>0</v>
      </c>
      <c r="AF1096">
        <v>0</v>
      </c>
      <c r="AG1096">
        <v>0</v>
      </c>
      <c r="AH1096">
        <v>620</v>
      </c>
      <c r="AI1096">
        <v>598</v>
      </c>
      <c r="AJ1096">
        <v>0</v>
      </c>
      <c r="AK1096">
        <v>0</v>
      </c>
      <c r="AL1096">
        <v>0</v>
      </c>
      <c r="AM1096">
        <v>210</v>
      </c>
      <c r="AN1096">
        <v>158</v>
      </c>
      <c r="AO1096">
        <v>210</v>
      </c>
      <c r="AP1096">
        <v>10</v>
      </c>
      <c r="AQ1096">
        <v>1</v>
      </c>
      <c r="AR1096">
        <v>1</v>
      </c>
      <c r="AS1096" t="s">
        <v>59</v>
      </c>
      <c r="AT1096">
        <v>1</v>
      </c>
      <c r="AU1096" t="s">
        <v>64</v>
      </c>
      <c r="AV1096" t="s">
        <v>65</v>
      </c>
      <c r="AW1096">
        <v>1</v>
      </c>
      <c r="AX1096">
        <v>3</v>
      </c>
      <c r="AY1096">
        <v>0</v>
      </c>
      <c r="AZ1096">
        <v>0</v>
      </c>
      <c r="BA1096">
        <v>100</v>
      </c>
      <c r="BB1096">
        <v>100</v>
      </c>
      <c r="BC1096">
        <v>100</v>
      </c>
      <c r="BD1096">
        <v>100</v>
      </c>
      <c r="BE1096">
        <v>1</v>
      </c>
      <c r="BF1096">
        <v>15000</v>
      </c>
      <c r="BG1096">
        <v>1000</v>
      </c>
      <c r="BH1096" s="7">
        <f>ROUND(Wapato_Inventory[[#This Row],[detatched_value]]*Lookups!$B$22*Lookups!$H$48,-2)</f>
        <v>0</v>
      </c>
      <c r="BI1096" s="7">
        <f>ROUND(((Wapato_Inventory[[#This Row],[land_extract]]*Lookups!$B$3) +(Lookups!$B$2*0.5))*Lookups!$H$48,-2)</f>
        <v>54700</v>
      </c>
      <c r="BJ1096" s="7">
        <f>IF(Wapato_Inventory[[#This Row],[bldg_style]]="",0,Lookups!$B$2*0.5)</f>
        <v>53765.27</v>
      </c>
      <c r="BK1096" s="7">
        <f>_xlfn.IFNA(VLOOKUP(Wapato_Inventory[[#This Row],[quality]],Lookups!$H$2:$J$14,3,FALSE),0)</f>
        <v>50594</v>
      </c>
      <c r="BL1096" s="7">
        <f>_xlfn.IFNA(VLOOKUP(Wapato_Inventory[[#This Row],[condition]],Lookups!$H$17:$J$24,3,FALSE),0)</f>
        <v>52231</v>
      </c>
      <c r="BM1096" s="7">
        <f>Wapato_Inventory[[#This Row],[Age]]*Lookups!$B$16</f>
        <v>-20016.487799999999</v>
      </c>
      <c r="BN1096" s="7">
        <f>Wapato_Inventory[[#This Row],[Main Floor]]*Lookups!$B$17</f>
        <v>88074.157072999995</v>
      </c>
      <c r="BO1096" s="7">
        <f>Wapato_Inventory[[#This Row],[Upper Floor]]*Lookups!$B$18</f>
        <v>0</v>
      </c>
      <c r="BP1096" s="7">
        <f>Wapato_Inventory[[#This Row],[Fin BSMT]]*Lookups!$B$19</f>
        <v>0</v>
      </c>
      <c r="BQ1096" s="7">
        <f>(Wapato_Inventory[[#This Row],[att_gar]]+Wapato_Inventory[[#This Row],[blt_gar]])*Lookups!$B$20</f>
        <v>22131.233695999999</v>
      </c>
      <c r="BR1096" s="7">
        <f>Wapato_Inventory[[#This Row],[Patio]]*Lookups!$B$21</f>
        <v>9098.0355899999995</v>
      </c>
      <c r="BS1096" s="7">
        <f>SUM(Wapato_Inventory[[#This Row],[intercept]:[patio_value]])*Wapato_Inventory[[#This Row],[res_pct]]</f>
        <v>255877.20855899999</v>
      </c>
      <c r="BT1096" s="7">
        <f>Wapato_Inventory[[#This Row],[land_value]]</f>
        <v>54700</v>
      </c>
      <c r="BU1096" s="2">
        <f>_xlfn.IFNA(VLOOKUP(Wapato_Inventory[[#This Row],[quality]],Lookups!$A$28:$C$37,3,FALSE),1)</f>
        <v>0.99197423394367223</v>
      </c>
      <c r="BV1096" s="2">
        <f>_xlfn.IFNA(VLOOKUP(Wapato_Inventory[[#This Row],[condition]],Lookups!$A$41:$C$48,3,FALSE),1)</f>
        <v>0.9832333997567807</v>
      </c>
      <c r="BW1096" s="2">
        <f>IF(Wapato_Inventory[[#This Row],[decade]]="",1,_xlfn.IFNA(VLOOKUP(Wapato_Inventory[[#This Row],[decade]],Lookups!$F$28:$H$45,3,FALSE),1))</f>
        <v>1.035341704162583</v>
      </c>
      <c r="BX1096" s="2">
        <f>_xlfn.IFNA(VLOOKUP(Wapato_Inventory[[#This Row],[living_area_range]],Lookups!$K$28:$M$37,3,FALSE),1)</f>
        <v>0.90813907160181651</v>
      </c>
      <c r="BY1096" s="2">
        <f>AVERAGE(Wapato_Inventory[[#This Row],[qual_adj]:[range_adj]])</f>
        <v>0.97967210236621316</v>
      </c>
      <c r="BZ1096" s="7">
        <f>(Wapato_Inventory[[#This Row],[sum_land]]-IF(Wapato_Inventory[[#This Row],[no_utilities]]=1,12000,0))/IF(Wapato_Inventory[[#This Row],[unbuildable]]=1,2,1)</f>
        <v>54700</v>
      </c>
      <c r="CA1096" s="7">
        <f>Wapato_Inventory[[#This Row],[pre_res]]*Wapato_Inventory[[#This Row],[overall_adj]]</f>
        <v>250675.7628565935</v>
      </c>
      <c r="CB1096" s="3">
        <f>IF(ROUND(Wapato_Inventory[[#This Row],[adj_land]]*Lookups!$H$48,-2)&lt;Wapato_Inventory[[#This Row],[min_land]],Wapato_Inventory[[#This Row],[min_land]],ROUND(Wapato_Inventory[[#This Row],[adj_land]]*Lookups!$H$48,-2))</f>
        <v>52000</v>
      </c>
      <c r="CC1096" s="3">
        <f>IF(ROUND(Wapato_Inventory[[#This Row],[adj_res]]*Lookups!$H$48,-2)&lt;Wapato_Inventory[[#This Row],[min_res]],Wapato_Inventory[[#This Row],[min_res]],ROUND(Wapato_Inventory[[#This Row],[adj_res]]*Lookups!$H$48,-2))</f>
        <v>238100</v>
      </c>
      <c r="CD1096" s="3">
        <f>ROUND(Wapato_Inventory[[#This Row],[det_value]]*Lookups!$H$48,-2)</f>
        <v>0</v>
      </c>
      <c r="CE1096" s="3">
        <f>Wapato_Inventory[[#This Row],[final_res]]+Wapato_Inventory[[#This Row],[final_det]]</f>
        <v>238100</v>
      </c>
      <c r="CF1096" s="3">
        <f>Wapato_Inventory[[#This Row],[crop_value]]+Wapato_Inventory[[#This Row],[final_land]]+Wapato_Inventory[[#This Row],[final_imp]]</f>
        <v>290100</v>
      </c>
      <c r="CH1096" t="str">
        <f t="shared" si="17"/>
        <v>update valuation set market_land =52000, market_bldg=238100, market_total =290100, market_mdno =405, market_date ='9/10/2023' where link_id = (select link_id from parcel where parcel_year = '2024' and parcel_id = '19111542407');</v>
      </c>
    </row>
    <row r="1097" spans="1:86" x14ac:dyDescent="0.25">
      <c r="A1097">
        <v>19111542408</v>
      </c>
      <c r="B1097">
        <v>0.26</v>
      </c>
      <c r="C1097">
        <v>11439</v>
      </c>
      <c r="D1097" t="s">
        <v>144</v>
      </c>
      <c r="E1097" t="s">
        <v>54</v>
      </c>
      <c r="F1097" t="s">
        <v>54</v>
      </c>
      <c r="G1097">
        <v>3</v>
      </c>
      <c r="H1097" t="s">
        <v>55</v>
      </c>
      <c r="I1097">
        <v>325600</v>
      </c>
      <c r="J1097">
        <v>35800</v>
      </c>
      <c r="K1097">
        <v>0.26</v>
      </c>
      <c r="L1097">
        <f>IF(Wapato_Inventory[[#This Row],[parcel_acres]]-Wapato_Inventory[[#This Row],[non_valued_acres]] =0,0,LN(Wapato_Inventory[[#This Row],[parcel_acres]]-Wapato_Inventory[[#This Row],[non_valued_acres]]))</f>
        <v>-1.3470736479666092</v>
      </c>
      <c r="M1097">
        <v>0</v>
      </c>
      <c r="N1097">
        <v>0</v>
      </c>
      <c r="O1097">
        <v>0</v>
      </c>
      <c r="P1097">
        <v>27904.037</v>
      </c>
      <c r="Q1097">
        <v>74398</v>
      </c>
      <c r="R1097" s="3">
        <f>(Wapato_Inventory[[#This Row],[ln_acres]]*Wapato_Inventory[[#This Row],[coeff]])+Wapato_Inventory[[#This Row],[const]]</f>
        <v>36809.207085414761</v>
      </c>
      <c r="S1097" t="s">
        <v>62</v>
      </c>
      <c r="T1097">
        <v>1</v>
      </c>
      <c r="U1097" t="s">
        <v>65</v>
      </c>
      <c r="V1097" t="s">
        <v>69</v>
      </c>
      <c r="W1097">
        <v>0</v>
      </c>
      <c r="X1097">
        <v>0</v>
      </c>
      <c r="Y1097">
        <v>48</v>
      </c>
      <c r="Z1097">
        <v>61</v>
      </c>
      <c r="AA1097">
        <v>70</v>
      </c>
      <c r="AB1097">
        <v>2500</v>
      </c>
      <c r="AC1097">
        <v>2124</v>
      </c>
      <c r="AD1097">
        <v>2124</v>
      </c>
      <c r="AE1097">
        <v>0</v>
      </c>
      <c r="AF1097">
        <v>0</v>
      </c>
      <c r="AG1097">
        <v>0</v>
      </c>
      <c r="AH1097">
        <v>0</v>
      </c>
      <c r="AI1097">
        <v>875</v>
      </c>
      <c r="AJ1097">
        <v>0</v>
      </c>
      <c r="AK1097">
        <v>0</v>
      </c>
      <c r="AL1097">
        <v>0</v>
      </c>
      <c r="AM1097">
        <v>1658</v>
      </c>
      <c r="AN1097">
        <v>0</v>
      </c>
      <c r="AO1097">
        <v>0</v>
      </c>
      <c r="AP1097">
        <v>7</v>
      </c>
      <c r="AQ1097">
        <v>0</v>
      </c>
      <c r="AR1097">
        <v>1</v>
      </c>
      <c r="AS1097" t="s">
        <v>59</v>
      </c>
      <c r="AT1097">
        <v>1</v>
      </c>
      <c r="AU1097" t="s">
        <v>64</v>
      </c>
      <c r="AV1097" t="s">
        <v>65</v>
      </c>
      <c r="AW1097">
        <v>1</v>
      </c>
      <c r="AX1097">
        <v>3</v>
      </c>
      <c r="AY1097">
        <v>0</v>
      </c>
      <c r="AZ1097">
        <v>0</v>
      </c>
      <c r="BA1097">
        <v>100</v>
      </c>
      <c r="BB1097">
        <v>100</v>
      </c>
      <c r="BC1097">
        <v>100</v>
      </c>
      <c r="BD1097">
        <v>100</v>
      </c>
      <c r="BE1097">
        <v>1</v>
      </c>
      <c r="BF1097">
        <v>15000</v>
      </c>
      <c r="BG1097">
        <v>1000</v>
      </c>
      <c r="BH1097" s="7">
        <f>ROUND(Wapato_Inventory[[#This Row],[detatched_value]]*Lookups!$B$22*Lookups!$H$48,-2)</f>
        <v>0</v>
      </c>
      <c r="BI1097" s="7">
        <f>ROUND(((Wapato_Inventory[[#This Row],[land_extract]]*Lookups!$B$3) +(Lookups!$B$2*0.5))*Lookups!$H$48,-2)</f>
        <v>54600</v>
      </c>
      <c r="BJ1097" s="7">
        <f>IF(Wapato_Inventory[[#This Row],[bldg_style]]="",0,Lookups!$B$2*0.5)</f>
        <v>53765.27</v>
      </c>
      <c r="BK1097" s="7">
        <f>_xlfn.IFNA(VLOOKUP(Wapato_Inventory[[#This Row],[quality]],Lookups!$H$2:$J$14,3,FALSE),0)</f>
        <v>92307</v>
      </c>
      <c r="BL1097" s="7">
        <f>_xlfn.IFNA(VLOOKUP(Wapato_Inventory[[#This Row],[condition]],Lookups!$H$17:$J$24,3,FALSE),0)</f>
        <v>74543</v>
      </c>
      <c r="BM1097" s="7">
        <f>Wapato_Inventory[[#This Row],[Age]]*Lookups!$B$16</f>
        <v>-22611.217700000001</v>
      </c>
      <c r="BN1097" s="7">
        <f>Wapato_Inventory[[#This Row],[Main Floor]]*Lookups!$B$17</f>
        <v>88784.769635999997</v>
      </c>
      <c r="BO1097" s="7">
        <f>Wapato_Inventory[[#This Row],[Upper Floor]]*Lookups!$B$18</f>
        <v>0</v>
      </c>
      <c r="BP1097" s="7">
        <f>Wapato_Inventory[[#This Row],[Fin BSMT]]*Lookups!$B$19</f>
        <v>0</v>
      </c>
      <c r="BQ1097" s="7">
        <f>(Wapato_Inventory[[#This Row],[att_gar]]+Wapato_Inventory[[#This Row],[blt_gar]])*Lookups!$B$20</f>
        <v>32382.657999999999</v>
      </c>
      <c r="BR1097" s="7">
        <f>Wapato_Inventory[[#This Row],[Patio]]*Lookups!$B$21</f>
        <v>71831.157181999995</v>
      </c>
      <c r="BS1097" s="7">
        <f>SUM(Wapato_Inventory[[#This Row],[intercept]:[patio_value]])*Wapato_Inventory[[#This Row],[res_pct]]</f>
        <v>391002.63711799996</v>
      </c>
      <c r="BT1097" s="7">
        <f>Wapato_Inventory[[#This Row],[land_value]]</f>
        <v>54600</v>
      </c>
      <c r="BU1097" s="2">
        <f>_xlfn.IFNA(VLOOKUP(Wapato_Inventory[[#This Row],[quality]],Lookups!$A$28:$C$37,3,FALSE),1)</f>
        <v>1.0013727718490204</v>
      </c>
      <c r="BV1097" s="2">
        <f>_xlfn.IFNA(VLOOKUP(Wapato_Inventory[[#This Row],[condition]],Lookups!$A$41:$C$48,3,FALSE),1)</f>
        <v>0.98442438223270734</v>
      </c>
      <c r="BW1097" s="2">
        <f>IF(Wapato_Inventory[[#This Row],[decade]]="",1,_xlfn.IFNA(VLOOKUP(Wapato_Inventory[[#This Row],[decade]],Lookups!$F$28:$H$45,3,FALSE),1))</f>
        <v>1.0012715221492001</v>
      </c>
      <c r="BX1097" s="2">
        <f>_xlfn.IFNA(VLOOKUP(Wapato_Inventory[[#This Row],[living_area_range]],Lookups!$K$28:$M$37,3,FALSE),1)</f>
        <v>0.90813907160181651</v>
      </c>
      <c r="BY1097" s="2">
        <f>AVERAGE(Wapato_Inventory[[#This Row],[qual_adj]:[range_adj]])</f>
        <v>0.97380193695818607</v>
      </c>
      <c r="BZ1097" s="7">
        <f>(Wapato_Inventory[[#This Row],[sum_land]]-IF(Wapato_Inventory[[#This Row],[no_utilities]]=1,12000,0))/IF(Wapato_Inventory[[#This Row],[unbuildable]]=1,2,1)</f>
        <v>54600</v>
      </c>
      <c r="CA1097" s="7">
        <f>Wapato_Inventory[[#This Row],[pre_res]]*Wapato_Inventory[[#This Row],[overall_adj]]</f>
        <v>380759.12538126711</v>
      </c>
      <c r="CB1097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097" s="3">
        <f>IF(ROUND(Wapato_Inventory[[#This Row],[adj_res]]*Lookups!$H$48,-2)&lt;Wapato_Inventory[[#This Row],[min_res]],Wapato_Inventory[[#This Row],[min_res]],ROUND(Wapato_Inventory[[#This Row],[adj_res]]*Lookups!$H$48,-2))</f>
        <v>361700</v>
      </c>
      <c r="CD1097" s="3">
        <f>ROUND(Wapato_Inventory[[#This Row],[det_value]]*Lookups!$H$48,-2)</f>
        <v>0</v>
      </c>
      <c r="CE1097" s="3">
        <f>Wapato_Inventory[[#This Row],[final_res]]+Wapato_Inventory[[#This Row],[final_det]]</f>
        <v>361700</v>
      </c>
      <c r="CF1097" s="3">
        <f>Wapato_Inventory[[#This Row],[crop_value]]+Wapato_Inventory[[#This Row],[final_land]]+Wapato_Inventory[[#This Row],[final_imp]]</f>
        <v>413600</v>
      </c>
      <c r="CH1097" t="str">
        <f t="shared" si="17"/>
        <v>update valuation set market_land =51900, market_bldg=361700, market_total =413600, market_mdno =405, market_date ='9/10/2023' where link_id = (select link_id from parcel where parcel_year = '2024' and parcel_id = '19111542408');</v>
      </c>
    </row>
    <row r="1098" spans="1:86" x14ac:dyDescent="0.25">
      <c r="A1098">
        <v>19111542409</v>
      </c>
      <c r="B1098">
        <v>0.23</v>
      </c>
      <c r="C1098">
        <v>9990</v>
      </c>
      <c r="D1098" t="s">
        <v>144</v>
      </c>
      <c r="E1098" t="s">
        <v>54</v>
      </c>
      <c r="F1098" t="s">
        <v>54</v>
      </c>
      <c r="G1098">
        <v>3</v>
      </c>
      <c r="H1098" t="s">
        <v>55</v>
      </c>
      <c r="I1098">
        <v>212900</v>
      </c>
      <c r="J1098">
        <v>34900</v>
      </c>
      <c r="K1098">
        <v>0.23</v>
      </c>
      <c r="L1098">
        <f>IF(Wapato_Inventory[[#This Row],[parcel_acres]]-Wapato_Inventory[[#This Row],[non_valued_acres]] =0,0,LN(Wapato_Inventory[[#This Row],[parcel_acres]]-Wapato_Inventory[[#This Row],[non_valued_acres]]))</f>
        <v>-1.4696759700589417</v>
      </c>
      <c r="M1098">
        <v>0</v>
      </c>
      <c r="N1098">
        <v>0</v>
      </c>
      <c r="O1098">
        <v>0</v>
      </c>
      <c r="P1098">
        <v>27904.037</v>
      </c>
      <c r="Q1098">
        <v>74398</v>
      </c>
      <c r="R1098" s="3">
        <f>(Wapato_Inventory[[#This Row],[ln_acres]]*Wapato_Inventory[[#This Row],[coeff]])+Wapato_Inventory[[#This Row],[const]]</f>
        <v>33388.107353464402</v>
      </c>
      <c r="S1098" t="s">
        <v>62</v>
      </c>
      <c r="T1098">
        <v>1</v>
      </c>
      <c r="U1098" t="s">
        <v>63</v>
      </c>
      <c r="V1098" t="s">
        <v>68</v>
      </c>
      <c r="W1098">
        <v>0</v>
      </c>
      <c r="X1098">
        <v>0</v>
      </c>
      <c r="Y1098">
        <v>48</v>
      </c>
      <c r="Z1098">
        <v>59</v>
      </c>
      <c r="AA1098">
        <v>60</v>
      </c>
      <c r="AB1098">
        <v>2000</v>
      </c>
      <c r="AC1098">
        <v>1878</v>
      </c>
      <c r="AD1098">
        <v>1878</v>
      </c>
      <c r="AE1098">
        <v>0</v>
      </c>
      <c r="AF1098">
        <v>0</v>
      </c>
      <c r="AG1098">
        <v>0</v>
      </c>
      <c r="AH1098">
        <v>0</v>
      </c>
      <c r="AI1098">
        <v>384</v>
      </c>
      <c r="AJ1098">
        <v>0</v>
      </c>
      <c r="AK1098">
        <v>0</v>
      </c>
      <c r="AL1098">
        <v>0</v>
      </c>
      <c r="AM1098">
        <v>400</v>
      </c>
      <c r="AN1098">
        <v>0</v>
      </c>
      <c r="AO1098">
        <v>466</v>
      </c>
      <c r="AP1098">
        <v>10</v>
      </c>
      <c r="AQ1098">
        <v>0</v>
      </c>
      <c r="AR1098">
        <v>1</v>
      </c>
      <c r="AS1098" t="s">
        <v>59</v>
      </c>
      <c r="AT1098">
        <v>1</v>
      </c>
      <c r="AU1098" t="s">
        <v>64</v>
      </c>
      <c r="AV1098" t="s">
        <v>65</v>
      </c>
      <c r="AW1098">
        <v>1</v>
      </c>
      <c r="AX1098">
        <v>4</v>
      </c>
      <c r="AY1098">
        <v>0</v>
      </c>
      <c r="AZ1098">
        <v>0</v>
      </c>
      <c r="BA1098">
        <v>100</v>
      </c>
      <c r="BB1098">
        <v>100</v>
      </c>
      <c r="BC1098">
        <v>100</v>
      </c>
      <c r="BD1098">
        <v>100</v>
      </c>
      <c r="BE1098">
        <v>1</v>
      </c>
      <c r="BF1098">
        <v>15000</v>
      </c>
      <c r="BG1098">
        <v>1000</v>
      </c>
      <c r="BH1098" s="7">
        <f>ROUND(Wapato_Inventory[[#This Row],[detatched_value]]*Lookups!$B$22*Lookups!$H$48,-2)</f>
        <v>0</v>
      </c>
      <c r="BI1098" s="7">
        <f>ROUND(((Wapato_Inventory[[#This Row],[land_extract]]*Lookups!$B$3) +(Lookups!$B$2*0.5))*Lookups!$H$48,-2)</f>
        <v>54300</v>
      </c>
      <c r="BJ1098" s="7">
        <f>IF(Wapato_Inventory[[#This Row],[bldg_style]]="",0,Lookups!$B$2*0.5)</f>
        <v>53765.27</v>
      </c>
      <c r="BK1098" s="7">
        <f>_xlfn.IFNA(VLOOKUP(Wapato_Inventory[[#This Row],[quality]],Lookups!$H$2:$J$14,3,FALSE),0)</f>
        <v>50594</v>
      </c>
      <c r="BL1098" s="7">
        <f>_xlfn.IFNA(VLOOKUP(Wapato_Inventory[[#This Row],[condition]],Lookups!$H$17:$J$24,3,FALSE),0)</f>
        <v>52231</v>
      </c>
      <c r="BM1098" s="7">
        <f>Wapato_Inventory[[#This Row],[Age]]*Lookups!$B$16</f>
        <v>-21869.866300000002</v>
      </c>
      <c r="BN1098" s="7">
        <f>Wapato_Inventory[[#This Row],[Main Floor]]*Lookups!$B$17</f>
        <v>78501.787842000005</v>
      </c>
      <c r="BO1098" s="7">
        <f>Wapato_Inventory[[#This Row],[Upper Floor]]*Lookups!$B$18</f>
        <v>0</v>
      </c>
      <c r="BP1098" s="7">
        <f>Wapato_Inventory[[#This Row],[Fin BSMT]]*Lookups!$B$19</f>
        <v>0</v>
      </c>
      <c r="BQ1098" s="7">
        <f>(Wapato_Inventory[[#This Row],[att_gar]]+Wapato_Inventory[[#This Row],[blt_gar]])*Lookups!$B$20</f>
        <v>14211.360768</v>
      </c>
      <c r="BR1098" s="7">
        <f>Wapato_Inventory[[#This Row],[Patio]]*Lookups!$B$21</f>
        <v>17329.5916</v>
      </c>
      <c r="BS1098" s="7">
        <f>SUM(Wapato_Inventory[[#This Row],[intercept]:[patio_value]])*Wapato_Inventory[[#This Row],[res_pct]]</f>
        <v>244763.14390999998</v>
      </c>
      <c r="BT1098" s="7">
        <f>Wapato_Inventory[[#This Row],[land_value]]</f>
        <v>54300</v>
      </c>
      <c r="BU1098" s="2">
        <f>_xlfn.IFNA(VLOOKUP(Wapato_Inventory[[#This Row],[quality]],Lookups!$A$28:$C$37,3,FALSE),1)</f>
        <v>0.99197423394367223</v>
      </c>
      <c r="BV1098" s="2">
        <f>_xlfn.IFNA(VLOOKUP(Wapato_Inventory[[#This Row],[condition]],Lookups!$A$41:$C$48,3,FALSE),1)</f>
        <v>0.9832333997567807</v>
      </c>
      <c r="BW1098" s="2">
        <f>IF(Wapato_Inventory[[#This Row],[decade]]="",1,_xlfn.IFNA(VLOOKUP(Wapato_Inventory[[#This Row],[decade]],Lookups!$F$28:$H$45,3,FALSE),1))</f>
        <v>1.035341704162583</v>
      </c>
      <c r="BX1098" s="2">
        <f>_xlfn.IFNA(VLOOKUP(Wapato_Inventory[[#This Row],[living_area_range]],Lookups!$K$28:$M$37,3,FALSE),1)</f>
        <v>0.99330894324714125</v>
      </c>
      <c r="BY1098" s="2">
        <f>AVERAGE(Wapato_Inventory[[#This Row],[qual_adj]:[range_adj]])</f>
        <v>1.0009645702775443</v>
      </c>
      <c r="BZ1098" s="7">
        <f>(Wapato_Inventory[[#This Row],[sum_land]]-IF(Wapato_Inventory[[#This Row],[no_utilities]]=1,12000,0))/IF(Wapato_Inventory[[#This Row],[unbuildable]]=1,2,1)</f>
        <v>54300</v>
      </c>
      <c r="CA1098" s="7">
        <f>Wapato_Inventory[[#This Row],[pre_res]]*Wapato_Inventory[[#This Row],[overall_adj]]</f>
        <v>244999.23516365385</v>
      </c>
      <c r="CB1098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1098" s="3">
        <f>IF(ROUND(Wapato_Inventory[[#This Row],[adj_res]]*Lookups!$H$48,-2)&lt;Wapato_Inventory[[#This Row],[min_res]],Wapato_Inventory[[#This Row],[min_res]],ROUND(Wapato_Inventory[[#This Row],[adj_res]]*Lookups!$H$48,-2))</f>
        <v>232700</v>
      </c>
      <c r="CD1098" s="3">
        <f>ROUND(Wapato_Inventory[[#This Row],[det_value]]*Lookups!$H$48,-2)</f>
        <v>0</v>
      </c>
      <c r="CE1098" s="3">
        <f>Wapato_Inventory[[#This Row],[final_res]]+Wapato_Inventory[[#This Row],[final_det]]</f>
        <v>232700</v>
      </c>
      <c r="CF1098" s="3">
        <f>Wapato_Inventory[[#This Row],[crop_value]]+Wapato_Inventory[[#This Row],[final_land]]+Wapato_Inventory[[#This Row],[final_imp]]</f>
        <v>284300</v>
      </c>
      <c r="CH1098" t="str">
        <f t="shared" si="17"/>
        <v>update valuation set market_land =51600, market_bldg=232700, market_total =284300, market_mdno =405, market_date ='9/10/2023' where link_id = (select link_id from parcel where parcel_year = '2024' and parcel_id = '19111542409');</v>
      </c>
    </row>
    <row r="1099" spans="1:86" x14ac:dyDescent="0.25">
      <c r="A1099">
        <v>19111542410</v>
      </c>
      <c r="B1099">
        <v>0.19</v>
      </c>
      <c r="C1099">
        <v>8325</v>
      </c>
      <c r="D1099" t="s">
        <v>144</v>
      </c>
      <c r="E1099" t="s">
        <v>54</v>
      </c>
      <c r="F1099" t="s">
        <v>54</v>
      </c>
      <c r="G1099">
        <v>3</v>
      </c>
      <c r="H1099" t="s">
        <v>55</v>
      </c>
      <c r="I1099">
        <v>185100</v>
      </c>
      <c r="J1099">
        <v>33600</v>
      </c>
      <c r="K1099">
        <v>0.19</v>
      </c>
      <c r="L1099">
        <f>IF(Wapato_Inventory[[#This Row],[parcel_acres]]-Wapato_Inventory[[#This Row],[non_valued_acres]] =0,0,LN(Wapato_Inventory[[#This Row],[parcel_acres]]-Wapato_Inventory[[#This Row],[non_valued_acres]]))</f>
        <v>-1.6607312068216509</v>
      </c>
      <c r="M1099">
        <v>0</v>
      </c>
      <c r="N1099">
        <v>0</v>
      </c>
      <c r="O1099">
        <v>0</v>
      </c>
      <c r="P1099">
        <v>27904.037</v>
      </c>
      <c r="Q1099">
        <v>74398</v>
      </c>
      <c r="R1099" s="3">
        <f>(Wapato_Inventory[[#This Row],[ln_acres]]*Wapato_Inventory[[#This Row],[coeff]])+Wapato_Inventory[[#This Row],[const]]</f>
        <v>28056.894957794</v>
      </c>
      <c r="S1099" t="s">
        <v>62</v>
      </c>
      <c r="T1099">
        <v>1</v>
      </c>
      <c r="U1099" t="s">
        <v>67</v>
      </c>
      <c r="V1099" t="s">
        <v>68</v>
      </c>
      <c r="W1099">
        <v>0</v>
      </c>
      <c r="X1099">
        <v>0</v>
      </c>
      <c r="Y1099">
        <v>47</v>
      </c>
      <c r="Z1099">
        <v>58</v>
      </c>
      <c r="AA1099">
        <v>60</v>
      </c>
      <c r="AB1099">
        <v>2000</v>
      </c>
      <c r="AC1099">
        <v>1503</v>
      </c>
      <c r="AD1099">
        <v>1387</v>
      </c>
      <c r="AE1099">
        <v>0</v>
      </c>
      <c r="AF1099">
        <v>116</v>
      </c>
      <c r="AG1099">
        <v>0</v>
      </c>
      <c r="AH1099">
        <v>0</v>
      </c>
      <c r="AI1099">
        <v>324</v>
      </c>
      <c r="AJ1099">
        <v>0</v>
      </c>
      <c r="AK1099">
        <v>0</v>
      </c>
      <c r="AL1099">
        <v>0</v>
      </c>
      <c r="AM1099">
        <v>230</v>
      </c>
      <c r="AN1099">
        <v>68</v>
      </c>
      <c r="AO1099">
        <v>230</v>
      </c>
      <c r="AP1099">
        <v>8</v>
      </c>
      <c r="AQ1099">
        <v>0</v>
      </c>
      <c r="AR1099">
        <v>1</v>
      </c>
      <c r="AS1099" t="s">
        <v>59</v>
      </c>
      <c r="AT1099">
        <v>1</v>
      </c>
      <c r="AU1099" t="s">
        <v>64</v>
      </c>
      <c r="AV1099" t="s">
        <v>65</v>
      </c>
      <c r="AW1099">
        <v>0</v>
      </c>
      <c r="AX1099">
        <v>4</v>
      </c>
      <c r="AY1099">
        <v>0</v>
      </c>
      <c r="AZ1099">
        <v>0</v>
      </c>
      <c r="BA1099">
        <v>100</v>
      </c>
      <c r="BB1099">
        <v>100</v>
      </c>
      <c r="BC1099">
        <v>100</v>
      </c>
      <c r="BD1099">
        <v>100</v>
      </c>
      <c r="BE1099">
        <v>1</v>
      </c>
      <c r="BF1099">
        <v>15000</v>
      </c>
      <c r="BG1099">
        <v>1000</v>
      </c>
      <c r="BH1099" s="7">
        <f>ROUND(Wapato_Inventory[[#This Row],[detatched_value]]*Lookups!$B$22*Lookups!$H$48,-2)</f>
        <v>0</v>
      </c>
      <c r="BI1099" s="7">
        <f>ROUND(((Wapato_Inventory[[#This Row],[land_extract]]*Lookups!$B$3) +(Lookups!$B$2*0.5))*Lookups!$H$48,-2)</f>
        <v>53800</v>
      </c>
      <c r="BJ1099" s="7">
        <f>IF(Wapato_Inventory[[#This Row],[bldg_style]]="",0,Lookups!$B$2*0.5)</f>
        <v>53765.27</v>
      </c>
      <c r="BK1099" s="7">
        <f>_xlfn.IFNA(VLOOKUP(Wapato_Inventory[[#This Row],[quality]],Lookups!$H$2:$J$14,3,FALSE),0)</f>
        <v>50405</v>
      </c>
      <c r="BL1099" s="7">
        <f>_xlfn.IFNA(VLOOKUP(Wapato_Inventory[[#This Row],[condition]],Lookups!$H$17:$J$24,3,FALSE),0)</f>
        <v>52231</v>
      </c>
      <c r="BM1099" s="7">
        <f>Wapato_Inventory[[#This Row],[Age]]*Lookups!$B$16</f>
        <v>-21499.190600000002</v>
      </c>
      <c r="BN1099" s="7">
        <f>Wapato_Inventory[[#This Row],[Main Floor]]*Lookups!$B$17</f>
        <v>57977.624992999998</v>
      </c>
      <c r="BO1099" s="7">
        <f>Wapato_Inventory[[#This Row],[Upper Floor]]*Lookups!$B$18</f>
        <v>0</v>
      </c>
      <c r="BP1099" s="7">
        <f>Wapato_Inventory[[#This Row],[Fin BSMT]]*Lookups!$B$19</f>
        <v>0</v>
      </c>
      <c r="BQ1099" s="7">
        <f>(Wapato_Inventory[[#This Row],[att_gar]]+Wapato_Inventory[[#This Row],[blt_gar]])*Lookups!$B$20</f>
        <v>11990.835648</v>
      </c>
      <c r="BR1099" s="7">
        <f>Wapato_Inventory[[#This Row],[Patio]]*Lookups!$B$21</f>
        <v>9964.5151700000006</v>
      </c>
      <c r="BS1099" s="7">
        <f>SUM(Wapato_Inventory[[#This Row],[intercept]:[patio_value]])*Wapato_Inventory[[#This Row],[res_pct]]</f>
        <v>214835.055211</v>
      </c>
      <c r="BT1099" s="7">
        <f>Wapato_Inventory[[#This Row],[land_value]]</f>
        <v>53800</v>
      </c>
      <c r="BU1099" s="2">
        <f>_xlfn.IFNA(VLOOKUP(Wapato_Inventory[[#This Row],[quality]],Lookups!$A$28:$C$37,3,FALSE),1)</f>
        <v>0.97993206410140754</v>
      </c>
      <c r="BV1099" s="2">
        <f>_xlfn.IFNA(VLOOKUP(Wapato_Inventory[[#This Row],[condition]],Lookups!$A$41:$C$48,3,FALSE),1)</f>
        <v>0.9832333997567807</v>
      </c>
      <c r="BW1099" s="2">
        <f>IF(Wapato_Inventory[[#This Row],[decade]]="",1,_xlfn.IFNA(VLOOKUP(Wapato_Inventory[[#This Row],[decade]],Lookups!$F$28:$H$45,3,FALSE),1))</f>
        <v>1.035341704162583</v>
      </c>
      <c r="BX1099" s="2">
        <f>_xlfn.IFNA(VLOOKUP(Wapato_Inventory[[#This Row],[living_area_range]],Lookups!$K$28:$M$37,3,FALSE),1)</f>
        <v>0.99330894324714125</v>
      </c>
      <c r="BY1099" s="2">
        <f>AVERAGE(Wapato_Inventory[[#This Row],[qual_adj]:[range_adj]])</f>
        <v>0.99795402781697817</v>
      </c>
      <c r="BZ1099" s="7">
        <f>(Wapato_Inventory[[#This Row],[sum_land]]-IF(Wapato_Inventory[[#This Row],[no_utilities]]=1,12000,0))/IF(Wapato_Inventory[[#This Row],[unbuildable]]=1,2,1)</f>
        <v>53800</v>
      </c>
      <c r="CA1099" s="7">
        <f>Wapato_Inventory[[#This Row],[pre_res]]*Wapato_Inventory[[#This Row],[overall_adj]]</f>
        <v>214395.50866410034</v>
      </c>
      <c r="CB1099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099" s="3">
        <f>IF(ROUND(Wapato_Inventory[[#This Row],[adj_res]]*Lookups!$H$48,-2)&lt;Wapato_Inventory[[#This Row],[min_res]],Wapato_Inventory[[#This Row],[min_res]],ROUND(Wapato_Inventory[[#This Row],[adj_res]]*Lookups!$H$48,-2))</f>
        <v>203700</v>
      </c>
      <c r="CD1099" s="3">
        <f>ROUND(Wapato_Inventory[[#This Row],[det_value]]*Lookups!$H$48,-2)</f>
        <v>0</v>
      </c>
      <c r="CE1099" s="3">
        <f>Wapato_Inventory[[#This Row],[final_res]]+Wapato_Inventory[[#This Row],[final_det]]</f>
        <v>203700</v>
      </c>
      <c r="CF1099" s="3">
        <f>Wapato_Inventory[[#This Row],[crop_value]]+Wapato_Inventory[[#This Row],[final_land]]+Wapato_Inventory[[#This Row],[final_imp]]</f>
        <v>254800</v>
      </c>
      <c r="CH1099" t="str">
        <f t="shared" si="17"/>
        <v>update valuation set market_land =51100, market_bldg=203700, market_total =254800, market_mdno =405, market_date ='9/10/2023' where link_id = (select link_id from parcel where parcel_year = '2024' and parcel_id = '19111542410');</v>
      </c>
    </row>
    <row r="1100" spans="1:86" x14ac:dyDescent="0.25">
      <c r="A1100">
        <v>19111542411</v>
      </c>
      <c r="B1100">
        <v>0.2</v>
      </c>
      <c r="C1100">
        <v>8897</v>
      </c>
      <c r="D1100" t="s">
        <v>144</v>
      </c>
      <c r="E1100" t="s">
        <v>54</v>
      </c>
      <c r="F1100" t="s">
        <v>54</v>
      </c>
      <c r="G1100">
        <v>3</v>
      </c>
      <c r="H1100" t="s">
        <v>55</v>
      </c>
      <c r="I1100">
        <v>187700</v>
      </c>
      <c r="J1100">
        <v>33900</v>
      </c>
      <c r="K1100">
        <v>0.2</v>
      </c>
      <c r="L1100">
        <f>IF(Wapato_Inventory[[#This Row],[parcel_acres]]-Wapato_Inventory[[#This Row],[non_valued_acres]] =0,0,LN(Wapato_Inventory[[#This Row],[parcel_acres]]-Wapato_Inventory[[#This Row],[non_valued_acres]]))</f>
        <v>-1.6094379124341003</v>
      </c>
      <c r="M1100">
        <v>0</v>
      </c>
      <c r="N1100">
        <v>0</v>
      </c>
      <c r="O1100">
        <v>0</v>
      </c>
      <c r="P1100">
        <v>27904.037</v>
      </c>
      <c r="Q1100">
        <v>74398</v>
      </c>
      <c r="R1100" s="3">
        <f>(Wapato_Inventory[[#This Row],[ln_acres]]*Wapato_Inventory[[#This Row],[coeff]])+Wapato_Inventory[[#This Row],[const]]</f>
        <v>29488.184942236105</v>
      </c>
      <c r="S1100" t="s">
        <v>62</v>
      </c>
      <c r="T1100">
        <v>1</v>
      </c>
      <c r="U1100" t="s">
        <v>67</v>
      </c>
      <c r="V1100" t="s">
        <v>68</v>
      </c>
      <c r="W1100">
        <v>0</v>
      </c>
      <c r="X1100">
        <v>0</v>
      </c>
      <c r="Y1100">
        <v>47</v>
      </c>
      <c r="Z1100">
        <v>58</v>
      </c>
      <c r="AA1100">
        <v>60</v>
      </c>
      <c r="AB1100">
        <v>1500</v>
      </c>
      <c r="AC1100">
        <v>1200</v>
      </c>
      <c r="AD1100">
        <v>1200</v>
      </c>
      <c r="AE1100">
        <v>0</v>
      </c>
      <c r="AF1100">
        <v>0</v>
      </c>
      <c r="AG1100">
        <v>0</v>
      </c>
      <c r="AH1100">
        <v>0</v>
      </c>
      <c r="AI1100">
        <v>609</v>
      </c>
      <c r="AJ1100">
        <v>0</v>
      </c>
      <c r="AK1100">
        <v>0</v>
      </c>
      <c r="AL1100">
        <v>0</v>
      </c>
      <c r="AM1100">
        <v>416</v>
      </c>
      <c r="AN1100">
        <v>0</v>
      </c>
      <c r="AO1100">
        <v>416</v>
      </c>
      <c r="AP1100">
        <v>7</v>
      </c>
      <c r="AQ1100">
        <v>0</v>
      </c>
      <c r="AR1100">
        <v>1</v>
      </c>
      <c r="AS1100" t="s">
        <v>59</v>
      </c>
      <c r="AT1100">
        <v>1</v>
      </c>
      <c r="AU1100" t="s">
        <v>64</v>
      </c>
      <c r="AV1100" t="s">
        <v>65</v>
      </c>
      <c r="AW1100">
        <v>0</v>
      </c>
      <c r="AX1100">
        <v>3</v>
      </c>
      <c r="AY1100">
        <v>0</v>
      </c>
      <c r="AZ1100">
        <v>0</v>
      </c>
      <c r="BA1100">
        <v>100</v>
      </c>
      <c r="BB1100">
        <v>100</v>
      </c>
      <c r="BC1100">
        <v>100</v>
      </c>
      <c r="BD1100">
        <v>100</v>
      </c>
      <c r="BE1100">
        <v>1</v>
      </c>
      <c r="BF1100">
        <v>15000</v>
      </c>
      <c r="BG1100">
        <v>1000</v>
      </c>
      <c r="BH1100" s="7">
        <f>ROUND(Wapato_Inventory[[#This Row],[detatched_value]]*Lookups!$B$22*Lookups!$H$48,-2)</f>
        <v>0</v>
      </c>
      <c r="BI1100" s="7">
        <f>ROUND(((Wapato_Inventory[[#This Row],[land_extract]]*Lookups!$B$3) +(Lookups!$B$2*0.5))*Lookups!$H$48,-2)</f>
        <v>53900</v>
      </c>
      <c r="BJ1100" s="7">
        <f>IF(Wapato_Inventory[[#This Row],[bldg_style]]="",0,Lookups!$B$2*0.5)</f>
        <v>53765.27</v>
      </c>
      <c r="BK1100" s="7">
        <f>_xlfn.IFNA(VLOOKUP(Wapato_Inventory[[#This Row],[quality]],Lookups!$H$2:$J$14,3,FALSE),0)</f>
        <v>50405</v>
      </c>
      <c r="BL1100" s="7">
        <f>_xlfn.IFNA(VLOOKUP(Wapato_Inventory[[#This Row],[condition]],Lookups!$H$17:$J$24,3,FALSE),0)</f>
        <v>52231</v>
      </c>
      <c r="BM1100" s="7">
        <f>Wapato_Inventory[[#This Row],[Age]]*Lookups!$B$16</f>
        <v>-21499.190600000002</v>
      </c>
      <c r="BN1100" s="7">
        <f>Wapato_Inventory[[#This Row],[Main Floor]]*Lookups!$B$17</f>
        <v>50160.8868</v>
      </c>
      <c r="BO1100" s="7">
        <f>Wapato_Inventory[[#This Row],[Upper Floor]]*Lookups!$B$18</f>
        <v>0</v>
      </c>
      <c r="BP1100" s="7">
        <f>Wapato_Inventory[[#This Row],[Fin BSMT]]*Lookups!$B$19</f>
        <v>0</v>
      </c>
      <c r="BQ1100" s="7">
        <f>(Wapato_Inventory[[#This Row],[att_gar]]+Wapato_Inventory[[#This Row],[blt_gar]])*Lookups!$B$20</f>
        <v>22538.329968000002</v>
      </c>
      <c r="BR1100" s="7">
        <f>Wapato_Inventory[[#This Row],[Patio]]*Lookups!$B$21</f>
        <v>18022.775264</v>
      </c>
      <c r="BS1100" s="7">
        <f>SUM(Wapato_Inventory[[#This Row],[intercept]:[patio_value]])*Wapato_Inventory[[#This Row],[res_pct]]</f>
        <v>225624.071432</v>
      </c>
      <c r="BT1100" s="7">
        <f>Wapato_Inventory[[#This Row],[land_value]]</f>
        <v>53900</v>
      </c>
      <c r="BU1100" s="2">
        <f>_xlfn.IFNA(VLOOKUP(Wapato_Inventory[[#This Row],[quality]],Lookups!$A$28:$C$37,3,FALSE),1)</f>
        <v>0.97993206410140754</v>
      </c>
      <c r="BV1100" s="2">
        <f>_xlfn.IFNA(VLOOKUP(Wapato_Inventory[[#This Row],[condition]],Lookups!$A$41:$C$48,3,FALSE),1)</f>
        <v>0.9832333997567807</v>
      </c>
      <c r="BW1100" s="2">
        <f>IF(Wapato_Inventory[[#This Row],[decade]]="",1,_xlfn.IFNA(VLOOKUP(Wapato_Inventory[[#This Row],[decade]],Lookups!$F$28:$H$45,3,FALSE),1))</f>
        <v>1.035341704162583</v>
      </c>
      <c r="BX1100" s="2">
        <f>_xlfn.IFNA(VLOOKUP(Wapato_Inventory[[#This Row],[living_area_range]],Lookups!$K$28:$M$37,3,FALSE),1)</f>
        <v>1.0061411172456287</v>
      </c>
      <c r="BY1100" s="2">
        <f>AVERAGE(Wapato_Inventory[[#This Row],[qual_adj]:[range_adj]])</f>
        <v>1.0011620713166001</v>
      </c>
      <c r="BZ1100" s="7">
        <f>(Wapato_Inventory[[#This Row],[sum_land]]-IF(Wapato_Inventory[[#This Row],[no_utilities]]=1,12000,0))/IF(Wapato_Inventory[[#This Row],[unbuildable]]=1,2,1)</f>
        <v>53900</v>
      </c>
      <c r="CA1100" s="7">
        <f>Wapato_Inventory[[#This Row],[pre_res]]*Wapato_Inventory[[#This Row],[overall_adj]]</f>
        <v>225886.26269374564</v>
      </c>
      <c r="CB1100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1100" s="3">
        <f>IF(ROUND(Wapato_Inventory[[#This Row],[adj_res]]*Lookups!$H$48,-2)&lt;Wapato_Inventory[[#This Row],[min_res]],Wapato_Inventory[[#This Row],[min_res]],ROUND(Wapato_Inventory[[#This Row],[adj_res]]*Lookups!$H$48,-2))</f>
        <v>214600</v>
      </c>
      <c r="CD1100" s="3">
        <f>ROUND(Wapato_Inventory[[#This Row],[det_value]]*Lookups!$H$48,-2)</f>
        <v>0</v>
      </c>
      <c r="CE1100" s="3">
        <f>Wapato_Inventory[[#This Row],[final_res]]+Wapato_Inventory[[#This Row],[final_det]]</f>
        <v>214600</v>
      </c>
      <c r="CF1100" s="3">
        <f>Wapato_Inventory[[#This Row],[crop_value]]+Wapato_Inventory[[#This Row],[final_land]]+Wapato_Inventory[[#This Row],[final_imp]]</f>
        <v>265800</v>
      </c>
      <c r="CH1100" t="str">
        <f t="shared" si="17"/>
        <v>update valuation set market_land =51200, market_bldg=214600, market_total =265800, market_mdno =405, market_date ='9/10/2023' where link_id = (select link_id from parcel where parcel_year = '2024' and parcel_id = '19111542411');</v>
      </c>
    </row>
    <row r="1101" spans="1:86" x14ac:dyDescent="0.25">
      <c r="A1101">
        <v>19111542413</v>
      </c>
      <c r="B1101">
        <v>0.2</v>
      </c>
      <c r="C1101">
        <v>8835</v>
      </c>
      <c r="D1101" t="s">
        <v>144</v>
      </c>
      <c r="E1101" t="s">
        <v>54</v>
      </c>
      <c r="F1101" t="s">
        <v>54</v>
      </c>
      <c r="G1101">
        <v>3</v>
      </c>
      <c r="H1101" t="s">
        <v>55</v>
      </c>
      <c r="I1101">
        <v>200500</v>
      </c>
      <c r="J1101">
        <v>33900</v>
      </c>
      <c r="K1101">
        <v>0.2</v>
      </c>
      <c r="L1101">
        <f>IF(Wapato_Inventory[[#This Row],[parcel_acres]]-Wapato_Inventory[[#This Row],[non_valued_acres]] =0,0,LN(Wapato_Inventory[[#This Row],[parcel_acres]]-Wapato_Inventory[[#This Row],[non_valued_acres]]))</f>
        <v>-1.6094379124341003</v>
      </c>
      <c r="M1101">
        <v>0</v>
      </c>
      <c r="N1101">
        <v>0</v>
      </c>
      <c r="O1101">
        <v>0</v>
      </c>
      <c r="P1101">
        <v>27904.037</v>
      </c>
      <c r="Q1101">
        <v>74398</v>
      </c>
      <c r="R1101" s="3">
        <f>(Wapato_Inventory[[#This Row],[ln_acres]]*Wapato_Inventory[[#This Row],[coeff]])+Wapato_Inventory[[#This Row],[const]]</f>
        <v>29488.184942236105</v>
      </c>
      <c r="S1101" t="s">
        <v>62</v>
      </c>
      <c r="T1101">
        <v>1</v>
      </c>
      <c r="U1101" t="s">
        <v>67</v>
      </c>
      <c r="V1101" t="s">
        <v>69</v>
      </c>
      <c r="W1101">
        <v>0</v>
      </c>
      <c r="X1101">
        <v>0</v>
      </c>
      <c r="Y1101">
        <v>47</v>
      </c>
      <c r="Z1101">
        <v>57</v>
      </c>
      <c r="AA1101">
        <v>60</v>
      </c>
      <c r="AB1101">
        <v>1500</v>
      </c>
      <c r="AC1101">
        <v>1300</v>
      </c>
      <c r="AD1101">
        <v>1300</v>
      </c>
      <c r="AE1101">
        <v>0</v>
      </c>
      <c r="AF1101">
        <v>0</v>
      </c>
      <c r="AG1101">
        <v>0</v>
      </c>
      <c r="AH1101">
        <v>0</v>
      </c>
      <c r="AI1101">
        <v>0</v>
      </c>
      <c r="AJ1101">
        <v>0</v>
      </c>
      <c r="AK1101">
        <v>264</v>
      </c>
      <c r="AL1101">
        <v>0</v>
      </c>
      <c r="AM1101">
        <v>280</v>
      </c>
      <c r="AN1101">
        <v>0</v>
      </c>
      <c r="AO1101">
        <v>280</v>
      </c>
      <c r="AP1101">
        <v>7</v>
      </c>
      <c r="AQ1101">
        <v>0</v>
      </c>
      <c r="AR1101">
        <v>1</v>
      </c>
      <c r="AS1101" t="s">
        <v>59</v>
      </c>
      <c r="AT1101">
        <v>1</v>
      </c>
      <c r="AU1101" t="s">
        <v>76</v>
      </c>
      <c r="AV1101" t="s">
        <v>61</v>
      </c>
      <c r="AW1101">
        <v>0</v>
      </c>
      <c r="AX1101">
        <v>3</v>
      </c>
      <c r="AY1101">
        <v>0</v>
      </c>
      <c r="AZ1101">
        <v>0</v>
      </c>
      <c r="BA1101">
        <v>100</v>
      </c>
      <c r="BB1101">
        <v>100</v>
      </c>
      <c r="BC1101">
        <v>100</v>
      </c>
      <c r="BD1101">
        <v>100</v>
      </c>
      <c r="BE1101">
        <v>1</v>
      </c>
      <c r="BF1101">
        <v>15000</v>
      </c>
      <c r="BG1101">
        <v>1000</v>
      </c>
      <c r="BH1101" s="7">
        <f>ROUND(Wapato_Inventory[[#This Row],[detatched_value]]*Lookups!$B$22*Lookups!$H$48,-2)</f>
        <v>0</v>
      </c>
      <c r="BI1101" s="7">
        <f>ROUND(((Wapato_Inventory[[#This Row],[land_extract]]*Lookups!$B$3) +(Lookups!$B$2*0.5))*Lookups!$H$48,-2)</f>
        <v>53900</v>
      </c>
      <c r="BJ1101" s="7">
        <f>IF(Wapato_Inventory[[#This Row],[bldg_style]]="",0,Lookups!$B$2*0.5)</f>
        <v>53765.27</v>
      </c>
      <c r="BK1101" s="7">
        <f>_xlfn.IFNA(VLOOKUP(Wapato_Inventory[[#This Row],[quality]],Lookups!$H$2:$J$14,3,FALSE),0)</f>
        <v>50405</v>
      </c>
      <c r="BL1101" s="7">
        <f>_xlfn.IFNA(VLOOKUP(Wapato_Inventory[[#This Row],[condition]],Lookups!$H$17:$J$24,3,FALSE),0)</f>
        <v>74543</v>
      </c>
      <c r="BM1101" s="7">
        <f>Wapato_Inventory[[#This Row],[Age]]*Lookups!$B$16</f>
        <v>-21128.514900000002</v>
      </c>
      <c r="BN1101" s="7">
        <f>Wapato_Inventory[[#This Row],[Main Floor]]*Lookups!$B$17</f>
        <v>54340.960700000003</v>
      </c>
      <c r="BO1101" s="7">
        <f>Wapato_Inventory[[#This Row],[Upper Floor]]*Lookups!$B$18</f>
        <v>0</v>
      </c>
      <c r="BP1101" s="7">
        <f>Wapato_Inventory[[#This Row],[Fin BSMT]]*Lookups!$B$19</f>
        <v>0</v>
      </c>
      <c r="BQ1101" s="7">
        <f>(Wapato_Inventory[[#This Row],[att_gar]]+Wapato_Inventory[[#This Row],[blt_gar]])*Lookups!$B$20</f>
        <v>0</v>
      </c>
      <c r="BR1101" s="7">
        <f>Wapato_Inventory[[#This Row],[Patio]]*Lookups!$B$21</f>
        <v>12130.714120000001</v>
      </c>
      <c r="BS1101" s="7">
        <f>SUM(Wapato_Inventory[[#This Row],[intercept]:[patio_value]])*Wapato_Inventory[[#This Row],[res_pct]]</f>
        <v>224056.42991999997</v>
      </c>
      <c r="BT1101" s="7">
        <f>Wapato_Inventory[[#This Row],[land_value]]</f>
        <v>53900</v>
      </c>
      <c r="BU1101" s="2">
        <f>_xlfn.IFNA(VLOOKUP(Wapato_Inventory[[#This Row],[quality]],Lookups!$A$28:$C$37,3,FALSE),1)</f>
        <v>0.97993206410140754</v>
      </c>
      <c r="BV1101" s="2">
        <f>_xlfn.IFNA(VLOOKUP(Wapato_Inventory[[#This Row],[condition]],Lookups!$A$41:$C$48,3,FALSE),1)</f>
        <v>0.98442438223270734</v>
      </c>
      <c r="BW1101" s="2">
        <f>IF(Wapato_Inventory[[#This Row],[decade]]="",1,_xlfn.IFNA(VLOOKUP(Wapato_Inventory[[#This Row],[decade]],Lookups!$F$28:$H$45,3,FALSE),1))</f>
        <v>1.035341704162583</v>
      </c>
      <c r="BX1101" s="2">
        <f>_xlfn.IFNA(VLOOKUP(Wapato_Inventory[[#This Row],[living_area_range]],Lookups!$K$28:$M$37,3,FALSE),1)</f>
        <v>1.0061411172456287</v>
      </c>
      <c r="BY1101" s="2">
        <f>AVERAGE(Wapato_Inventory[[#This Row],[qual_adj]:[range_adj]])</f>
        <v>1.0014598169355817</v>
      </c>
      <c r="BZ1101" s="7">
        <f>(Wapato_Inventory[[#This Row],[sum_land]]-IF(Wapato_Inventory[[#This Row],[no_utilities]]=1,12000,0))/IF(Wapato_Inventory[[#This Row],[unbuildable]]=1,2,1)</f>
        <v>53900</v>
      </c>
      <c r="CA1101" s="7">
        <f>Wapato_Inventory[[#This Row],[pre_res]]*Wapato_Inventory[[#This Row],[overall_adj]]</f>
        <v>224383.51129092317</v>
      </c>
      <c r="CB1101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1101" s="3">
        <f>IF(ROUND(Wapato_Inventory[[#This Row],[adj_res]]*Lookups!$H$48,-2)&lt;Wapato_Inventory[[#This Row],[min_res]],Wapato_Inventory[[#This Row],[min_res]],ROUND(Wapato_Inventory[[#This Row],[adj_res]]*Lookups!$H$48,-2))</f>
        <v>213200</v>
      </c>
      <c r="CD1101" s="3">
        <f>ROUND(Wapato_Inventory[[#This Row],[det_value]]*Lookups!$H$48,-2)</f>
        <v>0</v>
      </c>
      <c r="CE1101" s="3">
        <f>Wapato_Inventory[[#This Row],[final_res]]+Wapato_Inventory[[#This Row],[final_det]]</f>
        <v>213200</v>
      </c>
      <c r="CF1101" s="3">
        <f>Wapato_Inventory[[#This Row],[crop_value]]+Wapato_Inventory[[#This Row],[final_land]]+Wapato_Inventory[[#This Row],[final_imp]]</f>
        <v>264400</v>
      </c>
      <c r="CH1101" t="str">
        <f t="shared" si="17"/>
        <v>update valuation set market_land =51200, market_bldg=213200, market_total =264400, market_mdno =405, market_date ='9/10/2023' where link_id = (select link_id from parcel where parcel_year = '2024' and parcel_id = '19111542413');</v>
      </c>
    </row>
    <row r="1102" spans="1:86" x14ac:dyDescent="0.25">
      <c r="A1102">
        <v>19111542414</v>
      </c>
      <c r="B1102">
        <v>0.22</v>
      </c>
      <c r="C1102">
        <v>9657</v>
      </c>
      <c r="D1102" t="s">
        <v>144</v>
      </c>
      <c r="E1102" t="s">
        <v>54</v>
      </c>
      <c r="F1102" t="s">
        <v>54</v>
      </c>
      <c r="G1102">
        <v>3</v>
      </c>
      <c r="H1102" t="s">
        <v>55</v>
      </c>
      <c r="I1102">
        <v>306700</v>
      </c>
      <c r="J1102">
        <v>34600</v>
      </c>
      <c r="K1102">
        <v>0.22</v>
      </c>
      <c r="L1102">
        <f>IF(Wapato_Inventory[[#This Row],[parcel_acres]]-Wapato_Inventory[[#This Row],[non_valued_acres]] =0,0,LN(Wapato_Inventory[[#This Row],[parcel_acres]]-Wapato_Inventory[[#This Row],[non_valued_acres]]))</f>
        <v>-1.5141277326297755</v>
      </c>
      <c r="M1102">
        <v>0</v>
      </c>
      <c r="N1102">
        <v>0</v>
      </c>
      <c r="O1102">
        <v>0</v>
      </c>
      <c r="P1102">
        <v>27904.037</v>
      </c>
      <c r="Q1102">
        <v>74398</v>
      </c>
      <c r="R1102" s="3">
        <f>(Wapato_Inventory[[#This Row],[ln_acres]]*Wapato_Inventory[[#This Row],[coeff]])+Wapato_Inventory[[#This Row],[const]]</f>
        <v>32147.723725972639</v>
      </c>
      <c r="S1102" t="s">
        <v>62</v>
      </c>
      <c r="T1102">
        <v>1</v>
      </c>
      <c r="U1102" t="s">
        <v>67</v>
      </c>
      <c r="V1102" t="s">
        <v>69</v>
      </c>
      <c r="W1102">
        <v>0</v>
      </c>
      <c r="X1102">
        <v>0</v>
      </c>
      <c r="Y1102">
        <v>47</v>
      </c>
      <c r="Z1102">
        <v>56</v>
      </c>
      <c r="AA1102">
        <v>60</v>
      </c>
      <c r="AB1102">
        <v>2000</v>
      </c>
      <c r="AC1102">
        <v>1904</v>
      </c>
      <c r="AD1102">
        <v>1904</v>
      </c>
      <c r="AE1102">
        <v>0</v>
      </c>
      <c r="AF1102">
        <v>0</v>
      </c>
      <c r="AG1102">
        <v>0</v>
      </c>
      <c r="AH1102">
        <v>0</v>
      </c>
      <c r="AI1102">
        <v>0</v>
      </c>
      <c r="AJ1102">
        <v>0</v>
      </c>
      <c r="AK1102">
        <v>200</v>
      </c>
      <c r="AL1102">
        <v>0</v>
      </c>
      <c r="AM1102">
        <v>544</v>
      </c>
      <c r="AN1102">
        <v>144</v>
      </c>
      <c r="AO1102">
        <v>544</v>
      </c>
      <c r="AP1102">
        <v>8</v>
      </c>
      <c r="AQ1102">
        <v>0</v>
      </c>
      <c r="AR1102">
        <v>1</v>
      </c>
      <c r="AS1102" t="s">
        <v>79</v>
      </c>
      <c r="AT1102">
        <v>1</v>
      </c>
      <c r="AU1102" t="s">
        <v>72</v>
      </c>
      <c r="AV1102" t="s">
        <v>61</v>
      </c>
      <c r="AW1102">
        <v>0</v>
      </c>
      <c r="AX1102">
        <v>4</v>
      </c>
      <c r="AY1102">
        <v>0</v>
      </c>
      <c r="AZ1102">
        <v>33600</v>
      </c>
      <c r="BA1102">
        <v>100</v>
      </c>
      <c r="BB1102">
        <v>100</v>
      </c>
      <c r="BC1102">
        <v>100</v>
      </c>
      <c r="BD1102">
        <v>100</v>
      </c>
      <c r="BE1102">
        <v>1</v>
      </c>
      <c r="BF1102">
        <v>15000</v>
      </c>
      <c r="BG1102">
        <v>1000</v>
      </c>
      <c r="BH1102" s="7">
        <f>ROUND(Wapato_Inventory[[#This Row],[detatched_value]]*Lookups!$B$22*Lookups!$H$48,-2)</f>
        <v>30000</v>
      </c>
      <c r="BI1102" s="7">
        <f>ROUND(((Wapato_Inventory[[#This Row],[land_extract]]*Lookups!$B$3) +(Lookups!$B$2*0.5))*Lookups!$H$48,-2)</f>
        <v>54200</v>
      </c>
      <c r="BJ1102" s="7">
        <f>IF(Wapato_Inventory[[#This Row],[bldg_style]]="",0,Lookups!$B$2*0.5)</f>
        <v>53765.27</v>
      </c>
      <c r="BK1102" s="7">
        <f>_xlfn.IFNA(VLOOKUP(Wapato_Inventory[[#This Row],[quality]],Lookups!$H$2:$J$14,3,FALSE),0)</f>
        <v>50405</v>
      </c>
      <c r="BL1102" s="7">
        <f>_xlfn.IFNA(VLOOKUP(Wapato_Inventory[[#This Row],[condition]],Lookups!$H$17:$J$24,3,FALSE),0)</f>
        <v>74543</v>
      </c>
      <c r="BM1102" s="7">
        <f>Wapato_Inventory[[#This Row],[Age]]*Lookups!$B$16</f>
        <v>-20757.839200000002</v>
      </c>
      <c r="BN1102" s="7">
        <f>Wapato_Inventory[[#This Row],[Main Floor]]*Lookups!$B$17</f>
        <v>79588.607055999993</v>
      </c>
      <c r="BO1102" s="7">
        <f>Wapato_Inventory[[#This Row],[Upper Floor]]*Lookups!$B$18</f>
        <v>0</v>
      </c>
      <c r="BP1102" s="7">
        <f>Wapato_Inventory[[#This Row],[Fin BSMT]]*Lookups!$B$19</f>
        <v>0</v>
      </c>
      <c r="BQ1102" s="7">
        <f>(Wapato_Inventory[[#This Row],[att_gar]]+Wapato_Inventory[[#This Row],[blt_gar]])*Lookups!$B$20</f>
        <v>0</v>
      </c>
      <c r="BR1102" s="7">
        <f>Wapato_Inventory[[#This Row],[Patio]]*Lookups!$B$21</f>
        <v>23568.244576000001</v>
      </c>
      <c r="BS1102" s="7">
        <f>SUM(Wapato_Inventory[[#This Row],[intercept]:[patio_value]])*Wapato_Inventory[[#This Row],[res_pct]]</f>
        <v>261112.28243199995</v>
      </c>
      <c r="BT1102" s="7">
        <f>Wapato_Inventory[[#This Row],[land_value]]</f>
        <v>54200</v>
      </c>
      <c r="BU1102" s="2">
        <f>_xlfn.IFNA(VLOOKUP(Wapato_Inventory[[#This Row],[quality]],Lookups!$A$28:$C$37,3,FALSE),1)</f>
        <v>0.97993206410140754</v>
      </c>
      <c r="BV1102" s="2">
        <f>_xlfn.IFNA(VLOOKUP(Wapato_Inventory[[#This Row],[condition]],Lookups!$A$41:$C$48,3,FALSE),1)</f>
        <v>0.98442438223270734</v>
      </c>
      <c r="BW1102" s="2">
        <f>IF(Wapato_Inventory[[#This Row],[decade]]="",1,_xlfn.IFNA(VLOOKUP(Wapato_Inventory[[#This Row],[decade]],Lookups!$F$28:$H$45,3,FALSE),1))</f>
        <v>1.035341704162583</v>
      </c>
      <c r="BX1102" s="2">
        <f>_xlfn.IFNA(VLOOKUP(Wapato_Inventory[[#This Row],[living_area_range]],Lookups!$K$28:$M$37,3,FALSE),1)</f>
        <v>0.99330894324714125</v>
      </c>
      <c r="BY1102" s="2">
        <f>AVERAGE(Wapato_Inventory[[#This Row],[qual_adj]:[range_adj]])</f>
        <v>0.99825177343595983</v>
      </c>
      <c r="BZ1102" s="7">
        <f>(Wapato_Inventory[[#This Row],[sum_land]]-IF(Wapato_Inventory[[#This Row],[no_utilities]]=1,12000,0))/IF(Wapato_Inventory[[#This Row],[unbuildable]]=1,2,1)</f>
        <v>54200</v>
      </c>
      <c r="CA1102" s="7">
        <f>Wapato_Inventory[[#This Row],[pre_res]]*Wapato_Inventory[[#This Row],[overall_adj]]</f>
        <v>260655.79900365518</v>
      </c>
      <c r="CB1102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1102" s="3">
        <f>IF(ROUND(Wapato_Inventory[[#This Row],[adj_res]]*Lookups!$H$48,-2)&lt;Wapato_Inventory[[#This Row],[min_res]],Wapato_Inventory[[#This Row],[min_res]],ROUND(Wapato_Inventory[[#This Row],[adj_res]]*Lookups!$H$48,-2))</f>
        <v>247600</v>
      </c>
      <c r="CD1102" s="3">
        <f>ROUND(Wapato_Inventory[[#This Row],[det_value]]*Lookups!$H$48,-2)</f>
        <v>28500</v>
      </c>
      <c r="CE1102" s="3">
        <f>Wapato_Inventory[[#This Row],[final_res]]+Wapato_Inventory[[#This Row],[final_det]]</f>
        <v>276100</v>
      </c>
      <c r="CF1102" s="3">
        <f>Wapato_Inventory[[#This Row],[crop_value]]+Wapato_Inventory[[#This Row],[final_land]]+Wapato_Inventory[[#This Row],[final_imp]]</f>
        <v>327600</v>
      </c>
      <c r="CH1102" t="str">
        <f t="shared" si="17"/>
        <v>update valuation set market_land =51500, market_bldg=276100, market_total =327600, market_mdno =405, market_date ='9/10/2023' where link_id = (select link_id from parcel where parcel_year = '2024' and parcel_id = '19111542414');</v>
      </c>
    </row>
    <row r="1103" spans="1:86" x14ac:dyDescent="0.25">
      <c r="A1103">
        <v>19111542415</v>
      </c>
      <c r="B1103">
        <v>0.22</v>
      </c>
      <c r="C1103">
        <v>9435</v>
      </c>
      <c r="D1103" t="s">
        <v>144</v>
      </c>
      <c r="E1103" t="s">
        <v>54</v>
      </c>
      <c r="F1103" t="s">
        <v>54</v>
      </c>
      <c r="G1103">
        <v>3</v>
      </c>
      <c r="H1103" t="s">
        <v>55</v>
      </c>
      <c r="I1103">
        <v>240600</v>
      </c>
      <c r="J1103">
        <v>34600</v>
      </c>
      <c r="K1103">
        <v>0.22</v>
      </c>
      <c r="L1103">
        <f>IF(Wapato_Inventory[[#This Row],[parcel_acres]]-Wapato_Inventory[[#This Row],[non_valued_acres]] =0,0,LN(Wapato_Inventory[[#This Row],[parcel_acres]]-Wapato_Inventory[[#This Row],[non_valued_acres]]))</f>
        <v>-1.5141277326297755</v>
      </c>
      <c r="M1103">
        <v>0</v>
      </c>
      <c r="N1103">
        <v>0</v>
      </c>
      <c r="O1103">
        <v>0</v>
      </c>
      <c r="P1103">
        <v>27904.037</v>
      </c>
      <c r="Q1103">
        <v>74398</v>
      </c>
      <c r="R1103" s="3">
        <f>(Wapato_Inventory[[#This Row],[ln_acres]]*Wapato_Inventory[[#This Row],[coeff]])+Wapato_Inventory[[#This Row],[const]]</f>
        <v>32147.723725972639</v>
      </c>
      <c r="S1103" t="s">
        <v>62</v>
      </c>
      <c r="T1103">
        <v>1</v>
      </c>
      <c r="U1103" t="s">
        <v>63</v>
      </c>
      <c r="V1103" t="s">
        <v>69</v>
      </c>
      <c r="W1103">
        <v>0</v>
      </c>
      <c r="X1103">
        <v>0</v>
      </c>
      <c r="Y1103">
        <v>47</v>
      </c>
      <c r="Z1103">
        <v>56</v>
      </c>
      <c r="AA1103">
        <v>60</v>
      </c>
      <c r="AB1103">
        <v>2000</v>
      </c>
      <c r="AC1103">
        <v>1768</v>
      </c>
      <c r="AD1103">
        <v>1768</v>
      </c>
      <c r="AE1103">
        <v>0</v>
      </c>
      <c r="AF1103">
        <v>0</v>
      </c>
      <c r="AG1103">
        <v>0</v>
      </c>
      <c r="AH1103">
        <v>0</v>
      </c>
      <c r="AI1103">
        <v>0</v>
      </c>
      <c r="AJ1103">
        <v>0</v>
      </c>
      <c r="AK1103">
        <v>0</v>
      </c>
      <c r="AL1103">
        <v>0</v>
      </c>
      <c r="AM1103">
        <v>370</v>
      </c>
      <c r="AN1103">
        <v>0</v>
      </c>
      <c r="AO1103">
        <v>370</v>
      </c>
      <c r="AP1103">
        <v>8</v>
      </c>
      <c r="AQ1103">
        <v>0</v>
      </c>
      <c r="AR1103">
        <v>1</v>
      </c>
      <c r="AS1103" t="s">
        <v>59</v>
      </c>
      <c r="AT1103">
        <v>1</v>
      </c>
      <c r="AU1103" t="s">
        <v>64</v>
      </c>
      <c r="AV1103" t="s">
        <v>61</v>
      </c>
      <c r="AW1103">
        <v>1</v>
      </c>
      <c r="AX1103">
        <v>4</v>
      </c>
      <c r="AY1103">
        <v>0</v>
      </c>
      <c r="AZ1103">
        <v>0</v>
      </c>
      <c r="BA1103">
        <v>100</v>
      </c>
      <c r="BB1103">
        <v>100</v>
      </c>
      <c r="BC1103">
        <v>100</v>
      </c>
      <c r="BD1103">
        <v>100</v>
      </c>
      <c r="BE1103">
        <v>1</v>
      </c>
      <c r="BF1103">
        <v>15000</v>
      </c>
      <c r="BG1103">
        <v>1000</v>
      </c>
      <c r="BH1103" s="7">
        <f>ROUND(Wapato_Inventory[[#This Row],[detatched_value]]*Lookups!$B$22*Lookups!$H$48,-2)</f>
        <v>0</v>
      </c>
      <c r="BI1103" s="7">
        <f>ROUND(((Wapato_Inventory[[#This Row],[land_extract]]*Lookups!$B$3) +(Lookups!$B$2*0.5))*Lookups!$H$48,-2)</f>
        <v>54200</v>
      </c>
      <c r="BJ1103" s="7">
        <f>IF(Wapato_Inventory[[#This Row],[bldg_style]]="",0,Lookups!$B$2*0.5)</f>
        <v>53765.27</v>
      </c>
      <c r="BK1103" s="7">
        <f>_xlfn.IFNA(VLOOKUP(Wapato_Inventory[[#This Row],[quality]],Lookups!$H$2:$J$14,3,FALSE),0)</f>
        <v>50594</v>
      </c>
      <c r="BL1103" s="7">
        <f>_xlfn.IFNA(VLOOKUP(Wapato_Inventory[[#This Row],[condition]],Lookups!$H$17:$J$24,3,FALSE),0)</f>
        <v>74543</v>
      </c>
      <c r="BM1103" s="7">
        <f>Wapato_Inventory[[#This Row],[Age]]*Lookups!$B$16</f>
        <v>-20757.839200000002</v>
      </c>
      <c r="BN1103" s="7">
        <f>Wapato_Inventory[[#This Row],[Main Floor]]*Lookups!$B$17</f>
        <v>73903.706552000003</v>
      </c>
      <c r="BO1103" s="7">
        <f>Wapato_Inventory[[#This Row],[Upper Floor]]*Lookups!$B$18</f>
        <v>0</v>
      </c>
      <c r="BP1103" s="7">
        <f>Wapato_Inventory[[#This Row],[Fin BSMT]]*Lookups!$B$19</f>
        <v>0</v>
      </c>
      <c r="BQ1103" s="7">
        <f>(Wapato_Inventory[[#This Row],[att_gar]]+Wapato_Inventory[[#This Row],[blt_gar]])*Lookups!$B$20</f>
        <v>0</v>
      </c>
      <c r="BR1103" s="7">
        <f>Wapato_Inventory[[#This Row],[Patio]]*Lookups!$B$21</f>
        <v>16029.872230000001</v>
      </c>
      <c r="BS1103" s="7">
        <f>SUM(Wapato_Inventory[[#This Row],[intercept]:[patio_value]])*Wapato_Inventory[[#This Row],[res_pct]]</f>
        <v>248078.009582</v>
      </c>
      <c r="BT1103" s="7">
        <f>Wapato_Inventory[[#This Row],[land_value]]</f>
        <v>54200</v>
      </c>
      <c r="BU1103" s="2">
        <f>_xlfn.IFNA(VLOOKUP(Wapato_Inventory[[#This Row],[quality]],Lookups!$A$28:$C$37,3,FALSE),1)</f>
        <v>0.99197423394367223</v>
      </c>
      <c r="BV1103" s="2">
        <f>_xlfn.IFNA(VLOOKUP(Wapato_Inventory[[#This Row],[condition]],Lookups!$A$41:$C$48,3,FALSE),1)</f>
        <v>0.98442438223270734</v>
      </c>
      <c r="BW1103" s="2">
        <f>IF(Wapato_Inventory[[#This Row],[decade]]="",1,_xlfn.IFNA(VLOOKUP(Wapato_Inventory[[#This Row],[decade]],Lookups!$F$28:$H$45,3,FALSE),1))</f>
        <v>1.035341704162583</v>
      </c>
      <c r="BX1103" s="2">
        <f>_xlfn.IFNA(VLOOKUP(Wapato_Inventory[[#This Row],[living_area_range]],Lookups!$K$28:$M$37,3,FALSE),1)</f>
        <v>0.99330894324714125</v>
      </c>
      <c r="BY1103" s="2">
        <f>AVERAGE(Wapato_Inventory[[#This Row],[qual_adj]:[range_adj]])</f>
        <v>1.0012623158965259</v>
      </c>
      <c r="BZ1103" s="7">
        <f>(Wapato_Inventory[[#This Row],[sum_land]]-IF(Wapato_Inventory[[#This Row],[no_utilities]]=1,12000,0))/IF(Wapato_Inventory[[#This Row],[unbuildable]]=1,2,1)</f>
        <v>54200</v>
      </c>
      <c r="CA1103" s="7">
        <f>Wapato_Inventory[[#This Row],[pre_res]]*Wapato_Inventory[[#This Row],[overall_adj]]</f>
        <v>248391.16239707387</v>
      </c>
      <c r="CB1103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1103" s="3">
        <f>IF(ROUND(Wapato_Inventory[[#This Row],[adj_res]]*Lookups!$H$48,-2)&lt;Wapato_Inventory[[#This Row],[min_res]],Wapato_Inventory[[#This Row],[min_res]],ROUND(Wapato_Inventory[[#This Row],[adj_res]]*Lookups!$H$48,-2))</f>
        <v>236000</v>
      </c>
      <c r="CD1103" s="3">
        <f>ROUND(Wapato_Inventory[[#This Row],[det_value]]*Lookups!$H$48,-2)</f>
        <v>0</v>
      </c>
      <c r="CE1103" s="3">
        <f>Wapato_Inventory[[#This Row],[final_res]]+Wapato_Inventory[[#This Row],[final_det]]</f>
        <v>236000</v>
      </c>
      <c r="CF1103" s="3">
        <f>Wapato_Inventory[[#This Row],[crop_value]]+Wapato_Inventory[[#This Row],[final_land]]+Wapato_Inventory[[#This Row],[final_imp]]</f>
        <v>287500</v>
      </c>
      <c r="CH1103" t="str">
        <f t="shared" si="17"/>
        <v>update valuation set market_land =51500, market_bldg=236000, market_total =287500, market_mdno =405, market_date ='9/10/2023' where link_id = (select link_id from parcel where parcel_year = '2024' and parcel_id = '19111542415');</v>
      </c>
    </row>
    <row r="1104" spans="1:86" x14ac:dyDescent="0.25">
      <c r="A1104">
        <v>19111542416</v>
      </c>
      <c r="B1104">
        <v>0.17</v>
      </c>
      <c r="C1104">
        <v>7215</v>
      </c>
      <c r="D1104" t="s">
        <v>144</v>
      </c>
      <c r="E1104" t="s">
        <v>54</v>
      </c>
      <c r="F1104" t="s">
        <v>54</v>
      </c>
      <c r="G1104">
        <v>3</v>
      </c>
      <c r="H1104" t="s">
        <v>55</v>
      </c>
      <c r="I1104">
        <v>216100</v>
      </c>
      <c r="J1104">
        <v>32700</v>
      </c>
      <c r="K1104">
        <v>0.17</v>
      </c>
      <c r="L1104">
        <f>IF(Wapato_Inventory[[#This Row],[parcel_acres]]-Wapato_Inventory[[#This Row],[non_valued_acres]] =0,0,LN(Wapato_Inventory[[#This Row],[parcel_acres]]-Wapato_Inventory[[#This Row],[non_valued_acres]]))</f>
        <v>-1.7719568419318752</v>
      </c>
      <c r="M1104">
        <v>0</v>
      </c>
      <c r="N1104">
        <v>0</v>
      </c>
      <c r="O1104">
        <v>0</v>
      </c>
      <c r="P1104">
        <v>27904.037</v>
      </c>
      <c r="Q1104">
        <v>74398</v>
      </c>
      <c r="R1104" s="3">
        <f>(Wapato_Inventory[[#This Row],[ln_acres]]*Wapato_Inventory[[#This Row],[coeff]])+Wapato_Inventory[[#This Row],[const]]</f>
        <v>24953.250720329801</v>
      </c>
      <c r="S1104" t="s">
        <v>62</v>
      </c>
      <c r="T1104">
        <v>1</v>
      </c>
      <c r="U1104" t="s">
        <v>67</v>
      </c>
      <c r="V1104" t="s">
        <v>68</v>
      </c>
      <c r="W1104">
        <v>0</v>
      </c>
      <c r="X1104">
        <v>0</v>
      </c>
      <c r="Y1104">
        <v>47</v>
      </c>
      <c r="Z1104">
        <v>56</v>
      </c>
      <c r="AA1104">
        <v>60</v>
      </c>
      <c r="AB1104">
        <v>2000</v>
      </c>
      <c r="AC1104">
        <v>1612</v>
      </c>
      <c r="AD1104">
        <v>1612</v>
      </c>
      <c r="AE1104">
        <v>0</v>
      </c>
      <c r="AF1104">
        <v>0</v>
      </c>
      <c r="AG1104">
        <v>0</v>
      </c>
      <c r="AH1104">
        <v>0</v>
      </c>
      <c r="AI1104">
        <v>0</v>
      </c>
      <c r="AJ1104">
        <v>0</v>
      </c>
      <c r="AK1104">
        <v>288</v>
      </c>
      <c r="AL1104">
        <v>0</v>
      </c>
      <c r="AM1104">
        <v>360</v>
      </c>
      <c r="AN1104">
        <v>0</v>
      </c>
      <c r="AO1104">
        <v>360</v>
      </c>
      <c r="AP1104">
        <v>7</v>
      </c>
      <c r="AQ1104">
        <v>0</v>
      </c>
      <c r="AR1104">
        <v>1</v>
      </c>
      <c r="AS1104" t="s">
        <v>59</v>
      </c>
      <c r="AT1104">
        <v>1</v>
      </c>
      <c r="AU1104" t="s">
        <v>60</v>
      </c>
      <c r="AV1104" t="s">
        <v>61</v>
      </c>
      <c r="AW1104">
        <v>1</v>
      </c>
      <c r="AX1104">
        <v>4</v>
      </c>
      <c r="AY1104">
        <v>0</v>
      </c>
      <c r="AZ1104">
        <v>0</v>
      </c>
      <c r="BA1104">
        <v>100</v>
      </c>
      <c r="BB1104">
        <v>100</v>
      </c>
      <c r="BC1104">
        <v>100</v>
      </c>
      <c r="BD1104">
        <v>100</v>
      </c>
      <c r="BE1104">
        <v>1</v>
      </c>
      <c r="BF1104">
        <v>15000</v>
      </c>
      <c r="BG1104">
        <v>1000</v>
      </c>
      <c r="BH1104" s="7">
        <f>ROUND(Wapato_Inventory[[#This Row],[detatched_value]]*Lookups!$B$22*Lookups!$H$48,-2)</f>
        <v>0</v>
      </c>
      <c r="BI1104" s="7">
        <f>ROUND(((Wapato_Inventory[[#This Row],[land_extract]]*Lookups!$B$3) +(Lookups!$B$2*0.5))*Lookups!$H$48,-2)</f>
        <v>53500</v>
      </c>
      <c r="BJ1104" s="7">
        <f>IF(Wapato_Inventory[[#This Row],[bldg_style]]="",0,Lookups!$B$2*0.5)</f>
        <v>53765.27</v>
      </c>
      <c r="BK1104" s="7">
        <f>_xlfn.IFNA(VLOOKUP(Wapato_Inventory[[#This Row],[quality]],Lookups!$H$2:$J$14,3,FALSE),0)</f>
        <v>50405</v>
      </c>
      <c r="BL1104" s="7">
        <f>_xlfn.IFNA(VLOOKUP(Wapato_Inventory[[#This Row],[condition]],Lookups!$H$17:$J$24,3,FALSE),0)</f>
        <v>52231</v>
      </c>
      <c r="BM1104" s="7">
        <f>Wapato_Inventory[[#This Row],[Age]]*Lookups!$B$16</f>
        <v>-20757.839200000002</v>
      </c>
      <c r="BN1104" s="7">
        <f>Wapato_Inventory[[#This Row],[Main Floor]]*Lookups!$B$17</f>
        <v>67382.791268000001</v>
      </c>
      <c r="BO1104" s="7">
        <f>Wapato_Inventory[[#This Row],[Upper Floor]]*Lookups!$B$18</f>
        <v>0</v>
      </c>
      <c r="BP1104" s="7">
        <f>Wapato_Inventory[[#This Row],[Fin BSMT]]*Lookups!$B$19</f>
        <v>0</v>
      </c>
      <c r="BQ1104" s="7">
        <f>(Wapato_Inventory[[#This Row],[att_gar]]+Wapato_Inventory[[#This Row],[blt_gar]])*Lookups!$B$20</f>
        <v>0</v>
      </c>
      <c r="BR1104" s="7">
        <f>Wapato_Inventory[[#This Row],[Patio]]*Lookups!$B$21</f>
        <v>15596.632440000001</v>
      </c>
      <c r="BS1104" s="7">
        <f>SUM(Wapato_Inventory[[#This Row],[intercept]:[patio_value]])*Wapato_Inventory[[#This Row],[res_pct]]</f>
        <v>218622.85450799996</v>
      </c>
      <c r="BT1104" s="7">
        <f>Wapato_Inventory[[#This Row],[land_value]]</f>
        <v>53500</v>
      </c>
      <c r="BU1104" s="2">
        <f>_xlfn.IFNA(VLOOKUP(Wapato_Inventory[[#This Row],[quality]],Lookups!$A$28:$C$37,3,FALSE),1)</f>
        <v>0.97993206410140754</v>
      </c>
      <c r="BV1104" s="2">
        <f>_xlfn.IFNA(VLOOKUP(Wapato_Inventory[[#This Row],[condition]],Lookups!$A$41:$C$48,3,FALSE),1)</f>
        <v>0.9832333997567807</v>
      </c>
      <c r="BW1104" s="2">
        <f>IF(Wapato_Inventory[[#This Row],[decade]]="",1,_xlfn.IFNA(VLOOKUP(Wapato_Inventory[[#This Row],[decade]],Lookups!$F$28:$H$45,3,FALSE),1))</f>
        <v>1.035341704162583</v>
      </c>
      <c r="BX1104" s="2">
        <f>_xlfn.IFNA(VLOOKUP(Wapato_Inventory[[#This Row],[living_area_range]],Lookups!$K$28:$M$37,3,FALSE),1)</f>
        <v>0.99330894324714125</v>
      </c>
      <c r="BY1104" s="2">
        <f>AVERAGE(Wapato_Inventory[[#This Row],[qual_adj]:[range_adj]])</f>
        <v>0.99795402781697817</v>
      </c>
      <c r="BZ1104" s="7">
        <f>(Wapato_Inventory[[#This Row],[sum_land]]-IF(Wapato_Inventory[[#This Row],[no_utilities]]=1,12000,0))/IF(Wapato_Inventory[[#This Row],[unbuildable]]=1,2,1)</f>
        <v>53500</v>
      </c>
      <c r="CA1104" s="7">
        <f>Wapato_Inventory[[#This Row],[pre_res]]*Wapato_Inventory[[#This Row],[overall_adj]]</f>
        <v>218175.55822910377</v>
      </c>
      <c r="CB1104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104" s="3">
        <f>IF(ROUND(Wapato_Inventory[[#This Row],[adj_res]]*Lookups!$H$48,-2)&lt;Wapato_Inventory[[#This Row],[min_res]],Wapato_Inventory[[#This Row],[min_res]],ROUND(Wapato_Inventory[[#This Row],[adj_res]]*Lookups!$H$48,-2))</f>
        <v>207300</v>
      </c>
      <c r="CD1104" s="3">
        <f>ROUND(Wapato_Inventory[[#This Row],[det_value]]*Lookups!$H$48,-2)</f>
        <v>0</v>
      </c>
      <c r="CE1104" s="3">
        <f>Wapato_Inventory[[#This Row],[final_res]]+Wapato_Inventory[[#This Row],[final_det]]</f>
        <v>207300</v>
      </c>
      <c r="CF1104" s="3">
        <f>Wapato_Inventory[[#This Row],[crop_value]]+Wapato_Inventory[[#This Row],[final_land]]+Wapato_Inventory[[#This Row],[final_imp]]</f>
        <v>258100</v>
      </c>
      <c r="CH1104" t="str">
        <f t="shared" si="17"/>
        <v>update valuation set market_land =50800, market_bldg=207300, market_total =258100, market_mdno =405, market_date ='9/10/2023' where link_id = (select link_id from parcel where parcel_year = '2024' and parcel_id = '19111542416');</v>
      </c>
    </row>
    <row r="1105" spans="1:86" x14ac:dyDescent="0.25">
      <c r="A1105">
        <v>19111542417</v>
      </c>
      <c r="B1105">
        <v>0.16</v>
      </c>
      <c r="C1105">
        <v>7037</v>
      </c>
      <c r="D1105" t="s">
        <v>144</v>
      </c>
      <c r="E1105" t="s">
        <v>54</v>
      </c>
      <c r="F1105" t="s">
        <v>54</v>
      </c>
      <c r="G1105">
        <v>3</v>
      </c>
      <c r="H1105" t="s">
        <v>55</v>
      </c>
      <c r="I1105">
        <v>205900</v>
      </c>
      <c r="J1105">
        <v>32400</v>
      </c>
      <c r="K1105">
        <v>0.16</v>
      </c>
      <c r="L1105">
        <f>IF(Wapato_Inventory[[#This Row],[parcel_acres]]-Wapato_Inventory[[#This Row],[non_valued_acres]] =0,0,LN(Wapato_Inventory[[#This Row],[parcel_acres]]-Wapato_Inventory[[#This Row],[non_valued_acres]]))</f>
        <v>-1.8325814637483102</v>
      </c>
      <c r="M1105">
        <v>0</v>
      </c>
      <c r="N1105">
        <v>0</v>
      </c>
      <c r="O1105">
        <v>0</v>
      </c>
      <c r="P1105">
        <v>27904.037</v>
      </c>
      <c r="Q1105">
        <v>74398</v>
      </c>
      <c r="R1105" s="3">
        <f>(Wapato_Inventory[[#This Row],[ln_acres]]*Wapato_Inventory[[#This Row],[coeff]])+Wapato_Inventory[[#This Row],[const]]</f>
        <v>23261.579030052992</v>
      </c>
      <c r="S1105" t="s">
        <v>62</v>
      </c>
      <c r="T1105">
        <v>1</v>
      </c>
      <c r="U1105" t="s">
        <v>75</v>
      </c>
      <c r="V1105" t="s">
        <v>68</v>
      </c>
      <c r="W1105">
        <v>0</v>
      </c>
      <c r="X1105">
        <v>0</v>
      </c>
      <c r="Y1105">
        <v>48</v>
      </c>
      <c r="Z1105">
        <v>59</v>
      </c>
      <c r="AA1105">
        <v>60</v>
      </c>
      <c r="AB1105">
        <v>2000</v>
      </c>
      <c r="AC1105">
        <v>1898</v>
      </c>
      <c r="AD1105">
        <v>1898</v>
      </c>
      <c r="AE1105">
        <v>0</v>
      </c>
      <c r="AF1105">
        <v>0</v>
      </c>
      <c r="AG1105">
        <v>0</v>
      </c>
      <c r="AH1105">
        <v>0</v>
      </c>
      <c r="AI1105">
        <v>0</v>
      </c>
      <c r="AJ1105">
        <v>0</v>
      </c>
      <c r="AK1105">
        <v>200</v>
      </c>
      <c r="AL1105">
        <v>0</v>
      </c>
      <c r="AM1105">
        <v>492</v>
      </c>
      <c r="AN1105">
        <v>180</v>
      </c>
      <c r="AO1105">
        <v>492</v>
      </c>
      <c r="AP1105">
        <v>5</v>
      </c>
      <c r="AQ1105">
        <v>1</v>
      </c>
      <c r="AR1105">
        <v>0</v>
      </c>
      <c r="AS1105" t="s">
        <v>59</v>
      </c>
      <c r="AT1105">
        <v>1</v>
      </c>
      <c r="AU1105" t="s">
        <v>72</v>
      </c>
      <c r="AV1105" t="s">
        <v>61</v>
      </c>
      <c r="AW1105">
        <v>0</v>
      </c>
      <c r="AX1105">
        <v>2</v>
      </c>
      <c r="AY1105">
        <v>0</v>
      </c>
      <c r="AZ1105">
        <v>0</v>
      </c>
      <c r="BA1105">
        <v>100</v>
      </c>
      <c r="BB1105">
        <v>100</v>
      </c>
      <c r="BC1105">
        <v>100</v>
      </c>
      <c r="BD1105">
        <v>100</v>
      </c>
      <c r="BE1105">
        <v>1</v>
      </c>
      <c r="BF1105">
        <v>15000</v>
      </c>
      <c r="BG1105">
        <v>1000</v>
      </c>
      <c r="BH1105" s="7">
        <f>ROUND(Wapato_Inventory[[#This Row],[detatched_value]]*Lookups!$B$22*Lookups!$H$48,-2)</f>
        <v>0</v>
      </c>
      <c r="BI1105" s="7">
        <f>ROUND(((Wapato_Inventory[[#This Row],[land_extract]]*Lookups!$B$3) +(Lookups!$B$2*0.5))*Lookups!$H$48,-2)</f>
        <v>53300</v>
      </c>
      <c r="BJ1105" s="7">
        <f>IF(Wapato_Inventory[[#This Row],[bldg_style]]="",0,Lookups!$B$2*0.5)</f>
        <v>53765.27</v>
      </c>
      <c r="BK1105" s="7">
        <f>_xlfn.IFNA(VLOOKUP(Wapato_Inventory[[#This Row],[quality]],Lookups!$H$2:$J$14,3,FALSE),0)</f>
        <v>48043</v>
      </c>
      <c r="BL1105" s="7">
        <f>_xlfn.IFNA(VLOOKUP(Wapato_Inventory[[#This Row],[condition]],Lookups!$H$17:$J$24,3,FALSE),0)</f>
        <v>52231</v>
      </c>
      <c r="BM1105" s="7">
        <f>Wapato_Inventory[[#This Row],[Age]]*Lookups!$B$16</f>
        <v>-21869.866300000002</v>
      </c>
      <c r="BN1105" s="7">
        <f>Wapato_Inventory[[#This Row],[Main Floor]]*Lookups!$B$17</f>
        <v>79337.802622000003</v>
      </c>
      <c r="BO1105" s="7">
        <f>Wapato_Inventory[[#This Row],[Upper Floor]]*Lookups!$B$18</f>
        <v>0</v>
      </c>
      <c r="BP1105" s="7">
        <f>Wapato_Inventory[[#This Row],[Fin BSMT]]*Lookups!$B$19</f>
        <v>0</v>
      </c>
      <c r="BQ1105" s="7">
        <f>(Wapato_Inventory[[#This Row],[att_gar]]+Wapato_Inventory[[#This Row],[blt_gar]])*Lookups!$B$20</f>
        <v>0</v>
      </c>
      <c r="BR1105" s="7">
        <f>Wapato_Inventory[[#This Row],[Patio]]*Lookups!$B$21</f>
        <v>21315.397668000001</v>
      </c>
      <c r="BS1105" s="7">
        <f>SUM(Wapato_Inventory[[#This Row],[intercept]:[patio_value]])*Wapato_Inventory[[#This Row],[res_pct]]</f>
        <v>232822.60399</v>
      </c>
      <c r="BT1105" s="7">
        <f>Wapato_Inventory[[#This Row],[land_value]]</f>
        <v>53300</v>
      </c>
      <c r="BU1105" s="2">
        <f>_xlfn.IFNA(VLOOKUP(Wapato_Inventory[[#This Row],[quality]],Lookups!$A$28:$C$37,3,FALSE),1)</f>
        <v>0.98196844879778955</v>
      </c>
      <c r="BV1105" s="2">
        <f>_xlfn.IFNA(VLOOKUP(Wapato_Inventory[[#This Row],[condition]],Lookups!$A$41:$C$48,3,FALSE),1)</f>
        <v>0.9832333997567807</v>
      </c>
      <c r="BW1105" s="2">
        <f>IF(Wapato_Inventory[[#This Row],[decade]]="",1,_xlfn.IFNA(VLOOKUP(Wapato_Inventory[[#This Row],[decade]],Lookups!$F$28:$H$45,3,FALSE),1))</f>
        <v>1.035341704162583</v>
      </c>
      <c r="BX1105" s="2">
        <f>_xlfn.IFNA(VLOOKUP(Wapato_Inventory[[#This Row],[living_area_range]],Lookups!$K$28:$M$37,3,FALSE),1)</f>
        <v>0.99330894324714125</v>
      </c>
      <c r="BY1105" s="2">
        <f>AVERAGE(Wapato_Inventory[[#This Row],[qual_adj]:[range_adj]])</f>
        <v>0.99846312399107362</v>
      </c>
      <c r="BZ1105" s="7">
        <f>(Wapato_Inventory[[#This Row],[sum_land]]-IF(Wapato_Inventory[[#This Row],[no_utilities]]=1,12000,0))/IF(Wapato_Inventory[[#This Row],[unbuildable]]=1,2,1)</f>
        <v>53300</v>
      </c>
      <c r="CA1105" s="7">
        <f>Wapato_Inventory[[#This Row],[pre_res]]*Wapato_Inventory[[#This Row],[overall_adj]]</f>
        <v>232464.78451559201</v>
      </c>
      <c r="CB1105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1105" s="3">
        <f>IF(ROUND(Wapato_Inventory[[#This Row],[adj_res]]*Lookups!$H$48,-2)&lt;Wapato_Inventory[[#This Row],[min_res]],Wapato_Inventory[[#This Row],[min_res]],ROUND(Wapato_Inventory[[#This Row],[adj_res]]*Lookups!$H$48,-2))</f>
        <v>220800</v>
      </c>
      <c r="CD1105" s="3">
        <f>ROUND(Wapato_Inventory[[#This Row],[det_value]]*Lookups!$H$48,-2)</f>
        <v>0</v>
      </c>
      <c r="CE1105" s="3">
        <f>Wapato_Inventory[[#This Row],[final_res]]+Wapato_Inventory[[#This Row],[final_det]]</f>
        <v>220800</v>
      </c>
      <c r="CF1105" s="3">
        <f>Wapato_Inventory[[#This Row],[crop_value]]+Wapato_Inventory[[#This Row],[final_land]]+Wapato_Inventory[[#This Row],[final_imp]]</f>
        <v>271400</v>
      </c>
      <c r="CH1105" t="str">
        <f t="shared" si="17"/>
        <v>update valuation set market_land =50600, market_bldg=220800, market_total =271400, market_mdno =405, market_date ='9/10/2023' where link_id = (select link_id from parcel where parcel_year = '2024' and parcel_id = '19111542417');</v>
      </c>
    </row>
    <row r="1106" spans="1:86" x14ac:dyDescent="0.25">
      <c r="A1106">
        <v>19111542418</v>
      </c>
      <c r="B1106">
        <v>0.16</v>
      </c>
      <c r="C1106">
        <v>7037</v>
      </c>
      <c r="D1106" t="s">
        <v>144</v>
      </c>
      <c r="E1106" t="s">
        <v>54</v>
      </c>
      <c r="F1106" t="s">
        <v>54</v>
      </c>
      <c r="G1106">
        <v>3</v>
      </c>
      <c r="H1106" t="s">
        <v>55</v>
      </c>
      <c r="I1106">
        <v>155100</v>
      </c>
      <c r="J1106">
        <v>32400</v>
      </c>
      <c r="K1106">
        <v>0.16</v>
      </c>
      <c r="L1106">
        <f>IF(Wapato_Inventory[[#This Row],[parcel_acres]]-Wapato_Inventory[[#This Row],[non_valued_acres]] =0,0,LN(Wapato_Inventory[[#This Row],[parcel_acres]]-Wapato_Inventory[[#This Row],[non_valued_acres]]))</f>
        <v>-1.8325814637483102</v>
      </c>
      <c r="M1106">
        <v>0</v>
      </c>
      <c r="N1106">
        <v>0</v>
      </c>
      <c r="O1106">
        <v>0</v>
      </c>
      <c r="P1106">
        <v>27904.037</v>
      </c>
      <c r="Q1106">
        <v>74398</v>
      </c>
      <c r="R1106" s="3">
        <f>(Wapato_Inventory[[#This Row],[ln_acres]]*Wapato_Inventory[[#This Row],[coeff]])+Wapato_Inventory[[#This Row],[const]]</f>
        <v>23261.579030052992</v>
      </c>
      <c r="S1106" t="s">
        <v>62</v>
      </c>
      <c r="T1106">
        <v>1</v>
      </c>
      <c r="U1106" t="s">
        <v>67</v>
      </c>
      <c r="V1106" t="s">
        <v>73</v>
      </c>
      <c r="W1106">
        <v>0</v>
      </c>
      <c r="X1106">
        <v>0</v>
      </c>
      <c r="Y1106">
        <v>48</v>
      </c>
      <c r="Z1106">
        <v>61</v>
      </c>
      <c r="AA1106">
        <v>70</v>
      </c>
      <c r="AB1106">
        <v>2000</v>
      </c>
      <c r="AC1106">
        <v>1760</v>
      </c>
      <c r="AD1106">
        <v>1760</v>
      </c>
      <c r="AE1106">
        <v>0</v>
      </c>
      <c r="AF1106">
        <v>0</v>
      </c>
      <c r="AG1106">
        <v>0</v>
      </c>
      <c r="AH1106">
        <v>0</v>
      </c>
      <c r="AI1106">
        <v>0</v>
      </c>
      <c r="AJ1106">
        <v>0</v>
      </c>
      <c r="AK1106">
        <v>0</v>
      </c>
      <c r="AL1106">
        <v>0</v>
      </c>
      <c r="AM1106">
        <v>352</v>
      </c>
      <c r="AN1106">
        <v>0</v>
      </c>
      <c r="AO1106">
        <v>352</v>
      </c>
      <c r="AP1106">
        <v>8</v>
      </c>
      <c r="AQ1106">
        <v>1</v>
      </c>
      <c r="AR1106">
        <v>0</v>
      </c>
      <c r="AS1106" t="s">
        <v>59</v>
      </c>
      <c r="AT1106">
        <v>1</v>
      </c>
      <c r="AU1106" t="s">
        <v>64</v>
      </c>
      <c r="AV1106" t="s">
        <v>65</v>
      </c>
      <c r="AW1106">
        <v>1</v>
      </c>
      <c r="AX1106">
        <v>3</v>
      </c>
      <c r="AY1106">
        <v>0</v>
      </c>
      <c r="AZ1106">
        <v>0</v>
      </c>
      <c r="BA1106">
        <v>100</v>
      </c>
      <c r="BB1106">
        <v>100</v>
      </c>
      <c r="BC1106">
        <v>100</v>
      </c>
      <c r="BD1106">
        <v>100</v>
      </c>
      <c r="BE1106">
        <v>1</v>
      </c>
      <c r="BF1106">
        <v>15000</v>
      </c>
      <c r="BG1106">
        <v>1000</v>
      </c>
      <c r="BH1106" s="7">
        <f>ROUND(Wapato_Inventory[[#This Row],[detatched_value]]*Lookups!$B$22*Lookups!$H$48,-2)</f>
        <v>0</v>
      </c>
      <c r="BI1106" s="7">
        <f>ROUND(((Wapato_Inventory[[#This Row],[land_extract]]*Lookups!$B$3) +(Lookups!$B$2*0.5))*Lookups!$H$48,-2)</f>
        <v>53300</v>
      </c>
      <c r="BJ1106" s="7">
        <f>IF(Wapato_Inventory[[#This Row],[bldg_style]]="",0,Lookups!$B$2*0.5)</f>
        <v>53765.27</v>
      </c>
      <c r="BK1106" s="7">
        <f>_xlfn.IFNA(VLOOKUP(Wapato_Inventory[[#This Row],[quality]],Lookups!$H$2:$J$14,3,FALSE),0)</f>
        <v>50405</v>
      </c>
      <c r="BL1106" s="7">
        <f>_xlfn.IFNA(VLOOKUP(Wapato_Inventory[[#This Row],[condition]],Lookups!$H$17:$J$24,3,FALSE),0)</f>
        <v>16276</v>
      </c>
      <c r="BM1106" s="7">
        <f>Wapato_Inventory[[#This Row],[Age]]*Lookups!$B$16</f>
        <v>-22611.217700000001</v>
      </c>
      <c r="BN1106" s="7">
        <f>Wapato_Inventory[[#This Row],[Main Floor]]*Lookups!$B$17</f>
        <v>73569.300640000001</v>
      </c>
      <c r="BO1106" s="7">
        <f>Wapato_Inventory[[#This Row],[Upper Floor]]*Lookups!$B$18</f>
        <v>0</v>
      </c>
      <c r="BP1106" s="7">
        <f>Wapato_Inventory[[#This Row],[Fin BSMT]]*Lookups!$B$19</f>
        <v>0</v>
      </c>
      <c r="BQ1106" s="7">
        <f>(Wapato_Inventory[[#This Row],[att_gar]]+Wapato_Inventory[[#This Row],[blt_gar]])*Lookups!$B$20</f>
        <v>0</v>
      </c>
      <c r="BR1106" s="7">
        <f>Wapato_Inventory[[#This Row],[Patio]]*Lookups!$B$21</f>
        <v>15250.040608000001</v>
      </c>
      <c r="BS1106" s="7">
        <f>SUM(Wapato_Inventory[[#This Row],[intercept]:[patio_value]])*Wapato_Inventory[[#This Row],[res_pct]]</f>
        <v>186654.39354799999</v>
      </c>
      <c r="BT1106" s="7">
        <f>Wapato_Inventory[[#This Row],[land_value]]</f>
        <v>53300</v>
      </c>
      <c r="BU1106" s="2">
        <f>_xlfn.IFNA(VLOOKUP(Wapato_Inventory[[#This Row],[quality]],Lookups!$A$28:$C$37,3,FALSE),1)</f>
        <v>0.97993206410140754</v>
      </c>
      <c r="BV1106" s="2">
        <f>_xlfn.IFNA(VLOOKUP(Wapato_Inventory[[#This Row],[condition]],Lookups!$A$41:$C$48,3,FALSE),1)</f>
        <v>0.93399385491337139</v>
      </c>
      <c r="BW1106" s="2">
        <f>IF(Wapato_Inventory[[#This Row],[decade]]="",1,_xlfn.IFNA(VLOOKUP(Wapato_Inventory[[#This Row],[decade]],Lookups!$F$28:$H$45,3,FALSE),1))</f>
        <v>1.0012715221492001</v>
      </c>
      <c r="BX1106" s="2">
        <f>_xlfn.IFNA(VLOOKUP(Wapato_Inventory[[#This Row],[living_area_range]],Lookups!$K$28:$M$37,3,FALSE),1)</f>
        <v>0.99330894324714125</v>
      </c>
      <c r="BY1106" s="2">
        <f>AVERAGE(Wapato_Inventory[[#This Row],[qual_adj]:[range_adj]])</f>
        <v>0.97712659610278008</v>
      </c>
      <c r="BZ1106" s="7">
        <f>(Wapato_Inventory[[#This Row],[sum_land]]-IF(Wapato_Inventory[[#This Row],[no_utilities]]=1,12000,0))/IF(Wapato_Inventory[[#This Row],[unbuildable]]=1,2,1)</f>
        <v>53300</v>
      </c>
      <c r="CA1106" s="7">
        <f>Wapato_Inventory[[#This Row],[pre_res]]*Wapato_Inventory[[#This Row],[overall_adj]]</f>
        <v>182384.97221518596</v>
      </c>
      <c r="CB1106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1106" s="3">
        <f>IF(ROUND(Wapato_Inventory[[#This Row],[adj_res]]*Lookups!$H$48,-2)&lt;Wapato_Inventory[[#This Row],[min_res]],Wapato_Inventory[[#This Row],[min_res]],ROUND(Wapato_Inventory[[#This Row],[adj_res]]*Lookups!$H$48,-2))</f>
        <v>173300</v>
      </c>
      <c r="CD1106" s="3">
        <f>ROUND(Wapato_Inventory[[#This Row],[det_value]]*Lookups!$H$48,-2)</f>
        <v>0</v>
      </c>
      <c r="CE1106" s="3">
        <f>Wapato_Inventory[[#This Row],[final_res]]+Wapato_Inventory[[#This Row],[final_det]]</f>
        <v>173300</v>
      </c>
      <c r="CF1106" s="3">
        <f>Wapato_Inventory[[#This Row],[crop_value]]+Wapato_Inventory[[#This Row],[final_land]]+Wapato_Inventory[[#This Row],[final_imp]]</f>
        <v>223900</v>
      </c>
      <c r="CH1106" t="str">
        <f t="shared" si="17"/>
        <v>update valuation set market_land =50600, market_bldg=173300, market_total =223900, market_mdno =405, market_date ='9/10/2023' where link_id = (select link_id from parcel where parcel_year = '2024' and parcel_id = '19111542418');</v>
      </c>
    </row>
    <row r="1107" spans="1:86" x14ac:dyDescent="0.25">
      <c r="A1107">
        <v>19111542419</v>
      </c>
      <c r="B1107">
        <v>0.16</v>
      </c>
      <c r="C1107">
        <v>7071</v>
      </c>
      <c r="D1107" t="s">
        <v>144</v>
      </c>
      <c r="E1107" t="s">
        <v>54</v>
      </c>
      <c r="F1107" t="s">
        <v>54</v>
      </c>
      <c r="G1107">
        <v>3</v>
      </c>
      <c r="H1107" t="s">
        <v>55</v>
      </c>
      <c r="I1107">
        <v>165700</v>
      </c>
      <c r="J1107">
        <v>32400</v>
      </c>
      <c r="K1107">
        <v>0.16</v>
      </c>
      <c r="L1107">
        <f>IF(Wapato_Inventory[[#This Row],[parcel_acres]]-Wapato_Inventory[[#This Row],[non_valued_acres]] =0,0,LN(Wapato_Inventory[[#This Row],[parcel_acres]]-Wapato_Inventory[[#This Row],[non_valued_acres]]))</f>
        <v>-1.8325814637483102</v>
      </c>
      <c r="M1107">
        <v>0</v>
      </c>
      <c r="N1107">
        <v>0</v>
      </c>
      <c r="O1107">
        <v>0</v>
      </c>
      <c r="P1107">
        <v>27904.037</v>
      </c>
      <c r="Q1107">
        <v>74398</v>
      </c>
      <c r="R1107" s="3">
        <f>(Wapato_Inventory[[#This Row],[ln_acres]]*Wapato_Inventory[[#This Row],[coeff]])+Wapato_Inventory[[#This Row],[const]]</f>
        <v>23261.579030052992</v>
      </c>
      <c r="S1107" t="s">
        <v>62</v>
      </c>
      <c r="T1107">
        <v>1</v>
      </c>
      <c r="U1107" t="s">
        <v>67</v>
      </c>
      <c r="V1107" t="s">
        <v>68</v>
      </c>
      <c r="W1107">
        <v>0</v>
      </c>
      <c r="X1107">
        <v>0</v>
      </c>
      <c r="Y1107">
        <v>48</v>
      </c>
      <c r="Z1107">
        <v>63</v>
      </c>
      <c r="AA1107">
        <v>70</v>
      </c>
      <c r="AB1107">
        <v>1500</v>
      </c>
      <c r="AC1107">
        <v>1276</v>
      </c>
      <c r="AD1107">
        <v>1276</v>
      </c>
      <c r="AE1107">
        <v>0</v>
      </c>
      <c r="AF1107">
        <v>0</v>
      </c>
      <c r="AG1107">
        <v>0</v>
      </c>
      <c r="AH1107">
        <v>0</v>
      </c>
      <c r="AI1107">
        <v>264</v>
      </c>
      <c r="AJ1107">
        <v>0</v>
      </c>
      <c r="AK1107">
        <v>0</v>
      </c>
      <c r="AL1107">
        <v>0</v>
      </c>
      <c r="AM1107">
        <v>308</v>
      </c>
      <c r="AN1107">
        <v>0</v>
      </c>
      <c r="AO1107">
        <v>308</v>
      </c>
      <c r="AP1107">
        <v>7</v>
      </c>
      <c r="AQ1107">
        <v>0</v>
      </c>
      <c r="AR1107">
        <v>0</v>
      </c>
      <c r="AS1107" t="s">
        <v>59</v>
      </c>
      <c r="AT1107">
        <v>1</v>
      </c>
      <c r="AU1107" t="s">
        <v>64</v>
      </c>
      <c r="AV1107" t="s">
        <v>65</v>
      </c>
      <c r="AW1107">
        <v>1</v>
      </c>
      <c r="AX1107">
        <v>3</v>
      </c>
      <c r="AY1107">
        <v>0</v>
      </c>
      <c r="AZ1107">
        <v>0</v>
      </c>
      <c r="BA1107">
        <v>100</v>
      </c>
      <c r="BB1107">
        <v>100</v>
      </c>
      <c r="BC1107">
        <v>100</v>
      </c>
      <c r="BD1107">
        <v>100</v>
      </c>
      <c r="BE1107">
        <v>1</v>
      </c>
      <c r="BF1107">
        <v>15000</v>
      </c>
      <c r="BG1107">
        <v>1000</v>
      </c>
      <c r="BH1107" s="7">
        <f>ROUND(Wapato_Inventory[[#This Row],[detatched_value]]*Lookups!$B$22*Lookups!$H$48,-2)</f>
        <v>0</v>
      </c>
      <c r="BI1107" s="7">
        <f>ROUND(((Wapato_Inventory[[#This Row],[land_extract]]*Lookups!$B$3) +(Lookups!$B$2*0.5))*Lookups!$H$48,-2)</f>
        <v>53300</v>
      </c>
      <c r="BJ1107" s="7">
        <f>IF(Wapato_Inventory[[#This Row],[bldg_style]]="",0,Lookups!$B$2*0.5)</f>
        <v>53765.27</v>
      </c>
      <c r="BK1107" s="7">
        <f>_xlfn.IFNA(VLOOKUP(Wapato_Inventory[[#This Row],[quality]],Lookups!$H$2:$J$14,3,FALSE),0)</f>
        <v>50405</v>
      </c>
      <c r="BL1107" s="7">
        <f>_xlfn.IFNA(VLOOKUP(Wapato_Inventory[[#This Row],[condition]],Lookups!$H$17:$J$24,3,FALSE),0)</f>
        <v>52231</v>
      </c>
      <c r="BM1107" s="7">
        <f>Wapato_Inventory[[#This Row],[Age]]*Lookups!$B$16</f>
        <v>-23352.569100000001</v>
      </c>
      <c r="BN1107" s="7">
        <f>Wapato_Inventory[[#This Row],[Main Floor]]*Lookups!$B$17</f>
        <v>53337.742963999997</v>
      </c>
      <c r="BO1107" s="7">
        <f>Wapato_Inventory[[#This Row],[Upper Floor]]*Lookups!$B$18</f>
        <v>0</v>
      </c>
      <c r="BP1107" s="7">
        <f>Wapato_Inventory[[#This Row],[Fin BSMT]]*Lookups!$B$19</f>
        <v>0</v>
      </c>
      <c r="BQ1107" s="7">
        <f>(Wapato_Inventory[[#This Row],[att_gar]]+Wapato_Inventory[[#This Row],[blt_gar]])*Lookups!$B$20</f>
        <v>9770.310528</v>
      </c>
      <c r="BR1107" s="7">
        <f>Wapato_Inventory[[#This Row],[Patio]]*Lookups!$B$21</f>
        <v>13343.785532</v>
      </c>
      <c r="BS1107" s="7">
        <f>SUM(Wapato_Inventory[[#This Row],[intercept]:[patio_value]])*Wapato_Inventory[[#This Row],[res_pct]]</f>
        <v>209500.53992400001</v>
      </c>
      <c r="BT1107" s="7">
        <f>Wapato_Inventory[[#This Row],[land_value]]</f>
        <v>53300</v>
      </c>
      <c r="BU1107" s="2">
        <f>_xlfn.IFNA(VLOOKUP(Wapato_Inventory[[#This Row],[quality]],Lookups!$A$28:$C$37,3,FALSE),1)</f>
        <v>0.97993206410140754</v>
      </c>
      <c r="BV1107" s="2">
        <f>_xlfn.IFNA(VLOOKUP(Wapato_Inventory[[#This Row],[condition]],Lookups!$A$41:$C$48,3,FALSE),1)</f>
        <v>0.9832333997567807</v>
      </c>
      <c r="BW1107" s="2">
        <f>IF(Wapato_Inventory[[#This Row],[decade]]="",1,_xlfn.IFNA(VLOOKUP(Wapato_Inventory[[#This Row],[decade]],Lookups!$F$28:$H$45,3,FALSE),1))</f>
        <v>1.0012715221492001</v>
      </c>
      <c r="BX1107" s="2">
        <f>_xlfn.IFNA(VLOOKUP(Wapato_Inventory[[#This Row],[living_area_range]],Lookups!$K$28:$M$37,3,FALSE),1)</f>
        <v>1.0061411172456287</v>
      </c>
      <c r="BY1107" s="2">
        <f>AVERAGE(Wapato_Inventory[[#This Row],[qual_adj]:[range_adj]])</f>
        <v>0.99264452581325435</v>
      </c>
      <c r="BZ1107" s="7">
        <f>(Wapato_Inventory[[#This Row],[sum_land]]-IF(Wapato_Inventory[[#This Row],[no_utilities]]=1,12000,0))/IF(Wapato_Inventory[[#This Row],[unbuildable]]=1,2,1)</f>
        <v>53300</v>
      </c>
      <c r="CA1107" s="7">
        <f>Wapato_Inventory[[#This Row],[pre_res]]*Wapato_Inventory[[#This Row],[overall_adj]]</f>
        <v>207959.56411047975</v>
      </c>
      <c r="CB1107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1107" s="3">
        <f>IF(ROUND(Wapato_Inventory[[#This Row],[adj_res]]*Lookups!$H$48,-2)&lt;Wapato_Inventory[[#This Row],[min_res]],Wapato_Inventory[[#This Row],[min_res]],ROUND(Wapato_Inventory[[#This Row],[adj_res]]*Lookups!$H$48,-2))</f>
        <v>197600</v>
      </c>
      <c r="CD1107" s="3">
        <f>ROUND(Wapato_Inventory[[#This Row],[det_value]]*Lookups!$H$48,-2)</f>
        <v>0</v>
      </c>
      <c r="CE1107" s="3">
        <f>Wapato_Inventory[[#This Row],[final_res]]+Wapato_Inventory[[#This Row],[final_det]]</f>
        <v>197600</v>
      </c>
      <c r="CF1107" s="3">
        <f>Wapato_Inventory[[#This Row],[crop_value]]+Wapato_Inventory[[#This Row],[final_land]]+Wapato_Inventory[[#This Row],[final_imp]]</f>
        <v>248200</v>
      </c>
      <c r="CH1107" t="str">
        <f t="shared" si="17"/>
        <v>update valuation set market_land =50600, market_bldg=197600, market_total =248200, market_mdno =405, market_date ='9/10/2023' where link_id = (select link_id from parcel where parcel_year = '2024' and parcel_id = '19111542419');</v>
      </c>
    </row>
    <row r="1108" spans="1:86" x14ac:dyDescent="0.25">
      <c r="A1108">
        <v>19111542426</v>
      </c>
      <c r="B1108">
        <v>0.23</v>
      </c>
      <c r="C1108">
        <v>10200</v>
      </c>
      <c r="D1108" t="s">
        <v>144</v>
      </c>
      <c r="E1108" t="s">
        <v>54</v>
      </c>
      <c r="F1108" t="s">
        <v>54</v>
      </c>
      <c r="G1108">
        <v>3</v>
      </c>
      <c r="H1108" t="s">
        <v>55</v>
      </c>
      <c r="I1108">
        <v>203000</v>
      </c>
      <c r="J1108">
        <v>34900</v>
      </c>
      <c r="K1108">
        <v>0.23</v>
      </c>
      <c r="L1108">
        <f>IF(Wapato_Inventory[[#This Row],[parcel_acres]]-Wapato_Inventory[[#This Row],[non_valued_acres]] =0,0,LN(Wapato_Inventory[[#This Row],[parcel_acres]]-Wapato_Inventory[[#This Row],[non_valued_acres]]))</f>
        <v>-1.4696759700589417</v>
      </c>
      <c r="M1108">
        <v>0</v>
      </c>
      <c r="N1108">
        <v>0</v>
      </c>
      <c r="O1108">
        <v>0</v>
      </c>
      <c r="P1108">
        <v>27904.037</v>
      </c>
      <c r="Q1108">
        <v>74398</v>
      </c>
      <c r="R1108" s="3">
        <f>(Wapato_Inventory[[#This Row],[ln_acres]]*Wapato_Inventory[[#This Row],[coeff]])+Wapato_Inventory[[#This Row],[const]]</f>
        <v>33388.107353464402</v>
      </c>
      <c r="S1108" t="s">
        <v>62</v>
      </c>
      <c r="T1108">
        <v>1</v>
      </c>
      <c r="U1108" t="s">
        <v>67</v>
      </c>
      <c r="V1108" t="s">
        <v>68</v>
      </c>
      <c r="W1108">
        <v>0</v>
      </c>
      <c r="X1108">
        <v>0</v>
      </c>
      <c r="Y1108">
        <v>47</v>
      </c>
      <c r="Z1108">
        <v>56</v>
      </c>
      <c r="AA1108">
        <v>60</v>
      </c>
      <c r="AB1108">
        <v>2000</v>
      </c>
      <c r="AC1108">
        <v>1852</v>
      </c>
      <c r="AD1108">
        <v>1852</v>
      </c>
      <c r="AE1108">
        <v>0</v>
      </c>
      <c r="AF1108">
        <v>0</v>
      </c>
      <c r="AG1108">
        <v>0</v>
      </c>
      <c r="AH1108">
        <v>0</v>
      </c>
      <c r="AI1108">
        <v>0</v>
      </c>
      <c r="AJ1108">
        <v>0</v>
      </c>
      <c r="AK1108">
        <v>0</v>
      </c>
      <c r="AL1108">
        <v>0</v>
      </c>
      <c r="AM1108">
        <v>432</v>
      </c>
      <c r="AN1108">
        <v>126</v>
      </c>
      <c r="AO1108">
        <v>0</v>
      </c>
      <c r="AP1108">
        <v>7</v>
      </c>
      <c r="AQ1108">
        <v>0</v>
      </c>
      <c r="AR1108">
        <v>0</v>
      </c>
      <c r="AS1108" t="s">
        <v>59</v>
      </c>
      <c r="AT1108">
        <v>1</v>
      </c>
      <c r="AU1108" t="s">
        <v>64</v>
      </c>
      <c r="AV1108" t="s">
        <v>61</v>
      </c>
      <c r="AW1108">
        <v>1</v>
      </c>
      <c r="AX1108">
        <v>2</v>
      </c>
      <c r="AY1108">
        <v>0</v>
      </c>
      <c r="AZ1108">
        <v>1400</v>
      </c>
      <c r="BA1108">
        <v>100</v>
      </c>
      <c r="BB1108">
        <v>100</v>
      </c>
      <c r="BC1108">
        <v>100</v>
      </c>
      <c r="BD1108">
        <v>100</v>
      </c>
      <c r="BE1108">
        <v>1</v>
      </c>
      <c r="BF1108">
        <v>15000</v>
      </c>
      <c r="BG1108">
        <v>1000</v>
      </c>
      <c r="BH1108" s="7">
        <f>ROUND(Wapato_Inventory[[#This Row],[detatched_value]]*Lookups!$B$22*Lookups!$H$48,-2)</f>
        <v>1300</v>
      </c>
      <c r="BI1108" s="7">
        <f>ROUND(((Wapato_Inventory[[#This Row],[land_extract]]*Lookups!$B$3) +(Lookups!$B$2*0.5))*Lookups!$H$48,-2)</f>
        <v>54300</v>
      </c>
      <c r="BJ1108" s="7">
        <f>IF(Wapato_Inventory[[#This Row],[bldg_style]]="",0,Lookups!$B$2*0.5)</f>
        <v>53765.27</v>
      </c>
      <c r="BK1108" s="7">
        <f>_xlfn.IFNA(VLOOKUP(Wapato_Inventory[[#This Row],[quality]],Lookups!$H$2:$J$14,3,FALSE),0)</f>
        <v>50405</v>
      </c>
      <c r="BL1108" s="7">
        <f>_xlfn.IFNA(VLOOKUP(Wapato_Inventory[[#This Row],[condition]],Lookups!$H$17:$J$24,3,FALSE),0)</f>
        <v>52231</v>
      </c>
      <c r="BM1108" s="7">
        <f>Wapato_Inventory[[#This Row],[Age]]*Lookups!$B$16</f>
        <v>-20757.839200000002</v>
      </c>
      <c r="BN1108" s="7">
        <f>Wapato_Inventory[[#This Row],[Main Floor]]*Lookups!$B$17</f>
        <v>77414.968628000002</v>
      </c>
      <c r="BO1108" s="7">
        <f>Wapato_Inventory[[#This Row],[Upper Floor]]*Lookups!$B$18</f>
        <v>0</v>
      </c>
      <c r="BP1108" s="7">
        <f>Wapato_Inventory[[#This Row],[Fin BSMT]]*Lookups!$B$19</f>
        <v>0</v>
      </c>
      <c r="BQ1108" s="7">
        <f>(Wapato_Inventory[[#This Row],[att_gar]]+Wapato_Inventory[[#This Row],[blt_gar]])*Lookups!$B$20</f>
        <v>0</v>
      </c>
      <c r="BR1108" s="7">
        <f>Wapato_Inventory[[#This Row],[Patio]]*Lookups!$B$21</f>
        <v>18715.958928</v>
      </c>
      <c r="BS1108" s="7">
        <f>SUM(Wapato_Inventory[[#This Row],[intercept]:[patio_value]])*Wapato_Inventory[[#This Row],[res_pct]]</f>
        <v>231774.35835599998</v>
      </c>
      <c r="BT1108" s="7">
        <f>Wapato_Inventory[[#This Row],[land_value]]</f>
        <v>54300</v>
      </c>
      <c r="BU1108" s="2">
        <f>_xlfn.IFNA(VLOOKUP(Wapato_Inventory[[#This Row],[quality]],Lookups!$A$28:$C$37,3,FALSE),1)</f>
        <v>0.97993206410140754</v>
      </c>
      <c r="BV1108" s="2">
        <f>_xlfn.IFNA(VLOOKUP(Wapato_Inventory[[#This Row],[condition]],Lookups!$A$41:$C$48,3,FALSE),1)</f>
        <v>0.9832333997567807</v>
      </c>
      <c r="BW1108" s="2">
        <f>IF(Wapato_Inventory[[#This Row],[decade]]="",1,_xlfn.IFNA(VLOOKUP(Wapato_Inventory[[#This Row],[decade]],Lookups!$F$28:$H$45,3,FALSE),1))</f>
        <v>1.035341704162583</v>
      </c>
      <c r="BX1108" s="2">
        <f>_xlfn.IFNA(VLOOKUP(Wapato_Inventory[[#This Row],[living_area_range]],Lookups!$K$28:$M$37,3,FALSE),1)</f>
        <v>0.99330894324714125</v>
      </c>
      <c r="BY1108" s="2">
        <f>AVERAGE(Wapato_Inventory[[#This Row],[qual_adj]:[range_adj]])</f>
        <v>0.99795402781697817</v>
      </c>
      <c r="BZ1108" s="7">
        <f>(Wapato_Inventory[[#This Row],[sum_land]]-IF(Wapato_Inventory[[#This Row],[no_utilities]]=1,12000,0))/IF(Wapato_Inventory[[#This Row],[unbuildable]]=1,2,1)</f>
        <v>54300</v>
      </c>
      <c r="CA1108" s="7">
        <f>Wapato_Inventory[[#This Row],[pre_res]]*Wapato_Inventory[[#This Row],[overall_adj]]</f>
        <v>231300.15446606587</v>
      </c>
      <c r="CB1108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1108" s="3">
        <f>IF(ROUND(Wapato_Inventory[[#This Row],[adj_res]]*Lookups!$H$48,-2)&lt;Wapato_Inventory[[#This Row],[min_res]],Wapato_Inventory[[#This Row],[min_res]],ROUND(Wapato_Inventory[[#This Row],[adj_res]]*Lookups!$H$48,-2))</f>
        <v>219700</v>
      </c>
      <c r="CD1108" s="3">
        <f>ROUND(Wapato_Inventory[[#This Row],[det_value]]*Lookups!$H$48,-2)</f>
        <v>1200</v>
      </c>
      <c r="CE1108" s="3">
        <f>Wapato_Inventory[[#This Row],[final_res]]+Wapato_Inventory[[#This Row],[final_det]]</f>
        <v>220900</v>
      </c>
      <c r="CF1108" s="3">
        <f>Wapato_Inventory[[#This Row],[crop_value]]+Wapato_Inventory[[#This Row],[final_land]]+Wapato_Inventory[[#This Row],[final_imp]]</f>
        <v>272500</v>
      </c>
      <c r="CH1108" t="str">
        <f t="shared" si="17"/>
        <v>update valuation set market_land =51600, market_bldg=220900, market_total =272500, market_mdno =405, market_date ='9/10/2023' where link_id = (select link_id from parcel where parcel_year = '2024' and parcel_id = '19111542426');</v>
      </c>
    </row>
    <row r="1109" spans="1:86" x14ac:dyDescent="0.25">
      <c r="A1109">
        <v>19111542427</v>
      </c>
      <c r="B1109">
        <v>0.23</v>
      </c>
      <c r="C1109">
        <v>10200</v>
      </c>
      <c r="D1109" t="s">
        <v>144</v>
      </c>
      <c r="E1109" t="s">
        <v>54</v>
      </c>
      <c r="F1109" t="s">
        <v>54</v>
      </c>
      <c r="G1109">
        <v>3</v>
      </c>
      <c r="H1109" t="s">
        <v>55</v>
      </c>
      <c r="I1109">
        <v>317000</v>
      </c>
      <c r="J1109">
        <v>34900</v>
      </c>
      <c r="K1109">
        <v>0.23</v>
      </c>
      <c r="L1109">
        <f>IF(Wapato_Inventory[[#This Row],[parcel_acres]]-Wapato_Inventory[[#This Row],[non_valued_acres]] =0,0,LN(Wapato_Inventory[[#This Row],[parcel_acres]]-Wapato_Inventory[[#This Row],[non_valued_acres]]))</f>
        <v>-1.4696759700589417</v>
      </c>
      <c r="M1109">
        <v>0</v>
      </c>
      <c r="N1109">
        <v>0</v>
      </c>
      <c r="O1109">
        <v>0</v>
      </c>
      <c r="P1109">
        <v>27904.037</v>
      </c>
      <c r="Q1109">
        <v>74398</v>
      </c>
      <c r="R1109" s="3">
        <f>(Wapato_Inventory[[#This Row],[ln_acres]]*Wapato_Inventory[[#This Row],[coeff]])+Wapato_Inventory[[#This Row],[const]]</f>
        <v>33388.107353464402</v>
      </c>
      <c r="S1109" t="s">
        <v>62</v>
      </c>
      <c r="T1109">
        <v>1</v>
      </c>
      <c r="U1109" t="s">
        <v>63</v>
      </c>
      <c r="V1109" t="s">
        <v>70</v>
      </c>
      <c r="W1109">
        <v>0</v>
      </c>
      <c r="X1109">
        <v>0</v>
      </c>
      <c r="Y1109">
        <v>47</v>
      </c>
      <c r="Z1109">
        <v>58</v>
      </c>
      <c r="AA1109">
        <v>60</v>
      </c>
      <c r="AB1109">
        <v>3000</v>
      </c>
      <c r="AC1109">
        <v>2503</v>
      </c>
      <c r="AD1109">
        <v>2503</v>
      </c>
      <c r="AE1109">
        <v>0</v>
      </c>
      <c r="AF1109">
        <v>0</v>
      </c>
      <c r="AG1109">
        <v>0</v>
      </c>
      <c r="AH1109">
        <v>0</v>
      </c>
      <c r="AI1109">
        <v>323</v>
      </c>
      <c r="AJ1109">
        <v>0</v>
      </c>
      <c r="AK1109">
        <v>0</v>
      </c>
      <c r="AL1109">
        <v>0</v>
      </c>
      <c r="AM1109">
        <v>0</v>
      </c>
      <c r="AN1109">
        <v>100</v>
      </c>
      <c r="AO1109">
        <v>0</v>
      </c>
      <c r="AP1109">
        <v>11</v>
      </c>
      <c r="AQ1109">
        <v>0</v>
      </c>
      <c r="AR1109">
        <v>1</v>
      </c>
      <c r="AS1109" t="s">
        <v>59</v>
      </c>
      <c r="AT1109">
        <v>1</v>
      </c>
      <c r="AU1109" t="s">
        <v>64</v>
      </c>
      <c r="AV1109" t="s">
        <v>65</v>
      </c>
      <c r="AW1109">
        <v>1</v>
      </c>
      <c r="AX1109">
        <v>4</v>
      </c>
      <c r="AY1109">
        <v>0</v>
      </c>
      <c r="AZ1109">
        <v>0</v>
      </c>
      <c r="BA1109">
        <v>100</v>
      </c>
      <c r="BB1109">
        <v>100</v>
      </c>
      <c r="BC1109">
        <v>100</v>
      </c>
      <c r="BD1109">
        <v>100</v>
      </c>
      <c r="BE1109">
        <v>1</v>
      </c>
      <c r="BF1109">
        <v>15000</v>
      </c>
      <c r="BG1109">
        <v>1000</v>
      </c>
      <c r="BH1109" s="7">
        <f>ROUND(Wapato_Inventory[[#This Row],[detatched_value]]*Lookups!$B$22*Lookups!$H$48,-2)</f>
        <v>0</v>
      </c>
      <c r="BI1109" s="7">
        <f>ROUND(((Wapato_Inventory[[#This Row],[land_extract]]*Lookups!$B$3) +(Lookups!$B$2*0.5))*Lookups!$H$48,-2)</f>
        <v>54300</v>
      </c>
      <c r="BJ1109" s="7">
        <f>IF(Wapato_Inventory[[#This Row],[bldg_style]]="",0,Lookups!$B$2*0.5)</f>
        <v>53765.27</v>
      </c>
      <c r="BK1109" s="7">
        <f>_xlfn.IFNA(VLOOKUP(Wapato_Inventory[[#This Row],[quality]],Lookups!$H$2:$J$14,3,FALSE),0)</f>
        <v>50594</v>
      </c>
      <c r="BL1109" s="7">
        <f>_xlfn.IFNA(VLOOKUP(Wapato_Inventory[[#This Row],[condition]],Lookups!$H$17:$J$24,3,FALSE),0)</f>
        <v>84338</v>
      </c>
      <c r="BM1109" s="7">
        <f>Wapato_Inventory[[#This Row],[Age]]*Lookups!$B$16</f>
        <v>-21499.190600000002</v>
      </c>
      <c r="BN1109" s="7">
        <f>Wapato_Inventory[[#This Row],[Main Floor]]*Lookups!$B$17</f>
        <v>104627.249717</v>
      </c>
      <c r="BO1109" s="7">
        <f>Wapato_Inventory[[#This Row],[Upper Floor]]*Lookups!$B$18</f>
        <v>0</v>
      </c>
      <c r="BP1109" s="7">
        <f>Wapato_Inventory[[#This Row],[Fin BSMT]]*Lookups!$B$19</f>
        <v>0</v>
      </c>
      <c r="BQ1109" s="7">
        <f>(Wapato_Inventory[[#This Row],[att_gar]]+Wapato_Inventory[[#This Row],[blt_gar]])*Lookups!$B$20</f>
        <v>11953.826896</v>
      </c>
      <c r="BR1109" s="7">
        <f>Wapato_Inventory[[#This Row],[Patio]]*Lookups!$B$21</f>
        <v>0</v>
      </c>
      <c r="BS1109" s="7">
        <f>SUM(Wapato_Inventory[[#This Row],[intercept]:[patio_value]])*Wapato_Inventory[[#This Row],[res_pct]]</f>
        <v>283779.156013</v>
      </c>
      <c r="BT1109" s="7">
        <f>Wapato_Inventory[[#This Row],[land_value]]</f>
        <v>54300</v>
      </c>
      <c r="BU1109" s="2">
        <f>_xlfn.IFNA(VLOOKUP(Wapato_Inventory[[#This Row],[quality]],Lookups!$A$28:$C$37,3,FALSE),1)</f>
        <v>0.99197423394367223</v>
      </c>
      <c r="BV1109" s="2">
        <f>_xlfn.IFNA(VLOOKUP(Wapato_Inventory[[#This Row],[condition]],Lookups!$A$41:$C$48,3,FALSE),1)</f>
        <v>0.99478075210508476</v>
      </c>
      <c r="BW1109" s="2">
        <f>IF(Wapato_Inventory[[#This Row],[decade]]="",1,_xlfn.IFNA(VLOOKUP(Wapato_Inventory[[#This Row],[decade]],Lookups!$F$28:$H$45,3,FALSE),1))</f>
        <v>1.035341704162583</v>
      </c>
      <c r="BX1109" s="2">
        <f>_xlfn.IFNA(VLOOKUP(Wapato_Inventory[[#This Row],[living_area_range]],Lookups!$K$28:$M$37,3,FALSE),1)</f>
        <v>1.0155869662067822</v>
      </c>
      <c r="BY1109" s="2">
        <f>AVERAGE(Wapato_Inventory[[#This Row],[qual_adj]:[range_adj]])</f>
        <v>1.0094209141045305</v>
      </c>
      <c r="BZ1109" s="7">
        <f>(Wapato_Inventory[[#This Row],[sum_land]]-IF(Wapato_Inventory[[#This Row],[no_utilities]]=1,12000,0))/IF(Wapato_Inventory[[#This Row],[unbuildable]]=1,2,1)</f>
        <v>54300</v>
      </c>
      <c r="CA1109" s="7">
        <f>Wapato_Inventory[[#This Row],[pre_res]]*Wapato_Inventory[[#This Row],[overall_adj]]</f>
        <v>286452.61506645463</v>
      </c>
      <c r="CB1109" s="3">
        <f>IF(ROUND(Wapato_Inventory[[#This Row],[adj_land]]*Lookups!$H$48,-2)&lt;Wapato_Inventory[[#This Row],[min_land]],Wapato_Inventory[[#This Row],[min_land]],ROUND(Wapato_Inventory[[#This Row],[adj_land]]*Lookups!$H$48,-2))</f>
        <v>51600</v>
      </c>
      <c r="CC1109" s="3">
        <f>IF(ROUND(Wapato_Inventory[[#This Row],[adj_res]]*Lookups!$H$48,-2)&lt;Wapato_Inventory[[#This Row],[min_res]],Wapato_Inventory[[#This Row],[min_res]],ROUND(Wapato_Inventory[[#This Row],[adj_res]]*Lookups!$H$48,-2))</f>
        <v>272100</v>
      </c>
      <c r="CD1109" s="3">
        <f>ROUND(Wapato_Inventory[[#This Row],[det_value]]*Lookups!$H$48,-2)</f>
        <v>0</v>
      </c>
      <c r="CE1109" s="3">
        <f>Wapato_Inventory[[#This Row],[final_res]]+Wapato_Inventory[[#This Row],[final_det]]</f>
        <v>272100</v>
      </c>
      <c r="CF1109" s="3">
        <f>Wapato_Inventory[[#This Row],[crop_value]]+Wapato_Inventory[[#This Row],[final_land]]+Wapato_Inventory[[#This Row],[final_imp]]</f>
        <v>323700</v>
      </c>
      <c r="CH1109" t="str">
        <f t="shared" si="17"/>
        <v>update valuation set market_land =51600, market_bldg=272100, market_total =323700, market_mdno =405, market_date ='9/10/2023' where link_id = (select link_id from parcel where parcel_year = '2024' and parcel_id = '19111542427');</v>
      </c>
    </row>
    <row r="1110" spans="1:86" x14ac:dyDescent="0.25">
      <c r="A1110">
        <v>19111542429</v>
      </c>
      <c r="B1110">
        <v>0.25</v>
      </c>
      <c r="C1110">
        <v>10800</v>
      </c>
      <c r="D1110" t="s">
        <v>144</v>
      </c>
      <c r="E1110" t="s">
        <v>54</v>
      </c>
      <c r="F1110" t="s">
        <v>54</v>
      </c>
      <c r="G1110">
        <v>3</v>
      </c>
      <c r="H1110" t="s">
        <v>55</v>
      </c>
      <c r="I1110">
        <v>216400</v>
      </c>
      <c r="J1110">
        <v>35500</v>
      </c>
      <c r="K1110">
        <v>0.25</v>
      </c>
      <c r="L1110">
        <f>IF(Wapato_Inventory[[#This Row],[parcel_acres]]-Wapato_Inventory[[#This Row],[non_valued_acres]] =0,0,LN(Wapato_Inventory[[#This Row],[parcel_acres]]-Wapato_Inventory[[#This Row],[non_valued_acres]]))</f>
        <v>-1.3862943611198906</v>
      </c>
      <c r="M1110">
        <v>0</v>
      </c>
      <c r="N1110">
        <v>0</v>
      </c>
      <c r="O1110">
        <v>0</v>
      </c>
      <c r="P1110">
        <v>27904.037</v>
      </c>
      <c r="Q1110">
        <v>74398</v>
      </c>
      <c r="R1110" s="3">
        <f>(Wapato_Inventory[[#This Row],[ln_acres]]*Wapato_Inventory[[#This Row],[coeff]])+Wapato_Inventory[[#This Row],[const]]</f>
        <v>35714.790854419211</v>
      </c>
      <c r="S1110" t="s">
        <v>62</v>
      </c>
      <c r="T1110">
        <v>1</v>
      </c>
      <c r="U1110" t="s">
        <v>65</v>
      </c>
      <c r="V1110" t="s">
        <v>69</v>
      </c>
      <c r="W1110">
        <v>0</v>
      </c>
      <c r="X1110">
        <v>0</v>
      </c>
      <c r="Y1110">
        <v>46</v>
      </c>
      <c r="Z1110">
        <v>55</v>
      </c>
      <c r="AA1110">
        <v>60</v>
      </c>
      <c r="AB1110">
        <v>2000</v>
      </c>
      <c r="AC1110">
        <v>1929</v>
      </c>
      <c r="AD1110">
        <v>1929</v>
      </c>
      <c r="AE1110">
        <v>0</v>
      </c>
      <c r="AF1110">
        <v>0</v>
      </c>
      <c r="AG1110">
        <v>0</v>
      </c>
      <c r="AH1110">
        <v>0</v>
      </c>
      <c r="AI1110">
        <v>360</v>
      </c>
      <c r="AJ1110">
        <v>0</v>
      </c>
      <c r="AK1110">
        <v>0</v>
      </c>
      <c r="AL1110">
        <v>0</v>
      </c>
      <c r="AM1110">
        <v>452</v>
      </c>
      <c r="AN1110">
        <v>0</v>
      </c>
      <c r="AO1110">
        <v>452</v>
      </c>
      <c r="AP1110">
        <v>11</v>
      </c>
      <c r="AQ1110">
        <v>0</v>
      </c>
      <c r="AR1110">
        <v>1</v>
      </c>
      <c r="AS1110" t="s">
        <v>59</v>
      </c>
      <c r="AT1110">
        <v>1</v>
      </c>
      <c r="AU1110" t="s">
        <v>64</v>
      </c>
      <c r="AV1110" t="s">
        <v>65</v>
      </c>
      <c r="AW1110">
        <v>1</v>
      </c>
      <c r="AX1110">
        <v>2</v>
      </c>
      <c r="AY1110">
        <v>0</v>
      </c>
      <c r="AZ1110">
        <v>0</v>
      </c>
      <c r="BA1110">
        <v>100</v>
      </c>
      <c r="BB1110">
        <v>100</v>
      </c>
      <c r="BC1110">
        <v>100</v>
      </c>
      <c r="BD1110">
        <v>100</v>
      </c>
      <c r="BE1110">
        <v>1</v>
      </c>
      <c r="BF1110">
        <v>15000</v>
      </c>
      <c r="BG1110">
        <v>1000</v>
      </c>
      <c r="BH1110" s="7">
        <f>ROUND(Wapato_Inventory[[#This Row],[detatched_value]]*Lookups!$B$22*Lookups!$H$48,-2)</f>
        <v>0</v>
      </c>
      <c r="BI1110" s="7">
        <f>ROUND(((Wapato_Inventory[[#This Row],[land_extract]]*Lookups!$B$3) +(Lookups!$B$2*0.5))*Lookups!$H$48,-2)</f>
        <v>54500</v>
      </c>
      <c r="BJ1110" s="7">
        <f>IF(Wapato_Inventory[[#This Row],[bldg_style]]="",0,Lookups!$B$2*0.5)</f>
        <v>53765.27</v>
      </c>
      <c r="BK1110" s="7">
        <f>_xlfn.IFNA(VLOOKUP(Wapato_Inventory[[#This Row],[quality]],Lookups!$H$2:$J$14,3,FALSE),0)</f>
        <v>92307</v>
      </c>
      <c r="BL1110" s="7">
        <f>_xlfn.IFNA(VLOOKUP(Wapato_Inventory[[#This Row],[condition]],Lookups!$H$17:$J$24,3,FALSE),0)</f>
        <v>74543</v>
      </c>
      <c r="BM1110" s="7">
        <f>Wapato_Inventory[[#This Row],[Age]]*Lookups!$B$16</f>
        <v>-20387.163499999999</v>
      </c>
      <c r="BN1110" s="7">
        <f>Wapato_Inventory[[#This Row],[Main Floor]]*Lookups!$B$17</f>
        <v>80633.625530999998</v>
      </c>
      <c r="BO1110" s="7">
        <f>Wapato_Inventory[[#This Row],[Upper Floor]]*Lookups!$B$18</f>
        <v>0</v>
      </c>
      <c r="BP1110" s="7">
        <f>Wapato_Inventory[[#This Row],[Fin BSMT]]*Lookups!$B$19</f>
        <v>0</v>
      </c>
      <c r="BQ1110" s="7">
        <f>(Wapato_Inventory[[#This Row],[att_gar]]+Wapato_Inventory[[#This Row],[blt_gar]])*Lookups!$B$20</f>
        <v>13323.15072</v>
      </c>
      <c r="BR1110" s="7">
        <f>Wapato_Inventory[[#This Row],[Patio]]*Lookups!$B$21</f>
        <v>19582.438507999999</v>
      </c>
      <c r="BS1110" s="7">
        <f>SUM(Wapato_Inventory[[#This Row],[intercept]:[patio_value]])*Wapato_Inventory[[#This Row],[res_pct]]</f>
        <v>313767.32125899993</v>
      </c>
      <c r="BT1110" s="7">
        <f>Wapato_Inventory[[#This Row],[land_value]]</f>
        <v>54500</v>
      </c>
      <c r="BU1110" s="2">
        <f>_xlfn.IFNA(VLOOKUP(Wapato_Inventory[[#This Row],[quality]],Lookups!$A$28:$C$37,3,FALSE),1)</f>
        <v>1.0013727718490204</v>
      </c>
      <c r="BV1110" s="2">
        <f>_xlfn.IFNA(VLOOKUP(Wapato_Inventory[[#This Row],[condition]],Lookups!$A$41:$C$48,3,FALSE),1)</f>
        <v>0.98442438223270734</v>
      </c>
      <c r="BW1110" s="2">
        <f>IF(Wapato_Inventory[[#This Row],[decade]]="",1,_xlfn.IFNA(VLOOKUP(Wapato_Inventory[[#This Row],[decade]],Lookups!$F$28:$H$45,3,FALSE),1))</f>
        <v>1.035341704162583</v>
      </c>
      <c r="BX1110" s="2">
        <f>_xlfn.IFNA(VLOOKUP(Wapato_Inventory[[#This Row],[living_area_range]],Lookups!$K$28:$M$37,3,FALSE),1)</f>
        <v>0.99330894324714125</v>
      </c>
      <c r="BY1110" s="2">
        <f>AVERAGE(Wapato_Inventory[[#This Row],[qual_adj]:[range_adj]])</f>
        <v>1.0036119503728631</v>
      </c>
      <c r="BZ1110" s="7">
        <f>(Wapato_Inventory[[#This Row],[sum_land]]-IF(Wapato_Inventory[[#This Row],[no_utilities]]=1,12000,0))/IF(Wapato_Inventory[[#This Row],[unbuildable]]=1,2,1)</f>
        <v>54500</v>
      </c>
      <c r="CA1110" s="7">
        <f>Wapato_Inventory[[#This Row],[pre_res]]*Wapato_Inventory[[#This Row],[overall_adj]]</f>
        <v>314900.63325201365</v>
      </c>
      <c r="CB1110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1110" s="3">
        <f>IF(ROUND(Wapato_Inventory[[#This Row],[adj_res]]*Lookups!$H$48,-2)&lt;Wapato_Inventory[[#This Row],[min_res]],Wapato_Inventory[[#This Row],[min_res]],ROUND(Wapato_Inventory[[#This Row],[adj_res]]*Lookups!$H$48,-2))</f>
        <v>299200</v>
      </c>
      <c r="CD1110" s="3">
        <f>ROUND(Wapato_Inventory[[#This Row],[det_value]]*Lookups!$H$48,-2)</f>
        <v>0</v>
      </c>
      <c r="CE1110" s="3">
        <f>Wapato_Inventory[[#This Row],[final_res]]+Wapato_Inventory[[#This Row],[final_det]]</f>
        <v>299200</v>
      </c>
      <c r="CF1110" s="3">
        <f>Wapato_Inventory[[#This Row],[crop_value]]+Wapato_Inventory[[#This Row],[final_land]]+Wapato_Inventory[[#This Row],[final_imp]]</f>
        <v>351000</v>
      </c>
      <c r="CH1110" t="str">
        <f t="shared" si="17"/>
        <v>update valuation set market_land =51800, market_bldg=299200, market_total =351000, market_mdno =405, market_date ='9/10/2023' where link_id = (select link_id from parcel where parcel_year = '2024' and parcel_id = '19111542429');</v>
      </c>
    </row>
    <row r="1111" spans="1:86" x14ac:dyDescent="0.25">
      <c r="A1111">
        <v>19111542430</v>
      </c>
      <c r="B1111">
        <v>0.28999999999999998</v>
      </c>
      <c r="C1111">
        <v>12673</v>
      </c>
      <c r="D1111" t="s">
        <v>144</v>
      </c>
      <c r="E1111" t="s">
        <v>54</v>
      </c>
      <c r="F1111" t="s">
        <v>54</v>
      </c>
      <c r="G1111">
        <v>3</v>
      </c>
      <c r="H1111" t="s">
        <v>55</v>
      </c>
      <c r="I1111">
        <v>218900</v>
      </c>
      <c r="J1111">
        <v>36600</v>
      </c>
      <c r="K1111">
        <v>0.28999999999999998</v>
      </c>
      <c r="L1111">
        <f>IF(Wapato_Inventory[[#This Row],[parcel_acres]]-Wapato_Inventory[[#This Row],[non_valued_acres]] =0,0,LN(Wapato_Inventory[[#This Row],[parcel_acres]]-Wapato_Inventory[[#This Row],[non_valued_acres]]))</f>
        <v>-1.2378743560016174</v>
      </c>
      <c r="M1111">
        <v>0</v>
      </c>
      <c r="N1111">
        <v>0</v>
      </c>
      <c r="O1111">
        <v>0</v>
      </c>
      <c r="P1111">
        <v>27904.037</v>
      </c>
      <c r="Q1111">
        <v>74398</v>
      </c>
      <c r="R1111" s="3">
        <f>(Wapato_Inventory[[#This Row],[ln_acres]]*Wapato_Inventory[[#This Row],[coeff]])+Wapato_Inventory[[#This Row],[const]]</f>
        <v>39856.308168779695</v>
      </c>
      <c r="S1111" t="s">
        <v>110</v>
      </c>
      <c r="T1111">
        <v>1</v>
      </c>
      <c r="U1111" t="s">
        <v>63</v>
      </c>
      <c r="V1111" t="s">
        <v>68</v>
      </c>
      <c r="W1111">
        <v>0</v>
      </c>
      <c r="X1111">
        <v>0</v>
      </c>
      <c r="Y1111">
        <v>48</v>
      </c>
      <c r="Z1111">
        <v>62</v>
      </c>
      <c r="AA1111">
        <v>70</v>
      </c>
      <c r="AB1111">
        <v>2500</v>
      </c>
      <c r="AC1111">
        <v>2296</v>
      </c>
      <c r="AD1111">
        <v>1496</v>
      </c>
      <c r="AE1111">
        <v>0</v>
      </c>
      <c r="AF1111">
        <v>0</v>
      </c>
      <c r="AG1111">
        <v>800</v>
      </c>
      <c r="AH1111">
        <v>0</v>
      </c>
      <c r="AI1111">
        <v>676</v>
      </c>
      <c r="AJ1111">
        <v>0</v>
      </c>
      <c r="AK1111">
        <v>0</v>
      </c>
      <c r="AL1111">
        <v>0</v>
      </c>
      <c r="AM1111">
        <v>400</v>
      </c>
      <c r="AN1111">
        <v>0</v>
      </c>
      <c r="AO1111">
        <v>400</v>
      </c>
      <c r="AP1111">
        <v>11</v>
      </c>
      <c r="AQ1111">
        <v>0</v>
      </c>
      <c r="AR1111">
        <v>2</v>
      </c>
      <c r="AS1111" t="s">
        <v>59</v>
      </c>
      <c r="AT1111">
        <v>1</v>
      </c>
      <c r="AU1111" t="s">
        <v>64</v>
      </c>
      <c r="AV1111" t="s">
        <v>65</v>
      </c>
      <c r="AW1111">
        <v>1</v>
      </c>
      <c r="AX1111">
        <v>3</v>
      </c>
      <c r="AY1111">
        <v>0</v>
      </c>
      <c r="AZ1111">
        <v>0</v>
      </c>
      <c r="BA1111">
        <v>100</v>
      </c>
      <c r="BB1111">
        <v>100</v>
      </c>
      <c r="BC1111">
        <v>100</v>
      </c>
      <c r="BD1111">
        <v>100</v>
      </c>
      <c r="BE1111">
        <v>1</v>
      </c>
      <c r="BF1111">
        <v>15000</v>
      </c>
      <c r="BG1111">
        <v>1000</v>
      </c>
      <c r="BH1111" s="7">
        <f>ROUND(Wapato_Inventory[[#This Row],[detatched_value]]*Lookups!$B$22*Lookups!$H$48,-2)</f>
        <v>0</v>
      </c>
      <c r="BI1111" s="7">
        <f>ROUND(((Wapato_Inventory[[#This Row],[land_extract]]*Lookups!$B$3) +(Lookups!$B$2*0.5))*Lookups!$H$48,-2)</f>
        <v>54900</v>
      </c>
      <c r="BJ1111" s="7">
        <f>IF(Wapato_Inventory[[#This Row],[bldg_style]]="",0,Lookups!$B$2*0.5)</f>
        <v>53765.27</v>
      </c>
      <c r="BK1111" s="7">
        <f>_xlfn.IFNA(VLOOKUP(Wapato_Inventory[[#This Row],[quality]],Lookups!$H$2:$J$14,3,FALSE),0)</f>
        <v>50594</v>
      </c>
      <c r="BL1111" s="7">
        <f>_xlfn.IFNA(VLOOKUP(Wapato_Inventory[[#This Row],[condition]],Lookups!$H$17:$J$24,3,FALSE),0)</f>
        <v>52231</v>
      </c>
      <c r="BM1111" s="7">
        <f>Wapato_Inventory[[#This Row],[Age]]*Lookups!$B$16</f>
        <v>-22981.893400000001</v>
      </c>
      <c r="BN1111" s="7">
        <f>Wapato_Inventory[[#This Row],[Main Floor]]*Lookups!$B$17</f>
        <v>62533.905544000001</v>
      </c>
      <c r="BO1111" s="7">
        <f>Wapato_Inventory[[#This Row],[Upper Floor]]*Lookups!$B$18</f>
        <v>0</v>
      </c>
      <c r="BP1111" s="7">
        <f>Wapato_Inventory[[#This Row],[Fin BSMT]]*Lookups!$B$19</f>
        <v>19493.392</v>
      </c>
      <c r="BQ1111" s="7">
        <f>(Wapato_Inventory[[#This Row],[att_gar]]+Wapato_Inventory[[#This Row],[blt_gar]])*Lookups!$B$20</f>
        <v>25017.916352</v>
      </c>
      <c r="BR1111" s="7">
        <f>Wapato_Inventory[[#This Row],[Patio]]*Lookups!$B$21</f>
        <v>17329.5916</v>
      </c>
      <c r="BS1111" s="7">
        <f>SUM(Wapato_Inventory[[#This Row],[intercept]:[patio_value]])*Wapato_Inventory[[#This Row],[res_pct]]</f>
        <v>257983.182096</v>
      </c>
      <c r="BT1111" s="7">
        <f>Wapato_Inventory[[#This Row],[land_value]]</f>
        <v>54900</v>
      </c>
      <c r="BU1111" s="2">
        <f>_xlfn.IFNA(VLOOKUP(Wapato_Inventory[[#This Row],[quality]],Lookups!$A$28:$C$37,3,FALSE),1)</f>
        <v>0.99197423394367223</v>
      </c>
      <c r="BV1111" s="2">
        <f>_xlfn.IFNA(VLOOKUP(Wapato_Inventory[[#This Row],[condition]],Lookups!$A$41:$C$48,3,FALSE),1)</f>
        <v>0.9832333997567807</v>
      </c>
      <c r="BW1111" s="2">
        <f>IF(Wapato_Inventory[[#This Row],[decade]]="",1,_xlfn.IFNA(VLOOKUP(Wapato_Inventory[[#This Row],[decade]],Lookups!$F$28:$H$45,3,FALSE),1))</f>
        <v>1.0012715221492001</v>
      </c>
      <c r="BX1111" s="2">
        <f>_xlfn.IFNA(VLOOKUP(Wapato_Inventory[[#This Row],[living_area_range]],Lookups!$K$28:$M$37,3,FALSE),1)</f>
        <v>0.90813907160181651</v>
      </c>
      <c r="BY1111" s="2">
        <f>AVERAGE(Wapato_Inventory[[#This Row],[qual_adj]:[range_adj]])</f>
        <v>0.97115455686286745</v>
      </c>
      <c r="BZ1111" s="7">
        <f>(Wapato_Inventory[[#This Row],[sum_land]]-IF(Wapato_Inventory[[#This Row],[no_utilities]]=1,12000,0))/IF(Wapato_Inventory[[#This Row],[unbuildable]]=1,2,1)</f>
        <v>54900</v>
      </c>
      <c r="CA1111" s="7">
        <f>Wapato_Inventory[[#This Row],[pre_res]]*Wapato_Inventory[[#This Row],[overall_adj]]</f>
        <v>250541.54288651331</v>
      </c>
      <c r="CB1111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1111" s="3">
        <f>IF(ROUND(Wapato_Inventory[[#This Row],[adj_res]]*Lookups!$H$48,-2)&lt;Wapato_Inventory[[#This Row],[min_res]],Wapato_Inventory[[#This Row],[min_res]],ROUND(Wapato_Inventory[[#This Row],[adj_res]]*Lookups!$H$48,-2))</f>
        <v>238000</v>
      </c>
      <c r="CD1111" s="3">
        <f>ROUND(Wapato_Inventory[[#This Row],[det_value]]*Lookups!$H$48,-2)</f>
        <v>0</v>
      </c>
      <c r="CE1111" s="3">
        <f>Wapato_Inventory[[#This Row],[final_res]]+Wapato_Inventory[[#This Row],[final_det]]</f>
        <v>238000</v>
      </c>
      <c r="CF1111" s="3">
        <f>Wapato_Inventory[[#This Row],[crop_value]]+Wapato_Inventory[[#This Row],[final_land]]+Wapato_Inventory[[#This Row],[final_imp]]</f>
        <v>290200</v>
      </c>
      <c r="CH1111" t="str">
        <f t="shared" si="17"/>
        <v>update valuation set market_land =52200, market_bldg=238000, market_total =290200, market_mdno =405, market_date ='9/10/2023' where link_id = (select link_id from parcel where parcel_year = '2024' and parcel_id = '19111542430');</v>
      </c>
    </row>
    <row r="1112" spans="1:86" x14ac:dyDescent="0.25">
      <c r="A1112">
        <v>19111542431</v>
      </c>
      <c r="B1112">
        <v>0.39</v>
      </c>
      <c r="C1112">
        <v>16883</v>
      </c>
      <c r="D1112" t="s">
        <v>144</v>
      </c>
      <c r="E1112" t="s">
        <v>54</v>
      </c>
      <c r="F1112" t="s">
        <v>54</v>
      </c>
      <c r="G1112">
        <v>3</v>
      </c>
      <c r="H1112" t="s">
        <v>55</v>
      </c>
      <c r="I1112">
        <v>376900</v>
      </c>
      <c r="J1112">
        <v>38600</v>
      </c>
      <c r="K1112">
        <v>0.39</v>
      </c>
      <c r="L1112">
        <f>IF(Wapato_Inventory[[#This Row],[parcel_acres]]-Wapato_Inventory[[#This Row],[non_valued_acres]] =0,0,LN(Wapato_Inventory[[#This Row],[parcel_acres]]-Wapato_Inventory[[#This Row],[non_valued_acres]]))</f>
        <v>-0.94160853985844495</v>
      </c>
      <c r="M1112">
        <v>0</v>
      </c>
      <c r="N1112">
        <v>0</v>
      </c>
      <c r="O1112">
        <v>0</v>
      </c>
      <c r="P1112">
        <v>27904.037</v>
      </c>
      <c r="Q1112">
        <v>74398</v>
      </c>
      <c r="R1112" s="3">
        <f>(Wapato_Inventory[[#This Row],[ln_acres]]*Wapato_Inventory[[#This Row],[coeff]])+Wapato_Inventory[[#This Row],[const]]</f>
        <v>48123.320464273973</v>
      </c>
      <c r="S1112" t="s">
        <v>62</v>
      </c>
      <c r="T1112">
        <v>1</v>
      </c>
      <c r="U1112" t="s">
        <v>57</v>
      </c>
      <c r="V1112" t="s">
        <v>69</v>
      </c>
      <c r="W1112">
        <v>30700</v>
      </c>
      <c r="X1112">
        <v>0</v>
      </c>
      <c r="Y1112">
        <v>48</v>
      </c>
      <c r="Z1112">
        <v>61</v>
      </c>
      <c r="AA1112">
        <v>70</v>
      </c>
      <c r="AB1112">
        <v>3000</v>
      </c>
      <c r="AC1112">
        <v>2746</v>
      </c>
      <c r="AD1112">
        <v>2746</v>
      </c>
      <c r="AE1112">
        <v>0</v>
      </c>
      <c r="AF1112">
        <v>0</v>
      </c>
      <c r="AG1112">
        <v>0</v>
      </c>
      <c r="AH1112">
        <v>0</v>
      </c>
      <c r="AI1112">
        <v>514</v>
      </c>
      <c r="AJ1112">
        <v>0</v>
      </c>
      <c r="AK1112">
        <v>0</v>
      </c>
      <c r="AL1112">
        <v>0</v>
      </c>
      <c r="AM1112">
        <v>672</v>
      </c>
      <c r="AN1112">
        <v>66</v>
      </c>
      <c r="AO1112">
        <v>64</v>
      </c>
      <c r="AP1112">
        <v>9</v>
      </c>
      <c r="AQ1112">
        <v>1</v>
      </c>
      <c r="AR1112">
        <v>0</v>
      </c>
      <c r="AS1112" t="s">
        <v>59</v>
      </c>
      <c r="AT1112">
        <v>1</v>
      </c>
      <c r="AU1112" t="s">
        <v>60</v>
      </c>
      <c r="AV1112" t="s">
        <v>61</v>
      </c>
      <c r="AW1112">
        <v>1</v>
      </c>
      <c r="AX1112">
        <v>4</v>
      </c>
      <c r="AY1112">
        <v>0</v>
      </c>
      <c r="AZ1112">
        <v>0</v>
      </c>
      <c r="BA1112">
        <v>100</v>
      </c>
      <c r="BB1112">
        <v>100</v>
      </c>
      <c r="BC1112">
        <v>100</v>
      </c>
      <c r="BD1112">
        <v>100</v>
      </c>
      <c r="BE1112">
        <v>1</v>
      </c>
      <c r="BF1112">
        <v>15000</v>
      </c>
      <c r="BG1112">
        <v>1000</v>
      </c>
      <c r="BH1112" s="7">
        <f>ROUND(Wapato_Inventory[[#This Row],[detatched_value]]*Lookups!$B$22*Lookups!$H$48,-2)</f>
        <v>0</v>
      </c>
      <c r="BI1112" s="7">
        <f>ROUND(((Wapato_Inventory[[#This Row],[land_extract]]*Lookups!$B$3) +(Lookups!$B$2*0.5))*Lookups!$H$48,-2)</f>
        <v>55700</v>
      </c>
      <c r="BJ1112" s="7">
        <f>IF(Wapato_Inventory[[#This Row],[bldg_style]]="",0,Lookups!$B$2*0.5)</f>
        <v>53765.27</v>
      </c>
      <c r="BK1112" s="7">
        <f>_xlfn.IFNA(VLOOKUP(Wapato_Inventory[[#This Row],[quality]],Lookups!$H$2:$J$14,3,FALSE),0)</f>
        <v>152073</v>
      </c>
      <c r="BL1112" s="7">
        <f>_xlfn.IFNA(VLOOKUP(Wapato_Inventory[[#This Row],[condition]],Lookups!$H$17:$J$24,3,FALSE),0)</f>
        <v>74543</v>
      </c>
      <c r="BM1112" s="7">
        <f>Wapato_Inventory[[#This Row],[Age]]*Lookups!$B$16</f>
        <v>-22611.217700000001</v>
      </c>
      <c r="BN1112" s="7">
        <f>Wapato_Inventory[[#This Row],[Main Floor]]*Lookups!$B$17</f>
        <v>114784.829294</v>
      </c>
      <c r="BO1112" s="7">
        <f>Wapato_Inventory[[#This Row],[Upper Floor]]*Lookups!$B$18</f>
        <v>0</v>
      </c>
      <c r="BP1112" s="7">
        <f>Wapato_Inventory[[#This Row],[Fin BSMT]]*Lookups!$B$19</f>
        <v>0</v>
      </c>
      <c r="BQ1112" s="7">
        <f>(Wapato_Inventory[[#This Row],[att_gar]]+Wapato_Inventory[[#This Row],[blt_gar]])*Lookups!$B$20</f>
        <v>19022.498528</v>
      </c>
      <c r="BR1112" s="7">
        <f>Wapato_Inventory[[#This Row],[Patio]]*Lookups!$B$21</f>
        <v>29113.713888000002</v>
      </c>
      <c r="BS1112" s="7">
        <f>SUM(Wapato_Inventory[[#This Row],[intercept]:[patio_value]])*Wapato_Inventory[[#This Row],[res_pct]]</f>
        <v>420691.09401000006</v>
      </c>
      <c r="BT1112" s="7">
        <f>Wapato_Inventory[[#This Row],[land_value]]</f>
        <v>55700</v>
      </c>
      <c r="BU1112" s="2">
        <f>_xlfn.IFNA(VLOOKUP(Wapato_Inventory[[#This Row],[quality]],Lookups!$A$28:$C$37,3,FALSE),1)</f>
        <v>1.0000008715458084</v>
      </c>
      <c r="BV1112" s="2">
        <f>_xlfn.IFNA(VLOOKUP(Wapato_Inventory[[#This Row],[condition]],Lookups!$A$41:$C$48,3,FALSE),1)</f>
        <v>0.98442438223270734</v>
      </c>
      <c r="BW1112" s="2">
        <f>IF(Wapato_Inventory[[#This Row],[decade]]="",1,_xlfn.IFNA(VLOOKUP(Wapato_Inventory[[#This Row],[decade]],Lookups!$F$28:$H$45,3,FALSE),1))</f>
        <v>1.0012715221492001</v>
      </c>
      <c r="BX1112" s="2">
        <f>_xlfn.IFNA(VLOOKUP(Wapato_Inventory[[#This Row],[living_area_range]],Lookups!$K$28:$M$37,3,FALSE),1)</f>
        <v>1.0155869662067822</v>
      </c>
      <c r="BY1112" s="2">
        <f>AVERAGE(Wapato_Inventory[[#This Row],[qual_adj]:[range_adj]])</f>
        <v>1.0003209355336244</v>
      </c>
      <c r="BZ1112" s="7">
        <f>(Wapato_Inventory[[#This Row],[sum_land]]-IF(Wapato_Inventory[[#This Row],[no_utilities]]=1,12000,0))/IF(Wapato_Inventory[[#This Row],[unbuildable]]=1,2,1)</f>
        <v>55700</v>
      </c>
      <c r="CA1112" s="7">
        <f>Wapato_Inventory[[#This Row],[pre_res]]*Wapato_Inventory[[#This Row],[overall_adj]]</f>
        <v>420826.10873074719</v>
      </c>
      <c r="CB1112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1112" s="3">
        <f>IF(ROUND(Wapato_Inventory[[#This Row],[adj_res]]*Lookups!$H$48,-2)&lt;Wapato_Inventory[[#This Row],[min_res]],Wapato_Inventory[[#This Row],[min_res]],ROUND(Wapato_Inventory[[#This Row],[adj_res]]*Lookups!$H$48,-2))</f>
        <v>399800</v>
      </c>
      <c r="CD1112" s="3">
        <f>ROUND(Wapato_Inventory[[#This Row],[det_value]]*Lookups!$H$48,-2)</f>
        <v>0</v>
      </c>
      <c r="CE1112" s="3">
        <f>Wapato_Inventory[[#This Row],[final_res]]+Wapato_Inventory[[#This Row],[final_det]]</f>
        <v>399800</v>
      </c>
      <c r="CF1112" s="3">
        <f>Wapato_Inventory[[#This Row],[crop_value]]+Wapato_Inventory[[#This Row],[final_land]]+Wapato_Inventory[[#This Row],[final_imp]]</f>
        <v>452700</v>
      </c>
      <c r="CH1112" t="str">
        <f t="shared" si="17"/>
        <v>update valuation set market_land =52900, market_bldg=399800, market_total =452700, market_mdno =405, market_date ='9/10/2023' where link_id = (select link_id from parcel where parcel_year = '2024' and parcel_id = '19111542431');</v>
      </c>
    </row>
    <row r="1113" spans="1:86" x14ac:dyDescent="0.25">
      <c r="A1113">
        <v>19111542432</v>
      </c>
      <c r="B1113">
        <v>0.39</v>
      </c>
      <c r="C1113">
        <v>16867</v>
      </c>
      <c r="D1113" t="s">
        <v>144</v>
      </c>
      <c r="E1113" t="s">
        <v>54</v>
      </c>
      <c r="F1113" t="s">
        <v>54</v>
      </c>
      <c r="G1113">
        <v>3</v>
      </c>
      <c r="H1113" t="s">
        <v>55</v>
      </c>
      <c r="I1113">
        <v>281800</v>
      </c>
      <c r="J1113">
        <v>38600</v>
      </c>
      <c r="K1113">
        <v>0.39</v>
      </c>
      <c r="L1113">
        <f>IF(Wapato_Inventory[[#This Row],[parcel_acres]]-Wapato_Inventory[[#This Row],[non_valued_acres]] =0,0,LN(Wapato_Inventory[[#This Row],[parcel_acres]]-Wapato_Inventory[[#This Row],[non_valued_acres]]))</f>
        <v>-0.94160853985844495</v>
      </c>
      <c r="M1113">
        <v>0</v>
      </c>
      <c r="N1113">
        <v>0</v>
      </c>
      <c r="O1113">
        <v>0</v>
      </c>
      <c r="P1113">
        <v>27904.037</v>
      </c>
      <c r="Q1113">
        <v>74398</v>
      </c>
      <c r="R1113" s="3">
        <f>(Wapato_Inventory[[#This Row],[ln_acres]]*Wapato_Inventory[[#This Row],[coeff]])+Wapato_Inventory[[#This Row],[const]]</f>
        <v>48123.320464273973</v>
      </c>
      <c r="S1113" t="s">
        <v>110</v>
      </c>
      <c r="T1113">
        <v>1</v>
      </c>
      <c r="U1113" t="s">
        <v>63</v>
      </c>
      <c r="V1113" t="s">
        <v>73</v>
      </c>
      <c r="W1113">
        <v>0</v>
      </c>
      <c r="X1113">
        <v>0</v>
      </c>
      <c r="Y1113">
        <v>47</v>
      </c>
      <c r="Z1113">
        <v>58</v>
      </c>
      <c r="AA1113">
        <v>60</v>
      </c>
      <c r="AB1113">
        <v>4500</v>
      </c>
      <c r="AC1113">
        <v>4296</v>
      </c>
      <c r="AD1113">
        <v>3211</v>
      </c>
      <c r="AE1113">
        <v>0</v>
      </c>
      <c r="AF1113">
        <v>0</v>
      </c>
      <c r="AG1113">
        <v>1085</v>
      </c>
      <c r="AH1113">
        <v>0</v>
      </c>
      <c r="AI1113">
        <v>780</v>
      </c>
      <c r="AJ1113">
        <v>0</v>
      </c>
      <c r="AK1113">
        <v>0</v>
      </c>
      <c r="AL1113">
        <v>0</v>
      </c>
      <c r="AM1113">
        <v>488</v>
      </c>
      <c r="AN1113">
        <v>0</v>
      </c>
      <c r="AO1113">
        <v>738</v>
      </c>
      <c r="AP1113">
        <v>14</v>
      </c>
      <c r="AQ1113">
        <v>0</v>
      </c>
      <c r="AR1113">
        <v>2</v>
      </c>
      <c r="AS1113" t="s">
        <v>81</v>
      </c>
      <c r="AT1113">
        <v>1</v>
      </c>
      <c r="AU1113" t="s">
        <v>60</v>
      </c>
      <c r="AV1113" t="s">
        <v>61</v>
      </c>
      <c r="AW1113">
        <v>1</v>
      </c>
      <c r="AX1113">
        <v>6</v>
      </c>
      <c r="AY1113">
        <v>0</v>
      </c>
      <c r="AZ1113">
        <v>0</v>
      </c>
      <c r="BA1113">
        <v>100</v>
      </c>
      <c r="BB1113">
        <v>100</v>
      </c>
      <c r="BC1113">
        <v>100</v>
      </c>
      <c r="BD1113">
        <v>100</v>
      </c>
      <c r="BE1113">
        <v>1</v>
      </c>
      <c r="BF1113">
        <v>15000</v>
      </c>
      <c r="BG1113">
        <v>1000</v>
      </c>
      <c r="BH1113" s="7">
        <f>ROUND(Wapato_Inventory[[#This Row],[detatched_value]]*Lookups!$B$22*Lookups!$H$48,-2)</f>
        <v>0</v>
      </c>
      <c r="BI1113" s="7">
        <f>ROUND(((Wapato_Inventory[[#This Row],[land_extract]]*Lookups!$B$3) +(Lookups!$B$2*0.5))*Lookups!$H$48,-2)</f>
        <v>55700</v>
      </c>
      <c r="BJ1113" s="7">
        <f>IF(Wapato_Inventory[[#This Row],[bldg_style]]="",0,Lookups!$B$2*0.5)</f>
        <v>53765.27</v>
      </c>
      <c r="BK1113" s="7">
        <f>_xlfn.IFNA(VLOOKUP(Wapato_Inventory[[#This Row],[quality]],Lookups!$H$2:$J$14,3,FALSE),0)</f>
        <v>50594</v>
      </c>
      <c r="BL1113" s="7">
        <f>_xlfn.IFNA(VLOOKUP(Wapato_Inventory[[#This Row],[condition]],Lookups!$H$17:$J$24,3,FALSE),0)</f>
        <v>16276</v>
      </c>
      <c r="BM1113" s="7">
        <f>Wapato_Inventory[[#This Row],[Age]]*Lookups!$B$16</f>
        <v>-21499.190600000002</v>
      </c>
      <c r="BN1113" s="7">
        <f>Wapato_Inventory[[#This Row],[Main Floor]]*Lookups!$B$17</f>
        <v>134222.17292899999</v>
      </c>
      <c r="BO1113" s="7">
        <f>Wapato_Inventory[[#This Row],[Upper Floor]]*Lookups!$B$18</f>
        <v>0</v>
      </c>
      <c r="BP1113" s="7">
        <f>Wapato_Inventory[[#This Row],[Fin BSMT]]*Lookups!$B$19</f>
        <v>26437.912899999999</v>
      </c>
      <c r="BQ1113" s="7">
        <f>(Wapato_Inventory[[#This Row],[att_gar]]+Wapato_Inventory[[#This Row],[blt_gar]])*Lookups!$B$20</f>
        <v>28866.826560000001</v>
      </c>
      <c r="BR1113" s="7">
        <f>Wapato_Inventory[[#This Row],[Patio]]*Lookups!$B$21</f>
        <v>21142.101752000002</v>
      </c>
      <c r="BS1113" s="7">
        <f>SUM(Wapato_Inventory[[#This Row],[intercept]:[patio_value]])*Wapato_Inventory[[#This Row],[res_pct]]</f>
        <v>309805.09354099998</v>
      </c>
      <c r="BT1113" s="7">
        <f>Wapato_Inventory[[#This Row],[land_value]]</f>
        <v>55700</v>
      </c>
      <c r="BU1113" s="2">
        <f>_xlfn.IFNA(VLOOKUP(Wapato_Inventory[[#This Row],[quality]],Lookups!$A$28:$C$37,3,FALSE),1)</f>
        <v>0.99197423394367223</v>
      </c>
      <c r="BV1113" s="2">
        <f>_xlfn.IFNA(VLOOKUP(Wapato_Inventory[[#This Row],[condition]],Lookups!$A$41:$C$48,3,FALSE),1)</f>
        <v>0.93399385491337139</v>
      </c>
      <c r="BW1113" s="2">
        <f>IF(Wapato_Inventory[[#This Row],[decade]]="",1,_xlfn.IFNA(VLOOKUP(Wapato_Inventory[[#This Row],[decade]],Lookups!$F$28:$H$45,3,FALSE),1))</f>
        <v>1.035341704162583</v>
      </c>
      <c r="BX1113" s="2">
        <f>_xlfn.IFNA(VLOOKUP(Wapato_Inventory[[#This Row],[living_area_range]],Lookups!$K$28:$M$37,3,FALSE),1)</f>
        <v>1.0155869662067822</v>
      </c>
      <c r="BY1113" s="2">
        <f>AVERAGE(Wapato_Inventory[[#This Row],[qual_adj]:[range_adj]])</f>
        <v>0.99422418980660221</v>
      </c>
      <c r="BZ1113" s="7">
        <f>(Wapato_Inventory[[#This Row],[sum_land]]-IF(Wapato_Inventory[[#This Row],[no_utilities]]=1,12000,0))/IF(Wapato_Inventory[[#This Row],[unbuildable]]=1,2,1)</f>
        <v>55700</v>
      </c>
      <c r="CA1113" s="7">
        <f>Wapato_Inventory[[#This Row],[pre_res]]*Wapato_Inventory[[#This Row],[overall_adj]]</f>
        <v>308015.71812375932</v>
      </c>
      <c r="CB1113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1113" s="3">
        <f>IF(ROUND(Wapato_Inventory[[#This Row],[adj_res]]*Lookups!$H$48,-2)&lt;Wapato_Inventory[[#This Row],[min_res]],Wapato_Inventory[[#This Row],[min_res]],ROUND(Wapato_Inventory[[#This Row],[adj_res]]*Lookups!$H$48,-2))</f>
        <v>292600</v>
      </c>
      <c r="CD1113" s="3">
        <f>ROUND(Wapato_Inventory[[#This Row],[det_value]]*Lookups!$H$48,-2)</f>
        <v>0</v>
      </c>
      <c r="CE1113" s="3">
        <f>Wapato_Inventory[[#This Row],[final_res]]+Wapato_Inventory[[#This Row],[final_det]]</f>
        <v>292600</v>
      </c>
      <c r="CF1113" s="3">
        <f>Wapato_Inventory[[#This Row],[crop_value]]+Wapato_Inventory[[#This Row],[final_land]]+Wapato_Inventory[[#This Row],[final_imp]]</f>
        <v>345500</v>
      </c>
      <c r="CH1113" t="str">
        <f t="shared" si="17"/>
        <v>update valuation set market_land =52900, market_bldg=292600, market_total =345500, market_mdno =405, market_date ='9/10/2023' where link_id = (select link_id from parcel where parcel_year = '2024' and parcel_id = '19111542432');</v>
      </c>
    </row>
    <row r="1114" spans="1:86" x14ac:dyDescent="0.25">
      <c r="A1114">
        <v>19111542433</v>
      </c>
      <c r="B1114">
        <v>0.26</v>
      </c>
      <c r="C1114">
        <v>11235</v>
      </c>
      <c r="D1114" t="s">
        <v>144</v>
      </c>
      <c r="E1114" t="s">
        <v>54</v>
      </c>
      <c r="F1114" t="s">
        <v>54</v>
      </c>
      <c r="G1114">
        <v>3</v>
      </c>
      <c r="H1114" t="s">
        <v>55</v>
      </c>
      <c r="I1114">
        <v>214300</v>
      </c>
      <c r="J1114">
        <v>35800</v>
      </c>
      <c r="K1114">
        <v>0.26</v>
      </c>
      <c r="L1114">
        <f>IF(Wapato_Inventory[[#This Row],[parcel_acres]]-Wapato_Inventory[[#This Row],[non_valued_acres]] =0,0,LN(Wapato_Inventory[[#This Row],[parcel_acres]]-Wapato_Inventory[[#This Row],[non_valued_acres]]))</f>
        <v>-1.3470736479666092</v>
      </c>
      <c r="M1114">
        <v>0</v>
      </c>
      <c r="N1114">
        <v>0</v>
      </c>
      <c r="O1114">
        <v>0</v>
      </c>
      <c r="P1114">
        <v>27904.037</v>
      </c>
      <c r="Q1114">
        <v>74398</v>
      </c>
      <c r="R1114" s="3">
        <f>(Wapato_Inventory[[#This Row],[ln_acres]]*Wapato_Inventory[[#This Row],[coeff]])+Wapato_Inventory[[#This Row],[const]]</f>
        <v>36809.207085414761</v>
      </c>
      <c r="S1114" t="s">
        <v>62</v>
      </c>
      <c r="T1114">
        <v>1</v>
      </c>
      <c r="U1114" t="s">
        <v>63</v>
      </c>
      <c r="V1114" t="s">
        <v>68</v>
      </c>
      <c r="W1114">
        <v>0</v>
      </c>
      <c r="X1114">
        <v>0</v>
      </c>
      <c r="Y1114">
        <v>48</v>
      </c>
      <c r="Z1114">
        <v>60</v>
      </c>
      <c r="AA1114">
        <v>60</v>
      </c>
      <c r="AB1114">
        <v>2000</v>
      </c>
      <c r="AC1114">
        <v>1778</v>
      </c>
      <c r="AD1114">
        <v>1778</v>
      </c>
      <c r="AE1114">
        <v>0</v>
      </c>
      <c r="AF1114">
        <v>0</v>
      </c>
      <c r="AG1114">
        <v>0</v>
      </c>
      <c r="AH1114">
        <v>0</v>
      </c>
      <c r="AI1114">
        <v>380</v>
      </c>
      <c r="AJ1114">
        <v>0</v>
      </c>
      <c r="AK1114">
        <v>0</v>
      </c>
      <c r="AL1114">
        <v>0</v>
      </c>
      <c r="AM1114">
        <v>252</v>
      </c>
      <c r="AN1114">
        <v>0</v>
      </c>
      <c r="AO1114">
        <v>252</v>
      </c>
      <c r="AP1114">
        <v>8</v>
      </c>
      <c r="AQ1114">
        <v>0</v>
      </c>
      <c r="AR1114">
        <v>2</v>
      </c>
      <c r="AS1114" t="s">
        <v>59</v>
      </c>
      <c r="AT1114">
        <v>1</v>
      </c>
      <c r="AU1114" t="s">
        <v>64</v>
      </c>
      <c r="AV1114" t="s">
        <v>65</v>
      </c>
      <c r="AW1114">
        <v>1</v>
      </c>
      <c r="AX1114">
        <v>3</v>
      </c>
      <c r="AY1114">
        <v>0</v>
      </c>
      <c r="AZ1114">
        <v>0</v>
      </c>
      <c r="BA1114">
        <v>100</v>
      </c>
      <c r="BB1114">
        <v>100</v>
      </c>
      <c r="BC1114">
        <v>100</v>
      </c>
      <c r="BD1114">
        <v>100</v>
      </c>
      <c r="BE1114">
        <v>1</v>
      </c>
      <c r="BF1114">
        <v>15000</v>
      </c>
      <c r="BG1114">
        <v>1000</v>
      </c>
      <c r="BH1114" s="7">
        <f>ROUND(Wapato_Inventory[[#This Row],[detatched_value]]*Lookups!$B$22*Lookups!$H$48,-2)</f>
        <v>0</v>
      </c>
      <c r="BI1114" s="7">
        <f>ROUND(((Wapato_Inventory[[#This Row],[land_extract]]*Lookups!$B$3) +(Lookups!$B$2*0.5))*Lookups!$H$48,-2)</f>
        <v>54600</v>
      </c>
      <c r="BJ1114" s="7">
        <f>IF(Wapato_Inventory[[#This Row],[bldg_style]]="",0,Lookups!$B$2*0.5)</f>
        <v>53765.27</v>
      </c>
      <c r="BK1114" s="7">
        <f>_xlfn.IFNA(VLOOKUP(Wapato_Inventory[[#This Row],[quality]],Lookups!$H$2:$J$14,3,FALSE),0)</f>
        <v>50594</v>
      </c>
      <c r="BL1114" s="7">
        <f>_xlfn.IFNA(VLOOKUP(Wapato_Inventory[[#This Row],[condition]],Lookups!$H$17:$J$24,3,FALSE),0)</f>
        <v>52231</v>
      </c>
      <c r="BM1114" s="7">
        <f>Wapato_Inventory[[#This Row],[Age]]*Lookups!$B$16</f>
        <v>-22240.542000000001</v>
      </c>
      <c r="BN1114" s="7">
        <f>Wapato_Inventory[[#This Row],[Main Floor]]*Lookups!$B$17</f>
        <v>74321.713942000002</v>
      </c>
      <c r="BO1114" s="7">
        <f>Wapato_Inventory[[#This Row],[Upper Floor]]*Lookups!$B$18</f>
        <v>0</v>
      </c>
      <c r="BP1114" s="7">
        <f>Wapato_Inventory[[#This Row],[Fin BSMT]]*Lookups!$B$19</f>
        <v>0</v>
      </c>
      <c r="BQ1114" s="7">
        <f>(Wapato_Inventory[[#This Row],[att_gar]]+Wapato_Inventory[[#This Row],[blt_gar]])*Lookups!$B$20</f>
        <v>14063.32576</v>
      </c>
      <c r="BR1114" s="7">
        <f>Wapato_Inventory[[#This Row],[Patio]]*Lookups!$B$21</f>
        <v>10917.642708000001</v>
      </c>
      <c r="BS1114" s="7">
        <f>SUM(Wapato_Inventory[[#This Row],[intercept]:[patio_value]])*Wapato_Inventory[[#This Row],[res_pct]]</f>
        <v>233652.41041000001</v>
      </c>
      <c r="BT1114" s="7">
        <f>Wapato_Inventory[[#This Row],[land_value]]</f>
        <v>54600</v>
      </c>
      <c r="BU1114" s="2">
        <f>_xlfn.IFNA(VLOOKUP(Wapato_Inventory[[#This Row],[quality]],Lookups!$A$28:$C$37,3,FALSE),1)</f>
        <v>0.99197423394367223</v>
      </c>
      <c r="BV1114" s="2">
        <f>_xlfn.IFNA(VLOOKUP(Wapato_Inventory[[#This Row],[condition]],Lookups!$A$41:$C$48,3,FALSE),1)</f>
        <v>0.9832333997567807</v>
      </c>
      <c r="BW1114" s="2">
        <f>IF(Wapato_Inventory[[#This Row],[decade]]="",1,_xlfn.IFNA(VLOOKUP(Wapato_Inventory[[#This Row],[decade]],Lookups!$F$28:$H$45,3,FALSE),1))</f>
        <v>1.035341704162583</v>
      </c>
      <c r="BX1114" s="2">
        <f>_xlfn.IFNA(VLOOKUP(Wapato_Inventory[[#This Row],[living_area_range]],Lookups!$K$28:$M$37,3,FALSE),1)</f>
        <v>0.99330894324714125</v>
      </c>
      <c r="BY1114" s="2">
        <f>AVERAGE(Wapato_Inventory[[#This Row],[qual_adj]:[range_adj]])</f>
        <v>1.0009645702775443</v>
      </c>
      <c r="BZ1114" s="7">
        <f>(Wapato_Inventory[[#This Row],[sum_land]]-IF(Wapato_Inventory[[#This Row],[no_utilities]]=1,12000,0))/IF(Wapato_Inventory[[#This Row],[unbuildable]]=1,2,1)</f>
        <v>54600</v>
      </c>
      <c r="CA1114" s="7">
        <f>Wapato_Inventory[[#This Row],[pre_res]]*Wapato_Inventory[[#This Row],[overall_adj]]</f>
        <v>233877.78458035807</v>
      </c>
      <c r="CB1114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114" s="3">
        <f>IF(ROUND(Wapato_Inventory[[#This Row],[adj_res]]*Lookups!$H$48,-2)&lt;Wapato_Inventory[[#This Row],[min_res]],Wapato_Inventory[[#This Row],[min_res]],ROUND(Wapato_Inventory[[#This Row],[adj_res]]*Lookups!$H$48,-2))</f>
        <v>222200</v>
      </c>
      <c r="CD1114" s="3">
        <f>ROUND(Wapato_Inventory[[#This Row],[det_value]]*Lookups!$H$48,-2)</f>
        <v>0</v>
      </c>
      <c r="CE1114" s="3">
        <f>Wapato_Inventory[[#This Row],[final_res]]+Wapato_Inventory[[#This Row],[final_det]]</f>
        <v>222200</v>
      </c>
      <c r="CF1114" s="3">
        <f>Wapato_Inventory[[#This Row],[crop_value]]+Wapato_Inventory[[#This Row],[final_land]]+Wapato_Inventory[[#This Row],[final_imp]]</f>
        <v>274100</v>
      </c>
      <c r="CH1114" t="str">
        <f t="shared" si="17"/>
        <v>update valuation set market_land =51900, market_bldg=222200, market_total =274100, market_mdno =405, market_date ='9/10/2023' where link_id = (select link_id from parcel where parcel_year = '2024' and parcel_id = '19111542433');</v>
      </c>
    </row>
    <row r="1115" spans="1:86" x14ac:dyDescent="0.25">
      <c r="A1115">
        <v>19111542434</v>
      </c>
      <c r="B1115">
        <v>0.26</v>
      </c>
      <c r="C1115">
        <v>11228</v>
      </c>
      <c r="D1115" t="s">
        <v>144</v>
      </c>
      <c r="E1115" t="s">
        <v>54</v>
      </c>
      <c r="F1115" t="s">
        <v>54</v>
      </c>
      <c r="G1115">
        <v>3</v>
      </c>
      <c r="H1115" t="s">
        <v>55</v>
      </c>
      <c r="I1115">
        <v>192300</v>
      </c>
      <c r="J1115">
        <v>35800</v>
      </c>
      <c r="K1115">
        <v>0.26</v>
      </c>
      <c r="L1115">
        <f>IF(Wapato_Inventory[[#This Row],[parcel_acres]]-Wapato_Inventory[[#This Row],[non_valued_acres]] =0,0,LN(Wapato_Inventory[[#This Row],[parcel_acres]]-Wapato_Inventory[[#This Row],[non_valued_acres]]))</f>
        <v>-1.3470736479666092</v>
      </c>
      <c r="M1115">
        <v>0</v>
      </c>
      <c r="N1115">
        <v>0</v>
      </c>
      <c r="O1115">
        <v>0</v>
      </c>
      <c r="P1115">
        <v>27904.037</v>
      </c>
      <c r="Q1115">
        <v>74398</v>
      </c>
      <c r="R1115" s="3">
        <f>(Wapato_Inventory[[#This Row],[ln_acres]]*Wapato_Inventory[[#This Row],[coeff]])+Wapato_Inventory[[#This Row],[const]]</f>
        <v>36809.207085414761</v>
      </c>
      <c r="S1115" t="s">
        <v>150</v>
      </c>
      <c r="T1115">
        <v>1</v>
      </c>
      <c r="U1115" t="s">
        <v>67</v>
      </c>
      <c r="V1115" t="s">
        <v>68</v>
      </c>
      <c r="W1115">
        <v>0</v>
      </c>
      <c r="X1115">
        <v>0</v>
      </c>
      <c r="Y1115">
        <v>48</v>
      </c>
      <c r="Z1115">
        <v>60</v>
      </c>
      <c r="AA1115">
        <v>60</v>
      </c>
      <c r="AB1115">
        <v>2500</v>
      </c>
      <c r="AC1115">
        <v>2088</v>
      </c>
      <c r="AD1115">
        <v>1044</v>
      </c>
      <c r="AE1115">
        <v>0</v>
      </c>
      <c r="AF1115">
        <v>0</v>
      </c>
      <c r="AG1115">
        <v>1044</v>
      </c>
      <c r="AH1115">
        <v>0</v>
      </c>
      <c r="AI1115">
        <v>440</v>
      </c>
      <c r="AJ1115">
        <v>0</v>
      </c>
      <c r="AK1115">
        <v>0</v>
      </c>
      <c r="AL1115">
        <v>96</v>
      </c>
      <c r="AM1115">
        <v>0</v>
      </c>
      <c r="AN1115">
        <v>0</v>
      </c>
      <c r="AO1115">
        <v>96</v>
      </c>
      <c r="AP1115">
        <v>8</v>
      </c>
      <c r="AQ1115">
        <v>0</v>
      </c>
      <c r="AR1115">
        <v>2</v>
      </c>
      <c r="AS1115" t="s">
        <v>59</v>
      </c>
      <c r="AT1115">
        <v>1</v>
      </c>
      <c r="AU1115" t="s">
        <v>72</v>
      </c>
      <c r="AV1115" t="s">
        <v>61</v>
      </c>
      <c r="AW1115">
        <v>0</v>
      </c>
      <c r="AX1115">
        <v>4</v>
      </c>
      <c r="AY1115">
        <v>0</v>
      </c>
      <c r="AZ1115">
        <v>0</v>
      </c>
      <c r="BA1115">
        <v>100</v>
      </c>
      <c r="BB1115">
        <v>100</v>
      </c>
      <c r="BC1115">
        <v>100</v>
      </c>
      <c r="BD1115">
        <v>100</v>
      </c>
      <c r="BE1115">
        <v>1</v>
      </c>
      <c r="BF1115">
        <v>15000</v>
      </c>
      <c r="BG1115">
        <v>1000</v>
      </c>
      <c r="BH1115" s="7">
        <f>ROUND(Wapato_Inventory[[#This Row],[detatched_value]]*Lookups!$B$22*Lookups!$H$48,-2)</f>
        <v>0</v>
      </c>
      <c r="BI1115" s="7">
        <f>ROUND(((Wapato_Inventory[[#This Row],[land_extract]]*Lookups!$B$3) +(Lookups!$B$2*0.5))*Lookups!$H$48,-2)</f>
        <v>54600</v>
      </c>
      <c r="BJ1115" s="7">
        <f>IF(Wapato_Inventory[[#This Row],[bldg_style]]="",0,Lookups!$B$2*0.5)</f>
        <v>53765.27</v>
      </c>
      <c r="BK1115" s="7">
        <f>_xlfn.IFNA(VLOOKUP(Wapato_Inventory[[#This Row],[quality]],Lookups!$H$2:$J$14,3,FALSE),0)</f>
        <v>50405</v>
      </c>
      <c r="BL1115" s="7">
        <f>_xlfn.IFNA(VLOOKUP(Wapato_Inventory[[#This Row],[condition]],Lookups!$H$17:$J$24,3,FALSE),0)</f>
        <v>52231</v>
      </c>
      <c r="BM1115" s="7">
        <f>Wapato_Inventory[[#This Row],[Age]]*Lookups!$B$16</f>
        <v>-22240.542000000001</v>
      </c>
      <c r="BN1115" s="7">
        <f>Wapato_Inventory[[#This Row],[Main Floor]]*Lookups!$B$17</f>
        <v>43639.971515999998</v>
      </c>
      <c r="BO1115" s="7">
        <f>Wapato_Inventory[[#This Row],[Upper Floor]]*Lookups!$B$18</f>
        <v>0</v>
      </c>
      <c r="BP1115" s="7">
        <f>Wapato_Inventory[[#This Row],[Fin BSMT]]*Lookups!$B$19</f>
        <v>25438.876560000001</v>
      </c>
      <c r="BQ1115" s="7">
        <f>(Wapato_Inventory[[#This Row],[att_gar]]+Wapato_Inventory[[#This Row],[blt_gar]])*Lookups!$B$20</f>
        <v>16283.85088</v>
      </c>
      <c r="BR1115" s="7">
        <f>Wapato_Inventory[[#This Row],[Patio]]*Lookups!$B$21</f>
        <v>0</v>
      </c>
      <c r="BS1115" s="7">
        <f>SUM(Wapato_Inventory[[#This Row],[intercept]:[patio_value]])*Wapato_Inventory[[#This Row],[res_pct]]</f>
        <v>219523.42695600001</v>
      </c>
      <c r="BT1115" s="7">
        <f>Wapato_Inventory[[#This Row],[land_value]]</f>
        <v>54600</v>
      </c>
      <c r="BU1115" s="2">
        <f>_xlfn.IFNA(VLOOKUP(Wapato_Inventory[[#This Row],[quality]],Lookups!$A$28:$C$37,3,FALSE),1)</f>
        <v>0.97993206410140754</v>
      </c>
      <c r="BV1115" s="2">
        <f>_xlfn.IFNA(VLOOKUP(Wapato_Inventory[[#This Row],[condition]],Lookups!$A$41:$C$48,3,FALSE),1)</f>
        <v>0.9832333997567807</v>
      </c>
      <c r="BW1115" s="2">
        <f>IF(Wapato_Inventory[[#This Row],[decade]]="",1,_xlfn.IFNA(VLOOKUP(Wapato_Inventory[[#This Row],[decade]],Lookups!$F$28:$H$45,3,FALSE),1))</f>
        <v>1.035341704162583</v>
      </c>
      <c r="BX1115" s="2">
        <f>_xlfn.IFNA(VLOOKUP(Wapato_Inventory[[#This Row],[living_area_range]],Lookups!$K$28:$M$37,3,FALSE),1)</f>
        <v>0.90813907160181651</v>
      </c>
      <c r="BY1115" s="2">
        <f>AVERAGE(Wapato_Inventory[[#This Row],[qual_adj]:[range_adj]])</f>
        <v>0.97666155990564696</v>
      </c>
      <c r="BZ1115" s="7">
        <f>(Wapato_Inventory[[#This Row],[sum_land]]-IF(Wapato_Inventory[[#This Row],[no_utilities]]=1,12000,0))/IF(Wapato_Inventory[[#This Row],[unbuildable]]=1,2,1)</f>
        <v>54600</v>
      </c>
      <c r="CA1115" s="7">
        <f>Wapato_Inventory[[#This Row],[pre_res]]*Wapato_Inventory[[#This Row],[overall_adj]]</f>
        <v>214400.09260668032</v>
      </c>
      <c r="CB1115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115" s="3">
        <f>IF(ROUND(Wapato_Inventory[[#This Row],[adj_res]]*Lookups!$H$48,-2)&lt;Wapato_Inventory[[#This Row],[min_res]],Wapato_Inventory[[#This Row],[min_res]],ROUND(Wapato_Inventory[[#This Row],[adj_res]]*Lookups!$H$48,-2))</f>
        <v>203700</v>
      </c>
      <c r="CD1115" s="3">
        <f>ROUND(Wapato_Inventory[[#This Row],[det_value]]*Lookups!$H$48,-2)</f>
        <v>0</v>
      </c>
      <c r="CE1115" s="3">
        <f>Wapato_Inventory[[#This Row],[final_res]]+Wapato_Inventory[[#This Row],[final_det]]</f>
        <v>203700</v>
      </c>
      <c r="CF1115" s="3">
        <f>Wapato_Inventory[[#This Row],[crop_value]]+Wapato_Inventory[[#This Row],[final_land]]+Wapato_Inventory[[#This Row],[final_imp]]</f>
        <v>255600</v>
      </c>
      <c r="CH1115" t="str">
        <f t="shared" si="17"/>
        <v>update valuation set market_land =51900, market_bldg=203700, market_total =255600, market_mdno =405, market_date ='9/10/2023' where link_id = (select link_id from parcel where parcel_year = '2024' and parcel_id = '19111542434');</v>
      </c>
    </row>
    <row r="1116" spans="1:86" x14ac:dyDescent="0.25">
      <c r="A1116">
        <v>19111542435</v>
      </c>
      <c r="B1116">
        <v>0.26</v>
      </c>
      <c r="C1116">
        <v>11220</v>
      </c>
      <c r="D1116" t="s">
        <v>144</v>
      </c>
      <c r="E1116" t="s">
        <v>54</v>
      </c>
      <c r="F1116" t="s">
        <v>54</v>
      </c>
      <c r="G1116">
        <v>3</v>
      </c>
      <c r="H1116" t="s">
        <v>55</v>
      </c>
      <c r="I1116">
        <v>206500</v>
      </c>
      <c r="J1116">
        <v>35800</v>
      </c>
      <c r="K1116">
        <v>0.26</v>
      </c>
      <c r="L1116">
        <f>IF(Wapato_Inventory[[#This Row],[parcel_acres]]-Wapato_Inventory[[#This Row],[non_valued_acres]] =0,0,LN(Wapato_Inventory[[#This Row],[parcel_acres]]-Wapato_Inventory[[#This Row],[non_valued_acres]]))</f>
        <v>-1.3470736479666092</v>
      </c>
      <c r="M1116">
        <v>0</v>
      </c>
      <c r="N1116">
        <v>0</v>
      </c>
      <c r="O1116">
        <v>0</v>
      </c>
      <c r="P1116">
        <v>27904.037</v>
      </c>
      <c r="Q1116">
        <v>74398</v>
      </c>
      <c r="R1116" s="3">
        <f>(Wapato_Inventory[[#This Row],[ln_acres]]*Wapato_Inventory[[#This Row],[coeff]])+Wapato_Inventory[[#This Row],[const]]</f>
        <v>36809.207085414761</v>
      </c>
      <c r="S1116" t="s">
        <v>62</v>
      </c>
      <c r="T1116">
        <v>1</v>
      </c>
      <c r="U1116" t="s">
        <v>63</v>
      </c>
      <c r="V1116" t="s">
        <v>68</v>
      </c>
      <c r="W1116">
        <v>0</v>
      </c>
      <c r="X1116">
        <v>0</v>
      </c>
      <c r="Y1116">
        <v>46</v>
      </c>
      <c r="Z1116">
        <v>55</v>
      </c>
      <c r="AA1116">
        <v>60</v>
      </c>
      <c r="AB1116">
        <v>1500</v>
      </c>
      <c r="AC1116">
        <v>1324</v>
      </c>
      <c r="AD1116">
        <v>1324</v>
      </c>
      <c r="AE1116">
        <v>0</v>
      </c>
      <c r="AF1116">
        <v>0</v>
      </c>
      <c r="AG1116">
        <v>0</v>
      </c>
      <c r="AH1116">
        <v>0</v>
      </c>
      <c r="AI1116">
        <v>480</v>
      </c>
      <c r="AJ1116">
        <v>0</v>
      </c>
      <c r="AK1116">
        <v>0</v>
      </c>
      <c r="AL1116">
        <v>496</v>
      </c>
      <c r="AM1116">
        <v>0</v>
      </c>
      <c r="AN1116">
        <v>56</v>
      </c>
      <c r="AO1116">
        <v>416</v>
      </c>
      <c r="AP1116">
        <v>8</v>
      </c>
      <c r="AQ1116">
        <v>0</v>
      </c>
      <c r="AR1116">
        <v>1</v>
      </c>
      <c r="AS1116" t="s">
        <v>59</v>
      </c>
      <c r="AT1116">
        <v>1</v>
      </c>
      <c r="AU1116" t="s">
        <v>64</v>
      </c>
      <c r="AV1116" t="s">
        <v>65</v>
      </c>
      <c r="AW1116">
        <v>1</v>
      </c>
      <c r="AX1116">
        <v>3</v>
      </c>
      <c r="AY1116">
        <v>0</v>
      </c>
      <c r="AZ1116">
        <v>9700</v>
      </c>
      <c r="BA1116">
        <v>100</v>
      </c>
      <c r="BB1116">
        <v>100</v>
      </c>
      <c r="BC1116">
        <v>100</v>
      </c>
      <c r="BD1116">
        <v>100</v>
      </c>
      <c r="BE1116">
        <v>1</v>
      </c>
      <c r="BF1116">
        <v>15000</v>
      </c>
      <c r="BG1116">
        <v>1000</v>
      </c>
      <c r="BH1116" s="7">
        <f>ROUND(Wapato_Inventory[[#This Row],[detatched_value]]*Lookups!$B$22*Lookups!$H$48,-2)</f>
        <v>8700</v>
      </c>
      <c r="BI1116" s="7">
        <f>ROUND(((Wapato_Inventory[[#This Row],[land_extract]]*Lookups!$B$3) +(Lookups!$B$2*0.5))*Lookups!$H$48,-2)</f>
        <v>54600</v>
      </c>
      <c r="BJ1116" s="7">
        <f>IF(Wapato_Inventory[[#This Row],[bldg_style]]="",0,Lookups!$B$2*0.5)</f>
        <v>53765.27</v>
      </c>
      <c r="BK1116" s="7">
        <f>_xlfn.IFNA(VLOOKUP(Wapato_Inventory[[#This Row],[quality]],Lookups!$H$2:$J$14,3,FALSE),0)</f>
        <v>50594</v>
      </c>
      <c r="BL1116" s="7">
        <f>_xlfn.IFNA(VLOOKUP(Wapato_Inventory[[#This Row],[condition]],Lookups!$H$17:$J$24,3,FALSE),0)</f>
        <v>52231</v>
      </c>
      <c r="BM1116" s="7">
        <f>Wapato_Inventory[[#This Row],[Age]]*Lookups!$B$16</f>
        <v>-20387.163499999999</v>
      </c>
      <c r="BN1116" s="7">
        <f>Wapato_Inventory[[#This Row],[Main Floor]]*Lookups!$B$17</f>
        <v>55344.178436000002</v>
      </c>
      <c r="BO1116" s="7">
        <f>Wapato_Inventory[[#This Row],[Upper Floor]]*Lookups!$B$18</f>
        <v>0</v>
      </c>
      <c r="BP1116" s="7">
        <f>Wapato_Inventory[[#This Row],[Fin BSMT]]*Lookups!$B$19</f>
        <v>0</v>
      </c>
      <c r="BQ1116" s="7">
        <f>(Wapato_Inventory[[#This Row],[att_gar]]+Wapato_Inventory[[#This Row],[blt_gar]])*Lookups!$B$20</f>
        <v>17764.200960000002</v>
      </c>
      <c r="BR1116" s="7">
        <f>Wapato_Inventory[[#This Row],[Patio]]*Lookups!$B$21</f>
        <v>0</v>
      </c>
      <c r="BS1116" s="7">
        <f>SUM(Wapato_Inventory[[#This Row],[intercept]:[patio_value]])*Wapato_Inventory[[#This Row],[res_pct]]</f>
        <v>209311.485896</v>
      </c>
      <c r="BT1116" s="7">
        <f>Wapato_Inventory[[#This Row],[land_value]]</f>
        <v>54600</v>
      </c>
      <c r="BU1116" s="2">
        <f>_xlfn.IFNA(VLOOKUP(Wapato_Inventory[[#This Row],[quality]],Lookups!$A$28:$C$37,3,FALSE),1)</f>
        <v>0.99197423394367223</v>
      </c>
      <c r="BV1116" s="2">
        <f>_xlfn.IFNA(VLOOKUP(Wapato_Inventory[[#This Row],[condition]],Lookups!$A$41:$C$48,3,FALSE),1)</f>
        <v>0.9832333997567807</v>
      </c>
      <c r="BW1116" s="2">
        <f>IF(Wapato_Inventory[[#This Row],[decade]]="",1,_xlfn.IFNA(VLOOKUP(Wapato_Inventory[[#This Row],[decade]],Lookups!$F$28:$H$45,3,FALSE),1))</f>
        <v>1.035341704162583</v>
      </c>
      <c r="BX1116" s="2">
        <f>_xlfn.IFNA(VLOOKUP(Wapato_Inventory[[#This Row],[living_area_range]],Lookups!$K$28:$M$37,3,FALSE),1)</f>
        <v>1.0061411172456287</v>
      </c>
      <c r="BY1116" s="2">
        <f>AVERAGE(Wapato_Inventory[[#This Row],[qual_adj]:[range_adj]])</f>
        <v>1.004172613777166</v>
      </c>
      <c r="BZ1116" s="7">
        <f>(Wapato_Inventory[[#This Row],[sum_land]]-IF(Wapato_Inventory[[#This Row],[no_utilities]]=1,12000,0))/IF(Wapato_Inventory[[#This Row],[unbuildable]]=1,2,1)</f>
        <v>54600</v>
      </c>
      <c r="CA1116" s="7">
        <f>Wapato_Inventory[[#This Row],[pre_res]]*Wapato_Inventory[[#This Row],[overall_adj]]</f>
        <v>210184.86188576874</v>
      </c>
      <c r="CB1116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116" s="3">
        <f>IF(ROUND(Wapato_Inventory[[#This Row],[adj_res]]*Lookups!$H$48,-2)&lt;Wapato_Inventory[[#This Row],[min_res]],Wapato_Inventory[[#This Row],[min_res]],ROUND(Wapato_Inventory[[#This Row],[adj_res]]*Lookups!$H$48,-2))</f>
        <v>199700</v>
      </c>
      <c r="CD1116" s="3">
        <f>ROUND(Wapato_Inventory[[#This Row],[det_value]]*Lookups!$H$48,-2)</f>
        <v>8300</v>
      </c>
      <c r="CE1116" s="3">
        <f>Wapato_Inventory[[#This Row],[final_res]]+Wapato_Inventory[[#This Row],[final_det]]</f>
        <v>208000</v>
      </c>
      <c r="CF1116" s="3">
        <f>Wapato_Inventory[[#This Row],[crop_value]]+Wapato_Inventory[[#This Row],[final_land]]+Wapato_Inventory[[#This Row],[final_imp]]</f>
        <v>259900</v>
      </c>
      <c r="CH1116" t="str">
        <f t="shared" si="17"/>
        <v>update valuation set market_land =51900, market_bldg=208000, market_total =259900, market_mdno =405, market_date ='9/10/2023' where link_id = (select link_id from parcel where parcel_year = '2024' and parcel_id = '19111542435');</v>
      </c>
    </row>
    <row r="1117" spans="1:86" x14ac:dyDescent="0.25">
      <c r="A1117">
        <v>19111542438</v>
      </c>
      <c r="B1117">
        <v>0.28999999999999998</v>
      </c>
      <c r="C1117">
        <v>12600</v>
      </c>
      <c r="D1117" t="s">
        <v>144</v>
      </c>
      <c r="E1117" t="s">
        <v>54</v>
      </c>
      <c r="F1117" t="s">
        <v>54</v>
      </c>
      <c r="G1117">
        <v>3</v>
      </c>
      <c r="H1117" t="s">
        <v>55</v>
      </c>
      <c r="I1117">
        <v>219800</v>
      </c>
      <c r="J1117">
        <v>36600</v>
      </c>
      <c r="K1117">
        <v>0.28999999999999998</v>
      </c>
      <c r="L1117">
        <f>IF(Wapato_Inventory[[#This Row],[parcel_acres]]-Wapato_Inventory[[#This Row],[non_valued_acres]] =0,0,LN(Wapato_Inventory[[#This Row],[parcel_acres]]-Wapato_Inventory[[#This Row],[non_valued_acres]]))</f>
        <v>-1.2378743560016174</v>
      </c>
      <c r="M1117">
        <v>0</v>
      </c>
      <c r="N1117">
        <v>0</v>
      </c>
      <c r="O1117">
        <v>0</v>
      </c>
      <c r="P1117">
        <v>27904.037</v>
      </c>
      <c r="Q1117">
        <v>74398</v>
      </c>
      <c r="R1117" s="3">
        <f>(Wapato_Inventory[[#This Row],[ln_acres]]*Wapato_Inventory[[#This Row],[coeff]])+Wapato_Inventory[[#This Row],[const]]</f>
        <v>39856.308168779695</v>
      </c>
      <c r="S1117" t="s">
        <v>110</v>
      </c>
      <c r="T1117">
        <v>1</v>
      </c>
      <c r="U1117" t="s">
        <v>67</v>
      </c>
      <c r="V1117" t="s">
        <v>68</v>
      </c>
      <c r="W1117">
        <v>0</v>
      </c>
      <c r="X1117">
        <v>0</v>
      </c>
      <c r="Y1117">
        <v>44</v>
      </c>
      <c r="Z1117">
        <v>49</v>
      </c>
      <c r="AA1117">
        <v>50</v>
      </c>
      <c r="AB1117">
        <v>2000</v>
      </c>
      <c r="AC1117">
        <v>1987</v>
      </c>
      <c r="AD1117">
        <v>1350</v>
      </c>
      <c r="AE1117">
        <v>0</v>
      </c>
      <c r="AF1117">
        <v>0</v>
      </c>
      <c r="AG1117">
        <v>637</v>
      </c>
      <c r="AH1117">
        <v>0</v>
      </c>
      <c r="AI1117">
        <v>546</v>
      </c>
      <c r="AJ1117">
        <v>0</v>
      </c>
      <c r="AK1117">
        <v>0</v>
      </c>
      <c r="AL1117">
        <v>192</v>
      </c>
      <c r="AM1117">
        <v>228</v>
      </c>
      <c r="AN1117">
        <v>0</v>
      </c>
      <c r="AO1117">
        <v>0</v>
      </c>
      <c r="AP1117">
        <v>8</v>
      </c>
      <c r="AQ1117">
        <v>0</v>
      </c>
      <c r="AR1117">
        <v>1</v>
      </c>
      <c r="AS1117" t="s">
        <v>59</v>
      </c>
      <c r="AT1117">
        <v>1</v>
      </c>
      <c r="AU1117" t="s">
        <v>64</v>
      </c>
      <c r="AV1117" t="s">
        <v>61</v>
      </c>
      <c r="AW1117">
        <v>0</v>
      </c>
      <c r="AX1117">
        <v>4</v>
      </c>
      <c r="AY1117">
        <v>0</v>
      </c>
      <c r="AZ1117">
        <v>0</v>
      </c>
      <c r="BA1117">
        <v>100</v>
      </c>
      <c r="BB1117">
        <v>100</v>
      </c>
      <c r="BC1117">
        <v>100</v>
      </c>
      <c r="BD1117">
        <v>100</v>
      </c>
      <c r="BE1117">
        <v>1</v>
      </c>
      <c r="BF1117">
        <v>15000</v>
      </c>
      <c r="BG1117">
        <v>1000</v>
      </c>
      <c r="BH1117" s="7">
        <f>ROUND(Wapato_Inventory[[#This Row],[detatched_value]]*Lookups!$B$22*Lookups!$H$48,-2)</f>
        <v>0</v>
      </c>
      <c r="BI1117" s="7">
        <f>ROUND(((Wapato_Inventory[[#This Row],[land_extract]]*Lookups!$B$3) +(Lookups!$B$2*0.5))*Lookups!$H$48,-2)</f>
        <v>54900</v>
      </c>
      <c r="BJ1117" s="7">
        <f>IF(Wapato_Inventory[[#This Row],[bldg_style]]="",0,Lookups!$B$2*0.5)</f>
        <v>53765.27</v>
      </c>
      <c r="BK1117" s="7">
        <f>_xlfn.IFNA(VLOOKUP(Wapato_Inventory[[#This Row],[quality]],Lookups!$H$2:$J$14,3,FALSE),0)</f>
        <v>50405</v>
      </c>
      <c r="BL1117" s="7">
        <f>_xlfn.IFNA(VLOOKUP(Wapato_Inventory[[#This Row],[condition]],Lookups!$H$17:$J$24,3,FALSE),0)</f>
        <v>52231</v>
      </c>
      <c r="BM1117" s="7">
        <f>Wapato_Inventory[[#This Row],[Age]]*Lookups!$B$16</f>
        <v>-18163.1093</v>
      </c>
      <c r="BN1117" s="7">
        <f>Wapato_Inventory[[#This Row],[Main Floor]]*Lookups!$B$17</f>
        <v>56430.997649999998</v>
      </c>
      <c r="BO1117" s="7">
        <f>Wapato_Inventory[[#This Row],[Upper Floor]]*Lookups!$B$18</f>
        <v>0</v>
      </c>
      <c r="BP1117" s="7">
        <f>Wapato_Inventory[[#This Row],[Fin BSMT]]*Lookups!$B$19</f>
        <v>15521.613380000001</v>
      </c>
      <c r="BQ1117" s="7">
        <f>(Wapato_Inventory[[#This Row],[att_gar]]+Wapato_Inventory[[#This Row],[blt_gar]])*Lookups!$B$20</f>
        <v>20206.778592000002</v>
      </c>
      <c r="BR1117" s="7">
        <f>Wapato_Inventory[[#This Row],[Patio]]*Lookups!$B$21</f>
        <v>9877.867212000001</v>
      </c>
      <c r="BS1117" s="7">
        <f>SUM(Wapato_Inventory[[#This Row],[intercept]:[patio_value]])*Wapato_Inventory[[#This Row],[res_pct]]</f>
        <v>240275.41753400001</v>
      </c>
      <c r="BT1117" s="7">
        <f>Wapato_Inventory[[#This Row],[land_value]]</f>
        <v>54900</v>
      </c>
      <c r="BU1117" s="2">
        <f>_xlfn.IFNA(VLOOKUP(Wapato_Inventory[[#This Row],[quality]],Lookups!$A$28:$C$37,3,FALSE),1)</f>
        <v>0.97993206410140754</v>
      </c>
      <c r="BV1117" s="2">
        <f>_xlfn.IFNA(VLOOKUP(Wapato_Inventory[[#This Row],[condition]],Lookups!$A$41:$C$48,3,FALSE),1)</f>
        <v>0.9832333997567807</v>
      </c>
      <c r="BW1117" s="2">
        <f>IF(Wapato_Inventory[[#This Row],[decade]]="",1,_xlfn.IFNA(VLOOKUP(Wapato_Inventory[[#This Row],[decade]],Lookups!$F$28:$H$45,3,FALSE),1))</f>
        <v>0.96240333884358298</v>
      </c>
      <c r="BX1117" s="2">
        <f>_xlfn.IFNA(VLOOKUP(Wapato_Inventory[[#This Row],[living_area_range]],Lookups!$K$28:$M$37,3,FALSE),1)</f>
        <v>0.99330894324714125</v>
      </c>
      <c r="BY1117" s="2">
        <f>AVERAGE(Wapato_Inventory[[#This Row],[qual_adj]:[range_adj]])</f>
        <v>0.97971943648722815</v>
      </c>
      <c r="BZ1117" s="7">
        <f>(Wapato_Inventory[[#This Row],[sum_land]]-IF(Wapato_Inventory[[#This Row],[no_utilities]]=1,12000,0))/IF(Wapato_Inventory[[#This Row],[unbuildable]]=1,2,1)</f>
        <v>54900</v>
      </c>
      <c r="CA1117" s="7">
        <f>Wapato_Inventory[[#This Row],[pre_res]]*Wapato_Inventory[[#This Row],[overall_adj]]</f>
        <v>235402.49666814395</v>
      </c>
      <c r="CB1117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1117" s="3">
        <f>IF(ROUND(Wapato_Inventory[[#This Row],[adj_res]]*Lookups!$H$48,-2)&lt;Wapato_Inventory[[#This Row],[min_res]],Wapato_Inventory[[#This Row],[min_res]],ROUND(Wapato_Inventory[[#This Row],[adj_res]]*Lookups!$H$48,-2))</f>
        <v>223600</v>
      </c>
      <c r="CD1117" s="3">
        <f>ROUND(Wapato_Inventory[[#This Row],[det_value]]*Lookups!$H$48,-2)</f>
        <v>0</v>
      </c>
      <c r="CE1117" s="3">
        <f>Wapato_Inventory[[#This Row],[final_res]]+Wapato_Inventory[[#This Row],[final_det]]</f>
        <v>223600</v>
      </c>
      <c r="CF1117" s="3">
        <f>Wapato_Inventory[[#This Row],[crop_value]]+Wapato_Inventory[[#This Row],[final_land]]+Wapato_Inventory[[#This Row],[final_imp]]</f>
        <v>275800</v>
      </c>
      <c r="CH1117" t="str">
        <f t="shared" si="17"/>
        <v>update valuation set market_land =52200, market_bldg=223600, market_total =275800, market_mdno =405, market_date ='9/10/2023' where link_id = (select link_id from parcel where parcel_year = '2024' and parcel_id = '19111542438');</v>
      </c>
    </row>
    <row r="1118" spans="1:86" x14ac:dyDescent="0.25">
      <c r="A1118">
        <v>19111542440</v>
      </c>
      <c r="B1118">
        <v>0.45</v>
      </c>
      <c r="C1118">
        <v>19800</v>
      </c>
      <c r="D1118" t="s">
        <v>144</v>
      </c>
      <c r="E1118" t="s">
        <v>54</v>
      </c>
      <c r="F1118" t="s">
        <v>54</v>
      </c>
      <c r="G1118">
        <v>3</v>
      </c>
      <c r="H1118" t="s">
        <v>55</v>
      </c>
      <c r="I1118">
        <v>230800</v>
      </c>
      <c r="J1118">
        <v>39600</v>
      </c>
      <c r="K1118">
        <v>0.45</v>
      </c>
      <c r="L1118">
        <f>IF(Wapato_Inventory[[#This Row],[parcel_acres]]-Wapato_Inventory[[#This Row],[non_valued_acres]] =0,0,LN(Wapato_Inventory[[#This Row],[parcel_acres]]-Wapato_Inventory[[#This Row],[non_valued_acres]]))</f>
        <v>-0.79850769621777162</v>
      </c>
      <c r="M1118">
        <v>0</v>
      </c>
      <c r="N1118">
        <v>0</v>
      </c>
      <c r="O1118">
        <v>0</v>
      </c>
      <c r="P1118">
        <v>27904.037</v>
      </c>
      <c r="Q1118">
        <v>74398</v>
      </c>
      <c r="R1118" s="3">
        <f>(Wapato_Inventory[[#This Row],[ln_acres]]*Wapato_Inventory[[#This Row],[coeff]])+Wapato_Inventory[[#This Row],[const]]</f>
        <v>52116.411699954537</v>
      </c>
      <c r="S1118" t="s">
        <v>110</v>
      </c>
      <c r="T1118">
        <v>1</v>
      </c>
      <c r="U1118" t="s">
        <v>63</v>
      </c>
      <c r="V1118" t="s">
        <v>68</v>
      </c>
      <c r="W1118">
        <v>0</v>
      </c>
      <c r="X1118">
        <v>0</v>
      </c>
      <c r="Y1118">
        <v>44</v>
      </c>
      <c r="Z1118">
        <v>49</v>
      </c>
      <c r="AA1118">
        <v>50</v>
      </c>
      <c r="AB1118">
        <v>2500</v>
      </c>
      <c r="AC1118">
        <v>2368</v>
      </c>
      <c r="AD1118">
        <v>1666</v>
      </c>
      <c r="AE1118">
        <v>0</v>
      </c>
      <c r="AF1118">
        <v>0</v>
      </c>
      <c r="AG1118">
        <v>702</v>
      </c>
      <c r="AH1118">
        <v>0</v>
      </c>
      <c r="AI1118">
        <v>624</v>
      </c>
      <c r="AJ1118">
        <v>0</v>
      </c>
      <c r="AK1118">
        <v>0</v>
      </c>
      <c r="AL1118">
        <v>0</v>
      </c>
      <c r="AM1118">
        <v>320</v>
      </c>
      <c r="AN1118">
        <v>28</v>
      </c>
      <c r="AO1118">
        <v>320</v>
      </c>
      <c r="AP1118">
        <v>13</v>
      </c>
      <c r="AQ1118">
        <v>0</v>
      </c>
      <c r="AR1118">
        <v>2</v>
      </c>
      <c r="AS1118" t="s">
        <v>59</v>
      </c>
      <c r="AT1118">
        <v>1</v>
      </c>
      <c r="AU1118" t="s">
        <v>64</v>
      </c>
      <c r="AV1118" t="s">
        <v>65</v>
      </c>
      <c r="AW1118">
        <v>1</v>
      </c>
      <c r="AX1118">
        <v>3</v>
      </c>
      <c r="AY1118">
        <v>0</v>
      </c>
      <c r="AZ1118">
        <v>0</v>
      </c>
      <c r="BA1118">
        <v>100</v>
      </c>
      <c r="BB1118">
        <v>100</v>
      </c>
      <c r="BC1118">
        <v>100</v>
      </c>
      <c r="BD1118">
        <v>100</v>
      </c>
      <c r="BE1118">
        <v>1</v>
      </c>
      <c r="BF1118">
        <v>15000</v>
      </c>
      <c r="BG1118">
        <v>1000</v>
      </c>
      <c r="BH1118" s="7">
        <f>ROUND(Wapato_Inventory[[#This Row],[detatched_value]]*Lookups!$B$22*Lookups!$H$48,-2)</f>
        <v>0</v>
      </c>
      <c r="BI1118" s="7">
        <f>ROUND(((Wapato_Inventory[[#This Row],[land_extract]]*Lookups!$B$3) +(Lookups!$B$2*0.5))*Lookups!$H$48,-2)</f>
        <v>56100</v>
      </c>
      <c r="BJ1118" s="7">
        <f>IF(Wapato_Inventory[[#This Row],[bldg_style]]="",0,Lookups!$B$2*0.5)</f>
        <v>53765.27</v>
      </c>
      <c r="BK1118" s="7">
        <f>_xlfn.IFNA(VLOOKUP(Wapato_Inventory[[#This Row],[quality]],Lookups!$H$2:$J$14,3,FALSE),0)</f>
        <v>50594</v>
      </c>
      <c r="BL1118" s="7">
        <f>_xlfn.IFNA(VLOOKUP(Wapato_Inventory[[#This Row],[condition]],Lookups!$H$17:$J$24,3,FALSE),0)</f>
        <v>52231</v>
      </c>
      <c r="BM1118" s="7">
        <f>Wapato_Inventory[[#This Row],[Age]]*Lookups!$B$16</f>
        <v>-18163.1093</v>
      </c>
      <c r="BN1118" s="7">
        <f>Wapato_Inventory[[#This Row],[Main Floor]]*Lookups!$B$17</f>
        <v>69640.031174000003</v>
      </c>
      <c r="BO1118" s="7">
        <f>Wapato_Inventory[[#This Row],[Upper Floor]]*Lookups!$B$18</f>
        <v>0</v>
      </c>
      <c r="BP1118" s="7">
        <f>Wapato_Inventory[[#This Row],[Fin BSMT]]*Lookups!$B$19</f>
        <v>17105.45148</v>
      </c>
      <c r="BQ1118" s="7">
        <f>(Wapato_Inventory[[#This Row],[att_gar]]+Wapato_Inventory[[#This Row],[blt_gar]])*Lookups!$B$20</f>
        <v>23093.461248</v>
      </c>
      <c r="BR1118" s="7">
        <f>Wapato_Inventory[[#This Row],[Patio]]*Lookups!$B$21</f>
        <v>13863.673280000001</v>
      </c>
      <c r="BS1118" s="7">
        <f>SUM(Wapato_Inventory[[#This Row],[intercept]:[patio_value]])*Wapato_Inventory[[#This Row],[res_pct]]</f>
        <v>262129.77788199997</v>
      </c>
      <c r="BT1118" s="7">
        <f>Wapato_Inventory[[#This Row],[land_value]]</f>
        <v>56100</v>
      </c>
      <c r="BU1118" s="2">
        <f>_xlfn.IFNA(VLOOKUP(Wapato_Inventory[[#This Row],[quality]],Lookups!$A$28:$C$37,3,FALSE),1)</f>
        <v>0.99197423394367223</v>
      </c>
      <c r="BV1118" s="2">
        <f>_xlfn.IFNA(VLOOKUP(Wapato_Inventory[[#This Row],[condition]],Lookups!$A$41:$C$48,3,FALSE),1)</f>
        <v>0.9832333997567807</v>
      </c>
      <c r="BW1118" s="2">
        <f>IF(Wapato_Inventory[[#This Row],[decade]]="",1,_xlfn.IFNA(VLOOKUP(Wapato_Inventory[[#This Row],[decade]],Lookups!$F$28:$H$45,3,FALSE),1))</f>
        <v>0.96240333884358298</v>
      </c>
      <c r="BX1118" s="2">
        <f>_xlfn.IFNA(VLOOKUP(Wapato_Inventory[[#This Row],[living_area_range]],Lookups!$K$28:$M$37,3,FALSE),1)</f>
        <v>0.90813907160181651</v>
      </c>
      <c r="BY1118" s="2">
        <f>AVERAGE(Wapato_Inventory[[#This Row],[qual_adj]:[range_adj]])</f>
        <v>0.96143751103646302</v>
      </c>
      <c r="BZ1118" s="7">
        <f>(Wapato_Inventory[[#This Row],[sum_land]]-IF(Wapato_Inventory[[#This Row],[no_utilities]]=1,12000,0))/IF(Wapato_Inventory[[#This Row],[unbuildable]]=1,2,1)</f>
        <v>56100</v>
      </c>
      <c r="CA1118" s="7">
        <f>Wapato_Inventory[[#This Row],[pre_res]]*Wapato_Inventory[[#This Row],[overall_adj]]</f>
        <v>252021.40121541094</v>
      </c>
      <c r="CB1118" s="3">
        <f>IF(ROUND(Wapato_Inventory[[#This Row],[adj_land]]*Lookups!$H$48,-2)&lt;Wapato_Inventory[[#This Row],[min_land]],Wapato_Inventory[[#This Row],[min_land]],ROUND(Wapato_Inventory[[#This Row],[adj_land]]*Lookups!$H$48,-2))</f>
        <v>53300</v>
      </c>
      <c r="CC1118" s="3">
        <f>IF(ROUND(Wapato_Inventory[[#This Row],[adj_res]]*Lookups!$H$48,-2)&lt;Wapato_Inventory[[#This Row],[min_res]],Wapato_Inventory[[#This Row],[min_res]],ROUND(Wapato_Inventory[[#This Row],[adj_res]]*Lookups!$H$48,-2))</f>
        <v>239400</v>
      </c>
      <c r="CD1118" s="3">
        <f>ROUND(Wapato_Inventory[[#This Row],[det_value]]*Lookups!$H$48,-2)</f>
        <v>0</v>
      </c>
      <c r="CE1118" s="3">
        <f>Wapato_Inventory[[#This Row],[final_res]]+Wapato_Inventory[[#This Row],[final_det]]</f>
        <v>239400</v>
      </c>
      <c r="CF1118" s="3">
        <f>Wapato_Inventory[[#This Row],[crop_value]]+Wapato_Inventory[[#This Row],[final_land]]+Wapato_Inventory[[#This Row],[final_imp]]</f>
        <v>292700</v>
      </c>
      <c r="CH1118" t="str">
        <f t="shared" si="17"/>
        <v>update valuation set market_land =53300, market_bldg=239400, market_total =292700, market_mdno =405, market_date ='9/10/2023' where link_id = (select link_id from parcel where parcel_year = '2024' and parcel_id = '19111542440');</v>
      </c>
    </row>
    <row r="1119" spans="1:86" x14ac:dyDescent="0.25">
      <c r="A1119">
        <v>19111543002</v>
      </c>
      <c r="B1119">
        <v>1.82</v>
      </c>
      <c r="C1119">
        <v>79421</v>
      </c>
      <c r="D1119" t="s">
        <v>144</v>
      </c>
      <c r="E1119" t="s">
        <v>54</v>
      </c>
      <c r="F1119" t="s">
        <v>54</v>
      </c>
      <c r="G1119">
        <v>3</v>
      </c>
      <c r="H1119" t="s">
        <v>55</v>
      </c>
      <c r="I1119">
        <v>211100</v>
      </c>
      <c r="J1119">
        <v>49500</v>
      </c>
      <c r="K1119">
        <v>1.82</v>
      </c>
      <c r="L1119">
        <f>IF(Wapato_Inventory[[#This Row],[parcel_acres]]-Wapato_Inventory[[#This Row],[non_valued_acres]] =0,0,LN(Wapato_Inventory[[#This Row],[parcel_acres]]-Wapato_Inventory[[#This Row],[non_valued_acres]]))</f>
        <v>0.59883650108870401</v>
      </c>
      <c r="M1119">
        <v>0</v>
      </c>
      <c r="N1119">
        <v>0</v>
      </c>
      <c r="O1119">
        <v>0</v>
      </c>
      <c r="P1119">
        <v>27904.037</v>
      </c>
      <c r="Q1119">
        <v>74398</v>
      </c>
      <c r="R1119" s="3">
        <f>(Wapato_Inventory[[#This Row],[ln_acres]]*Wapato_Inventory[[#This Row],[coeff]])+Wapato_Inventory[[#This Row],[const]]</f>
        <v>91107.955883329734</v>
      </c>
      <c r="S1119" t="s">
        <v>66</v>
      </c>
      <c r="T1119">
        <v>1</v>
      </c>
      <c r="U1119" t="s">
        <v>75</v>
      </c>
      <c r="V1119" t="s">
        <v>69</v>
      </c>
      <c r="W1119">
        <v>0</v>
      </c>
      <c r="X1119">
        <v>0</v>
      </c>
      <c r="Y1119">
        <v>53</v>
      </c>
      <c r="Z1119">
        <v>93</v>
      </c>
      <c r="AA1119">
        <v>100</v>
      </c>
      <c r="AB1119">
        <v>2000</v>
      </c>
      <c r="AC1119">
        <v>1908</v>
      </c>
      <c r="AD1119">
        <v>1908</v>
      </c>
      <c r="AE1119">
        <v>0</v>
      </c>
      <c r="AF1119">
        <v>0</v>
      </c>
      <c r="AG1119">
        <v>0</v>
      </c>
      <c r="AH1119">
        <v>0</v>
      </c>
      <c r="AI1119">
        <v>0</v>
      </c>
      <c r="AJ1119">
        <v>0</v>
      </c>
      <c r="AK1119">
        <v>0</v>
      </c>
      <c r="AL1119">
        <v>0</v>
      </c>
      <c r="AM1119">
        <v>144</v>
      </c>
      <c r="AN1119">
        <v>96</v>
      </c>
      <c r="AO1119">
        <v>144</v>
      </c>
      <c r="AP1119">
        <v>8</v>
      </c>
      <c r="AQ1119">
        <v>0</v>
      </c>
      <c r="AR1119">
        <v>0</v>
      </c>
      <c r="AS1119" t="s">
        <v>59</v>
      </c>
      <c r="AT1119">
        <v>1</v>
      </c>
      <c r="AU1119" t="s">
        <v>76</v>
      </c>
      <c r="AV1119" t="s">
        <v>65</v>
      </c>
      <c r="AW1119">
        <v>0</v>
      </c>
      <c r="AX1119">
        <v>4</v>
      </c>
      <c r="AY1119">
        <v>0</v>
      </c>
      <c r="AZ1119">
        <v>2400</v>
      </c>
      <c r="BA1119">
        <v>100</v>
      </c>
      <c r="BB1119">
        <v>100</v>
      </c>
      <c r="BC1119">
        <v>100</v>
      </c>
      <c r="BD1119">
        <v>100</v>
      </c>
      <c r="BE1119">
        <v>1</v>
      </c>
      <c r="BF1119">
        <v>15000</v>
      </c>
      <c r="BG1119">
        <v>1000</v>
      </c>
      <c r="BH1119" s="7">
        <f>ROUND(Wapato_Inventory[[#This Row],[detatched_value]]*Lookups!$B$22*Lookups!$H$48,-2)</f>
        <v>2100</v>
      </c>
      <c r="BI1119" s="7">
        <f>ROUND(((Wapato_Inventory[[#This Row],[land_extract]]*Lookups!$B$3) +(Lookups!$B$2*0.5))*Lookups!$H$48,-2)</f>
        <v>59900</v>
      </c>
      <c r="BJ1119" s="7">
        <f>IF(Wapato_Inventory[[#This Row],[bldg_style]]="",0,Lookups!$B$2*0.5)</f>
        <v>53765.27</v>
      </c>
      <c r="BK1119" s="7">
        <f>_xlfn.IFNA(VLOOKUP(Wapato_Inventory[[#This Row],[quality]],Lookups!$H$2:$J$14,3,FALSE),0)</f>
        <v>48043</v>
      </c>
      <c r="BL1119" s="7">
        <f>_xlfn.IFNA(VLOOKUP(Wapato_Inventory[[#This Row],[condition]],Lookups!$H$17:$J$24,3,FALSE),0)</f>
        <v>74543</v>
      </c>
      <c r="BM1119" s="7">
        <f>Wapato_Inventory[[#This Row],[Age]]*Lookups!$B$16</f>
        <v>-34472.840100000001</v>
      </c>
      <c r="BN1119" s="7">
        <f>Wapato_Inventory[[#This Row],[Main Floor]]*Lookups!$B$17</f>
        <v>79755.810012000002</v>
      </c>
      <c r="BO1119" s="7">
        <f>Wapato_Inventory[[#This Row],[Upper Floor]]*Lookups!$B$18</f>
        <v>0</v>
      </c>
      <c r="BP1119" s="7">
        <f>Wapato_Inventory[[#This Row],[Fin BSMT]]*Lookups!$B$19</f>
        <v>0</v>
      </c>
      <c r="BQ1119" s="7">
        <f>(Wapato_Inventory[[#This Row],[att_gar]]+Wapato_Inventory[[#This Row],[blt_gar]])*Lookups!$B$20</f>
        <v>0</v>
      </c>
      <c r="BR1119" s="7">
        <f>Wapato_Inventory[[#This Row],[Patio]]*Lookups!$B$21</f>
        <v>6238.6529760000003</v>
      </c>
      <c r="BS1119" s="7">
        <f>SUM(Wapato_Inventory[[#This Row],[intercept]:[patio_value]])*Wapato_Inventory[[#This Row],[res_pct]]</f>
        <v>227872.892888</v>
      </c>
      <c r="BT1119" s="7">
        <f>Wapato_Inventory[[#This Row],[land_value]]</f>
        <v>59900</v>
      </c>
      <c r="BU1119" s="2">
        <f>_xlfn.IFNA(VLOOKUP(Wapato_Inventory[[#This Row],[quality]],Lookups!$A$28:$C$37,3,FALSE),1)</f>
        <v>0.98196844879778955</v>
      </c>
      <c r="BV1119" s="2">
        <f>_xlfn.IFNA(VLOOKUP(Wapato_Inventory[[#This Row],[condition]],Lookups!$A$41:$C$48,3,FALSE),1)</f>
        <v>0.98442438223270734</v>
      </c>
      <c r="BW1119" s="2">
        <f>IF(Wapato_Inventory[[#This Row],[decade]]="",1,_xlfn.IFNA(VLOOKUP(Wapato_Inventory[[#This Row],[decade]],Lookups!$F$28:$H$45,3,FALSE),1))</f>
        <v>1.0114203040664467</v>
      </c>
      <c r="BX1119" s="2">
        <f>_xlfn.IFNA(VLOOKUP(Wapato_Inventory[[#This Row],[living_area_range]],Lookups!$K$28:$M$37,3,FALSE),1)</f>
        <v>0.99330894324714125</v>
      </c>
      <c r="BY1119" s="2">
        <f>AVERAGE(Wapato_Inventory[[#This Row],[qual_adj]:[range_adj]])</f>
        <v>0.9927805195860212</v>
      </c>
      <c r="BZ1119" s="7">
        <f>(Wapato_Inventory[[#This Row],[sum_land]]-IF(Wapato_Inventory[[#This Row],[no_utilities]]=1,12000,0))/IF(Wapato_Inventory[[#This Row],[unbuildable]]=1,2,1)</f>
        <v>59900</v>
      </c>
      <c r="CA1119" s="7">
        <f>Wapato_Inventory[[#This Row],[pre_res]]*Wapato_Inventory[[#This Row],[overall_adj]]</f>
        <v>226227.7690009184</v>
      </c>
      <c r="CB1119" s="3">
        <f>IF(ROUND(Wapato_Inventory[[#This Row],[adj_land]]*Lookups!$H$48,-2)&lt;Wapato_Inventory[[#This Row],[min_land]],Wapato_Inventory[[#This Row],[min_land]],ROUND(Wapato_Inventory[[#This Row],[adj_land]]*Lookups!$H$48,-2))</f>
        <v>56900</v>
      </c>
      <c r="CC1119" s="3">
        <f>IF(ROUND(Wapato_Inventory[[#This Row],[adj_res]]*Lookups!$H$48,-2)&lt;Wapato_Inventory[[#This Row],[min_res]],Wapato_Inventory[[#This Row],[min_res]],ROUND(Wapato_Inventory[[#This Row],[adj_res]]*Lookups!$H$48,-2))</f>
        <v>214900</v>
      </c>
      <c r="CD1119" s="3">
        <f>ROUND(Wapato_Inventory[[#This Row],[det_value]]*Lookups!$H$48,-2)</f>
        <v>2000</v>
      </c>
      <c r="CE1119" s="3">
        <f>Wapato_Inventory[[#This Row],[final_res]]+Wapato_Inventory[[#This Row],[final_det]]</f>
        <v>216900</v>
      </c>
      <c r="CF1119" s="3">
        <f>Wapato_Inventory[[#This Row],[crop_value]]+Wapato_Inventory[[#This Row],[final_land]]+Wapato_Inventory[[#This Row],[final_imp]]</f>
        <v>273800</v>
      </c>
      <c r="CH1119" t="str">
        <f t="shared" si="17"/>
        <v>update valuation set market_land =56900, market_bldg=216900, market_total =273800, market_mdno =405, market_date ='9/10/2023' where link_id = (select link_id from parcel where parcel_year = '2024' and parcel_id = '19111543002');</v>
      </c>
    </row>
    <row r="1120" spans="1:86" x14ac:dyDescent="0.25">
      <c r="A1120">
        <v>19111611009</v>
      </c>
      <c r="B1120">
        <v>1.33</v>
      </c>
      <c r="C1120">
        <v>57935</v>
      </c>
      <c r="D1120" t="s">
        <v>144</v>
      </c>
      <c r="E1120" t="s">
        <v>54</v>
      </c>
      <c r="F1120" t="s">
        <v>54</v>
      </c>
      <c r="G1120">
        <v>3</v>
      </c>
      <c r="H1120" t="s">
        <v>55</v>
      </c>
      <c r="I1120">
        <v>169700</v>
      </c>
      <c r="J1120">
        <v>50800</v>
      </c>
      <c r="K1120">
        <v>1.33</v>
      </c>
      <c r="L1120">
        <f>IF(Wapato_Inventory[[#This Row],[parcel_acres]]-Wapato_Inventory[[#This Row],[non_valued_acres]] =0,0,LN(Wapato_Inventory[[#This Row],[parcel_acres]]-Wapato_Inventory[[#This Row],[non_valued_acres]]))</f>
        <v>0.28517894223366247</v>
      </c>
      <c r="M1120">
        <v>0</v>
      </c>
      <c r="N1120">
        <v>0</v>
      </c>
      <c r="O1120">
        <v>0</v>
      </c>
      <c r="P1120">
        <v>27904.037</v>
      </c>
      <c r="Q1120">
        <v>74398</v>
      </c>
      <c r="R1120" s="3">
        <f>(Wapato_Inventory[[#This Row],[ln_acres]]*Wapato_Inventory[[#This Row],[coeff]])+Wapato_Inventory[[#This Row],[const]]</f>
        <v>82355.643755708981</v>
      </c>
      <c r="S1120" t="s">
        <v>62</v>
      </c>
      <c r="T1120">
        <v>1</v>
      </c>
      <c r="U1120" t="s">
        <v>63</v>
      </c>
      <c r="V1120" t="s">
        <v>68</v>
      </c>
      <c r="W1120">
        <v>0</v>
      </c>
      <c r="X1120">
        <v>0</v>
      </c>
      <c r="Y1120">
        <v>48</v>
      </c>
      <c r="Z1120">
        <v>63</v>
      </c>
      <c r="AA1120">
        <v>70</v>
      </c>
      <c r="AB1120">
        <v>2000</v>
      </c>
      <c r="AC1120">
        <v>1840</v>
      </c>
      <c r="AD1120">
        <v>1840</v>
      </c>
      <c r="AE1120">
        <v>0</v>
      </c>
      <c r="AF1120">
        <v>0</v>
      </c>
      <c r="AG1120">
        <v>0</v>
      </c>
      <c r="AH1120">
        <v>0</v>
      </c>
      <c r="AI1120">
        <v>640</v>
      </c>
      <c r="AJ1120">
        <v>0</v>
      </c>
      <c r="AK1120">
        <v>0</v>
      </c>
      <c r="AL1120">
        <v>0</v>
      </c>
      <c r="AM1120">
        <v>100</v>
      </c>
      <c r="AN1120">
        <v>0</v>
      </c>
      <c r="AO1120">
        <v>100</v>
      </c>
      <c r="AP1120">
        <v>8</v>
      </c>
      <c r="AQ1120">
        <v>0</v>
      </c>
      <c r="AR1120">
        <v>0</v>
      </c>
      <c r="AS1120" t="s">
        <v>82</v>
      </c>
      <c r="AT1120">
        <v>1</v>
      </c>
      <c r="AU1120" t="s">
        <v>64</v>
      </c>
      <c r="AV1120" t="s">
        <v>61</v>
      </c>
      <c r="AW1120">
        <v>1</v>
      </c>
      <c r="AX1120">
        <v>3</v>
      </c>
      <c r="AY1120">
        <v>0</v>
      </c>
      <c r="AZ1120">
        <v>0</v>
      </c>
      <c r="BA1120">
        <v>100</v>
      </c>
      <c r="BB1120">
        <v>100</v>
      </c>
      <c r="BC1120">
        <v>100</v>
      </c>
      <c r="BD1120">
        <v>100</v>
      </c>
      <c r="BE1120">
        <v>1</v>
      </c>
      <c r="BF1120">
        <v>15000</v>
      </c>
      <c r="BG1120">
        <v>1000</v>
      </c>
      <c r="BH1120" s="7">
        <f>ROUND(Wapato_Inventory[[#This Row],[detatched_value]]*Lookups!$B$22*Lookups!$H$48,-2)</f>
        <v>0</v>
      </c>
      <c r="BI1120" s="7">
        <f>ROUND(((Wapato_Inventory[[#This Row],[land_extract]]*Lookups!$B$3) +(Lookups!$B$2*0.5))*Lookups!$H$48,-2)</f>
        <v>59000</v>
      </c>
      <c r="BJ1120" s="7">
        <f>IF(Wapato_Inventory[[#This Row],[bldg_style]]="",0,Lookups!$B$2*0.5)</f>
        <v>53765.27</v>
      </c>
      <c r="BK1120" s="7">
        <f>_xlfn.IFNA(VLOOKUP(Wapato_Inventory[[#This Row],[quality]],Lookups!$H$2:$J$14,3,FALSE),0)</f>
        <v>50594</v>
      </c>
      <c r="BL1120" s="7">
        <f>_xlfn.IFNA(VLOOKUP(Wapato_Inventory[[#This Row],[condition]],Lookups!$H$17:$J$24,3,FALSE),0)</f>
        <v>52231</v>
      </c>
      <c r="BM1120" s="7">
        <f>Wapato_Inventory[[#This Row],[Age]]*Lookups!$B$16</f>
        <v>-23352.569100000001</v>
      </c>
      <c r="BN1120" s="7">
        <f>Wapato_Inventory[[#This Row],[Main Floor]]*Lookups!$B$17</f>
        <v>76913.359760000007</v>
      </c>
      <c r="BO1120" s="7">
        <f>Wapato_Inventory[[#This Row],[Upper Floor]]*Lookups!$B$18</f>
        <v>0</v>
      </c>
      <c r="BP1120" s="7">
        <f>Wapato_Inventory[[#This Row],[Fin BSMT]]*Lookups!$B$19</f>
        <v>0</v>
      </c>
      <c r="BQ1120" s="7">
        <f>(Wapato_Inventory[[#This Row],[att_gar]]+Wapato_Inventory[[#This Row],[blt_gar]])*Lookups!$B$20</f>
        <v>23685.601280000003</v>
      </c>
      <c r="BR1120" s="7">
        <f>Wapato_Inventory[[#This Row],[Patio]]*Lookups!$B$21</f>
        <v>4332.3978999999999</v>
      </c>
      <c r="BS1120" s="7">
        <f>SUM(Wapato_Inventory[[#This Row],[intercept]:[patio_value]])*Wapato_Inventory[[#This Row],[res_pct]]</f>
        <v>238169.05984000003</v>
      </c>
      <c r="BT1120" s="7">
        <f>Wapato_Inventory[[#This Row],[land_value]]</f>
        <v>59000</v>
      </c>
      <c r="BU1120" s="2">
        <f>_xlfn.IFNA(VLOOKUP(Wapato_Inventory[[#This Row],[quality]],Lookups!$A$28:$C$37,3,FALSE),1)</f>
        <v>0.99197423394367223</v>
      </c>
      <c r="BV1120" s="2">
        <f>_xlfn.IFNA(VLOOKUP(Wapato_Inventory[[#This Row],[condition]],Lookups!$A$41:$C$48,3,FALSE),1)</f>
        <v>0.9832333997567807</v>
      </c>
      <c r="BW1120" s="2">
        <f>IF(Wapato_Inventory[[#This Row],[decade]]="",1,_xlfn.IFNA(VLOOKUP(Wapato_Inventory[[#This Row],[decade]],Lookups!$F$28:$H$45,3,FALSE),1))</f>
        <v>1.0012715221492001</v>
      </c>
      <c r="BX1120" s="2">
        <f>_xlfn.IFNA(VLOOKUP(Wapato_Inventory[[#This Row],[living_area_range]],Lookups!$K$28:$M$37,3,FALSE),1)</f>
        <v>0.99330894324714125</v>
      </c>
      <c r="BY1120" s="2">
        <f>AVERAGE(Wapato_Inventory[[#This Row],[qual_adj]:[range_adj]])</f>
        <v>0.99244702477419855</v>
      </c>
      <c r="BZ1120" s="7">
        <f>(Wapato_Inventory[[#This Row],[sum_land]]-IF(Wapato_Inventory[[#This Row],[no_utilities]]=1,12000,0))/IF(Wapato_Inventory[[#This Row],[unbuildable]]=1,2,1)</f>
        <v>59000</v>
      </c>
      <c r="CA1120" s="7">
        <f>Wapato_Inventory[[#This Row],[pre_res]]*Wapato_Inventory[[#This Row],[overall_adj]]</f>
        <v>236370.17483147609</v>
      </c>
      <c r="CB1120" s="3">
        <f>IF(ROUND(Wapato_Inventory[[#This Row],[adj_land]]*Lookups!$H$48,-2)&lt;Wapato_Inventory[[#This Row],[min_land]],Wapato_Inventory[[#This Row],[min_land]],ROUND(Wapato_Inventory[[#This Row],[adj_land]]*Lookups!$H$48,-2))</f>
        <v>56100</v>
      </c>
      <c r="CC1120" s="3">
        <f>IF(ROUND(Wapato_Inventory[[#This Row],[adj_res]]*Lookups!$H$48,-2)&lt;Wapato_Inventory[[#This Row],[min_res]],Wapato_Inventory[[#This Row],[min_res]],ROUND(Wapato_Inventory[[#This Row],[adj_res]]*Lookups!$H$48,-2))</f>
        <v>224600</v>
      </c>
      <c r="CD1120" s="3">
        <f>ROUND(Wapato_Inventory[[#This Row],[det_value]]*Lookups!$H$48,-2)</f>
        <v>0</v>
      </c>
      <c r="CE1120" s="3">
        <f>Wapato_Inventory[[#This Row],[final_res]]+Wapato_Inventory[[#This Row],[final_det]]</f>
        <v>224600</v>
      </c>
      <c r="CF1120" s="3">
        <f>Wapato_Inventory[[#This Row],[crop_value]]+Wapato_Inventory[[#This Row],[final_land]]+Wapato_Inventory[[#This Row],[final_imp]]</f>
        <v>280700</v>
      </c>
      <c r="CH1120" t="str">
        <f t="shared" si="17"/>
        <v>update valuation set market_land =56100, market_bldg=224600, market_total =280700, market_mdno =405, market_date ='9/10/2023' where link_id = (select link_id from parcel where parcel_year = '2024' and parcel_id = '19111611009');</v>
      </c>
    </row>
    <row r="1121" spans="1:86" x14ac:dyDescent="0.25">
      <c r="A1121">
        <v>19111641001</v>
      </c>
      <c r="B1121">
        <v>3.86</v>
      </c>
      <c r="C1121">
        <v>167943</v>
      </c>
      <c r="D1121" t="s">
        <v>144</v>
      </c>
      <c r="E1121" t="s">
        <v>54</v>
      </c>
      <c r="F1121" t="s">
        <v>54</v>
      </c>
      <c r="G1121">
        <v>3</v>
      </c>
      <c r="H1121" t="s">
        <v>55</v>
      </c>
      <c r="I1121">
        <v>136000</v>
      </c>
      <c r="J1121">
        <v>54800</v>
      </c>
      <c r="K1121">
        <v>3.86</v>
      </c>
      <c r="L1121">
        <f>IF(Wapato_Inventory[[#This Row],[parcel_acres]]-Wapato_Inventory[[#This Row],[non_valued_acres]] =0,0,LN(Wapato_Inventory[[#This Row],[parcel_acres]]-Wapato_Inventory[[#This Row],[non_valued_acres]]))</f>
        <v>1.3506671834767394</v>
      </c>
      <c r="M1121">
        <v>0</v>
      </c>
      <c r="N1121">
        <v>0</v>
      </c>
      <c r="O1121">
        <v>0</v>
      </c>
      <c r="P1121">
        <v>27904.037</v>
      </c>
      <c r="Q1121">
        <v>74398</v>
      </c>
      <c r="R1121" s="3">
        <f>(Wapato_Inventory[[#This Row],[ln_acres]]*Wapato_Inventory[[#This Row],[coeff]])+Wapato_Inventory[[#This Row],[const]]</f>
        <v>112087.06706242073</v>
      </c>
      <c r="S1121" t="s">
        <v>154</v>
      </c>
      <c r="T1121">
        <v>2</v>
      </c>
      <c r="U1121" t="s">
        <v>71</v>
      </c>
      <c r="V1121" t="s">
        <v>68</v>
      </c>
      <c r="W1121">
        <v>0</v>
      </c>
      <c r="X1121">
        <v>0</v>
      </c>
      <c r="Y1121">
        <v>52</v>
      </c>
      <c r="Z1121">
        <v>88</v>
      </c>
      <c r="AA1121">
        <v>90</v>
      </c>
      <c r="AB1121">
        <v>2000</v>
      </c>
      <c r="AC1121">
        <v>1512</v>
      </c>
      <c r="AD1121">
        <v>1080</v>
      </c>
      <c r="AE1121">
        <v>432</v>
      </c>
      <c r="AF1121">
        <v>0</v>
      </c>
      <c r="AG1121">
        <v>0</v>
      </c>
      <c r="AH1121">
        <v>270</v>
      </c>
      <c r="AI1121">
        <v>0</v>
      </c>
      <c r="AJ1121">
        <v>0</v>
      </c>
      <c r="AK1121">
        <v>0</v>
      </c>
      <c r="AL1121">
        <v>0</v>
      </c>
      <c r="AM1121">
        <v>0</v>
      </c>
      <c r="AN1121">
        <v>0</v>
      </c>
      <c r="AO1121">
        <v>0</v>
      </c>
      <c r="AP1121">
        <v>5</v>
      </c>
      <c r="AQ1121">
        <v>0</v>
      </c>
      <c r="AR1121">
        <v>0</v>
      </c>
      <c r="AS1121" t="s">
        <v>59</v>
      </c>
      <c r="AT1121">
        <v>1</v>
      </c>
      <c r="AU1121" t="s">
        <v>64</v>
      </c>
      <c r="AV1121" t="s">
        <v>77</v>
      </c>
      <c r="AW1121">
        <v>0</v>
      </c>
      <c r="AX1121">
        <v>4</v>
      </c>
      <c r="AY1121">
        <v>0</v>
      </c>
      <c r="AZ1121">
        <v>5100</v>
      </c>
      <c r="BA1121">
        <v>100</v>
      </c>
      <c r="BB1121">
        <v>100</v>
      </c>
      <c r="BC1121">
        <v>100</v>
      </c>
      <c r="BD1121">
        <v>100</v>
      </c>
      <c r="BE1121">
        <v>1</v>
      </c>
      <c r="BF1121">
        <v>15000</v>
      </c>
      <c r="BG1121">
        <v>1000</v>
      </c>
      <c r="BH1121" s="7">
        <f>ROUND(Wapato_Inventory[[#This Row],[detatched_value]]*Lookups!$B$22*Lookups!$H$48,-2)</f>
        <v>4600</v>
      </c>
      <c r="BI1121" s="7">
        <f>ROUND(((Wapato_Inventory[[#This Row],[land_extract]]*Lookups!$B$3) +(Lookups!$B$2*0.5))*Lookups!$H$48,-2)</f>
        <v>61900</v>
      </c>
      <c r="BJ1121" s="7">
        <f>IF(Wapato_Inventory[[#This Row],[bldg_style]]="",0,Lookups!$B$2*0.5)</f>
        <v>53765.27</v>
      </c>
      <c r="BK1121" s="7">
        <f>_xlfn.IFNA(VLOOKUP(Wapato_Inventory[[#This Row],[quality]],Lookups!$H$2:$J$14,3,FALSE),0)</f>
        <v>28034</v>
      </c>
      <c r="BL1121" s="7">
        <f>_xlfn.IFNA(VLOOKUP(Wapato_Inventory[[#This Row],[condition]],Lookups!$H$17:$J$24,3,FALSE),0)</f>
        <v>52231</v>
      </c>
      <c r="BM1121" s="7">
        <f>Wapato_Inventory[[#This Row],[Age]]*Lookups!$B$16</f>
        <v>-32619.461600000002</v>
      </c>
      <c r="BN1121" s="7">
        <f>Wapato_Inventory[[#This Row],[Main Floor]]*Lookups!$B$17</f>
        <v>45144.798119999999</v>
      </c>
      <c r="BO1121" s="7">
        <f>Wapato_Inventory[[#This Row],[Upper Floor]]*Lookups!$B$18</f>
        <v>21427.692048000001</v>
      </c>
      <c r="BP1121" s="7">
        <f>Wapato_Inventory[[#This Row],[Fin BSMT]]*Lookups!$B$19</f>
        <v>0</v>
      </c>
      <c r="BQ1121" s="7">
        <f>(Wapato_Inventory[[#This Row],[att_gar]]+Wapato_Inventory[[#This Row],[blt_gar]])*Lookups!$B$20</f>
        <v>0</v>
      </c>
      <c r="BR1121" s="7">
        <f>Wapato_Inventory[[#This Row],[Patio]]*Lookups!$B$21</f>
        <v>0</v>
      </c>
      <c r="BS1121" s="7">
        <f>SUM(Wapato_Inventory[[#This Row],[intercept]:[patio_value]])*Wapato_Inventory[[#This Row],[res_pct]]</f>
        <v>167983.29856799997</v>
      </c>
      <c r="BT1121" s="7">
        <f>Wapato_Inventory[[#This Row],[land_value]]</f>
        <v>61900</v>
      </c>
      <c r="BU1121" s="2">
        <f>_xlfn.IFNA(VLOOKUP(Wapato_Inventory[[#This Row],[quality]],Lookups!$A$28:$C$37,3,FALSE),1)</f>
        <v>0.96265813922927435</v>
      </c>
      <c r="BV1121" s="2">
        <f>_xlfn.IFNA(VLOOKUP(Wapato_Inventory[[#This Row],[condition]],Lookups!$A$41:$C$48,3,FALSE),1)</f>
        <v>0.9832333997567807</v>
      </c>
      <c r="BW1121" s="2">
        <f>IF(Wapato_Inventory[[#This Row],[decade]]="",1,_xlfn.IFNA(VLOOKUP(Wapato_Inventory[[#This Row],[decade]],Lookups!$F$28:$H$45,3,FALSE),1))</f>
        <v>0.94742695999815718</v>
      </c>
      <c r="BX1121" s="2">
        <f>_xlfn.IFNA(VLOOKUP(Wapato_Inventory[[#This Row],[living_area_range]],Lookups!$K$28:$M$37,3,FALSE),1)</f>
        <v>0.99330894324714125</v>
      </c>
      <c r="BY1121" s="2">
        <f>AVERAGE(Wapato_Inventory[[#This Row],[qual_adj]:[range_adj]])</f>
        <v>0.97165686055783829</v>
      </c>
      <c r="BZ1121" s="7">
        <f>(Wapato_Inventory[[#This Row],[sum_land]]-IF(Wapato_Inventory[[#This Row],[no_utilities]]=1,12000,0))/IF(Wapato_Inventory[[#This Row],[unbuildable]]=1,2,1)</f>
        <v>61900</v>
      </c>
      <c r="CA1121" s="7">
        <f>Wapato_Inventory[[#This Row],[pre_res]]*Wapato_Inventory[[#This Row],[overall_adj]]</f>
        <v>163222.12451273287</v>
      </c>
      <c r="CB1121" s="3">
        <f>IF(ROUND(Wapato_Inventory[[#This Row],[adj_land]]*Lookups!$H$48,-2)&lt;Wapato_Inventory[[#This Row],[min_land]],Wapato_Inventory[[#This Row],[min_land]],ROUND(Wapato_Inventory[[#This Row],[adj_land]]*Lookups!$H$48,-2))</f>
        <v>58800</v>
      </c>
      <c r="CC1121" s="3">
        <f>IF(ROUND(Wapato_Inventory[[#This Row],[adj_res]]*Lookups!$H$48,-2)&lt;Wapato_Inventory[[#This Row],[min_res]],Wapato_Inventory[[#This Row],[min_res]],ROUND(Wapato_Inventory[[#This Row],[adj_res]]*Lookups!$H$48,-2))</f>
        <v>155100</v>
      </c>
      <c r="CD1121" s="3">
        <f>ROUND(Wapato_Inventory[[#This Row],[det_value]]*Lookups!$H$48,-2)</f>
        <v>4400</v>
      </c>
      <c r="CE1121" s="3">
        <f>Wapato_Inventory[[#This Row],[final_res]]+Wapato_Inventory[[#This Row],[final_det]]</f>
        <v>159500</v>
      </c>
      <c r="CF1121" s="3">
        <f>Wapato_Inventory[[#This Row],[crop_value]]+Wapato_Inventory[[#This Row],[final_land]]+Wapato_Inventory[[#This Row],[final_imp]]</f>
        <v>218300</v>
      </c>
      <c r="CH1121" t="str">
        <f t="shared" si="17"/>
        <v>update valuation set market_land =58800, market_bldg=159500, market_total =218300, market_mdno =405, market_date ='9/10/2023' where link_id = (select link_id from parcel where parcel_year = '2024' and parcel_id = '19111641001');</v>
      </c>
    </row>
    <row r="1122" spans="1:86" x14ac:dyDescent="0.25">
      <c r="A1122">
        <v>19111641002</v>
      </c>
      <c r="B1122">
        <v>2.2599999999999998</v>
      </c>
      <c r="C1122">
        <v>98268</v>
      </c>
      <c r="D1122" t="s">
        <v>144</v>
      </c>
      <c r="E1122" t="s">
        <v>54</v>
      </c>
      <c r="F1122" t="s">
        <v>54</v>
      </c>
      <c r="G1122">
        <v>3</v>
      </c>
      <c r="H1122" t="s">
        <v>55</v>
      </c>
      <c r="I1122">
        <v>260500</v>
      </c>
      <c r="J1122">
        <v>51000</v>
      </c>
      <c r="K1122">
        <v>2.2599999999999998</v>
      </c>
      <c r="L1122">
        <f>IF(Wapato_Inventory[[#This Row],[parcel_acres]]-Wapato_Inventory[[#This Row],[non_valued_acres]] =0,0,LN(Wapato_Inventory[[#This Row],[parcel_acres]]-Wapato_Inventory[[#This Row],[non_valued_acres]]))</f>
        <v>0.81536481328419441</v>
      </c>
      <c r="M1122">
        <v>0</v>
      </c>
      <c r="N1122">
        <v>0</v>
      </c>
      <c r="O1122">
        <v>0</v>
      </c>
      <c r="P1122">
        <v>27904.037</v>
      </c>
      <c r="Q1122">
        <v>74398</v>
      </c>
      <c r="R1122" s="3">
        <f>(Wapato_Inventory[[#This Row],[ln_acres]]*Wapato_Inventory[[#This Row],[coeff]])+Wapato_Inventory[[#This Row],[const]]</f>
        <v>97149.969918380259</v>
      </c>
      <c r="S1122" t="s">
        <v>62</v>
      </c>
      <c r="T1122">
        <v>1</v>
      </c>
      <c r="U1122" t="s">
        <v>67</v>
      </c>
      <c r="V1122" t="s">
        <v>69</v>
      </c>
      <c r="W1122">
        <v>0</v>
      </c>
      <c r="X1122">
        <v>0</v>
      </c>
      <c r="Y1122">
        <v>49</v>
      </c>
      <c r="Z1122">
        <v>68</v>
      </c>
      <c r="AA1122">
        <v>70</v>
      </c>
      <c r="AB1122">
        <v>2000</v>
      </c>
      <c r="AC1122">
        <v>2000</v>
      </c>
      <c r="AD1122">
        <v>2000</v>
      </c>
      <c r="AE1122">
        <v>0</v>
      </c>
      <c r="AF1122">
        <v>0</v>
      </c>
      <c r="AG1122">
        <v>0</v>
      </c>
      <c r="AH1122">
        <v>0</v>
      </c>
      <c r="AI1122">
        <v>0</v>
      </c>
      <c r="AJ1122">
        <v>0</v>
      </c>
      <c r="AK1122">
        <v>480</v>
      </c>
      <c r="AL1122">
        <v>0</v>
      </c>
      <c r="AM1122">
        <v>0</v>
      </c>
      <c r="AN1122">
        <v>0</v>
      </c>
      <c r="AO1122">
        <v>0</v>
      </c>
      <c r="AP1122">
        <v>5</v>
      </c>
      <c r="AQ1122">
        <v>0</v>
      </c>
      <c r="AR1122">
        <v>0</v>
      </c>
      <c r="AS1122" t="s">
        <v>74</v>
      </c>
      <c r="AT1122">
        <v>1</v>
      </c>
      <c r="AU1122" t="s">
        <v>64</v>
      </c>
      <c r="AV1122" t="s">
        <v>61</v>
      </c>
      <c r="AW1122">
        <v>0</v>
      </c>
      <c r="AX1122">
        <v>3</v>
      </c>
      <c r="AY1122">
        <v>0</v>
      </c>
      <c r="AZ1122">
        <v>43300</v>
      </c>
      <c r="BA1122">
        <v>100</v>
      </c>
      <c r="BB1122">
        <v>100</v>
      </c>
      <c r="BC1122">
        <v>100</v>
      </c>
      <c r="BD1122">
        <v>100</v>
      </c>
      <c r="BE1122">
        <v>1</v>
      </c>
      <c r="BF1122">
        <v>15000</v>
      </c>
      <c r="BG1122">
        <v>1000</v>
      </c>
      <c r="BH1122" s="7">
        <f>ROUND(Wapato_Inventory[[#This Row],[detatched_value]]*Lookups!$B$22*Lookups!$H$48,-2)</f>
        <v>38700</v>
      </c>
      <c r="BI1122" s="7">
        <f>ROUND(((Wapato_Inventory[[#This Row],[land_extract]]*Lookups!$B$3) +(Lookups!$B$2*0.5))*Lookups!$H$48,-2)</f>
        <v>60500</v>
      </c>
      <c r="BJ1122" s="7">
        <f>IF(Wapato_Inventory[[#This Row],[bldg_style]]="",0,Lookups!$B$2*0.5)</f>
        <v>53765.27</v>
      </c>
      <c r="BK1122" s="7">
        <f>_xlfn.IFNA(VLOOKUP(Wapato_Inventory[[#This Row],[quality]],Lookups!$H$2:$J$14,3,FALSE),0)</f>
        <v>50405</v>
      </c>
      <c r="BL1122" s="7">
        <f>_xlfn.IFNA(VLOOKUP(Wapato_Inventory[[#This Row],[condition]],Lookups!$H$17:$J$24,3,FALSE),0)</f>
        <v>74543</v>
      </c>
      <c r="BM1122" s="7">
        <f>Wapato_Inventory[[#This Row],[Age]]*Lookups!$B$16</f>
        <v>-25205.9476</v>
      </c>
      <c r="BN1122" s="7">
        <f>Wapato_Inventory[[#This Row],[Main Floor]]*Lookups!$B$17</f>
        <v>83601.478000000003</v>
      </c>
      <c r="BO1122" s="7">
        <f>Wapato_Inventory[[#This Row],[Upper Floor]]*Lookups!$B$18</f>
        <v>0</v>
      </c>
      <c r="BP1122" s="7">
        <f>Wapato_Inventory[[#This Row],[Fin BSMT]]*Lookups!$B$19</f>
        <v>0</v>
      </c>
      <c r="BQ1122" s="7">
        <f>(Wapato_Inventory[[#This Row],[att_gar]]+Wapato_Inventory[[#This Row],[blt_gar]])*Lookups!$B$20</f>
        <v>0</v>
      </c>
      <c r="BR1122" s="7">
        <f>Wapato_Inventory[[#This Row],[Patio]]*Lookups!$B$21</f>
        <v>0</v>
      </c>
      <c r="BS1122" s="7">
        <f>SUM(Wapato_Inventory[[#This Row],[intercept]:[patio_value]])*Wapato_Inventory[[#This Row],[res_pct]]</f>
        <v>237108.80040000001</v>
      </c>
      <c r="BT1122" s="7">
        <f>Wapato_Inventory[[#This Row],[land_value]]</f>
        <v>60500</v>
      </c>
      <c r="BU1122" s="2">
        <f>_xlfn.IFNA(VLOOKUP(Wapato_Inventory[[#This Row],[quality]],Lookups!$A$28:$C$37,3,FALSE),1)</f>
        <v>0.97993206410140754</v>
      </c>
      <c r="BV1122" s="2">
        <f>_xlfn.IFNA(VLOOKUP(Wapato_Inventory[[#This Row],[condition]],Lookups!$A$41:$C$48,3,FALSE),1)</f>
        <v>0.98442438223270734</v>
      </c>
      <c r="BW1122" s="2">
        <f>IF(Wapato_Inventory[[#This Row],[decade]]="",1,_xlfn.IFNA(VLOOKUP(Wapato_Inventory[[#This Row],[decade]],Lookups!$F$28:$H$45,3,FALSE),1))</f>
        <v>1.0012715221492001</v>
      </c>
      <c r="BX1122" s="2">
        <f>_xlfn.IFNA(VLOOKUP(Wapato_Inventory[[#This Row],[living_area_range]],Lookups!$K$28:$M$37,3,FALSE),1)</f>
        <v>0.99330894324714125</v>
      </c>
      <c r="BY1122" s="2">
        <f>AVERAGE(Wapato_Inventory[[#This Row],[qual_adj]:[range_adj]])</f>
        <v>0.98973422793261412</v>
      </c>
      <c r="BZ1122" s="7">
        <f>(Wapato_Inventory[[#This Row],[sum_land]]-IF(Wapato_Inventory[[#This Row],[no_utilities]]=1,12000,0))/IF(Wapato_Inventory[[#This Row],[unbuildable]]=1,2,1)</f>
        <v>60500</v>
      </c>
      <c r="CA1122" s="7">
        <f>Wapato_Inventory[[#This Row],[pre_res]]*Wapato_Inventory[[#This Row],[overall_adj]]</f>
        <v>234674.69549992232</v>
      </c>
      <c r="CB1122" s="3">
        <f>IF(ROUND(Wapato_Inventory[[#This Row],[adj_land]]*Lookups!$H$48,-2)&lt;Wapato_Inventory[[#This Row],[min_land]],Wapato_Inventory[[#This Row],[min_land]],ROUND(Wapato_Inventory[[#This Row],[adj_land]]*Lookups!$H$48,-2))</f>
        <v>57500</v>
      </c>
      <c r="CC1122" s="3">
        <f>IF(ROUND(Wapato_Inventory[[#This Row],[adj_res]]*Lookups!$H$48,-2)&lt;Wapato_Inventory[[#This Row],[min_res]],Wapato_Inventory[[#This Row],[min_res]],ROUND(Wapato_Inventory[[#This Row],[adj_res]]*Lookups!$H$48,-2))</f>
        <v>222900</v>
      </c>
      <c r="CD1122" s="3">
        <f>ROUND(Wapato_Inventory[[#This Row],[det_value]]*Lookups!$H$48,-2)</f>
        <v>36800</v>
      </c>
      <c r="CE1122" s="3">
        <f>Wapato_Inventory[[#This Row],[final_res]]+Wapato_Inventory[[#This Row],[final_det]]</f>
        <v>259700</v>
      </c>
      <c r="CF1122" s="3">
        <f>Wapato_Inventory[[#This Row],[crop_value]]+Wapato_Inventory[[#This Row],[final_land]]+Wapato_Inventory[[#This Row],[final_imp]]</f>
        <v>317200</v>
      </c>
      <c r="CH1122" t="str">
        <f t="shared" si="17"/>
        <v>update valuation set market_land =57500, market_bldg=259700, market_total =317200, market_mdno =405, market_date ='9/10/2023' where link_id = (select link_id from parcel where parcel_year = '2024' and parcel_id = '19111641002');</v>
      </c>
    </row>
    <row r="1123" spans="1:86" x14ac:dyDescent="0.25">
      <c r="A1123">
        <v>19111641003</v>
      </c>
      <c r="B1123">
        <v>2.1800000000000002</v>
      </c>
      <c r="C1123">
        <v>94873</v>
      </c>
      <c r="D1123" t="s">
        <v>144</v>
      </c>
      <c r="E1123" t="s">
        <v>54</v>
      </c>
      <c r="F1123" t="s">
        <v>54</v>
      </c>
      <c r="G1123">
        <v>3</v>
      </c>
      <c r="H1123" t="s">
        <v>55</v>
      </c>
      <c r="I1123">
        <v>217400</v>
      </c>
      <c r="J1123">
        <v>50700</v>
      </c>
      <c r="K1123">
        <v>2.1800000000000002</v>
      </c>
      <c r="L1123">
        <f>IF(Wapato_Inventory[[#This Row],[parcel_acres]]-Wapato_Inventory[[#This Row],[non_valued_acres]] =0,0,LN(Wapato_Inventory[[#This Row],[parcel_acres]]-Wapato_Inventory[[#This Row],[non_valued_acres]]))</f>
        <v>0.77932487680099771</v>
      </c>
      <c r="M1123">
        <v>0</v>
      </c>
      <c r="N1123">
        <v>0</v>
      </c>
      <c r="O1123">
        <v>0</v>
      </c>
      <c r="P1123">
        <v>27904.037</v>
      </c>
      <c r="Q1123">
        <v>74398</v>
      </c>
      <c r="R1123" s="3">
        <f>(Wapato_Inventory[[#This Row],[ln_acres]]*Wapato_Inventory[[#This Row],[coeff]])+Wapato_Inventory[[#This Row],[const]]</f>
        <v>96144.310197275481</v>
      </c>
      <c r="S1123" t="s">
        <v>66</v>
      </c>
      <c r="T1123">
        <v>1</v>
      </c>
      <c r="U1123" t="s">
        <v>75</v>
      </c>
      <c r="V1123" t="s">
        <v>69</v>
      </c>
      <c r="W1123">
        <v>0</v>
      </c>
      <c r="X1123">
        <v>0</v>
      </c>
      <c r="Y1123">
        <v>33</v>
      </c>
      <c r="Z1123">
        <v>33</v>
      </c>
      <c r="AA1123">
        <v>40</v>
      </c>
      <c r="AB1123">
        <v>1500</v>
      </c>
      <c r="AC1123">
        <v>1384</v>
      </c>
      <c r="AD1123">
        <v>1384</v>
      </c>
      <c r="AE1123">
        <v>0</v>
      </c>
      <c r="AF1123">
        <v>0</v>
      </c>
      <c r="AG1123">
        <v>0</v>
      </c>
      <c r="AH1123">
        <v>0</v>
      </c>
      <c r="AI1123">
        <v>0</v>
      </c>
      <c r="AJ1123">
        <v>0</v>
      </c>
      <c r="AK1123">
        <v>0</v>
      </c>
      <c r="AL1123">
        <v>0</v>
      </c>
      <c r="AM1123">
        <v>0</v>
      </c>
      <c r="AN1123">
        <v>0</v>
      </c>
      <c r="AO1123">
        <v>0</v>
      </c>
      <c r="AP1123">
        <v>5</v>
      </c>
      <c r="AQ1123">
        <v>0</v>
      </c>
      <c r="AR1123">
        <v>0</v>
      </c>
      <c r="AS1123" t="s">
        <v>82</v>
      </c>
      <c r="AT1123">
        <v>1</v>
      </c>
      <c r="AU1123" t="s">
        <v>76</v>
      </c>
      <c r="AV1123" t="s">
        <v>61</v>
      </c>
      <c r="AW1123">
        <v>0</v>
      </c>
      <c r="AX1123">
        <v>3</v>
      </c>
      <c r="AY1123">
        <v>0</v>
      </c>
      <c r="AZ1123">
        <v>0</v>
      </c>
      <c r="BA1123">
        <v>100</v>
      </c>
      <c r="BB1123">
        <v>100</v>
      </c>
      <c r="BC1123">
        <v>100</v>
      </c>
      <c r="BD1123">
        <v>100</v>
      </c>
      <c r="BE1123">
        <v>1</v>
      </c>
      <c r="BF1123">
        <v>15000</v>
      </c>
      <c r="BG1123">
        <v>1000</v>
      </c>
      <c r="BH1123" s="7">
        <f>ROUND(Wapato_Inventory[[#This Row],[detatched_value]]*Lookups!$B$22*Lookups!$H$48,-2)</f>
        <v>0</v>
      </c>
      <c r="BI1123" s="7">
        <f>ROUND(((Wapato_Inventory[[#This Row],[land_extract]]*Lookups!$B$3) +(Lookups!$B$2*0.5))*Lookups!$H$48,-2)</f>
        <v>60400</v>
      </c>
      <c r="BJ1123" s="7">
        <f>IF(Wapato_Inventory[[#This Row],[bldg_style]]="",0,Lookups!$B$2*0.5)</f>
        <v>53765.27</v>
      </c>
      <c r="BK1123" s="7">
        <f>_xlfn.IFNA(VLOOKUP(Wapato_Inventory[[#This Row],[quality]],Lookups!$H$2:$J$14,3,FALSE),0)</f>
        <v>48043</v>
      </c>
      <c r="BL1123" s="7">
        <f>_xlfn.IFNA(VLOOKUP(Wapato_Inventory[[#This Row],[condition]],Lookups!$H$17:$J$24,3,FALSE),0)</f>
        <v>74543</v>
      </c>
      <c r="BM1123" s="7">
        <f>Wapato_Inventory[[#This Row],[Age]]*Lookups!$B$16</f>
        <v>-12232.2981</v>
      </c>
      <c r="BN1123" s="7">
        <f>Wapato_Inventory[[#This Row],[Main Floor]]*Lookups!$B$17</f>
        <v>57852.222776000002</v>
      </c>
      <c r="BO1123" s="7">
        <f>Wapato_Inventory[[#This Row],[Upper Floor]]*Lookups!$B$18</f>
        <v>0</v>
      </c>
      <c r="BP1123" s="7">
        <f>Wapato_Inventory[[#This Row],[Fin BSMT]]*Lookups!$B$19</f>
        <v>0</v>
      </c>
      <c r="BQ1123" s="7">
        <f>(Wapato_Inventory[[#This Row],[att_gar]]+Wapato_Inventory[[#This Row],[blt_gar]])*Lookups!$B$20</f>
        <v>0</v>
      </c>
      <c r="BR1123" s="7">
        <f>Wapato_Inventory[[#This Row],[Patio]]*Lookups!$B$21</f>
        <v>0</v>
      </c>
      <c r="BS1123" s="7">
        <f>SUM(Wapato_Inventory[[#This Row],[intercept]:[patio_value]])*Wapato_Inventory[[#This Row],[res_pct]]</f>
        <v>221971.19467600001</v>
      </c>
      <c r="BT1123" s="7">
        <f>Wapato_Inventory[[#This Row],[land_value]]</f>
        <v>60400</v>
      </c>
      <c r="BU1123" s="2">
        <f>_xlfn.IFNA(VLOOKUP(Wapato_Inventory[[#This Row],[quality]],Lookups!$A$28:$C$37,3,FALSE),1)</f>
        <v>0.98196844879778955</v>
      </c>
      <c r="BV1123" s="2">
        <f>_xlfn.IFNA(VLOOKUP(Wapato_Inventory[[#This Row],[condition]],Lookups!$A$41:$C$48,3,FALSE),1)</f>
        <v>0.98442438223270734</v>
      </c>
      <c r="BW1123" s="2">
        <f>IF(Wapato_Inventory[[#This Row],[decade]]="",1,_xlfn.IFNA(VLOOKUP(Wapato_Inventory[[#This Row],[decade]],Lookups!$F$28:$H$45,3,FALSE),1))</f>
        <v>1.0327621624630683</v>
      </c>
      <c r="BX1123" s="2">
        <f>_xlfn.IFNA(VLOOKUP(Wapato_Inventory[[#This Row],[living_area_range]],Lookups!$K$28:$M$37,3,FALSE),1)</f>
        <v>1.0061411172456287</v>
      </c>
      <c r="BY1123" s="2">
        <f>AVERAGE(Wapato_Inventory[[#This Row],[qual_adj]:[range_adj]])</f>
        <v>1.0013240276847983</v>
      </c>
      <c r="BZ1123" s="7">
        <f>(Wapato_Inventory[[#This Row],[sum_land]]-IF(Wapato_Inventory[[#This Row],[no_utilities]]=1,12000,0))/IF(Wapato_Inventory[[#This Row],[unbuildable]]=1,2,1)</f>
        <v>60400</v>
      </c>
      <c r="CA1123" s="7">
        <f>Wapato_Inventory[[#This Row],[pre_res]]*Wapato_Inventory[[#This Row],[overall_adj]]</f>
        <v>222265.0906829788</v>
      </c>
      <c r="CB1123" s="3">
        <f>IF(ROUND(Wapato_Inventory[[#This Row],[adj_land]]*Lookups!$H$48,-2)&lt;Wapato_Inventory[[#This Row],[min_land]],Wapato_Inventory[[#This Row],[min_land]],ROUND(Wapato_Inventory[[#This Row],[adj_land]]*Lookups!$H$48,-2))</f>
        <v>57400</v>
      </c>
      <c r="CC1123" s="3">
        <f>IF(ROUND(Wapato_Inventory[[#This Row],[adj_res]]*Lookups!$H$48,-2)&lt;Wapato_Inventory[[#This Row],[min_res]],Wapato_Inventory[[#This Row],[min_res]],ROUND(Wapato_Inventory[[#This Row],[adj_res]]*Lookups!$H$48,-2))</f>
        <v>211200</v>
      </c>
      <c r="CD1123" s="3">
        <f>ROUND(Wapato_Inventory[[#This Row],[det_value]]*Lookups!$H$48,-2)</f>
        <v>0</v>
      </c>
      <c r="CE1123" s="3">
        <f>Wapato_Inventory[[#This Row],[final_res]]+Wapato_Inventory[[#This Row],[final_det]]</f>
        <v>211200</v>
      </c>
      <c r="CF1123" s="3">
        <f>Wapato_Inventory[[#This Row],[crop_value]]+Wapato_Inventory[[#This Row],[final_land]]+Wapato_Inventory[[#This Row],[final_imp]]</f>
        <v>268600</v>
      </c>
      <c r="CH1123" t="str">
        <f t="shared" si="17"/>
        <v>update valuation set market_land =57400, market_bldg=211200, market_total =268600, market_mdno =405, market_date ='9/10/2023' where link_id = (select link_id from parcel where parcel_year = '2024' and parcel_id = '19111641003');</v>
      </c>
    </row>
    <row r="1124" spans="1:86" x14ac:dyDescent="0.25">
      <c r="A1124">
        <v>19111641004</v>
      </c>
      <c r="B1124">
        <v>0.14000000000000001</v>
      </c>
      <c r="C1124">
        <v>5992</v>
      </c>
      <c r="D1124" t="s">
        <v>144</v>
      </c>
      <c r="E1124" t="s">
        <v>54</v>
      </c>
      <c r="F1124" t="s">
        <v>54</v>
      </c>
      <c r="G1124">
        <v>3</v>
      </c>
      <c r="H1124" t="s">
        <v>55</v>
      </c>
      <c r="I1124">
        <v>138700</v>
      </c>
      <c r="J1124">
        <v>31400</v>
      </c>
      <c r="K1124">
        <v>0.14000000000000001</v>
      </c>
      <c r="L1124">
        <f>IF(Wapato_Inventory[[#This Row],[parcel_acres]]-Wapato_Inventory[[#This Row],[non_valued_acres]] =0,0,LN(Wapato_Inventory[[#This Row],[parcel_acres]]-Wapato_Inventory[[#This Row],[non_valued_acres]]))</f>
        <v>-1.9661128563728327</v>
      </c>
      <c r="M1124">
        <v>0</v>
      </c>
      <c r="N1124">
        <v>0</v>
      </c>
      <c r="O1124">
        <v>0</v>
      </c>
      <c r="P1124">
        <v>27904.037</v>
      </c>
      <c r="Q1124">
        <v>74398</v>
      </c>
      <c r="R1124" s="3">
        <f>(Wapato_Inventory[[#This Row],[ln_acres]]*Wapato_Inventory[[#This Row],[coeff]])+Wapato_Inventory[[#This Row],[const]]</f>
        <v>19535.514109596792</v>
      </c>
      <c r="S1124" t="s">
        <v>66</v>
      </c>
      <c r="T1124">
        <v>1</v>
      </c>
      <c r="U1124" t="s">
        <v>71</v>
      </c>
      <c r="V1124" t="s">
        <v>69</v>
      </c>
      <c r="W1124">
        <v>0</v>
      </c>
      <c r="X1124">
        <v>0</v>
      </c>
      <c r="Y1124">
        <v>51</v>
      </c>
      <c r="Z1124">
        <v>83</v>
      </c>
      <c r="AA1124">
        <v>90</v>
      </c>
      <c r="AB1124">
        <v>1000</v>
      </c>
      <c r="AC1124">
        <v>925</v>
      </c>
      <c r="AD1124">
        <v>925</v>
      </c>
      <c r="AE1124">
        <v>0</v>
      </c>
      <c r="AF1124">
        <v>0</v>
      </c>
      <c r="AG1124">
        <v>0</v>
      </c>
      <c r="AH1124">
        <v>0</v>
      </c>
      <c r="AI1124">
        <v>0</v>
      </c>
      <c r="AJ1124">
        <v>0</v>
      </c>
      <c r="AK1124">
        <v>192</v>
      </c>
      <c r="AL1124">
        <v>0</v>
      </c>
      <c r="AM1124">
        <v>0</v>
      </c>
      <c r="AN1124">
        <v>0</v>
      </c>
      <c r="AO1124">
        <v>112</v>
      </c>
      <c r="AP1124">
        <v>5</v>
      </c>
      <c r="AQ1124">
        <v>0</v>
      </c>
      <c r="AR1124">
        <v>0</v>
      </c>
      <c r="AS1124" t="s">
        <v>59</v>
      </c>
      <c r="AT1124">
        <v>1</v>
      </c>
      <c r="AU1124" t="s">
        <v>76</v>
      </c>
      <c r="AV1124" t="s">
        <v>61</v>
      </c>
      <c r="AW1124">
        <v>0</v>
      </c>
      <c r="AX1124">
        <v>2</v>
      </c>
      <c r="AY1124">
        <v>0</v>
      </c>
      <c r="AZ1124">
        <v>700</v>
      </c>
      <c r="BA1124">
        <v>100</v>
      </c>
      <c r="BB1124">
        <v>100</v>
      </c>
      <c r="BC1124">
        <v>100</v>
      </c>
      <c r="BD1124">
        <v>100</v>
      </c>
      <c r="BE1124">
        <v>1</v>
      </c>
      <c r="BF1124">
        <v>15000</v>
      </c>
      <c r="BG1124">
        <v>1000</v>
      </c>
      <c r="BH1124" s="7">
        <f>ROUND(Wapato_Inventory[[#This Row],[detatched_value]]*Lookups!$B$22*Lookups!$H$48,-2)</f>
        <v>600</v>
      </c>
      <c r="BI1124" s="7">
        <f>ROUND(((Wapato_Inventory[[#This Row],[land_extract]]*Lookups!$B$3) +(Lookups!$B$2*0.5))*Lookups!$H$48,-2)</f>
        <v>53000</v>
      </c>
      <c r="BJ1124" s="7">
        <f>IF(Wapato_Inventory[[#This Row],[bldg_style]]="",0,Lookups!$B$2*0.5)</f>
        <v>53765.27</v>
      </c>
      <c r="BK1124" s="7">
        <f>_xlfn.IFNA(VLOOKUP(Wapato_Inventory[[#This Row],[quality]],Lookups!$H$2:$J$14,3,FALSE),0)</f>
        <v>28034</v>
      </c>
      <c r="BL1124" s="7">
        <f>_xlfn.IFNA(VLOOKUP(Wapato_Inventory[[#This Row],[condition]],Lookups!$H$17:$J$24,3,FALSE),0)</f>
        <v>74543</v>
      </c>
      <c r="BM1124" s="7">
        <f>Wapato_Inventory[[#This Row],[Age]]*Lookups!$B$16</f>
        <v>-30766.0831</v>
      </c>
      <c r="BN1124" s="7">
        <f>Wapato_Inventory[[#This Row],[Main Floor]]*Lookups!$B$17</f>
        <v>38665.683575000003</v>
      </c>
      <c r="BO1124" s="7">
        <f>Wapato_Inventory[[#This Row],[Upper Floor]]*Lookups!$B$18</f>
        <v>0</v>
      </c>
      <c r="BP1124" s="7">
        <f>Wapato_Inventory[[#This Row],[Fin BSMT]]*Lookups!$B$19</f>
        <v>0</v>
      </c>
      <c r="BQ1124" s="7">
        <f>(Wapato_Inventory[[#This Row],[att_gar]]+Wapato_Inventory[[#This Row],[blt_gar]])*Lookups!$B$20</f>
        <v>0</v>
      </c>
      <c r="BR1124" s="7">
        <f>Wapato_Inventory[[#This Row],[Patio]]*Lookups!$B$21</f>
        <v>0</v>
      </c>
      <c r="BS1124" s="7">
        <f>SUM(Wapato_Inventory[[#This Row],[intercept]:[patio_value]])*Wapato_Inventory[[#This Row],[res_pct]]</f>
        <v>164241.870475</v>
      </c>
      <c r="BT1124" s="7">
        <f>Wapato_Inventory[[#This Row],[land_value]]</f>
        <v>53000</v>
      </c>
      <c r="BU1124" s="2">
        <f>_xlfn.IFNA(VLOOKUP(Wapato_Inventory[[#This Row],[quality]],Lookups!$A$28:$C$37,3,FALSE),1)</f>
        <v>0.96265813922927435</v>
      </c>
      <c r="BV1124" s="2">
        <f>_xlfn.IFNA(VLOOKUP(Wapato_Inventory[[#This Row],[condition]],Lookups!$A$41:$C$48,3,FALSE),1)</f>
        <v>0.98442438223270734</v>
      </c>
      <c r="BW1124" s="2">
        <f>IF(Wapato_Inventory[[#This Row],[decade]]="",1,_xlfn.IFNA(VLOOKUP(Wapato_Inventory[[#This Row],[decade]],Lookups!$F$28:$H$45,3,FALSE),1))</f>
        <v>0.94742695999815718</v>
      </c>
      <c r="BX1124" s="2">
        <f>_xlfn.IFNA(VLOOKUP(Wapato_Inventory[[#This Row],[living_area_range]],Lookups!$K$28:$M$37,3,FALSE),1)</f>
        <v>0.99022994770196116</v>
      </c>
      <c r="BY1124" s="2">
        <f>AVERAGE(Wapato_Inventory[[#This Row],[qual_adj]:[range_adj]])</f>
        <v>0.97118485729052495</v>
      </c>
      <c r="BZ1124" s="7">
        <f>(Wapato_Inventory[[#This Row],[sum_land]]-IF(Wapato_Inventory[[#This Row],[no_utilities]]=1,12000,0))/IF(Wapato_Inventory[[#This Row],[unbuildable]]=1,2,1)</f>
        <v>53000</v>
      </c>
      <c r="CA1124" s="7">
        <f>Wapato_Inventory[[#This Row],[pre_res]]*Wapato_Inventory[[#This Row],[overall_adj]]</f>
        <v>159509.21753839176</v>
      </c>
      <c r="CB112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124" s="3">
        <f>IF(ROUND(Wapato_Inventory[[#This Row],[adj_res]]*Lookups!$H$48,-2)&lt;Wapato_Inventory[[#This Row],[min_res]],Wapato_Inventory[[#This Row],[min_res]],ROUND(Wapato_Inventory[[#This Row],[adj_res]]*Lookups!$H$48,-2))</f>
        <v>151500</v>
      </c>
      <c r="CD1124" s="3">
        <f>ROUND(Wapato_Inventory[[#This Row],[det_value]]*Lookups!$H$48,-2)</f>
        <v>600</v>
      </c>
      <c r="CE1124" s="3">
        <f>Wapato_Inventory[[#This Row],[final_res]]+Wapato_Inventory[[#This Row],[final_det]]</f>
        <v>152100</v>
      </c>
      <c r="CF1124" s="3">
        <f>Wapato_Inventory[[#This Row],[crop_value]]+Wapato_Inventory[[#This Row],[final_land]]+Wapato_Inventory[[#This Row],[final_imp]]</f>
        <v>202500</v>
      </c>
      <c r="CH1124" t="str">
        <f t="shared" si="17"/>
        <v>update valuation set market_land =50400, market_bldg=152100, market_total =202500, market_mdno =405, market_date ='9/10/2023' where link_id = (select link_id from parcel where parcel_year = '2024' and parcel_id = '19111641004');</v>
      </c>
    </row>
    <row r="1125" spans="1:86" x14ac:dyDescent="0.25">
      <c r="A1125">
        <v>19111641006</v>
      </c>
      <c r="B1125">
        <v>0.67</v>
      </c>
      <c r="C1125">
        <v>29224</v>
      </c>
      <c r="D1125" t="s">
        <v>144</v>
      </c>
      <c r="E1125" t="s">
        <v>54</v>
      </c>
      <c r="F1125" t="s">
        <v>54</v>
      </c>
      <c r="G1125">
        <v>3</v>
      </c>
      <c r="H1125" t="s">
        <v>55</v>
      </c>
      <c r="I1125">
        <v>148100</v>
      </c>
      <c r="J1125">
        <v>42400</v>
      </c>
      <c r="K1125">
        <v>0.67</v>
      </c>
      <c r="L1125">
        <f>IF(Wapato_Inventory[[#This Row],[parcel_acres]]-Wapato_Inventory[[#This Row],[non_valued_acres]] =0,0,LN(Wapato_Inventory[[#This Row],[parcel_acres]]-Wapato_Inventory[[#This Row],[non_valued_acres]]))</f>
        <v>-0.40047756659712525</v>
      </c>
      <c r="M1125">
        <v>0</v>
      </c>
      <c r="N1125">
        <v>0</v>
      </c>
      <c r="O1125">
        <v>0</v>
      </c>
      <c r="P1125">
        <v>27904.037</v>
      </c>
      <c r="Q1125">
        <v>74398</v>
      </c>
      <c r="R1125" s="3">
        <f>(Wapato_Inventory[[#This Row],[ln_acres]]*Wapato_Inventory[[#This Row],[coeff]])+Wapato_Inventory[[#This Row],[const]]</f>
        <v>63223.059164003855</v>
      </c>
      <c r="S1125" t="s">
        <v>62</v>
      </c>
      <c r="T1125">
        <v>1</v>
      </c>
      <c r="U1125" t="s">
        <v>67</v>
      </c>
      <c r="V1125" t="s">
        <v>73</v>
      </c>
      <c r="W1125">
        <v>0</v>
      </c>
      <c r="X1125">
        <v>0</v>
      </c>
      <c r="Y1125">
        <v>48</v>
      </c>
      <c r="Z1125">
        <v>63</v>
      </c>
      <c r="AA1125">
        <v>70</v>
      </c>
      <c r="AB1125">
        <v>1500</v>
      </c>
      <c r="AC1125">
        <v>1440</v>
      </c>
      <c r="AD1125">
        <v>1440</v>
      </c>
      <c r="AE1125">
        <v>0</v>
      </c>
      <c r="AF1125">
        <v>0</v>
      </c>
      <c r="AG1125">
        <v>0</v>
      </c>
      <c r="AH1125">
        <v>0</v>
      </c>
      <c r="AI1125">
        <v>0</v>
      </c>
      <c r="AJ1125">
        <v>0</v>
      </c>
      <c r="AK1125">
        <v>360</v>
      </c>
      <c r="AL1125">
        <v>0</v>
      </c>
      <c r="AM1125">
        <v>0</v>
      </c>
      <c r="AN1125">
        <v>0</v>
      </c>
      <c r="AO1125">
        <v>0</v>
      </c>
      <c r="AP1125">
        <v>5</v>
      </c>
      <c r="AQ1125">
        <v>0</v>
      </c>
      <c r="AR1125">
        <v>1</v>
      </c>
      <c r="AS1125" t="s">
        <v>59</v>
      </c>
      <c r="AT1125">
        <v>1</v>
      </c>
      <c r="AU1125" t="s">
        <v>64</v>
      </c>
      <c r="AV1125" t="s">
        <v>77</v>
      </c>
      <c r="AW1125">
        <v>0</v>
      </c>
      <c r="AX1125">
        <v>3</v>
      </c>
      <c r="AY1125">
        <v>0</v>
      </c>
      <c r="AZ1125">
        <v>12700</v>
      </c>
      <c r="BA1125">
        <v>100</v>
      </c>
      <c r="BB1125">
        <v>100</v>
      </c>
      <c r="BC1125">
        <v>100</v>
      </c>
      <c r="BD1125">
        <v>100</v>
      </c>
      <c r="BE1125">
        <v>1</v>
      </c>
      <c r="BF1125">
        <v>15000</v>
      </c>
      <c r="BG1125">
        <v>1000</v>
      </c>
      <c r="BH1125" s="7">
        <f>ROUND(Wapato_Inventory[[#This Row],[detatched_value]]*Lookups!$B$22*Lookups!$H$48,-2)</f>
        <v>11300</v>
      </c>
      <c r="BI1125" s="7">
        <f>ROUND(((Wapato_Inventory[[#This Row],[land_extract]]*Lookups!$B$3) +(Lookups!$B$2*0.5))*Lookups!$H$48,-2)</f>
        <v>57200</v>
      </c>
      <c r="BJ1125" s="7">
        <f>IF(Wapato_Inventory[[#This Row],[bldg_style]]="",0,Lookups!$B$2*0.5)</f>
        <v>53765.27</v>
      </c>
      <c r="BK1125" s="7">
        <f>_xlfn.IFNA(VLOOKUP(Wapato_Inventory[[#This Row],[quality]],Lookups!$H$2:$J$14,3,FALSE),0)</f>
        <v>50405</v>
      </c>
      <c r="BL1125" s="7">
        <f>_xlfn.IFNA(VLOOKUP(Wapato_Inventory[[#This Row],[condition]],Lookups!$H$17:$J$24,3,FALSE),0)</f>
        <v>16276</v>
      </c>
      <c r="BM1125" s="7">
        <f>Wapato_Inventory[[#This Row],[Age]]*Lookups!$B$16</f>
        <v>-23352.569100000001</v>
      </c>
      <c r="BN1125" s="7">
        <f>Wapato_Inventory[[#This Row],[Main Floor]]*Lookups!$B$17</f>
        <v>60193.064160000002</v>
      </c>
      <c r="BO1125" s="7">
        <f>Wapato_Inventory[[#This Row],[Upper Floor]]*Lookups!$B$18</f>
        <v>0</v>
      </c>
      <c r="BP1125" s="7">
        <f>Wapato_Inventory[[#This Row],[Fin BSMT]]*Lookups!$B$19</f>
        <v>0</v>
      </c>
      <c r="BQ1125" s="7">
        <f>(Wapato_Inventory[[#This Row],[att_gar]]+Wapato_Inventory[[#This Row],[blt_gar]])*Lookups!$B$20</f>
        <v>0</v>
      </c>
      <c r="BR1125" s="7">
        <f>Wapato_Inventory[[#This Row],[Patio]]*Lookups!$B$21</f>
        <v>0</v>
      </c>
      <c r="BS1125" s="7">
        <f>SUM(Wapato_Inventory[[#This Row],[intercept]:[patio_value]])*Wapato_Inventory[[#This Row],[res_pct]]</f>
        <v>157286.76506000001</v>
      </c>
      <c r="BT1125" s="7">
        <f>Wapato_Inventory[[#This Row],[land_value]]</f>
        <v>57200</v>
      </c>
      <c r="BU1125" s="2">
        <f>_xlfn.IFNA(VLOOKUP(Wapato_Inventory[[#This Row],[quality]],Lookups!$A$28:$C$37,3,FALSE),1)</f>
        <v>0.97993206410140754</v>
      </c>
      <c r="BV1125" s="2">
        <f>_xlfn.IFNA(VLOOKUP(Wapato_Inventory[[#This Row],[condition]],Lookups!$A$41:$C$48,3,FALSE),1)</f>
        <v>0.93399385491337139</v>
      </c>
      <c r="BW1125" s="2">
        <f>IF(Wapato_Inventory[[#This Row],[decade]]="",1,_xlfn.IFNA(VLOOKUP(Wapato_Inventory[[#This Row],[decade]],Lookups!$F$28:$H$45,3,FALSE),1))</f>
        <v>1.0012715221492001</v>
      </c>
      <c r="BX1125" s="2">
        <f>_xlfn.IFNA(VLOOKUP(Wapato_Inventory[[#This Row],[living_area_range]],Lookups!$K$28:$M$37,3,FALSE),1)</f>
        <v>1.0061411172456287</v>
      </c>
      <c r="BY1125" s="2">
        <f>AVERAGE(Wapato_Inventory[[#This Row],[qual_adj]:[range_adj]])</f>
        <v>0.98033463960240197</v>
      </c>
      <c r="BZ1125" s="7">
        <f>(Wapato_Inventory[[#This Row],[sum_land]]-IF(Wapato_Inventory[[#This Row],[no_utilities]]=1,12000,0))/IF(Wapato_Inventory[[#This Row],[unbuildable]]=1,2,1)</f>
        <v>57200</v>
      </c>
      <c r="CA1125" s="7">
        <f>Wapato_Inventory[[#This Row],[pre_res]]*Wapato_Inventory[[#This Row],[overall_adj]]</f>
        <v>154193.66413932276</v>
      </c>
      <c r="CB1125" s="3">
        <f>IF(ROUND(Wapato_Inventory[[#This Row],[adj_land]]*Lookups!$H$48,-2)&lt;Wapato_Inventory[[#This Row],[min_land]],Wapato_Inventory[[#This Row],[min_land]],ROUND(Wapato_Inventory[[#This Row],[adj_land]]*Lookups!$H$48,-2))</f>
        <v>54300</v>
      </c>
      <c r="CC1125" s="3">
        <f>IF(ROUND(Wapato_Inventory[[#This Row],[adj_res]]*Lookups!$H$48,-2)&lt;Wapato_Inventory[[#This Row],[min_res]],Wapato_Inventory[[#This Row],[min_res]],ROUND(Wapato_Inventory[[#This Row],[adj_res]]*Lookups!$H$48,-2))</f>
        <v>146500</v>
      </c>
      <c r="CD1125" s="3">
        <f>ROUND(Wapato_Inventory[[#This Row],[det_value]]*Lookups!$H$48,-2)</f>
        <v>10700</v>
      </c>
      <c r="CE1125" s="3">
        <f>Wapato_Inventory[[#This Row],[final_res]]+Wapato_Inventory[[#This Row],[final_det]]</f>
        <v>157200</v>
      </c>
      <c r="CF1125" s="3">
        <f>Wapato_Inventory[[#This Row],[crop_value]]+Wapato_Inventory[[#This Row],[final_land]]+Wapato_Inventory[[#This Row],[final_imp]]</f>
        <v>211500</v>
      </c>
      <c r="CH1125" t="str">
        <f t="shared" si="17"/>
        <v>update valuation set market_land =54300, market_bldg=157200, market_total =211500, market_mdno =405, market_date ='9/10/2023' where link_id = (select link_id from parcel where parcel_year = '2024' and parcel_id = '19111641006');</v>
      </c>
    </row>
    <row r="1126" spans="1:86" x14ac:dyDescent="0.25">
      <c r="A1126">
        <v>19111641007</v>
      </c>
      <c r="B1126">
        <v>0.51</v>
      </c>
      <c r="C1126">
        <v>22017</v>
      </c>
      <c r="D1126" t="s">
        <v>144</v>
      </c>
      <c r="E1126" t="s">
        <v>54</v>
      </c>
      <c r="F1126" t="s">
        <v>54</v>
      </c>
      <c r="G1126">
        <v>3</v>
      </c>
      <c r="H1126" t="s">
        <v>55</v>
      </c>
      <c r="I1126">
        <v>195100</v>
      </c>
      <c r="J1126">
        <v>40500</v>
      </c>
      <c r="K1126">
        <v>0.51</v>
      </c>
      <c r="L1126">
        <f>IF(Wapato_Inventory[[#This Row],[parcel_acres]]-Wapato_Inventory[[#This Row],[non_valued_acres]] =0,0,LN(Wapato_Inventory[[#This Row],[parcel_acres]]-Wapato_Inventory[[#This Row],[non_valued_acres]]))</f>
        <v>-0.67334455326376563</v>
      </c>
      <c r="M1126">
        <v>0</v>
      </c>
      <c r="N1126">
        <v>0</v>
      </c>
      <c r="O1126">
        <v>0</v>
      </c>
      <c r="P1126">
        <v>27904.037</v>
      </c>
      <c r="Q1126">
        <v>74398</v>
      </c>
      <c r="R1126" s="3">
        <f>(Wapato_Inventory[[#This Row],[ln_acres]]*Wapato_Inventory[[#This Row],[coeff]])+Wapato_Inventory[[#This Row],[const]]</f>
        <v>55608.968671979412</v>
      </c>
      <c r="S1126" t="s">
        <v>66</v>
      </c>
      <c r="T1126">
        <v>1</v>
      </c>
      <c r="U1126" t="s">
        <v>75</v>
      </c>
      <c r="V1126" t="s">
        <v>68</v>
      </c>
      <c r="W1126">
        <v>0</v>
      </c>
      <c r="X1126">
        <v>0</v>
      </c>
      <c r="Y1126">
        <v>51</v>
      </c>
      <c r="Z1126">
        <v>83</v>
      </c>
      <c r="AA1126">
        <v>90</v>
      </c>
      <c r="AB1126">
        <v>2000</v>
      </c>
      <c r="AC1126">
        <v>1755</v>
      </c>
      <c r="AD1126">
        <v>1755</v>
      </c>
      <c r="AE1126">
        <v>0</v>
      </c>
      <c r="AF1126">
        <v>0</v>
      </c>
      <c r="AG1126">
        <v>0</v>
      </c>
      <c r="AH1126">
        <v>0</v>
      </c>
      <c r="AI1126">
        <v>0</v>
      </c>
      <c r="AJ1126">
        <v>0</v>
      </c>
      <c r="AK1126">
        <v>0</v>
      </c>
      <c r="AL1126">
        <v>0</v>
      </c>
      <c r="AM1126">
        <v>115</v>
      </c>
      <c r="AN1126">
        <v>0</v>
      </c>
      <c r="AO1126">
        <v>115</v>
      </c>
      <c r="AP1126">
        <v>5</v>
      </c>
      <c r="AQ1126">
        <v>0</v>
      </c>
      <c r="AR1126">
        <v>0</v>
      </c>
      <c r="AS1126" t="s">
        <v>59</v>
      </c>
      <c r="AT1126">
        <v>1</v>
      </c>
      <c r="AU1126" t="s">
        <v>64</v>
      </c>
      <c r="AV1126" t="s">
        <v>77</v>
      </c>
      <c r="AW1126">
        <v>0</v>
      </c>
      <c r="AX1126">
        <v>2</v>
      </c>
      <c r="AY1126">
        <v>0</v>
      </c>
      <c r="AZ1126">
        <v>17100</v>
      </c>
      <c r="BA1126">
        <v>100</v>
      </c>
      <c r="BB1126">
        <v>100</v>
      </c>
      <c r="BC1126">
        <v>100</v>
      </c>
      <c r="BD1126">
        <v>100</v>
      </c>
      <c r="BE1126">
        <v>1</v>
      </c>
      <c r="BF1126">
        <v>15000</v>
      </c>
      <c r="BG1126">
        <v>1000</v>
      </c>
      <c r="BH1126" s="7">
        <f>ROUND(Wapato_Inventory[[#This Row],[detatched_value]]*Lookups!$B$22*Lookups!$H$48,-2)</f>
        <v>15300</v>
      </c>
      <c r="BI1126" s="7">
        <f>ROUND(((Wapato_Inventory[[#This Row],[land_extract]]*Lookups!$B$3) +(Lookups!$B$2*0.5))*Lookups!$H$48,-2)</f>
        <v>56400</v>
      </c>
      <c r="BJ1126" s="7">
        <f>IF(Wapato_Inventory[[#This Row],[bldg_style]]="",0,Lookups!$B$2*0.5)</f>
        <v>53765.27</v>
      </c>
      <c r="BK1126" s="7">
        <f>_xlfn.IFNA(VLOOKUP(Wapato_Inventory[[#This Row],[quality]],Lookups!$H$2:$J$14,3,FALSE),0)</f>
        <v>48043</v>
      </c>
      <c r="BL1126" s="7">
        <f>_xlfn.IFNA(VLOOKUP(Wapato_Inventory[[#This Row],[condition]],Lookups!$H$17:$J$24,3,FALSE),0)</f>
        <v>52231</v>
      </c>
      <c r="BM1126" s="7">
        <f>Wapato_Inventory[[#This Row],[Age]]*Lookups!$B$16</f>
        <v>-30766.0831</v>
      </c>
      <c r="BN1126" s="7">
        <f>Wapato_Inventory[[#This Row],[Main Floor]]*Lookups!$B$17</f>
        <v>73360.296944999995</v>
      </c>
      <c r="BO1126" s="7">
        <f>Wapato_Inventory[[#This Row],[Upper Floor]]*Lookups!$B$18</f>
        <v>0</v>
      </c>
      <c r="BP1126" s="7">
        <f>Wapato_Inventory[[#This Row],[Fin BSMT]]*Lookups!$B$19</f>
        <v>0</v>
      </c>
      <c r="BQ1126" s="7">
        <f>(Wapato_Inventory[[#This Row],[att_gar]]+Wapato_Inventory[[#This Row],[blt_gar]])*Lookups!$B$20</f>
        <v>0</v>
      </c>
      <c r="BR1126" s="7">
        <f>Wapato_Inventory[[#This Row],[Patio]]*Lookups!$B$21</f>
        <v>4982.2575850000003</v>
      </c>
      <c r="BS1126" s="7">
        <f>SUM(Wapato_Inventory[[#This Row],[intercept]:[patio_value]])*Wapato_Inventory[[#This Row],[res_pct]]</f>
        <v>201615.74142999999</v>
      </c>
      <c r="BT1126" s="7">
        <f>Wapato_Inventory[[#This Row],[land_value]]</f>
        <v>56400</v>
      </c>
      <c r="BU1126" s="2">
        <f>_xlfn.IFNA(VLOOKUP(Wapato_Inventory[[#This Row],[quality]],Lookups!$A$28:$C$37,3,FALSE),1)</f>
        <v>0.98196844879778955</v>
      </c>
      <c r="BV1126" s="2">
        <f>_xlfn.IFNA(VLOOKUP(Wapato_Inventory[[#This Row],[condition]],Lookups!$A$41:$C$48,3,FALSE),1)</f>
        <v>0.9832333997567807</v>
      </c>
      <c r="BW1126" s="2">
        <f>IF(Wapato_Inventory[[#This Row],[decade]]="",1,_xlfn.IFNA(VLOOKUP(Wapato_Inventory[[#This Row],[decade]],Lookups!$F$28:$H$45,3,FALSE),1))</f>
        <v>0.94742695999815718</v>
      </c>
      <c r="BX1126" s="2">
        <f>_xlfn.IFNA(VLOOKUP(Wapato_Inventory[[#This Row],[living_area_range]],Lookups!$K$28:$M$37,3,FALSE),1)</f>
        <v>0.99330894324714125</v>
      </c>
      <c r="BY1126" s="2">
        <f>AVERAGE(Wapato_Inventory[[#This Row],[qual_adj]:[range_adj]])</f>
        <v>0.97648443794996709</v>
      </c>
      <c r="BZ1126" s="7">
        <f>(Wapato_Inventory[[#This Row],[sum_land]]-IF(Wapato_Inventory[[#This Row],[no_utilities]]=1,12000,0))/IF(Wapato_Inventory[[#This Row],[unbuildable]]=1,2,1)</f>
        <v>56400</v>
      </c>
      <c r="CA1126" s="7">
        <f>Wapato_Inventory[[#This Row],[pre_res]]*Wapato_Inventory[[#This Row],[overall_adj]]</f>
        <v>196874.63395213944</v>
      </c>
      <c r="CB1126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1126" s="3">
        <f>IF(ROUND(Wapato_Inventory[[#This Row],[adj_res]]*Lookups!$H$48,-2)&lt;Wapato_Inventory[[#This Row],[min_res]],Wapato_Inventory[[#This Row],[min_res]],ROUND(Wapato_Inventory[[#This Row],[adj_res]]*Lookups!$H$48,-2))</f>
        <v>187000</v>
      </c>
      <c r="CD1126" s="3">
        <f>ROUND(Wapato_Inventory[[#This Row],[det_value]]*Lookups!$H$48,-2)</f>
        <v>14500</v>
      </c>
      <c r="CE1126" s="3">
        <f>Wapato_Inventory[[#This Row],[final_res]]+Wapato_Inventory[[#This Row],[final_det]]</f>
        <v>201500</v>
      </c>
      <c r="CF1126" s="3">
        <f>Wapato_Inventory[[#This Row],[crop_value]]+Wapato_Inventory[[#This Row],[final_land]]+Wapato_Inventory[[#This Row],[final_imp]]</f>
        <v>255100</v>
      </c>
      <c r="CH1126" t="str">
        <f t="shared" si="17"/>
        <v>update valuation set market_land =53600, market_bldg=201500, market_total =255100, market_mdno =405, market_date ='9/10/2023' where link_id = (select link_id from parcel where parcel_year = '2024' and parcel_id = '19111641007');</v>
      </c>
    </row>
    <row r="1127" spans="1:86" x14ac:dyDescent="0.25">
      <c r="A1127">
        <v>19111641008</v>
      </c>
      <c r="B1127">
        <v>2.3199999999999998</v>
      </c>
      <c r="C1127">
        <v>101127</v>
      </c>
      <c r="D1127" t="s">
        <v>144</v>
      </c>
      <c r="E1127" t="s">
        <v>54</v>
      </c>
      <c r="F1127" t="s">
        <v>54</v>
      </c>
      <c r="G1127">
        <v>3</v>
      </c>
      <c r="H1127" t="s">
        <v>55</v>
      </c>
      <c r="I1127">
        <v>99400</v>
      </c>
      <c r="J1127">
        <v>51100</v>
      </c>
      <c r="K1127">
        <v>2.3199999999999998</v>
      </c>
      <c r="L1127">
        <f>IF(Wapato_Inventory[[#This Row],[parcel_acres]]-Wapato_Inventory[[#This Row],[non_valued_acres]] =0,0,LN(Wapato_Inventory[[#This Row],[parcel_acres]]-Wapato_Inventory[[#This Row],[non_valued_acres]]))</f>
        <v>0.84156718567821853</v>
      </c>
      <c r="M1127">
        <v>0</v>
      </c>
      <c r="N1127">
        <v>0</v>
      </c>
      <c r="O1127">
        <v>0</v>
      </c>
      <c r="P1127">
        <v>27904.037</v>
      </c>
      <c r="Q1127">
        <v>74398</v>
      </c>
      <c r="R1127" s="3">
        <f>(Wapato_Inventory[[#This Row],[ln_acres]]*Wapato_Inventory[[#This Row],[coeff]])+Wapato_Inventory[[#This Row],[const]]</f>
        <v>97881.121887150875</v>
      </c>
      <c r="S1127" t="s">
        <v>66</v>
      </c>
      <c r="T1127">
        <v>1</v>
      </c>
      <c r="U1127" t="s">
        <v>71</v>
      </c>
      <c r="V1127" t="s">
        <v>68</v>
      </c>
      <c r="W1127">
        <v>0</v>
      </c>
      <c r="X1127">
        <v>0</v>
      </c>
      <c r="Y1127">
        <v>57</v>
      </c>
      <c r="Z1127">
        <v>103</v>
      </c>
      <c r="AA1127">
        <v>110</v>
      </c>
      <c r="AB1127">
        <v>1000</v>
      </c>
      <c r="AC1127">
        <v>808</v>
      </c>
      <c r="AD1127">
        <v>808</v>
      </c>
      <c r="AE1127">
        <v>0</v>
      </c>
      <c r="AF1127">
        <v>0</v>
      </c>
      <c r="AG1127">
        <v>0</v>
      </c>
      <c r="AH1127">
        <v>404</v>
      </c>
      <c r="AI1127">
        <v>0</v>
      </c>
      <c r="AJ1127">
        <v>0</v>
      </c>
      <c r="AK1127">
        <v>0</v>
      </c>
      <c r="AL1127">
        <v>0</v>
      </c>
      <c r="AM1127">
        <v>144</v>
      </c>
      <c r="AN1127">
        <v>24</v>
      </c>
      <c r="AO1127">
        <v>0</v>
      </c>
      <c r="AP1127">
        <v>5</v>
      </c>
      <c r="AQ1127">
        <v>0</v>
      </c>
      <c r="AR1127">
        <v>0</v>
      </c>
      <c r="AS1127" t="s">
        <v>59</v>
      </c>
      <c r="AT1127">
        <v>1</v>
      </c>
      <c r="AU1127" t="s">
        <v>64</v>
      </c>
      <c r="AV1127" t="s">
        <v>77</v>
      </c>
      <c r="AW1127">
        <v>0</v>
      </c>
      <c r="AX1127">
        <v>2</v>
      </c>
      <c r="AY1127">
        <v>0</v>
      </c>
      <c r="AZ1127">
        <v>8400</v>
      </c>
      <c r="BA1127">
        <v>100</v>
      </c>
      <c r="BB1127">
        <v>100</v>
      </c>
      <c r="BC1127">
        <v>100</v>
      </c>
      <c r="BD1127">
        <v>100</v>
      </c>
      <c r="BE1127">
        <v>1</v>
      </c>
      <c r="BF1127">
        <v>15000</v>
      </c>
      <c r="BG1127">
        <v>1000</v>
      </c>
      <c r="BH1127" s="7">
        <f>ROUND(Wapato_Inventory[[#This Row],[detatched_value]]*Lookups!$B$22*Lookups!$H$48,-2)</f>
        <v>7500</v>
      </c>
      <c r="BI1127" s="7">
        <f>ROUND(((Wapato_Inventory[[#This Row],[land_extract]]*Lookups!$B$3) +(Lookups!$B$2*0.5))*Lookups!$H$48,-2)</f>
        <v>60500</v>
      </c>
      <c r="BJ1127" s="7">
        <f>IF(Wapato_Inventory[[#This Row],[bldg_style]]="",0,Lookups!$B$2*0.5)</f>
        <v>53765.27</v>
      </c>
      <c r="BK1127" s="7">
        <f>_xlfn.IFNA(VLOOKUP(Wapato_Inventory[[#This Row],[quality]],Lookups!$H$2:$J$14,3,FALSE),0)</f>
        <v>28034</v>
      </c>
      <c r="BL1127" s="7">
        <f>_xlfn.IFNA(VLOOKUP(Wapato_Inventory[[#This Row],[condition]],Lookups!$H$17:$J$24,3,FALSE),0)</f>
        <v>52231</v>
      </c>
      <c r="BM1127" s="7">
        <f>Wapato_Inventory[[#This Row],[Age]]*Lookups!$B$16</f>
        <v>-38179.597099999999</v>
      </c>
      <c r="BN1127" s="7">
        <f>Wapato_Inventory[[#This Row],[Main Floor]]*Lookups!$B$17</f>
        <v>33774.997111999997</v>
      </c>
      <c r="BO1127" s="7">
        <f>Wapato_Inventory[[#This Row],[Upper Floor]]*Lookups!$B$18</f>
        <v>0</v>
      </c>
      <c r="BP1127" s="7">
        <f>Wapato_Inventory[[#This Row],[Fin BSMT]]*Lookups!$B$19</f>
        <v>0</v>
      </c>
      <c r="BQ1127" s="7">
        <f>(Wapato_Inventory[[#This Row],[att_gar]]+Wapato_Inventory[[#This Row],[blt_gar]])*Lookups!$B$20</f>
        <v>0</v>
      </c>
      <c r="BR1127" s="7">
        <f>Wapato_Inventory[[#This Row],[Patio]]*Lookups!$B$21</f>
        <v>6238.6529760000003</v>
      </c>
      <c r="BS1127" s="7">
        <f>SUM(Wapato_Inventory[[#This Row],[intercept]:[patio_value]])*Wapato_Inventory[[#This Row],[res_pct]]</f>
        <v>135864.322988</v>
      </c>
      <c r="BT1127" s="7">
        <f>Wapato_Inventory[[#This Row],[land_value]]</f>
        <v>60500</v>
      </c>
      <c r="BU1127" s="2">
        <f>_xlfn.IFNA(VLOOKUP(Wapato_Inventory[[#This Row],[quality]],Lookups!$A$28:$C$37,3,FALSE),1)</f>
        <v>0.96265813922927435</v>
      </c>
      <c r="BV1127" s="2">
        <f>_xlfn.IFNA(VLOOKUP(Wapato_Inventory[[#This Row],[condition]],Lookups!$A$41:$C$48,3,FALSE),1)</f>
        <v>0.9832333997567807</v>
      </c>
      <c r="BW1127" s="2">
        <f>IF(Wapato_Inventory[[#This Row],[decade]]="",1,_xlfn.IFNA(VLOOKUP(Wapato_Inventory[[#This Row],[decade]],Lookups!$F$28:$H$45,3,FALSE),1))</f>
        <v>0.93664589651353292</v>
      </c>
      <c r="BX1127" s="2">
        <f>_xlfn.IFNA(VLOOKUP(Wapato_Inventory[[#This Row],[living_area_range]],Lookups!$K$28:$M$37,3,FALSE),1)</f>
        <v>0.99022994770196116</v>
      </c>
      <c r="BY1127" s="2">
        <f>AVERAGE(Wapato_Inventory[[#This Row],[qual_adj]:[range_adj]])</f>
        <v>0.9681918458003872</v>
      </c>
      <c r="BZ1127" s="7">
        <f>(Wapato_Inventory[[#This Row],[sum_land]]-IF(Wapato_Inventory[[#This Row],[no_utilities]]=1,12000,0))/IF(Wapato_Inventory[[#This Row],[unbuildable]]=1,2,1)</f>
        <v>60500</v>
      </c>
      <c r="CA1127" s="7">
        <f>Wapato_Inventory[[#This Row],[pre_res]]*Wapato_Inventory[[#This Row],[overall_adj]]</f>
        <v>131542.72965217169</v>
      </c>
      <c r="CB1127" s="3">
        <f>IF(ROUND(Wapato_Inventory[[#This Row],[adj_land]]*Lookups!$H$48,-2)&lt;Wapato_Inventory[[#This Row],[min_land]],Wapato_Inventory[[#This Row],[min_land]],ROUND(Wapato_Inventory[[#This Row],[adj_land]]*Lookups!$H$48,-2))</f>
        <v>57500</v>
      </c>
      <c r="CC1127" s="3">
        <f>IF(ROUND(Wapato_Inventory[[#This Row],[adj_res]]*Lookups!$H$48,-2)&lt;Wapato_Inventory[[#This Row],[min_res]],Wapato_Inventory[[#This Row],[min_res]],ROUND(Wapato_Inventory[[#This Row],[adj_res]]*Lookups!$H$48,-2))</f>
        <v>125000</v>
      </c>
      <c r="CD1127" s="3">
        <f>ROUND(Wapato_Inventory[[#This Row],[det_value]]*Lookups!$H$48,-2)</f>
        <v>7100</v>
      </c>
      <c r="CE1127" s="3">
        <f>Wapato_Inventory[[#This Row],[final_res]]+Wapato_Inventory[[#This Row],[final_det]]</f>
        <v>132100</v>
      </c>
      <c r="CF1127" s="3">
        <f>Wapato_Inventory[[#This Row],[crop_value]]+Wapato_Inventory[[#This Row],[final_land]]+Wapato_Inventory[[#This Row],[final_imp]]</f>
        <v>189600</v>
      </c>
      <c r="CH1127" t="str">
        <f t="shared" si="17"/>
        <v>update valuation set market_land =57500, market_bldg=132100, market_total =189600, market_mdno =405, market_date ='9/10/2023' where link_id = (select link_id from parcel where parcel_year = '2024' and parcel_id = '19111641008');</v>
      </c>
    </row>
    <row r="1128" spans="1:86" x14ac:dyDescent="0.25">
      <c r="A1128">
        <v>19111641015</v>
      </c>
      <c r="B1128">
        <v>1.21</v>
      </c>
      <c r="C1128" t="s">
        <v>144</v>
      </c>
      <c r="D1128" t="s">
        <v>144</v>
      </c>
      <c r="E1128" t="s">
        <v>54</v>
      </c>
      <c r="F1128" t="s">
        <v>54</v>
      </c>
      <c r="G1128">
        <v>3</v>
      </c>
      <c r="H1128" t="s">
        <v>55</v>
      </c>
      <c r="I1128">
        <v>0</v>
      </c>
      <c r="J1128">
        <v>46600</v>
      </c>
      <c r="K1128">
        <v>1.21</v>
      </c>
      <c r="L1128">
        <f>IF(Wapato_Inventory[[#This Row],[parcel_acres]]-Wapato_Inventory[[#This Row],[non_valued_acres]] =0,0,LN(Wapato_Inventory[[#This Row],[parcel_acres]]-Wapato_Inventory[[#This Row],[non_valued_acres]]))</f>
        <v>0.1906203596086497</v>
      </c>
      <c r="M1128">
        <v>0</v>
      </c>
      <c r="N1128">
        <v>0</v>
      </c>
      <c r="O1128">
        <v>0</v>
      </c>
      <c r="P1128">
        <v>27904.037</v>
      </c>
      <c r="Q1128">
        <v>74398</v>
      </c>
      <c r="R1128" s="3">
        <f>(Wapato_Inventory[[#This Row],[ln_acres]]*Wapato_Inventory[[#This Row],[coeff]])+Wapato_Inventory[[#This Row],[const]]</f>
        <v>79717.077567473068</v>
      </c>
      <c r="S1128" t="s">
        <v>83</v>
      </c>
      <c r="T1128">
        <v>1</v>
      </c>
      <c r="U1128" t="s">
        <v>86</v>
      </c>
      <c r="V1128" t="s">
        <v>110</v>
      </c>
      <c r="W1128">
        <v>0</v>
      </c>
      <c r="X1128">
        <v>0</v>
      </c>
      <c r="Y1128">
        <v>163</v>
      </c>
      <c r="Z1128">
        <v>163</v>
      </c>
      <c r="AA1128">
        <v>170</v>
      </c>
      <c r="AB1128">
        <v>500</v>
      </c>
      <c r="AC1128">
        <v>416</v>
      </c>
      <c r="AD1128">
        <v>416</v>
      </c>
      <c r="AE1128">
        <v>0</v>
      </c>
      <c r="AF1128">
        <v>0</v>
      </c>
      <c r="AG1128">
        <v>0</v>
      </c>
      <c r="AH1128">
        <v>0</v>
      </c>
      <c r="AI1128">
        <v>0</v>
      </c>
      <c r="AJ1128">
        <v>0</v>
      </c>
      <c r="AK1128">
        <v>0</v>
      </c>
      <c r="AL1128">
        <v>0</v>
      </c>
      <c r="AM1128">
        <v>0</v>
      </c>
      <c r="AN1128">
        <v>0</v>
      </c>
      <c r="AO1128">
        <v>0</v>
      </c>
      <c r="AP1128">
        <v>2</v>
      </c>
      <c r="AQ1128">
        <v>1</v>
      </c>
      <c r="AR1128">
        <v>0</v>
      </c>
      <c r="AS1128" t="s">
        <v>82</v>
      </c>
      <c r="AT1128">
        <v>0</v>
      </c>
      <c r="AU1128" t="s">
        <v>80</v>
      </c>
      <c r="AV1128" t="s">
        <v>65</v>
      </c>
      <c r="AW1128">
        <v>0</v>
      </c>
      <c r="AX1128">
        <v>1</v>
      </c>
      <c r="AY1128">
        <v>0</v>
      </c>
      <c r="AZ1128">
        <v>0</v>
      </c>
      <c r="BA1128">
        <v>100</v>
      </c>
      <c r="BB1128">
        <v>100</v>
      </c>
      <c r="BC1128">
        <v>100</v>
      </c>
      <c r="BD1128">
        <v>100</v>
      </c>
      <c r="BE1128">
        <v>0</v>
      </c>
      <c r="BF1128">
        <v>15000</v>
      </c>
      <c r="BG1128">
        <v>0</v>
      </c>
      <c r="BH1128" s="7">
        <f>ROUND(Wapato_Inventory[[#This Row],[detatched_value]]*Lookups!$B$22*Lookups!$H$48,-2)</f>
        <v>0</v>
      </c>
      <c r="BI1128" s="7">
        <f>ROUND(((Wapato_Inventory[[#This Row],[land_extract]]*Lookups!$B$3) +(Lookups!$B$2*0.5))*Lookups!$H$48,-2)</f>
        <v>58800</v>
      </c>
      <c r="BJ1128" s="7">
        <f>IF(Wapato_Inventory[[#This Row],[bldg_style]]="",0,Lookups!$B$2*0.5)</f>
        <v>53765.27</v>
      </c>
      <c r="BK1128" s="7">
        <f>_xlfn.IFNA(VLOOKUP(Wapato_Inventory[[#This Row],[quality]],Lookups!$H$2:$J$14,3,FALSE),0)</f>
        <v>0</v>
      </c>
      <c r="BL1128" s="7">
        <f>_xlfn.IFNA(VLOOKUP(Wapato_Inventory[[#This Row],[condition]],Lookups!$H$17:$J$24,3,FALSE),0)</f>
        <v>-49363</v>
      </c>
      <c r="BM1128" s="7">
        <f>Wapato_Inventory[[#This Row],[Age]]*Lookups!$B$16</f>
        <v>-60420.1391</v>
      </c>
      <c r="BN1128" s="7">
        <f>Wapato_Inventory[[#This Row],[Main Floor]]*Lookups!$B$17</f>
        <v>17389.107424000002</v>
      </c>
      <c r="BO1128" s="7">
        <f>Wapato_Inventory[[#This Row],[Upper Floor]]*Lookups!$B$18</f>
        <v>0</v>
      </c>
      <c r="BP1128" s="7">
        <f>Wapato_Inventory[[#This Row],[Fin BSMT]]*Lookups!$B$19</f>
        <v>0</v>
      </c>
      <c r="BQ1128" s="7">
        <f>(Wapato_Inventory[[#This Row],[att_gar]]+Wapato_Inventory[[#This Row],[blt_gar]])*Lookups!$B$20</f>
        <v>0</v>
      </c>
      <c r="BR1128" s="7">
        <f>Wapato_Inventory[[#This Row],[Patio]]*Lookups!$B$21</f>
        <v>0</v>
      </c>
      <c r="BS1128" s="7">
        <f>SUM(Wapato_Inventory[[#This Row],[intercept]:[patio_value]])*Wapato_Inventory[[#This Row],[res_pct]]</f>
        <v>0</v>
      </c>
      <c r="BT1128" s="7">
        <f>Wapato_Inventory[[#This Row],[land_value]]</f>
        <v>58800</v>
      </c>
      <c r="BU1128" s="2">
        <f>_xlfn.IFNA(VLOOKUP(Wapato_Inventory[[#This Row],[quality]],Lookups!$A$28:$C$37,3,FALSE),1)</f>
        <v>1.0000010866511106</v>
      </c>
      <c r="BV1128" s="2">
        <f>_xlfn.IFNA(VLOOKUP(Wapato_Inventory[[#This Row],[condition]],Lookups!$A$41:$C$48,3,FALSE),1)</f>
        <v>0</v>
      </c>
      <c r="BW1128" s="2">
        <f>IF(Wapato_Inventory[[#This Row],[decade]]="",1,_xlfn.IFNA(VLOOKUP(Wapato_Inventory[[#This Row],[decade]],Lookups!$F$28:$H$45,3,FALSE),1))</f>
        <v>0.93664589651353292</v>
      </c>
      <c r="BX1128" s="2">
        <f>_xlfn.IFNA(VLOOKUP(Wapato_Inventory[[#This Row],[living_area_range]],Lookups!$K$28:$M$37,3,FALSE),1)</f>
        <v>0.62984720518148585</v>
      </c>
      <c r="BY1128" s="2">
        <f>AVERAGE(Wapato_Inventory[[#This Row],[qual_adj]:[range_adj]])</f>
        <v>0.64162354708653235</v>
      </c>
      <c r="BZ1128" s="7">
        <f>(Wapato_Inventory[[#This Row],[sum_land]]-IF(Wapato_Inventory[[#This Row],[no_utilities]]=1,12000,0))/IF(Wapato_Inventory[[#This Row],[unbuildable]]=1,2,1)</f>
        <v>58800</v>
      </c>
      <c r="CA1128" s="7">
        <f>Wapato_Inventory[[#This Row],[pre_res]]*Wapato_Inventory[[#This Row],[overall_adj]]</f>
        <v>0</v>
      </c>
      <c r="CB1128" s="3">
        <f>IF(ROUND(Wapato_Inventory[[#This Row],[adj_land]]*Lookups!$H$48,-2)&lt;Wapato_Inventory[[#This Row],[min_land]],Wapato_Inventory[[#This Row],[min_land]],ROUND(Wapato_Inventory[[#This Row],[adj_land]]*Lookups!$H$48,-2))</f>
        <v>55900</v>
      </c>
      <c r="CC112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128" s="3">
        <f>ROUND(Wapato_Inventory[[#This Row],[det_value]]*Lookups!$H$48,-2)</f>
        <v>0</v>
      </c>
      <c r="CE1128" s="3">
        <f>Wapato_Inventory[[#This Row],[final_res]]+Wapato_Inventory[[#This Row],[final_det]]</f>
        <v>0</v>
      </c>
      <c r="CF1128" s="3">
        <f>Wapato_Inventory[[#This Row],[crop_value]]+Wapato_Inventory[[#This Row],[final_land]]+Wapato_Inventory[[#This Row],[final_imp]]</f>
        <v>55900</v>
      </c>
      <c r="CH1128" t="str">
        <f t="shared" si="17"/>
        <v>update valuation set market_land =55900, market_bldg=0, market_total =55900, market_mdno =405, market_date ='9/10/2023' where link_id = (select link_id from parcel where parcel_year = '2024' and parcel_id = '19111641015');</v>
      </c>
    </row>
    <row r="1129" spans="1:86" x14ac:dyDescent="0.25">
      <c r="A1129">
        <v>19111641018</v>
      </c>
      <c r="B1129">
        <v>0.28000000000000003</v>
      </c>
      <c r="C1129">
        <v>11985</v>
      </c>
      <c r="D1129" t="s">
        <v>144</v>
      </c>
      <c r="E1129" t="s">
        <v>54</v>
      </c>
      <c r="F1129" t="s">
        <v>54</v>
      </c>
      <c r="G1129">
        <v>3</v>
      </c>
      <c r="H1129" t="s">
        <v>55</v>
      </c>
      <c r="I1129">
        <v>132800</v>
      </c>
      <c r="J1129">
        <v>36300</v>
      </c>
      <c r="K1129">
        <v>0.28000000000000003</v>
      </c>
      <c r="L1129">
        <f>IF(Wapato_Inventory[[#This Row],[parcel_acres]]-Wapato_Inventory[[#This Row],[non_valued_acres]] =0,0,LN(Wapato_Inventory[[#This Row],[parcel_acres]]-Wapato_Inventory[[#This Row],[non_valued_acres]]))</f>
        <v>-1.2729656758128873</v>
      </c>
      <c r="M1129">
        <v>0</v>
      </c>
      <c r="N1129">
        <v>0</v>
      </c>
      <c r="O1129">
        <v>0</v>
      </c>
      <c r="P1129">
        <v>27904.037</v>
      </c>
      <c r="Q1129">
        <v>74398</v>
      </c>
      <c r="R1129" s="3">
        <f>(Wapato_Inventory[[#This Row],[ln_acres]]*Wapato_Inventory[[#This Row],[coeff]])+Wapato_Inventory[[#This Row],[const]]</f>
        <v>38877.118682387183</v>
      </c>
      <c r="S1129" t="s">
        <v>66</v>
      </c>
      <c r="T1129">
        <v>1</v>
      </c>
      <c r="U1129" t="s">
        <v>75</v>
      </c>
      <c r="V1129" t="s">
        <v>68</v>
      </c>
      <c r="W1129">
        <v>0</v>
      </c>
      <c r="X1129">
        <v>0</v>
      </c>
      <c r="Y1129">
        <v>53</v>
      </c>
      <c r="Z1129">
        <v>93</v>
      </c>
      <c r="AA1129">
        <v>100</v>
      </c>
      <c r="AB1129">
        <v>1500</v>
      </c>
      <c r="AC1129">
        <v>1039</v>
      </c>
      <c r="AD1129">
        <v>1039</v>
      </c>
      <c r="AE1129">
        <v>0</v>
      </c>
      <c r="AF1129">
        <v>0</v>
      </c>
      <c r="AG1129">
        <v>0</v>
      </c>
      <c r="AH1129">
        <v>0</v>
      </c>
      <c r="AI1129">
        <v>0</v>
      </c>
      <c r="AJ1129">
        <v>0</v>
      </c>
      <c r="AK1129">
        <v>526</v>
      </c>
      <c r="AL1129">
        <v>0</v>
      </c>
      <c r="AM1129">
        <v>0</v>
      </c>
      <c r="AN1129">
        <v>0</v>
      </c>
      <c r="AO1129">
        <v>0</v>
      </c>
      <c r="AP1129">
        <v>5</v>
      </c>
      <c r="AQ1129">
        <v>0</v>
      </c>
      <c r="AR1129">
        <v>0</v>
      </c>
      <c r="AS1129" t="s">
        <v>59</v>
      </c>
      <c r="AT1129">
        <v>1</v>
      </c>
      <c r="AU1129" t="s">
        <v>64</v>
      </c>
      <c r="AV1129" t="s">
        <v>77</v>
      </c>
      <c r="AW1129">
        <v>0</v>
      </c>
      <c r="AX1129">
        <v>2</v>
      </c>
      <c r="AY1129">
        <v>0</v>
      </c>
      <c r="AZ1129">
        <v>0</v>
      </c>
      <c r="BA1129">
        <v>100</v>
      </c>
      <c r="BB1129">
        <v>100</v>
      </c>
      <c r="BC1129">
        <v>100</v>
      </c>
      <c r="BD1129">
        <v>100</v>
      </c>
      <c r="BE1129">
        <v>1</v>
      </c>
      <c r="BF1129">
        <v>15000</v>
      </c>
      <c r="BG1129">
        <v>1000</v>
      </c>
      <c r="BH1129" s="7">
        <f>ROUND(Wapato_Inventory[[#This Row],[detatched_value]]*Lookups!$B$22*Lookups!$H$48,-2)</f>
        <v>0</v>
      </c>
      <c r="BI1129" s="7">
        <f>ROUND(((Wapato_Inventory[[#This Row],[land_extract]]*Lookups!$B$3) +(Lookups!$B$2*0.5))*Lookups!$H$48,-2)</f>
        <v>54800</v>
      </c>
      <c r="BJ1129" s="7">
        <f>IF(Wapato_Inventory[[#This Row],[bldg_style]]="",0,Lookups!$B$2*0.5)</f>
        <v>53765.27</v>
      </c>
      <c r="BK1129" s="7">
        <f>_xlfn.IFNA(VLOOKUP(Wapato_Inventory[[#This Row],[quality]],Lookups!$H$2:$J$14,3,FALSE),0)</f>
        <v>48043</v>
      </c>
      <c r="BL1129" s="7">
        <f>_xlfn.IFNA(VLOOKUP(Wapato_Inventory[[#This Row],[condition]],Lookups!$H$17:$J$24,3,FALSE),0)</f>
        <v>52231</v>
      </c>
      <c r="BM1129" s="7">
        <f>Wapato_Inventory[[#This Row],[Age]]*Lookups!$B$16</f>
        <v>-34472.840100000001</v>
      </c>
      <c r="BN1129" s="7">
        <f>Wapato_Inventory[[#This Row],[Main Floor]]*Lookups!$B$17</f>
        <v>43430.967820999998</v>
      </c>
      <c r="BO1129" s="7">
        <f>Wapato_Inventory[[#This Row],[Upper Floor]]*Lookups!$B$18</f>
        <v>0</v>
      </c>
      <c r="BP1129" s="7">
        <f>Wapato_Inventory[[#This Row],[Fin BSMT]]*Lookups!$B$19</f>
        <v>0</v>
      </c>
      <c r="BQ1129" s="7">
        <f>(Wapato_Inventory[[#This Row],[att_gar]]+Wapato_Inventory[[#This Row],[blt_gar]])*Lookups!$B$20</f>
        <v>0</v>
      </c>
      <c r="BR1129" s="7">
        <f>Wapato_Inventory[[#This Row],[Patio]]*Lookups!$B$21</f>
        <v>0</v>
      </c>
      <c r="BS1129" s="7">
        <f>SUM(Wapato_Inventory[[#This Row],[intercept]:[patio_value]])*Wapato_Inventory[[#This Row],[res_pct]]</f>
        <v>162997.39772099999</v>
      </c>
      <c r="BT1129" s="7">
        <f>Wapato_Inventory[[#This Row],[land_value]]</f>
        <v>54800</v>
      </c>
      <c r="BU1129" s="2">
        <f>_xlfn.IFNA(VLOOKUP(Wapato_Inventory[[#This Row],[quality]],Lookups!$A$28:$C$37,3,FALSE),1)</f>
        <v>0.98196844879778955</v>
      </c>
      <c r="BV1129" s="2">
        <f>_xlfn.IFNA(VLOOKUP(Wapato_Inventory[[#This Row],[condition]],Lookups!$A$41:$C$48,3,FALSE),1)</f>
        <v>0.9832333997567807</v>
      </c>
      <c r="BW1129" s="2">
        <f>IF(Wapato_Inventory[[#This Row],[decade]]="",1,_xlfn.IFNA(VLOOKUP(Wapato_Inventory[[#This Row],[decade]],Lookups!$F$28:$H$45,3,FALSE),1))</f>
        <v>1.0114203040664467</v>
      </c>
      <c r="BX1129" s="2">
        <f>_xlfn.IFNA(VLOOKUP(Wapato_Inventory[[#This Row],[living_area_range]],Lookups!$K$28:$M$37,3,FALSE),1)</f>
        <v>1.0061411172456287</v>
      </c>
      <c r="BY1129" s="2">
        <f>AVERAGE(Wapato_Inventory[[#This Row],[qual_adj]:[range_adj]])</f>
        <v>0.99569081746666144</v>
      </c>
      <c r="BZ1129" s="7">
        <f>(Wapato_Inventory[[#This Row],[sum_land]]-IF(Wapato_Inventory[[#This Row],[no_utilities]]=1,12000,0))/IF(Wapato_Inventory[[#This Row],[unbuildable]]=1,2,1)</f>
        <v>54800</v>
      </c>
      <c r="CA1129" s="7">
        <f>Wapato_Inventory[[#This Row],[pre_res]]*Wapato_Inventory[[#This Row],[overall_adj]]</f>
        <v>162295.01218176101</v>
      </c>
      <c r="CB1129" s="3">
        <f>IF(ROUND(Wapato_Inventory[[#This Row],[adj_land]]*Lookups!$H$48,-2)&lt;Wapato_Inventory[[#This Row],[min_land]],Wapato_Inventory[[#This Row],[min_land]],ROUND(Wapato_Inventory[[#This Row],[adj_land]]*Lookups!$H$48,-2))</f>
        <v>52100</v>
      </c>
      <c r="CC1129" s="3">
        <f>IF(ROUND(Wapato_Inventory[[#This Row],[adj_res]]*Lookups!$H$48,-2)&lt;Wapato_Inventory[[#This Row],[min_res]],Wapato_Inventory[[#This Row],[min_res]],ROUND(Wapato_Inventory[[#This Row],[adj_res]]*Lookups!$H$48,-2))</f>
        <v>154200</v>
      </c>
      <c r="CD1129" s="3">
        <f>ROUND(Wapato_Inventory[[#This Row],[det_value]]*Lookups!$H$48,-2)</f>
        <v>0</v>
      </c>
      <c r="CE1129" s="3">
        <f>Wapato_Inventory[[#This Row],[final_res]]+Wapato_Inventory[[#This Row],[final_det]]</f>
        <v>154200</v>
      </c>
      <c r="CF1129" s="3">
        <f>Wapato_Inventory[[#This Row],[crop_value]]+Wapato_Inventory[[#This Row],[final_land]]+Wapato_Inventory[[#This Row],[final_imp]]</f>
        <v>206300</v>
      </c>
      <c r="CH1129" t="str">
        <f t="shared" si="17"/>
        <v>update valuation set market_land =52100, market_bldg=154200, market_total =206300, market_mdno =405, market_date ='9/10/2023' where link_id = (select link_id from parcel where parcel_year = '2024' and parcel_id = '19111641018');</v>
      </c>
    </row>
    <row r="1130" spans="1:86" x14ac:dyDescent="0.25">
      <c r="A1130">
        <v>19111641027</v>
      </c>
      <c r="B1130">
        <v>1.1200000000000001</v>
      </c>
      <c r="C1130">
        <v>48776</v>
      </c>
      <c r="D1130" t="s">
        <v>144</v>
      </c>
      <c r="E1130" t="s">
        <v>54</v>
      </c>
      <c r="F1130" t="s">
        <v>54</v>
      </c>
      <c r="G1130">
        <v>3</v>
      </c>
      <c r="H1130" t="s">
        <v>55</v>
      </c>
      <c r="I1130">
        <v>82300</v>
      </c>
      <c r="J1130">
        <v>46000</v>
      </c>
      <c r="K1130">
        <v>1.1200000000000001</v>
      </c>
      <c r="L1130">
        <f>IF(Wapato_Inventory[[#This Row],[parcel_acres]]-Wapato_Inventory[[#This Row],[non_valued_acres]] =0,0,LN(Wapato_Inventory[[#This Row],[parcel_acres]]-Wapato_Inventory[[#This Row],[non_valued_acres]]))</f>
        <v>0.11332868530700327</v>
      </c>
      <c r="M1130">
        <v>0</v>
      </c>
      <c r="N1130">
        <v>0</v>
      </c>
      <c r="O1130">
        <v>0</v>
      </c>
      <c r="P1130">
        <v>27904.037</v>
      </c>
      <c r="Q1130">
        <v>74398</v>
      </c>
      <c r="R1130" s="3">
        <f>(Wapato_Inventory[[#This Row],[ln_acres]]*Wapato_Inventory[[#This Row],[coeff]])+Wapato_Inventory[[#This Row],[const]]</f>
        <v>77560.32782796798</v>
      </c>
      <c r="S1130" t="s">
        <v>66</v>
      </c>
      <c r="T1130">
        <v>1</v>
      </c>
      <c r="U1130" t="s">
        <v>78</v>
      </c>
      <c r="V1130" t="s">
        <v>73</v>
      </c>
      <c r="W1130">
        <v>0</v>
      </c>
      <c r="X1130">
        <v>0</v>
      </c>
      <c r="Y1130">
        <v>57</v>
      </c>
      <c r="Z1130">
        <v>103</v>
      </c>
      <c r="AA1130">
        <v>110</v>
      </c>
      <c r="AB1130">
        <v>1000</v>
      </c>
      <c r="AC1130">
        <v>862</v>
      </c>
      <c r="AD1130">
        <v>862</v>
      </c>
      <c r="AE1130">
        <v>0</v>
      </c>
      <c r="AF1130">
        <v>0</v>
      </c>
      <c r="AG1130">
        <v>0</v>
      </c>
      <c r="AH1130">
        <v>0</v>
      </c>
      <c r="AI1130">
        <v>0</v>
      </c>
      <c r="AJ1130">
        <v>0</v>
      </c>
      <c r="AK1130">
        <v>0</v>
      </c>
      <c r="AL1130">
        <v>60</v>
      </c>
      <c r="AM1130">
        <v>0</v>
      </c>
      <c r="AN1130">
        <v>161</v>
      </c>
      <c r="AO1130">
        <v>0</v>
      </c>
      <c r="AP1130">
        <v>5</v>
      </c>
      <c r="AQ1130">
        <v>0</v>
      </c>
      <c r="AR1130">
        <v>0</v>
      </c>
      <c r="AS1130" t="s">
        <v>59</v>
      </c>
      <c r="AT1130">
        <v>1</v>
      </c>
      <c r="AU1130" t="s">
        <v>64</v>
      </c>
      <c r="AV1130" t="s">
        <v>61</v>
      </c>
      <c r="AW1130">
        <v>0</v>
      </c>
      <c r="AX1130">
        <v>2</v>
      </c>
      <c r="AY1130">
        <v>0</v>
      </c>
      <c r="AZ1130">
        <v>0</v>
      </c>
      <c r="BA1130">
        <v>100</v>
      </c>
      <c r="BB1130">
        <v>100</v>
      </c>
      <c r="BC1130">
        <v>100</v>
      </c>
      <c r="BD1130">
        <v>100</v>
      </c>
      <c r="BE1130">
        <v>1</v>
      </c>
      <c r="BF1130">
        <v>15000</v>
      </c>
      <c r="BG1130">
        <v>1000</v>
      </c>
      <c r="BH1130" s="7">
        <f>ROUND(Wapato_Inventory[[#This Row],[detatched_value]]*Lookups!$B$22*Lookups!$H$48,-2)</f>
        <v>0</v>
      </c>
      <c r="BI1130" s="7">
        <f>ROUND(((Wapato_Inventory[[#This Row],[land_extract]]*Lookups!$B$3) +(Lookups!$B$2*0.5))*Lookups!$H$48,-2)</f>
        <v>58600</v>
      </c>
      <c r="BJ1130" s="7">
        <f>IF(Wapato_Inventory[[#This Row],[bldg_style]]="",0,Lookups!$B$2*0.5)</f>
        <v>53765.27</v>
      </c>
      <c r="BK1130" s="7">
        <f>_xlfn.IFNA(VLOOKUP(Wapato_Inventory[[#This Row],[quality]],Lookups!$H$2:$J$14,3,FALSE),0)</f>
        <v>23424</v>
      </c>
      <c r="BL1130" s="7">
        <f>_xlfn.IFNA(VLOOKUP(Wapato_Inventory[[#This Row],[condition]],Lookups!$H$17:$J$24,3,FALSE),0)</f>
        <v>16276</v>
      </c>
      <c r="BM1130" s="7">
        <f>Wapato_Inventory[[#This Row],[Age]]*Lookups!$B$16</f>
        <v>-38179.597099999999</v>
      </c>
      <c r="BN1130" s="7">
        <f>Wapato_Inventory[[#This Row],[Main Floor]]*Lookups!$B$17</f>
        <v>36032.237018</v>
      </c>
      <c r="BO1130" s="7">
        <f>Wapato_Inventory[[#This Row],[Upper Floor]]*Lookups!$B$18</f>
        <v>0</v>
      </c>
      <c r="BP1130" s="7">
        <f>Wapato_Inventory[[#This Row],[Fin BSMT]]*Lookups!$B$19</f>
        <v>0</v>
      </c>
      <c r="BQ1130" s="7">
        <f>(Wapato_Inventory[[#This Row],[att_gar]]+Wapato_Inventory[[#This Row],[blt_gar]])*Lookups!$B$20</f>
        <v>0</v>
      </c>
      <c r="BR1130" s="7">
        <f>Wapato_Inventory[[#This Row],[Patio]]*Lookups!$B$21</f>
        <v>0</v>
      </c>
      <c r="BS1130" s="7">
        <f>SUM(Wapato_Inventory[[#This Row],[intercept]:[patio_value]])*Wapato_Inventory[[#This Row],[res_pct]]</f>
        <v>91317.90991799999</v>
      </c>
      <c r="BT1130" s="7">
        <f>Wapato_Inventory[[#This Row],[land_value]]</f>
        <v>58600</v>
      </c>
      <c r="BU1130" s="2">
        <f>_xlfn.IFNA(VLOOKUP(Wapato_Inventory[[#This Row],[quality]],Lookups!$A$28:$C$37,3,FALSE),1)</f>
        <v>1.0091195562373767</v>
      </c>
      <c r="BV1130" s="2">
        <f>_xlfn.IFNA(VLOOKUP(Wapato_Inventory[[#This Row],[condition]],Lookups!$A$41:$C$48,3,FALSE),1)</f>
        <v>0.93399385491337139</v>
      </c>
      <c r="BW1130" s="2">
        <f>IF(Wapato_Inventory[[#This Row],[decade]]="",1,_xlfn.IFNA(VLOOKUP(Wapato_Inventory[[#This Row],[decade]],Lookups!$F$28:$H$45,3,FALSE),1))</f>
        <v>0.93664589651353292</v>
      </c>
      <c r="BX1130" s="2">
        <f>_xlfn.IFNA(VLOOKUP(Wapato_Inventory[[#This Row],[living_area_range]],Lookups!$K$28:$M$37,3,FALSE),1)</f>
        <v>0.99022994770196116</v>
      </c>
      <c r="BY1130" s="2">
        <f>AVERAGE(Wapato_Inventory[[#This Row],[qual_adj]:[range_adj]])</f>
        <v>0.96749731384156046</v>
      </c>
      <c r="BZ1130" s="7">
        <f>(Wapato_Inventory[[#This Row],[sum_land]]-IF(Wapato_Inventory[[#This Row],[no_utilities]]=1,12000,0))/IF(Wapato_Inventory[[#This Row],[unbuildable]]=1,2,1)</f>
        <v>58600</v>
      </c>
      <c r="CA1130" s="7">
        <f>Wapato_Inventory[[#This Row],[pre_res]]*Wapato_Inventory[[#This Row],[overall_adj]]</f>
        <v>88349.832551290587</v>
      </c>
      <c r="CB1130" s="3">
        <f>IF(ROUND(Wapato_Inventory[[#This Row],[adj_land]]*Lookups!$H$48,-2)&lt;Wapato_Inventory[[#This Row],[min_land]],Wapato_Inventory[[#This Row],[min_land]],ROUND(Wapato_Inventory[[#This Row],[adj_land]]*Lookups!$H$48,-2))</f>
        <v>55700</v>
      </c>
      <c r="CC1130" s="3">
        <f>IF(ROUND(Wapato_Inventory[[#This Row],[adj_res]]*Lookups!$H$48,-2)&lt;Wapato_Inventory[[#This Row],[min_res]],Wapato_Inventory[[#This Row],[min_res]],ROUND(Wapato_Inventory[[#This Row],[adj_res]]*Lookups!$H$48,-2))</f>
        <v>83900</v>
      </c>
      <c r="CD1130" s="3">
        <f>ROUND(Wapato_Inventory[[#This Row],[det_value]]*Lookups!$H$48,-2)</f>
        <v>0</v>
      </c>
      <c r="CE1130" s="3">
        <f>Wapato_Inventory[[#This Row],[final_res]]+Wapato_Inventory[[#This Row],[final_det]]</f>
        <v>83900</v>
      </c>
      <c r="CF1130" s="3">
        <f>Wapato_Inventory[[#This Row],[crop_value]]+Wapato_Inventory[[#This Row],[final_land]]+Wapato_Inventory[[#This Row],[final_imp]]</f>
        <v>139600</v>
      </c>
      <c r="CH1130" t="str">
        <f t="shared" si="17"/>
        <v>update valuation set market_land =55700, market_bldg=83900, market_total =139600, market_mdno =405, market_date ='9/10/2023' where link_id = (select link_id from parcel where parcel_year = '2024' and parcel_id = '19111641027');</v>
      </c>
    </row>
    <row r="1131" spans="1:86" x14ac:dyDescent="0.25">
      <c r="A1131">
        <v>19111641403</v>
      </c>
      <c r="B1131">
        <v>1.59</v>
      </c>
      <c r="C1131" t="s">
        <v>144</v>
      </c>
      <c r="D1131" t="s">
        <v>144</v>
      </c>
      <c r="E1131" t="s">
        <v>54</v>
      </c>
      <c r="F1131" t="s">
        <v>54</v>
      </c>
      <c r="G1131">
        <v>3</v>
      </c>
      <c r="H1131" t="s">
        <v>55</v>
      </c>
      <c r="I1131">
        <v>148900</v>
      </c>
      <c r="J1131">
        <v>48500</v>
      </c>
      <c r="K1131">
        <v>1.59</v>
      </c>
      <c r="L1131">
        <f>IF(Wapato_Inventory[[#This Row],[parcel_acres]]-Wapato_Inventory[[#This Row],[non_valued_acres]] =0,0,LN(Wapato_Inventory[[#This Row],[parcel_acres]]-Wapato_Inventory[[#This Row],[non_valued_acres]]))</f>
        <v>0.46373401623214022</v>
      </c>
      <c r="M1131">
        <v>0</v>
      </c>
      <c r="N1131">
        <v>0</v>
      </c>
      <c r="O1131">
        <v>0</v>
      </c>
      <c r="P1131">
        <v>27904.037</v>
      </c>
      <c r="Q1131">
        <v>74398</v>
      </c>
      <c r="R1131" s="3">
        <f>(Wapato_Inventory[[#This Row],[ln_acres]]*Wapato_Inventory[[#This Row],[coeff]])+Wapato_Inventory[[#This Row],[const]]</f>
        <v>87338.051147100239</v>
      </c>
      <c r="S1131" t="s">
        <v>56</v>
      </c>
      <c r="T1131">
        <v>2</v>
      </c>
      <c r="U1131" t="s">
        <v>71</v>
      </c>
      <c r="V1131" t="s">
        <v>68</v>
      </c>
      <c r="W1131">
        <v>0</v>
      </c>
      <c r="X1131">
        <v>0</v>
      </c>
      <c r="Y1131">
        <v>57</v>
      </c>
      <c r="Z1131">
        <v>103</v>
      </c>
      <c r="AA1131">
        <v>110</v>
      </c>
      <c r="AB1131">
        <v>2000</v>
      </c>
      <c r="AC1131">
        <v>1520</v>
      </c>
      <c r="AD1131">
        <v>1040</v>
      </c>
      <c r="AE1131">
        <v>480</v>
      </c>
      <c r="AF1131">
        <v>0</v>
      </c>
      <c r="AG1131">
        <v>0</v>
      </c>
      <c r="AH1131">
        <v>520</v>
      </c>
      <c r="AI1131">
        <v>0</v>
      </c>
      <c r="AJ1131">
        <v>0</v>
      </c>
      <c r="AK1131">
        <v>0</v>
      </c>
      <c r="AL1131">
        <v>0</v>
      </c>
      <c r="AM1131">
        <v>0</v>
      </c>
      <c r="AN1131">
        <v>0</v>
      </c>
      <c r="AO1131">
        <v>0</v>
      </c>
      <c r="AP1131">
        <v>5</v>
      </c>
      <c r="AQ1131">
        <v>0</v>
      </c>
      <c r="AR1131">
        <v>1</v>
      </c>
      <c r="AS1131" t="s">
        <v>59</v>
      </c>
      <c r="AT1131">
        <v>1</v>
      </c>
      <c r="AU1131" t="s">
        <v>64</v>
      </c>
      <c r="AV1131" t="s">
        <v>61</v>
      </c>
      <c r="AW1131">
        <v>0</v>
      </c>
      <c r="AX1131">
        <v>3</v>
      </c>
      <c r="AY1131">
        <v>0</v>
      </c>
      <c r="AZ1131">
        <v>3500</v>
      </c>
      <c r="BA1131">
        <v>100</v>
      </c>
      <c r="BB1131">
        <v>100</v>
      </c>
      <c r="BC1131">
        <v>100</v>
      </c>
      <c r="BD1131">
        <v>100</v>
      </c>
      <c r="BE1131">
        <v>1</v>
      </c>
      <c r="BF1131">
        <v>15000</v>
      </c>
      <c r="BG1131">
        <v>1000</v>
      </c>
      <c r="BH1131" s="7">
        <f>ROUND(Wapato_Inventory[[#This Row],[detatched_value]]*Lookups!$B$22*Lookups!$H$48,-2)</f>
        <v>3100</v>
      </c>
      <c r="BI1131" s="7">
        <f>ROUND(((Wapato_Inventory[[#This Row],[land_extract]]*Lookups!$B$3) +(Lookups!$B$2*0.5))*Lookups!$H$48,-2)</f>
        <v>59500</v>
      </c>
      <c r="BJ1131" s="7">
        <f>IF(Wapato_Inventory[[#This Row],[bldg_style]]="",0,Lookups!$B$2*0.5)</f>
        <v>53765.27</v>
      </c>
      <c r="BK1131" s="7">
        <f>_xlfn.IFNA(VLOOKUP(Wapato_Inventory[[#This Row],[quality]],Lookups!$H$2:$J$14,3,FALSE),0)</f>
        <v>28034</v>
      </c>
      <c r="BL1131" s="7">
        <f>_xlfn.IFNA(VLOOKUP(Wapato_Inventory[[#This Row],[condition]],Lookups!$H$17:$J$24,3,FALSE),0)</f>
        <v>52231</v>
      </c>
      <c r="BM1131" s="7">
        <f>Wapato_Inventory[[#This Row],[Age]]*Lookups!$B$16</f>
        <v>-38179.597099999999</v>
      </c>
      <c r="BN1131" s="7">
        <f>Wapato_Inventory[[#This Row],[Main Floor]]*Lookups!$B$17</f>
        <v>43472.768559999997</v>
      </c>
      <c r="BO1131" s="7">
        <f>Wapato_Inventory[[#This Row],[Upper Floor]]*Lookups!$B$18</f>
        <v>23808.546720000002</v>
      </c>
      <c r="BP1131" s="7">
        <f>Wapato_Inventory[[#This Row],[Fin BSMT]]*Lookups!$B$19</f>
        <v>0</v>
      </c>
      <c r="BQ1131" s="7">
        <f>(Wapato_Inventory[[#This Row],[att_gar]]+Wapato_Inventory[[#This Row],[blt_gar]])*Lookups!$B$20</f>
        <v>0</v>
      </c>
      <c r="BR1131" s="7">
        <f>Wapato_Inventory[[#This Row],[Patio]]*Lookups!$B$21</f>
        <v>0</v>
      </c>
      <c r="BS1131" s="7">
        <f>SUM(Wapato_Inventory[[#This Row],[intercept]:[patio_value]])*Wapato_Inventory[[#This Row],[res_pct]]</f>
        <v>163131.98818000001</v>
      </c>
      <c r="BT1131" s="7">
        <f>Wapato_Inventory[[#This Row],[land_value]]</f>
        <v>59500</v>
      </c>
      <c r="BU1131" s="2">
        <f>_xlfn.IFNA(VLOOKUP(Wapato_Inventory[[#This Row],[quality]],Lookups!$A$28:$C$37,3,FALSE),1)</f>
        <v>0.96265813922927435</v>
      </c>
      <c r="BV1131" s="2">
        <f>_xlfn.IFNA(VLOOKUP(Wapato_Inventory[[#This Row],[condition]],Lookups!$A$41:$C$48,3,FALSE),1)</f>
        <v>0.9832333997567807</v>
      </c>
      <c r="BW1131" s="2">
        <f>IF(Wapato_Inventory[[#This Row],[decade]]="",1,_xlfn.IFNA(VLOOKUP(Wapato_Inventory[[#This Row],[decade]],Lookups!$F$28:$H$45,3,FALSE),1))</f>
        <v>0.93664589651353292</v>
      </c>
      <c r="BX1131" s="2">
        <f>_xlfn.IFNA(VLOOKUP(Wapato_Inventory[[#This Row],[living_area_range]],Lookups!$K$28:$M$37,3,FALSE),1)</f>
        <v>0.99330894324714125</v>
      </c>
      <c r="BY1131" s="2">
        <f>AVERAGE(Wapato_Inventory[[#This Row],[qual_adj]:[range_adj]])</f>
        <v>0.96896159468668219</v>
      </c>
      <c r="BZ1131" s="7">
        <f>(Wapato_Inventory[[#This Row],[sum_land]]-IF(Wapato_Inventory[[#This Row],[no_utilities]]=1,12000,0))/IF(Wapato_Inventory[[#This Row],[unbuildable]]=1,2,1)</f>
        <v>59500</v>
      </c>
      <c r="CA1131" s="7">
        <f>Wapato_Inventory[[#This Row],[pre_res]]*Wapato_Inventory[[#This Row],[overall_adj]]</f>
        <v>158068.63141130182</v>
      </c>
      <c r="CB1131" s="3">
        <f>IF(ROUND(Wapato_Inventory[[#This Row],[adj_land]]*Lookups!$H$48,-2)&lt;Wapato_Inventory[[#This Row],[min_land]],Wapato_Inventory[[#This Row],[min_land]],ROUND(Wapato_Inventory[[#This Row],[adj_land]]*Lookups!$H$48,-2))</f>
        <v>56500</v>
      </c>
      <c r="CC1131" s="3">
        <f>IF(ROUND(Wapato_Inventory[[#This Row],[adj_res]]*Lookups!$H$48,-2)&lt;Wapato_Inventory[[#This Row],[min_res]],Wapato_Inventory[[#This Row],[min_res]],ROUND(Wapato_Inventory[[#This Row],[adj_res]]*Lookups!$H$48,-2))</f>
        <v>150200</v>
      </c>
      <c r="CD1131" s="3">
        <f>ROUND(Wapato_Inventory[[#This Row],[det_value]]*Lookups!$H$48,-2)</f>
        <v>2900</v>
      </c>
      <c r="CE1131" s="3">
        <f>Wapato_Inventory[[#This Row],[final_res]]+Wapato_Inventory[[#This Row],[final_det]]</f>
        <v>153100</v>
      </c>
      <c r="CF1131" s="3">
        <f>Wapato_Inventory[[#This Row],[crop_value]]+Wapato_Inventory[[#This Row],[final_land]]+Wapato_Inventory[[#This Row],[final_imp]]</f>
        <v>209600</v>
      </c>
      <c r="CH1131" t="str">
        <f t="shared" si="17"/>
        <v>update valuation set market_land =56500, market_bldg=153100, market_total =209600, market_mdno =405, market_date ='9/10/2023' where link_id = (select link_id from parcel where parcel_year = '2024' and parcel_id = '19111641403');</v>
      </c>
    </row>
    <row r="1132" spans="1:86" x14ac:dyDescent="0.25">
      <c r="A1132">
        <v>19111641404</v>
      </c>
      <c r="B1132">
        <v>0.59</v>
      </c>
      <c r="C1132">
        <v>25886</v>
      </c>
      <c r="D1132" t="s">
        <v>144</v>
      </c>
      <c r="E1132" t="s">
        <v>54</v>
      </c>
      <c r="F1132" t="s">
        <v>54</v>
      </c>
      <c r="G1132">
        <v>3</v>
      </c>
      <c r="H1132" t="s">
        <v>55</v>
      </c>
      <c r="I1132">
        <v>243900</v>
      </c>
      <c r="J1132">
        <v>41500</v>
      </c>
      <c r="K1132">
        <v>0.59</v>
      </c>
      <c r="L1132">
        <f>IF(Wapato_Inventory[[#This Row],[parcel_acres]]-Wapato_Inventory[[#This Row],[non_valued_acres]] =0,0,LN(Wapato_Inventory[[#This Row],[parcel_acres]]-Wapato_Inventory[[#This Row],[non_valued_acres]]))</f>
        <v>-0.52763274208237199</v>
      </c>
      <c r="M1132">
        <v>0</v>
      </c>
      <c r="N1132">
        <v>0</v>
      </c>
      <c r="O1132">
        <v>0</v>
      </c>
      <c r="P1132">
        <v>27904.037</v>
      </c>
      <c r="Q1132">
        <v>74398</v>
      </c>
      <c r="R1132" s="3">
        <f>(Wapato_Inventory[[#This Row],[ln_acres]]*Wapato_Inventory[[#This Row],[coeff]])+Wapato_Inventory[[#This Row],[const]]</f>
        <v>59674.916442522037</v>
      </c>
      <c r="S1132" t="s">
        <v>56</v>
      </c>
      <c r="T1132">
        <v>2</v>
      </c>
      <c r="U1132" t="s">
        <v>67</v>
      </c>
      <c r="V1132" t="s">
        <v>68</v>
      </c>
      <c r="W1132">
        <v>0</v>
      </c>
      <c r="X1132">
        <v>0</v>
      </c>
      <c r="Y1132">
        <v>50</v>
      </c>
      <c r="Z1132">
        <v>73</v>
      </c>
      <c r="AA1132">
        <v>80</v>
      </c>
      <c r="AB1132">
        <v>2500</v>
      </c>
      <c r="AC1132">
        <v>2346</v>
      </c>
      <c r="AD1132">
        <v>1746</v>
      </c>
      <c r="AE1132">
        <v>600</v>
      </c>
      <c r="AF1132">
        <v>0</v>
      </c>
      <c r="AG1132">
        <v>0</v>
      </c>
      <c r="AH1132">
        <v>0</v>
      </c>
      <c r="AI1132">
        <v>0</v>
      </c>
      <c r="AJ1132">
        <v>0</v>
      </c>
      <c r="AK1132">
        <v>0</v>
      </c>
      <c r="AL1132">
        <v>150</v>
      </c>
      <c r="AM1132">
        <v>0</v>
      </c>
      <c r="AN1132">
        <v>24</v>
      </c>
      <c r="AO1132">
        <v>0</v>
      </c>
      <c r="AP1132">
        <v>8</v>
      </c>
      <c r="AQ1132">
        <v>0</v>
      </c>
      <c r="AR1132">
        <v>0</v>
      </c>
      <c r="AS1132" t="s">
        <v>59</v>
      </c>
      <c r="AT1132">
        <v>1</v>
      </c>
      <c r="AU1132" t="s">
        <v>64</v>
      </c>
      <c r="AV1132" t="s">
        <v>61</v>
      </c>
      <c r="AW1132">
        <v>0</v>
      </c>
      <c r="AX1132">
        <v>3</v>
      </c>
      <c r="AY1132">
        <v>0</v>
      </c>
      <c r="AZ1132">
        <v>27800</v>
      </c>
      <c r="BA1132">
        <v>100</v>
      </c>
      <c r="BB1132">
        <v>100</v>
      </c>
      <c r="BC1132">
        <v>100</v>
      </c>
      <c r="BD1132">
        <v>100</v>
      </c>
      <c r="BE1132">
        <v>1</v>
      </c>
      <c r="BF1132">
        <v>15000</v>
      </c>
      <c r="BG1132">
        <v>1000</v>
      </c>
      <c r="BH1132" s="7">
        <f>ROUND(Wapato_Inventory[[#This Row],[detatched_value]]*Lookups!$B$22*Lookups!$H$48,-2)</f>
        <v>24800</v>
      </c>
      <c r="BI1132" s="7">
        <f>ROUND(((Wapato_Inventory[[#This Row],[land_extract]]*Lookups!$B$3) +(Lookups!$B$2*0.5))*Lookups!$H$48,-2)</f>
        <v>56800</v>
      </c>
      <c r="BJ1132" s="7">
        <f>IF(Wapato_Inventory[[#This Row],[bldg_style]]="",0,Lookups!$B$2*0.5)</f>
        <v>53765.27</v>
      </c>
      <c r="BK1132" s="7">
        <f>_xlfn.IFNA(VLOOKUP(Wapato_Inventory[[#This Row],[quality]],Lookups!$H$2:$J$14,3,FALSE),0)</f>
        <v>50405</v>
      </c>
      <c r="BL1132" s="7">
        <f>_xlfn.IFNA(VLOOKUP(Wapato_Inventory[[#This Row],[condition]],Lookups!$H$17:$J$24,3,FALSE),0)</f>
        <v>52231</v>
      </c>
      <c r="BM1132" s="7">
        <f>Wapato_Inventory[[#This Row],[Age]]*Lookups!$B$16</f>
        <v>-27059.326100000002</v>
      </c>
      <c r="BN1132" s="7">
        <f>Wapato_Inventory[[#This Row],[Main Floor]]*Lookups!$B$17</f>
        <v>72984.090293999994</v>
      </c>
      <c r="BO1132" s="7">
        <f>Wapato_Inventory[[#This Row],[Upper Floor]]*Lookups!$B$18</f>
        <v>29760.683400000002</v>
      </c>
      <c r="BP1132" s="7">
        <f>Wapato_Inventory[[#This Row],[Fin BSMT]]*Lookups!$B$19</f>
        <v>0</v>
      </c>
      <c r="BQ1132" s="7">
        <f>(Wapato_Inventory[[#This Row],[att_gar]]+Wapato_Inventory[[#This Row],[blt_gar]])*Lookups!$B$20</f>
        <v>0</v>
      </c>
      <c r="BR1132" s="7">
        <f>Wapato_Inventory[[#This Row],[Patio]]*Lookups!$B$21</f>
        <v>0</v>
      </c>
      <c r="BS1132" s="7">
        <f>SUM(Wapato_Inventory[[#This Row],[intercept]:[patio_value]])*Wapato_Inventory[[#This Row],[res_pct]]</f>
        <v>232086.71759399999</v>
      </c>
      <c r="BT1132" s="7">
        <f>Wapato_Inventory[[#This Row],[land_value]]</f>
        <v>56800</v>
      </c>
      <c r="BU1132" s="2">
        <f>_xlfn.IFNA(VLOOKUP(Wapato_Inventory[[#This Row],[quality]],Lookups!$A$28:$C$37,3,FALSE),1)</f>
        <v>0.97993206410140754</v>
      </c>
      <c r="BV1132" s="2">
        <f>_xlfn.IFNA(VLOOKUP(Wapato_Inventory[[#This Row],[condition]],Lookups!$A$41:$C$48,3,FALSE),1)</f>
        <v>0.9832333997567807</v>
      </c>
      <c r="BW1132" s="2">
        <f>IF(Wapato_Inventory[[#This Row],[decade]]="",1,_xlfn.IFNA(VLOOKUP(Wapato_Inventory[[#This Row],[decade]],Lookups!$F$28:$H$45,3,FALSE),1))</f>
        <v>0.8438929209510081</v>
      </c>
      <c r="BX1132" s="2">
        <f>_xlfn.IFNA(VLOOKUP(Wapato_Inventory[[#This Row],[living_area_range]],Lookups!$K$28:$M$37,3,FALSE),1)</f>
        <v>0.90813907160181651</v>
      </c>
      <c r="BY1132" s="2">
        <f>AVERAGE(Wapato_Inventory[[#This Row],[qual_adj]:[range_adj]])</f>
        <v>0.92879936410275321</v>
      </c>
      <c r="BZ1132" s="7">
        <f>(Wapato_Inventory[[#This Row],[sum_land]]-IF(Wapato_Inventory[[#This Row],[no_utilities]]=1,12000,0))/IF(Wapato_Inventory[[#This Row],[unbuildable]]=1,2,1)</f>
        <v>56800</v>
      </c>
      <c r="CA1132" s="7">
        <f>Wapato_Inventory[[#This Row],[pre_res]]*Wapato_Inventory[[#This Row],[overall_adj]]</f>
        <v>215561.99571800246</v>
      </c>
      <c r="CB1132" s="3">
        <f>IF(ROUND(Wapato_Inventory[[#This Row],[adj_land]]*Lookups!$H$48,-2)&lt;Wapato_Inventory[[#This Row],[min_land]],Wapato_Inventory[[#This Row],[min_land]],ROUND(Wapato_Inventory[[#This Row],[adj_land]]*Lookups!$H$48,-2))</f>
        <v>54000</v>
      </c>
      <c r="CC1132" s="3">
        <f>IF(ROUND(Wapato_Inventory[[#This Row],[adj_res]]*Lookups!$H$48,-2)&lt;Wapato_Inventory[[#This Row],[min_res]],Wapato_Inventory[[#This Row],[min_res]],ROUND(Wapato_Inventory[[#This Row],[adj_res]]*Lookups!$H$48,-2))</f>
        <v>204800</v>
      </c>
      <c r="CD1132" s="3">
        <f>ROUND(Wapato_Inventory[[#This Row],[det_value]]*Lookups!$H$48,-2)</f>
        <v>23600</v>
      </c>
      <c r="CE1132" s="3">
        <f>Wapato_Inventory[[#This Row],[final_res]]+Wapato_Inventory[[#This Row],[final_det]]</f>
        <v>228400</v>
      </c>
      <c r="CF1132" s="3">
        <f>Wapato_Inventory[[#This Row],[crop_value]]+Wapato_Inventory[[#This Row],[final_land]]+Wapato_Inventory[[#This Row],[final_imp]]</f>
        <v>282400</v>
      </c>
      <c r="CH1132" t="str">
        <f t="shared" si="17"/>
        <v>update valuation set market_land =54000, market_bldg=228400, market_total =282400, market_mdno =405, market_date ='9/10/2023' where link_id = (select link_id from parcel where parcel_year = '2024' and parcel_id = '19111641404');</v>
      </c>
    </row>
    <row r="1133" spans="1:86" x14ac:dyDescent="0.25">
      <c r="A1133">
        <v>19111641405</v>
      </c>
      <c r="B1133">
        <v>9.01</v>
      </c>
      <c r="C1133" t="s">
        <v>144</v>
      </c>
      <c r="D1133" t="s">
        <v>144</v>
      </c>
      <c r="E1133" t="s">
        <v>54</v>
      </c>
      <c r="F1133" t="s">
        <v>54</v>
      </c>
      <c r="G1133">
        <v>3</v>
      </c>
      <c r="H1133" t="s">
        <v>55</v>
      </c>
      <c r="I1133">
        <v>304500</v>
      </c>
      <c r="J1133">
        <v>60700</v>
      </c>
      <c r="K1133">
        <v>9.01</v>
      </c>
      <c r="L1133">
        <f>IF(Wapato_Inventory[[#This Row],[parcel_acres]]-Wapato_Inventory[[#This Row],[non_valued_acres]] =0,0,LN(Wapato_Inventory[[#This Row],[parcel_acres]]-Wapato_Inventory[[#This Row],[non_valued_acres]]))</f>
        <v>2.1983350716202463</v>
      </c>
      <c r="M1133">
        <v>0</v>
      </c>
      <c r="N1133">
        <v>0</v>
      </c>
      <c r="O1133">
        <v>0</v>
      </c>
      <c r="P1133">
        <v>27904.037</v>
      </c>
      <c r="Q1133">
        <v>74398</v>
      </c>
      <c r="R1133" s="3">
        <f>(Wapato_Inventory[[#This Row],[ln_acres]]*Wapato_Inventory[[#This Row],[coeff]])+Wapato_Inventory[[#This Row],[const]]</f>
        <v>135740.42317688902</v>
      </c>
      <c r="S1133" t="s">
        <v>59</v>
      </c>
      <c r="T1133">
        <v>1</v>
      </c>
      <c r="U1133" t="s">
        <v>63</v>
      </c>
      <c r="V1133" t="s">
        <v>70</v>
      </c>
      <c r="W1133">
        <v>0</v>
      </c>
      <c r="X1133">
        <v>0</v>
      </c>
      <c r="Y1133">
        <v>15</v>
      </c>
      <c r="Z1133">
        <v>15</v>
      </c>
      <c r="AA1133">
        <v>20</v>
      </c>
      <c r="AB1133">
        <v>2500</v>
      </c>
      <c r="AC1133">
        <v>2016</v>
      </c>
      <c r="AD1133">
        <v>1680</v>
      </c>
      <c r="AE1133">
        <v>0</v>
      </c>
      <c r="AF1133">
        <v>336</v>
      </c>
      <c r="AG1133">
        <v>0</v>
      </c>
      <c r="AH1133">
        <v>0</v>
      </c>
      <c r="AI1133">
        <v>576</v>
      </c>
      <c r="AJ1133">
        <v>0</v>
      </c>
      <c r="AK1133">
        <v>0</v>
      </c>
      <c r="AL1133">
        <v>136</v>
      </c>
      <c r="AM1133">
        <v>0</v>
      </c>
      <c r="AN1133">
        <v>385</v>
      </c>
      <c r="AO1133">
        <v>0</v>
      </c>
      <c r="AP1133">
        <v>12</v>
      </c>
      <c r="AQ1133">
        <v>0</v>
      </c>
      <c r="AR1133">
        <v>0</v>
      </c>
      <c r="AS1133" t="s">
        <v>59</v>
      </c>
      <c r="AT1133">
        <v>1</v>
      </c>
      <c r="AU1133" t="s">
        <v>64</v>
      </c>
      <c r="AV1133" t="s">
        <v>61</v>
      </c>
      <c r="AW1133">
        <v>1</v>
      </c>
      <c r="AX1133">
        <v>3</v>
      </c>
      <c r="AY1133">
        <v>0</v>
      </c>
      <c r="AZ1133">
        <v>0</v>
      </c>
      <c r="BA1133">
        <v>100</v>
      </c>
      <c r="BB1133">
        <v>100</v>
      </c>
      <c r="BC1133">
        <v>100</v>
      </c>
      <c r="BD1133">
        <v>100</v>
      </c>
      <c r="BE1133">
        <v>1</v>
      </c>
      <c r="BF1133">
        <v>15000</v>
      </c>
      <c r="BG1133">
        <v>1000</v>
      </c>
      <c r="BH1133" s="7">
        <f>ROUND(Wapato_Inventory[[#This Row],[detatched_value]]*Lookups!$B$22*Lookups!$H$48,-2)</f>
        <v>0</v>
      </c>
      <c r="BI1133" s="7">
        <f>ROUND(((Wapato_Inventory[[#This Row],[land_extract]]*Lookups!$B$3) +(Lookups!$B$2*0.5))*Lookups!$H$48,-2)</f>
        <v>64200</v>
      </c>
      <c r="BJ1133" s="7">
        <f>IF(Wapato_Inventory[[#This Row],[bldg_style]]="",0,Lookups!$B$2*0.5)</f>
        <v>53765.27</v>
      </c>
      <c r="BK1133" s="7">
        <f>_xlfn.IFNA(VLOOKUP(Wapato_Inventory[[#This Row],[quality]],Lookups!$H$2:$J$14,3,FALSE),0)</f>
        <v>50594</v>
      </c>
      <c r="BL1133" s="7">
        <f>_xlfn.IFNA(VLOOKUP(Wapato_Inventory[[#This Row],[condition]],Lookups!$H$17:$J$24,3,FALSE),0)</f>
        <v>84338</v>
      </c>
      <c r="BM1133" s="7">
        <f>Wapato_Inventory[[#This Row],[Age]]*Lookups!$B$16</f>
        <v>-5560.1355000000003</v>
      </c>
      <c r="BN1133" s="7">
        <f>Wapato_Inventory[[#This Row],[Main Floor]]*Lookups!$B$17</f>
        <v>70225.241519999996</v>
      </c>
      <c r="BO1133" s="7">
        <f>Wapato_Inventory[[#This Row],[Upper Floor]]*Lookups!$B$18</f>
        <v>0</v>
      </c>
      <c r="BP1133" s="7">
        <f>Wapato_Inventory[[#This Row],[Fin BSMT]]*Lookups!$B$19</f>
        <v>0</v>
      </c>
      <c r="BQ1133" s="7">
        <f>(Wapato_Inventory[[#This Row],[att_gar]]+Wapato_Inventory[[#This Row],[blt_gar]])*Lookups!$B$20</f>
        <v>21317.041152000002</v>
      </c>
      <c r="BR1133" s="7">
        <f>Wapato_Inventory[[#This Row],[Patio]]*Lookups!$B$21</f>
        <v>0</v>
      </c>
      <c r="BS1133" s="7">
        <f>SUM(Wapato_Inventory[[#This Row],[intercept]:[patio_value]])*Wapato_Inventory[[#This Row],[res_pct]]</f>
        <v>274679.41717199999</v>
      </c>
      <c r="BT1133" s="7">
        <f>Wapato_Inventory[[#This Row],[land_value]]</f>
        <v>64200</v>
      </c>
      <c r="BU1133" s="2">
        <f>_xlfn.IFNA(VLOOKUP(Wapato_Inventory[[#This Row],[quality]],Lookups!$A$28:$C$37,3,FALSE),1)</f>
        <v>0.99197423394367223</v>
      </c>
      <c r="BV1133" s="2">
        <f>_xlfn.IFNA(VLOOKUP(Wapato_Inventory[[#This Row],[condition]],Lookups!$A$41:$C$48,3,FALSE),1)</f>
        <v>0.99478075210508476</v>
      </c>
      <c r="BW1133" s="2">
        <f>IF(Wapato_Inventory[[#This Row],[decade]]="",1,_xlfn.IFNA(VLOOKUP(Wapato_Inventory[[#This Row],[decade]],Lookups!$F$28:$H$45,3,FALSE),1))</f>
        <v>1.0658609603367226</v>
      </c>
      <c r="BX1133" s="2">
        <f>_xlfn.IFNA(VLOOKUP(Wapato_Inventory[[#This Row],[living_area_range]],Lookups!$K$28:$M$37,3,FALSE),1)</f>
        <v>0.90813907160181651</v>
      </c>
      <c r="BY1133" s="2">
        <f>AVERAGE(Wapato_Inventory[[#This Row],[qual_adj]:[range_adj]])</f>
        <v>0.99018875449682398</v>
      </c>
      <c r="BZ1133" s="7">
        <f>(Wapato_Inventory[[#This Row],[sum_land]]-IF(Wapato_Inventory[[#This Row],[no_utilities]]=1,12000,0))/IF(Wapato_Inventory[[#This Row],[unbuildable]]=1,2,1)</f>
        <v>64200</v>
      </c>
      <c r="CA1133" s="7">
        <f>Wapato_Inventory[[#This Row],[pre_res]]*Wapato_Inventory[[#This Row],[overall_adj]]</f>
        <v>271984.46997545619</v>
      </c>
      <c r="CB1133" s="3">
        <f>IF(ROUND(Wapato_Inventory[[#This Row],[adj_land]]*Lookups!$H$48,-2)&lt;Wapato_Inventory[[#This Row],[min_land]],Wapato_Inventory[[#This Row],[min_land]],ROUND(Wapato_Inventory[[#This Row],[adj_land]]*Lookups!$H$48,-2))</f>
        <v>61000</v>
      </c>
      <c r="CC1133" s="3">
        <f>IF(ROUND(Wapato_Inventory[[#This Row],[adj_res]]*Lookups!$H$48,-2)&lt;Wapato_Inventory[[#This Row],[min_res]],Wapato_Inventory[[#This Row],[min_res]],ROUND(Wapato_Inventory[[#This Row],[adj_res]]*Lookups!$H$48,-2))</f>
        <v>258400</v>
      </c>
      <c r="CD1133" s="3">
        <f>ROUND(Wapato_Inventory[[#This Row],[det_value]]*Lookups!$H$48,-2)</f>
        <v>0</v>
      </c>
      <c r="CE1133" s="3">
        <f>Wapato_Inventory[[#This Row],[final_res]]+Wapato_Inventory[[#This Row],[final_det]]</f>
        <v>258400</v>
      </c>
      <c r="CF1133" s="3">
        <f>Wapato_Inventory[[#This Row],[crop_value]]+Wapato_Inventory[[#This Row],[final_land]]+Wapato_Inventory[[#This Row],[final_imp]]</f>
        <v>319400</v>
      </c>
      <c r="CH1133" t="str">
        <f t="shared" si="17"/>
        <v>update valuation set market_land =61000, market_bldg=258400, market_total =319400, market_mdno =405, market_date ='9/10/2023' where link_id = (select link_id from parcel where parcel_year = '2024' and parcel_id = '19111641405');</v>
      </c>
    </row>
    <row r="1134" spans="1:86" x14ac:dyDescent="0.25">
      <c r="A1134">
        <v>19111641406</v>
      </c>
      <c r="B1134">
        <v>3.79</v>
      </c>
      <c r="C1134" t="s">
        <v>144</v>
      </c>
      <c r="D1134" t="s">
        <v>144</v>
      </c>
      <c r="E1134" t="s">
        <v>54</v>
      </c>
      <c r="F1134" t="s">
        <v>54</v>
      </c>
      <c r="G1134">
        <v>3</v>
      </c>
      <c r="H1134" t="s">
        <v>55</v>
      </c>
      <c r="I1134">
        <v>109900</v>
      </c>
      <c r="J1134">
        <v>54700</v>
      </c>
      <c r="K1134">
        <v>3.79</v>
      </c>
      <c r="L1134">
        <f>IF(Wapato_Inventory[[#This Row],[parcel_acres]]-Wapato_Inventory[[#This Row],[non_valued_acres]] =0,0,LN(Wapato_Inventory[[#This Row],[parcel_acres]]-Wapato_Inventory[[#This Row],[non_valued_acres]]))</f>
        <v>1.3323660190943349</v>
      </c>
      <c r="M1134">
        <v>0</v>
      </c>
      <c r="N1134">
        <v>0</v>
      </c>
      <c r="O1134">
        <v>0</v>
      </c>
      <c r="P1134">
        <v>27904.037</v>
      </c>
      <c r="Q1134">
        <v>74398</v>
      </c>
      <c r="R1134" s="3">
        <f>(Wapato_Inventory[[#This Row],[ln_acres]]*Wapato_Inventory[[#This Row],[coeff]])+Wapato_Inventory[[#This Row],[const]]</f>
        <v>111576.39069435102</v>
      </c>
      <c r="S1134" t="s">
        <v>66</v>
      </c>
      <c r="T1134">
        <v>1</v>
      </c>
      <c r="U1134" t="s">
        <v>75</v>
      </c>
      <c r="V1134" t="s">
        <v>73</v>
      </c>
      <c r="W1134">
        <v>0</v>
      </c>
      <c r="X1134">
        <v>0</v>
      </c>
      <c r="Y1134">
        <v>54</v>
      </c>
      <c r="Z1134">
        <v>95</v>
      </c>
      <c r="AA1134">
        <v>100</v>
      </c>
      <c r="AB1134">
        <v>1000</v>
      </c>
      <c r="AC1134">
        <v>996</v>
      </c>
      <c r="AD1134">
        <v>996</v>
      </c>
      <c r="AE1134">
        <v>0</v>
      </c>
      <c r="AF1134">
        <v>0</v>
      </c>
      <c r="AG1134">
        <v>0</v>
      </c>
      <c r="AH1134">
        <v>0</v>
      </c>
      <c r="AI1134">
        <v>0</v>
      </c>
      <c r="AJ1134">
        <v>0</v>
      </c>
      <c r="AK1134">
        <v>288</v>
      </c>
      <c r="AL1134">
        <v>0</v>
      </c>
      <c r="AM1134">
        <v>276</v>
      </c>
      <c r="AN1134">
        <v>36</v>
      </c>
      <c r="AO1134">
        <v>276</v>
      </c>
      <c r="AP1134">
        <v>5</v>
      </c>
      <c r="AQ1134">
        <v>0</v>
      </c>
      <c r="AR1134">
        <v>0</v>
      </c>
      <c r="AS1134" t="s">
        <v>59</v>
      </c>
      <c r="AT1134">
        <v>1</v>
      </c>
      <c r="AU1134" t="s">
        <v>64</v>
      </c>
      <c r="AV1134" t="s">
        <v>61</v>
      </c>
      <c r="AW1134">
        <v>0</v>
      </c>
      <c r="AX1134">
        <v>3</v>
      </c>
      <c r="AY1134">
        <v>0</v>
      </c>
      <c r="AZ1134">
        <v>1600</v>
      </c>
      <c r="BA1134">
        <v>100</v>
      </c>
      <c r="BB1134">
        <v>100</v>
      </c>
      <c r="BC1134">
        <v>100</v>
      </c>
      <c r="BD1134">
        <v>100</v>
      </c>
      <c r="BE1134">
        <v>1</v>
      </c>
      <c r="BF1134">
        <v>15000</v>
      </c>
      <c r="BG1134">
        <v>1000</v>
      </c>
      <c r="BH1134" s="7">
        <f>ROUND(Wapato_Inventory[[#This Row],[detatched_value]]*Lookups!$B$22*Lookups!$H$48,-2)</f>
        <v>1400</v>
      </c>
      <c r="BI1134" s="7">
        <f>ROUND(((Wapato_Inventory[[#This Row],[land_extract]]*Lookups!$B$3) +(Lookups!$B$2*0.5))*Lookups!$H$48,-2)</f>
        <v>61800</v>
      </c>
      <c r="BJ1134" s="7">
        <f>IF(Wapato_Inventory[[#This Row],[bldg_style]]="",0,Lookups!$B$2*0.5)</f>
        <v>53765.27</v>
      </c>
      <c r="BK1134" s="7">
        <f>_xlfn.IFNA(VLOOKUP(Wapato_Inventory[[#This Row],[quality]],Lookups!$H$2:$J$14,3,FALSE),0)</f>
        <v>48043</v>
      </c>
      <c r="BL1134" s="7">
        <f>_xlfn.IFNA(VLOOKUP(Wapato_Inventory[[#This Row],[condition]],Lookups!$H$17:$J$24,3,FALSE),0)</f>
        <v>16276</v>
      </c>
      <c r="BM1134" s="7">
        <f>Wapato_Inventory[[#This Row],[Age]]*Lookups!$B$16</f>
        <v>-35214.191500000001</v>
      </c>
      <c r="BN1134" s="7">
        <f>Wapato_Inventory[[#This Row],[Main Floor]]*Lookups!$B$17</f>
        <v>41633.536044</v>
      </c>
      <c r="BO1134" s="7">
        <f>Wapato_Inventory[[#This Row],[Upper Floor]]*Lookups!$B$18</f>
        <v>0</v>
      </c>
      <c r="BP1134" s="7">
        <f>Wapato_Inventory[[#This Row],[Fin BSMT]]*Lookups!$B$19</f>
        <v>0</v>
      </c>
      <c r="BQ1134" s="7">
        <f>(Wapato_Inventory[[#This Row],[att_gar]]+Wapato_Inventory[[#This Row],[blt_gar]])*Lookups!$B$20</f>
        <v>0</v>
      </c>
      <c r="BR1134" s="7">
        <f>Wapato_Inventory[[#This Row],[Patio]]*Lookups!$B$21</f>
        <v>11957.418204</v>
      </c>
      <c r="BS1134" s="7">
        <f>SUM(Wapato_Inventory[[#This Row],[intercept]:[patio_value]])*Wapato_Inventory[[#This Row],[res_pct]]</f>
        <v>136461.03274799997</v>
      </c>
      <c r="BT1134" s="7">
        <f>Wapato_Inventory[[#This Row],[land_value]]</f>
        <v>61800</v>
      </c>
      <c r="BU1134" s="2">
        <f>_xlfn.IFNA(VLOOKUP(Wapato_Inventory[[#This Row],[quality]],Lookups!$A$28:$C$37,3,FALSE),1)</f>
        <v>0.98196844879778955</v>
      </c>
      <c r="BV1134" s="2">
        <f>_xlfn.IFNA(VLOOKUP(Wapato_Inventory[[#This Row],[condition]],Lookups!$A$41:$C$48,3,FALSE),1)</f>
        <v>0.93399385491337139</v>
      </c>
      <c r="BW1134" s="2">
        <f>IF(Wapato_Inventory[[#This Row],[decade]]="",1,_xlfn.IFNA(VLOOKUP(Wapato_Inventory[[#This Row],[decade]],Lookups!$F$28:$H$45,3,FALSE),1))</f>
        <v>1.0114203040664467</v>
      </c>
      <c r="BX1134" s="2">
        <f>_xlfn.IFNA(VLOOKUP(Wapato_Inventory[[#This Row],[living_area_range]],Lookups!$K$28:$M$37,3,FALSE),1)</f>
        <v>0.99022994770196116</v>
      </c>
      <c r="BY1134" s="2">
        <f>AVERAGE(Wapato_Inventory[[#This Row],[qual_adj]:[range_adj]])</f>
        <v>0.97940313886989216</v>
      </c>
      <c r="BZ1134" s="7">
        <f>(Wapato_Inventory[[#This Row],[sum_land]]-IF(Wapato_Inventory[[#This Row],[no_utilities]]=1,12000,0))/IF(Wapato_Inventory[[#This Row],[unbuildable]]=1,2,1)</f>
        <v>61800</v>
      </c>
      <c r="CA1134" s="7">
        <f>Wapato_Inventory[[#This Row],[pre_res]]*Wapato_Inventory[[#This Row],[overall_adj]]</f>
        <v>133650.36380681832</v>
      </c>
      <c r="CB1134" s="3">
        <f>IF(ROUND(Wapato_Inventory[[#This Row],[adj_land]]*Lookups!$H$48,-2)&lt;Wapato_Inventory[[#This Row],[min_land]],Wapato_Inventory[[#This Row],[min_land]],ROUND(Wapato_Inventory[[#This Row],[adj_land]]*Lookups!$H$48,-2))</f>
        <v>58700</v>
      </c>
      <c r="CC1134" s="3">
        <f>IF(ROUND(Wapato_Inventory[[#This Row],[adj_res]]*Lookups!$H$48,-2)&lt;Wapato_Inventory[[#This Row],[min_res]],Wapato_Inventory[[#This Row],[min_res]],ROUND(Wapato_Inventory[[#This Row],[adj_res]]*Lookups!$H$48,-2))</f>
        <v>127000</v>
      </c>
      <c r="CD1134" s="3">
        <f>ROUND(Wapato_Inventory[[#This Row],[det_value]]*Lookups!$H$48,-2)</f>
        <v>1300</v>
      </c>
      <c r="CE1134" s="3">
        <f>Wapato_Inventory[[#This Row],[final_res]]+Wapato_Inventory[[#This Row],[final_det]]</f>
        <v>128300</v>
      </c>
      <c r="CF1134" s="3">
        <f>Wapato_Inventory[[#This Row],[crop_value]]+Wapato_Inventory[[#This Row],[final_land]]+Wapato_Inventory[[#This Row],[final_imp]]</f>
        <v>187000</v>
      </c>
      <c r="CH1134" t="str">
        <f t="shared" si="17"/>
        <v>update valuation set market_land =58700, market_bldg=128300, market_total =187000, market_mdno =405, market_date ='9/10/2023' where link_id = (select link_id from parcel where parcel_year = '2024' and parcel_id = '19111641406');</v>
      </c>
    </row>
    <row r="1135" spans="1:86" x14ac:dyDescent="0.25">
      <c r="A1135">
        <v>19111641407</v>
      </c>
      <c r="B1135">
        <v>1</v>
      </c>
      <c r="C1135">
        <v>43570</v>
      </c>
      <c r="D1135" t="s">
        <v>144</v>
      </c>
      <c r="E1135" t="s">
        <v>54</v>
      </c>
      <c r="F1135" t="s">
        <v>54</v>
      </c>
      <c r="G1135">
        <v>3</v>
      </c>
      <c r="H1135" t="s">
        <v>55</v>
      </c>
      <c r="I1135">
        <v>325900</v>
      </c>
      <c r="J1135">
        <v>45300</v>
      </c>
      <c r="K1135">
        <v>1</v>
      </c>
      <c r="L1135">
        <f>IF(Wapato_Inventory[[#This Row],[parcel_acres]]-Wapato_Inventory[[#This Row],[non_valued_acres]] =0,0,LN(Wapato_Inventory[[#This Row],[parcel_acres]]-Wapato_Inventory[[#This Row],[non_valued_acres]]))</f>
        <v>0</v>
      </c>
      <c r="M1135">
        <v>0</v>
      </c>
      <c r="N1135">
        <v>0</v>
      </c>
      <c r="O1135">
        <v>0</v>
      </c>
      <c r="P1135">
        <v>27904.037</v>
      </c>
      <c r="Q1135">
        <v>74398</v>
      </c>
      <c r="R1135" s="3">
        <f>(Wapato_Inventory[[#This Row],[ln_acres]]*Wapato_Inventory[[#This Row],[coeff]])+Wapato_Inventory[[#This Row],[const]]</f>
        <v>74398</v>
      </c>
      <c r="S1135" t="s">
        <v>59</v>
      </c>
      <c r="T1135">
        <v>1</v>
      </c>
      <c r="U1135" t="s">
        <v>63</v>
      </c>
      <c r="V1135" t="s">
        <v>69</v>
      </c>
      <c r="W1135">
        <v>0</v>
      </c>
      <c r="X1135">
        <v>0</v>
      </c>
      <c r="Y1135">
        <v>22</v>
      </c>
      <c r="Z1135">
        <v>22</v>
      </c>
      <c r="AA1135">
        <v>30</v>
      </c>
      <c r="AB1135">
        <v>3000</v>
      </c>
      <c r="AC1135">
        <v>2967</v>
      </c>
      <c r="AD1135">
        <v>1983</v>
      </c>
      <c r="AE1135">
        <v>0</v>
      </c>
      <c r="AF1135">
        <v>0</v>
      </c>
      <c r="AG1135">
        <v>984</v>
      </c>
      <c r="AH1135">
        <v>0</v>
      </c>
      <c r="AI1135">
        <v>696</v>
      </c>
      <c r="AJ1135">
        <v>0</v>
      </c>
      <c r="AK1135">
        <v>0</v>
      </c>
      <c r="AL1135">
        <v>0</v>
      </c>
      <c r="AM1135">
        <v>605</v>
      </c>
      <c r="AN1135">
        <v>0</v>
      </c>
      <c r="AO1135">
        <v>679</v>
      </c>
      <c r="AP1135">
        <v>13</v>
      </c>
      <c r="AQ1135">
        <v>0</v>
      </c>
      <c r="AR1135">
        <v>0</v>
      </c>
      <c r="AS1135" t="s">
        <v>59</v>
      </c>
      <c r="AT1135">
        <v>1</v>
      </c>
      <c r="AU1135" t="s">
        <v>60</v>
      </c>
      <c r="AV1135" t="s">
        <v>61</v>
      </c>
      <c r="AW1135">
        <v>1</v>
      </c>
      <c r="AX1135">
        <v>4</v>
      </c>
      <c r="AY1135">
        <v>0</v>
      </c>
      <c r="AZ1135">
        <v>0</v>
      </c>
      <c r="BA1135">
        <v>100</v>
      </c>
      <c r="BB1135">
        <v>100</v>
      </c>
      <c r="BC1135">
        <v>100</v>
      </c>
      <c r="BD1135">
        <v>100</v>
      </c>
      <c r="BE1135">
        <v>1</v>
      </c>
      <c r="BF1135">
        <v>15000</v>
      </c>
      <c r="BG1135">
        <v>1000</v>
      </c>
      <c r="BH1135" s="7">
        <f>ROUND(Wapato_Inventory[[#This Row],[detatched_value]]*Lookups!$B$22*Lookups!$H$48,-2)</f>
        <v>0</v>
      </c>
      <c r="BI1135" s="7">
        <f>ROUND(((Wapato_Inventory[[#This Row],[land_extract]]*Lookups!$B$3) +(Lookups!$B$2*0.5))*Lookups!$H$48,-2)</f>
        <v>58300</v>
      </c>
      <c r="BJ1135" s="7">
        <f>IF(Wapato_Inventory[[#This Row],[bldg_style]]="",0,Lookups!$B$2*0.5)</f>
        <v>53765.27</v>
      </c>
      <c r="BK1135" s="7">
        <f>_xlfn.IFNA(VLOOKUP(Wapato_Inventory[[#This Row],[quality]],Lookups!$H$2:$J$14,3,FALSE),0)</f>
        <v>50594</v>
      </c>
      <c r="BL1135" s="7">
        <f>_xlfn.IFNA(VLOOKUP(Wapato_Inventory[[#This Row],[condition]],Lookups!$H$17:$J$24,3,FALSE),0)</f>
        <v>74543</v>
      </c>
      <c r="BM1135" s="7">
        <f>Wapato_Inventory[[#This Row],[Age]]*Lookups!$B$16</f>
        <v>-8154.8654000000006</v>
      </c>
      <c r="BN1135" s="7">
        <f>Wapato_Inventory[[#This Row],[Main Floor]]*Lookups!$B$17</f>
        <v>82890.865437</v>
      </c>
      <c r="BO1135" s="7">
        <f>Wapato_Inventory[[#This Row],[Upper Floor]]*Lookups!$B$18</f>
        <v>0</v>
      </c>
      <c r="BP1135" s="7">
        <f>Wapato_Inventory[[#This Row],[Fin BSMT]]*Lookups!$B$19</f>
        <v>23976.872159999999</v>
      </c>
      <c r="BQ1135" s="7">
        <f>(Wapato_Inventory[[#This Row],[att_gar]]+Wapato_Inventory[[#This Row],[blt_gar]])*Lookups!$B$20</f>
        <v>25758.091392000002</v>
      </c>
      <c r="BR1135" s="7">
        <f>Wapato_Inventory[[#This Row],[Patio]]*Lookups!$B$21</f>
        <v>26211.007294999999</v>
      </c>
      <c r="BS1135" s="7">
        <f>SUM(Wapato_Inventory[[#This Row],[intercept]:[patio_value]])*Wapato_Inventory[[#This Row],[res_pct]]</f>
        <v>329584.24088399997</v>
      </c>
      <c r="BT1135" s="7">
        <f>Wapato_Inventory[[#This Row],[land_value]]</f>
        <v>58300</v>
      </c>
      <c r="BU1135" s="2">
        <f>_xlfn.IFNA(VLOOKUP(Wapato_Inventory[[#This Row],[quality]],Lookups!$A$28:$C$37,3,FALSE),1)</f>
        <v>0.99197423394367223</v>
      </c>
      <c r="BV1135" s="2">
        <f>_xlfn.IFNA(VLOOKUP(Wapato_Inventory[[#This Row],[condition]],Lookups!$A$41:$C$48,3,FALSE),1)</f>
        <v>0.98442438223270734</v>
      </c>
      <c r="BW1135" s="2">
        <f>IF(Wapato_Inventory[[#This Row],[decade]]="",1,_xlfn.IFNA(VLOOKUP(Wapato_Inventory[[#This Row],[decade]],Lookups!$F$28:$H$45,3,FALSE),1))</f>
        <v>1.0490505496896987</v>
      </c>
      <c r="BX1135" s="2">
        <f>_xlfn.IFNA(VLOOKUP(Wapato_Inventory[[#This Row],[living_area_range]],Lookups!$K$28:$M$37,3,FALSE),1)</f>
        <v>1.0155869662067822</v>
      </c>
      <c r="BY1135" s="2">
        <f>AVERAGE(Wapato_Inventory[[#This Row],[qual_adj]:[range_adj]])</f>
        <v>1.0102590330182151</v>
      </c>
      <c r="BZ1135" s="7">
        <f>(Wapato_Inventory[[#This Row],[sum_land]]-IF(Wapato_Inventory[[#This Row],[no_utilities]]=1,12000,0))/IF(Wapato_Inventory[[#This Row],[unbuildable]]=1,2,1)</f>
        <v>58300</v>
      </c>
      <c r="CA1135" s="7">
        <f>Wapato_Inventory[[#This Row],[pre_res]]*Wapato_Inventory[[#This Row],[overall_adj]]</f>
        <v>332965.45649351226</v>
      </c>
      <c r="CB1135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1135" s="3">
        <f>IF(ROUND(Wapato_Inventory[[#This Row],[adj_res]]*Lookups!$H$48,-2)&lt;Wapato_Inventory[[#This Row],[min_res]],Wapato_Inventory[[#This Row],[min_res]],ROUND(Wapato_Inventory[[#This Row],[adj_res]]*Lookups!$H$48,-2))</f>
        <v>316300</v>
      </c>
      <c r="CD1135" s="3">
        <f>ROUND(Wapato_Inventory[[#This Row],[det_value]]*Lookups!$H$48,-2)</f>
        <v>0</v>
      </c>
      <c r="CE1135" s="3">
        <f>Wapato_Inventory[[#This Row],[final_res]]+Wapato_Inventory[[#This Row],[final_det]]</f>
        <v>316300</v>
      </c>
      <c r="CF1135" s="3">
        <f>Wapato_Inventory[[#This Row],[crop_value]]+Wapato_Inventory[[#This Row],[final_land]]+Wapato_Inventory[[#This Row],[final_imp]]</f>
        <v>371700</v>
      </c>
      <c r="CH1135" t="str">
        <f t="shared" si="17"/>
        <v>update valuation set market_land =55400, market_bldg=316300, market_total =371700, market_mdno =405, market_date ='9/10/2023' where link_id = (select link_id from parcel where parcel_year = '2024' and parcel_id = '19111641407');</v>
      </c>
    </row>
    <row r="1136" spans="1:86" x14ac:dyDescent="0.25">
      <c r="A1136">
        <v>19111644002</v>
      </c>
      <c r="B1136">
        <v>0.5</v>
      </c>
      <c r="C1136">
        <v>21740</v>
      </c>
      <c r="D1136" t="s">
        <v>144</v>
      </c>
      <c r="E1136" t="s">
        <v>54</v>
      </c>
      <c r="F1136" t="s">
        <v>54</v>
      </c>
      <c r="G1136">
        <v>3</v>
      </c>
      <c r="H1136" t="s">
        <v>55</v>
      </c>
      <c r="I1136">
        <v>170400</v>
      </c>
      <c r="J1136">
        <v>40400</v>
      </c>
      <c r="K1136">
        <v>0.5</v>
      </c>
      <c r="L1136">
        <f>IF(Wapato_Inventory[[#This Row],[parcel_acres]]-Wapato_Inventory[[#This Row],[non_valued_acres]] =0,0,LN(Wapato_Inventory[[#This Row],[parcel_acres]]-Wapato_Inventory[[#This Row],[non_valued_acres]]))</f>
        <v>-0.69314718055994529</v>
      </c>
      <c r="M1136">
        <v>0</v>
      </c>
      <c r="N1136">
        <v>0</v>
      </c>
      <c r="O1136">
        <v>0</v>
      </c>
      <c r="P1136">
        <v>27904.037</v>
      </c>
      <c r="Q1136">
        <v>74398</v>
      </c>
      <c r="R1136" s="3">
        <f>(Wapato_Inventory[[#This Row],[ln_acres]]*Wapato_Inventory[[#This Row],[coeff]])+Wapato_Inventory[[#This Row],[const]]</f>
        <v>55056.395427209602</v>
      </c>
      <c r="S1136" t="s">
        <v>66</v>
      </c>
      <c r="T1136">
        <v>1</v>
      </c>
      <c r="U1136" t="s">
        <v>67</v>
      </c>
      <c r="V1136" t="s">
        <v>68</v>
      </c>
      <c r="W1136">
        <v>0</v>
      </c>
      <c r="X1136">
        <v>0</v>
      </c>
      <c r="Y1136">
        <v>50</v>
      </c>
      <c r="Z1136">
        <v>73</v>
      </c>
      <c r="AA1136">
        <v>80</v>
      </c>
      <c r="AB1136">
        <v>1500</v>
      </c>
      <c r="AC1136">
        <v>1120</v>
      </c>
      <c r="AD1136">
        <v>1120</v>
      </c>
      <c r="AE1136">
        <v>0</v>
      </c>
      <c r="AF1136">
        <v>0</v>
      </c>
      <c r="AG1136">
        <v>0</v>
      </c>
      <c r="AH1136">
        <v>0</v>
      </c>
      <c r="AI1136">
        <v>0</v>
      </c>
      <c r="AJ1136">
        <v>0</v>
      </c>
      <c r="AK1136">
        <v>360</v>
      </c>
      <c r="AL1136">
        <v>0</v>
      </c>
      <c r="AM1136">
        <v>0</v>
      </c>
      <c r="AN1136">
        <v>60</v>
      </c>
      <c r="AO1136">
        <v>0</v>
      </c>
      <c r="AP1136">
        <v>5</v>
      </c>
      <c r="AQ1136">
        <v>0</v>
      </c>
      <c r="AR1136">
        <v>1</v>
      </c>
      <c r="AS1136" t="s">
        <v>59</v>
      </c>
      <c r="AT1136">
        <v>1</v>
      </c>
      <c r="AU1136" t="s">
        <v>64</v>
      </c>
      <c r="AV1136" t="s">
        <v>61</v>
      </c>
      <c r="AW1136">
        <v>0</v>
      </c>
      <c r="AX1136">
        <v>3</v>
      </c>
      <c r="AY1136">
        <v>0</v>
      </c>
      <c r="AZ1136">
        <v>12900</v>
      </c>
      <c r="BA1136">
        <v>100</v>
      </c>
      <c r="BB1136">
        <v>100</v>
      </c>
      <c r="BC1136">
        <v>100</v>
      </c>
      <c r="BD1136">
        <v>100</v>
      </c>
      <c r="BE1136">
        <v>1</v>
      </c>
      <c r="BF1136">
        <v>15000</v>
      </c>
      <c r="BG1136">
        <v>1000</v>
      </c>
      <c r="BH1136" s="7">
        <f>ROUND(Wapato_Inventory[[#This Row],[detatched_value]]*Lookups!$B$22*Lookups!$H$48,-2)</f>
        <v>11500</v>
      </c>
      <c r="BI1136" s="7">
        <f>ROUND(((Wapato_Inventory[[#This Row],[land_extract]]*Lookups!$B$3) +(Lookups!$B$2*0.5))*Lookups!$H$48,-2)</f>
        <v>56400</v>
      </c>
      <c r="BJ1136" s="7">
        <f>IF(Wapato_Inventory[[#This Row],[bldg_style]]="",0,Lookups!$B$2*0.5)</f>
        <v>53765.27</v>
      </c>
      <c r="BK1136" s="7">
        <f>_xlfn.IFNA(VLOOKUP(Wapato_Inventory[[#This Row],[quality]],Lookups!$H$2:$J$14,3,FALSE),0)</f>
        <v>50405</v>
      </c>
      <c r="BL1136" s="7">
        <f>_xlfn.IFNA(VLOOKUP(Wapato_Inventory[[#This Row],[condition]],Lookups!$H$17:$J$24,3,FALSE),0)</f>
        <v>52231</v>
      </c>
      <c r="BM1136" s="7">
        <f>Wapato_Inventory[[#This Row],[Age]]*Lookups!$B$16</f>
        <v>-27059.326100000002</v>
      </c>
      <c r="BN1136" s="7">
        <f>Wapato_Inventory[[#This Row],[Main Floor]]*Lookups!$B$17</f>
        <v>46816.827680000002</v>
      </c>
      <c r="BO1136" s="7">
        <f>Wapato_Inventory[[#This Row],[Upper Floor]]*Lookups!$B$18</f>
        <v>0</v>
      </c>
      <c r="BP1136" s="7">
        <f>Wapato_Inventory[[#This Row],[Fin BSMT]]*Lookups!$B$19</f>
        <v>0</v>
      </c>
      <c r="BQ1136" s="7">
        <f>(Wapato_Inventory[[#This Row],[att_gar]]+Wapato_Inventory[[#This Row],[blt_gar]])*Lookups!$B$20</f>
        <v>0</v>
      </c>
      <c r="BR1136" s="7">
        <f>Wapato_Inventory[[#This Row],[Patio]]*Lookups!$B$21</f>
        <v>0</v>
      </c>
      <c r="BS1136" s="7">
        <f>SUM(Wapato_Inventory[[#This Row],[intercept]:[patio_value]])*Wapato_Inventory[[#This Row],[res_pct]]</f>
        <v>176158.77158</v>
      </c>
      <c r="BT1136" s="7">
        <f>Wapato_Inventory[[#This Row],[land_value]]</f>
        <v>56400</v>
      </c>
      <c r="BU1136" s="2">
        <f>_xlfn.IFNA(VLOOKUP(Wapato_Inventory[[#This Row],[quality]],Lookups!$A$28:$C$37,3,FALSE),1)</f>
        <v>0.97993206410140754</v>
      </c>
      <c r="BV1136" s="2">
        <f>_xlfn.IFNA(VLOOKUP(Wapato_Inventory[[#This Row],[condition]],Lookups!$A$41:$C$48,3,FALSE),1)</f>
        <v>0.9832333997567807</v>
      </c>
      <c r="BW1136" s="2">
        <f>IF(Wapato_Inventory[[#This Row],[decade]]="",1,_xlfn.IFNA(VLOOKUP(Wapato_Inventory[[#This Row],[decade]],Lookups!$F$28:$H$45,3,FALSE),1))</f>
        <v>0.8438929209510081</v>
      </c>
      <c r="BX1136" s="2">
        <f>_xlfn.IFNA(VLOOKUP(Wapato_Inventory[[#This Row],[living_area_range]],Lookups!$K$28:$M$37,3,FALSE),1)</f>
        <v>1.0061411172456287</v>
      </c>
      <c r="BY1136" s="2">
        <f>AVERAGE(Wapato_Inventory[[#This Row],[qual_adj]:[range_adj]])</f>
        <v>0.95329987551370632</v>
      </c>
      <c r="BZ1136" s="7">
        <f>(Wapato_Inventory[[#This Row],[sum_land]]-IF(Wapato_Inventory[[#This Row],[no_utilities]]=1,12000,0))/IF(Wapato_Inventory[[#This Row],[unbuildable]]=1,2,1)</f>
        <v>56400</v>
      </c>
      <c r="CA1136" s="7">
        <f>Wapato_Inventory[[#This Row],[pre_res]]*Wapato_Inventory[[#This Row],[overall_adj]]</f>
        <v>167932.13501786144</v>
      </c>
      <c r="CB1136" s="3">
        <f>IF(ROUND(Wapato_Inventory[[#This Row],[adj_land]]*Lookups!$H$48,-2)&lt;Wapato_Inventory[[#This Row],[min_land]],Wapato_Inventory[[#This Row],[min_land]],ROUND(Wapato_Inventory[[#This Row],[adj_land]]*Lookups!$H$48,-2))</f>
        <v>53600</v>
      </c>
      <c r="CC1136" s="3">
        <f>IF(ROUND(Wapato_Inventory[[#This Row],[adj_res]]*Lookups!$H$48,-2)&lt;Wapato_Inventory[[#This Row],[min_res]],Wapato_Inventory[[#This Row],[min_res]],ROUND(Wapato_Inventory[[#This Row],[adj_res]]*Lookups!$H$48,-2))</f>
        <v>159500</v>
      </c>
      <c r="CD1136" s="3">
        <f>ROUND(Wapato_Inventory[[#This Row],[det_value]]*Lookups!$H$48,-2)</f>
        <v>10900</v>
      </c>
      <c r="CE1136" s="3">
        <f>Wapato_Inventory[[#This Row],[final_res]]+Wapato_Inventory[[#This Row],[final_det]]</f>
        <v>170400</v>
      </c>
      <c r="CF1136" s="3">
        <f>Wapato_Inventory[[#This Row],[crop_value]]+Wapato_Inventory[[#This Row],[final_land]]+Wapato_Inventory[[#This Row],[final_imp]]</f>
        <v>224000</v>
      </c>
      <c r="CH1136" t="str">
        <f t="shared" si="17"/>
        <v>update valuation set market_land =53600, market_bldg=170400, market_total =224000, market_mdno =405, market_date ='9/10/2023' where link_id = (select link_id from parcel where parcel_year = '2024' and parcel_id = '19111644002');</v>
      </c>
    </row>
    <row r="1137" spans="1:86" x14ac:dyDescent="0.25">
      <c r="A1137">
        <v>19111644003</v>
      </c>
      <c r="B1137">
        <v>2.75</v>
      </c>
      <c r="C1137">
        <v>119888</v>
      </c>
      <c r="D1137" t="s">
        <v>144</v>
      </c>
      <c r="E1137" t="s">
        <v>54</v>
      </c>
      <c r="F1137" t="s">
        <v>54</v>
      </c>
      <c r="G1137">
        <v>3</v>
      </c>
      <c r="H1137" t="s">
        <v>55</v>
      </c>
      <c r="I1137">
        <v>228000</v>
      </c>
      <c r="J1137">
        <v>52400</v>
      </c>
      <c r="K1137">
        <v>2.75</v>
      </c>
      <c r="L1137">
        <f>IF(Wapato_Inventory[[#This Row],[parcel_acres]]-Wapato_Inventory[[#This Row],[non_valued_acres]] =0,0,LN(Wapato_Inventory[[#This Row],[parcel_acres]]-Wapato_Inventory[[#This Row],[non_valued_acres]]))</f>
        <v>1.0116009116784799</v>
      </c>
      <c r="M1137">
        <v>0</v>
      </c>
      <c r="N1137">
        <v>0</v>
      </c>
      <c r="O1137">
        <v>0</v>
      </c>
      <c r="P1137">
        <v>27904.037</v>
      </c>
      <c r="Q1137">
        <v>74398</v>
      </c>
      <c r="R1137" s="3">
        <f>(Wapato_Inventory[[#This Row],[ln_acres]]*Wapato_Inventory[[#This Row],[coeff]])+Wapato_Inventory[[#This Row],[const]]</f>
        <v>102625.74926871003</v>
      </c>
      <c r="S1137" t="s">
        <v>62</v>
      </c>
      <c r="T1137">
        <v>1</v>
      </c>
      <c r="U1137" t="s">
        <v>67</v>
      </c>
      <c r="V1137" t="s">
        <v>68</v>
      </c>
      <c r="W1137">
        <v>0</v>
      </c>
      <c r="X1137">
        <v>0</v>
      </c>
      <c r="Y1137">
        <v>49</v>
      </c>
      <c r="Z1137">
        <v>65</v>
      </c>
      <c r="AA1137">
        <v>70</v>
      </c>
      <c r="AB1137">
        <v>2000</v>
      </c>
      <c r="AC1137">
        <v>1789</v>
      </c>
      <c r="AD1137">
        <v>1789</v>
      </c>
      <c r="AE1137">
        <v>0</v>
      </c>
      <c r="AF1137">
        <v>0</v>
      </c>
      <c r="AG1137">
        <v>0</v>
      </c>
      <c r="AH1137">
        <v>0</v>
      </c>
      <c r="AI1137">
        <v>0</v>
      </c>
      <c r="AJ1137">
        <v>0</v>
      </c>
      <c r="AK1137">
        <v>0</v>
      </c>
      <c r="AL1137">
        <v>0</v>
      </c>
      <c r="AM1137">
        <v>480</v>
      </c>
      <c r="AN1137">
        <v>0</v>
      </c>
      <c r="AO1137">
        <v>480</v>
      </c>
      <c r="AP1137">
        <v>7</v>
      </c>
      <c r="AQ1137">
        <v>0</v>
      </c>
      <c r="AR1137">
        <v>1</v>
      </c>
      <c r="AS1137" t="s">
        <v>59</v>
      </c>
      <c r="AT1137">
        <v>1</v>
      </c>
      <c r="AU1137" t="s">
        <v>64</v>
      </c>
      <c r="AV1137" t="s">
        <v>61</v>
      </c>
      <c r="AW1137">
        <v>1</v>
      </c>
      <c r="AX1137">
        <v>3</v>
      </c>
      <c r="AY1137">
        <v>0</v>
      </c>
      <c r="AZ1137">
        <v>30000</v>
      </c>
      <c r="BA1137">
        <v>100</v>
      </c>
      <c r="BB1137">
        <v>100</v>
      </c>
      <c r="BC1137">
        <v>100</v>
      </c>
      <c r="BD1137">
        <v>100</v>
      </c>
      <c r="BE1137">
        <v>1</v>
      </c>
      <c r="BF1137">
        <v>15000</v>
      </c>
      <c r="BG1137">
        <v>1000</v>
      </c>
      <c r="BH1137" s="7">
        <f>ROUND(Wapato_Inventory[[#This Row],[detatched_value]]*Lookups!$B$22*Lookups!$H$48,-2)</f>
        <v>26800</v>
      </c>
      <c r="BI1137" s="7">
        <f>ROUND(((Wapato_Inventory[[#This Row],[land_extract]]*Lookups!$B$3) +(Lookups!$B$2*0.5))*Lookups!$H$48,-2)</f>
        <v>61000</v>
      </c>
      <c r="BJ1137" s="7">
        <f>IF(Wapato_Inventory[[#This Row],[bldg_style]]="",0,Lookups!$B$2*0.5)</f>
        <v>53765.27</v>
      </c>
      <c r="BK1137" s="7">
        <f>_xlfn.IFNA(VLOOKUP(Wapato_Inventory[[#This Row],[quality]],Lookups!$H$2:$J$14,3,FALSE),0)</f>
        <v>50405</v>
      </c>
      <c r="BL1137" s="7">
        <f>_xlfn.IFNA(VLOOKUP(Wapato_Inventory[[#This Row],[condition]],Lookups!$H$17:$J$24,3,FALSE),0)</f>
        <v>52231</v>
      </c>
      <c r="BM1137" s="7">
        <f>Wapato_Inventory[[#This Row],[Age]]*Lookups!$B$16</f>
        <v>-24093.9205</v>
      </c>
      <c r="BN1137" s="7">
        <f>Wapato_Inventory[[#This Row],[Main Floor]]*Lookups!$B$17</f>
        <v>74781.522070999999</v>
      </c>
      <c r="BO1137" s="7">
        <f>Wapato_Inventory[[#This Row],[Upper Floor]]*Lookups!$B$18</f>
        <v>0</v>
      </c>
      <c r="BP1137" s="7">
        <f>Wapato_Inventory[[#This Row],[Fin BSMT]]*Lookups!$B$19</f>
        <v>0</v>
      </c>
      <c r="BQ1137" s="7">
        <f>(Wapato_Inventory[[#This Row],[att_gar]]+Wapato_Inventory[[#This Row],[blt_gar]])*Lookups!$B$20</f>
        <v>0</v>
      </c>
      <c r="BR1137" s="7">
        <f>Wapato_Inventory[[#This Row],[Patio]]*Lookups!$B$21</f>
        <v>20795.50992</v>
      </c>
      <c r="BS1137" s="7">
        <f>SUM(Wapato_Inventory[[#This Row],[intercept]:[patio_value]])*Wapato_Inventory[[#This Row],[res_pct]]</f>
        <v>227884.38149099998</v>
      </c>
      <c r="BT1137" s="7">
        <f>Wapato_Inventory[[#This Row],[land_value]]</f>
        <v>61000</v>
      </c>
      <c r="BU1137" s="2">
        <f>_xlfn.IFNA(VLOOKUP(Wapato_Inventory[[#This Row],[quality]],Lookups!$A$28:$C$37,3,FALSE),1)</f>
        <v>0.97993206410140754</v>
      </c>
      <c r="BV1137" s="2">
        <f>_xlfn.IFNA(VLOOKUP(Wapato_Inventory[[#This Row],[condition]],Lookups!$A$41:$C$48,3,FALSE),1)</f>
        <v>0.9832333997567807</v>
      </c>
      <c r="BW1137" s="2">
        <f>IF(Wapato_Inventory[[#This Row],[decade]]="",1,_xlfn.IFNA(VLOOKUP(Wapato_Inventory[[#This Row],[decade]],Lookups!$F$28:$H$45,3,FALSE),1))</f>
        <v>1.0012715221492001</v>
      </c>
      <c r="BX1137" s="2">
        <f>_xlfn.IFNA(VLOOKUP(Wapato_Inventory[[#This Row],[living_area_range]],Lookups!$K$28:$M$37,3,FALSE),1)</f>
        <v>0.99330894324714125</v>
      </c>
      <c r="BY1137" s="2">
        <f>AVERAGE(Wapato_Inventory[[#This Row],[qual_adj]:[range_adj]])</f>
        <v>0.98943648231363246</v>
      </c>
      <c r="BZ1137" s="7">
        <f>(Wapato_Inventory[[#This Row],[sum_land]]-IF(Wapato_Inventory[[#This Row],[no_utilities]]=1,12000,0))/IF(Wapato_Inventory[[#This Row],[unbuildable]]=1,2,1)</f>
        <v>61000</v>
      </c>
      <c r="CA1137" s="7">
        <f>Wapato_Inventory[[#This Row],[pre_res]]*Wapato_Inventory[[#This Row],[overall_adj]]</f>
        <v>225477.12079667288</v>
      </c>
      <c r="CB1137" s="3">
        <f>IF(ROUND(Wapato_Inventory[[#This Row],[adj_land]]*Lookups!$H$48,-2)&lt;Wapato_Inventory[[#This Row],[min_land]],Wapato_Inventory[[#This Row],[min_land]],ROUND(Wapato_Inventory[[#This Row],[adj_land]]*Lookups!$H$48,-2))</f>
        <v>58000</v>
      </c>
      <c r="CC1137" s="3">
        <f>IF(ROUND(Wapato_Inventory[[#This Row],[adj_res]]*Lookups!$H$48,-2)&lt;Wapato_Inventory[[#This Row],[min_res]],Wapato_Inventory[[#This Row],[min_res]],ROUND(Wapato_Inventory[[#This Row],[adj_res]]*Lookups!$H$48,-2))</f>
        <v>214200</v>
      </c>
      <c r="CD1137" s="3">
        <f>ROUND(Wapato_Inventory[[#This Row],[det_value]]*Lookups!$H$48,-2)</f>
        <v>25500</v>
      </c>
      <c r="CE1137" s="3">
        <f>Wapato_Inventory[[#This Row],[final_res]]+Wapato_Inventory[[#This Row],[final_det]]</f>
        <v>239700</v>
      </c>
      <c r="CF1137" s="3">
        <f>Wapato_Inventory[[#This Row],[crop_value]]+Wapato_Inventory[[#This Row],[final_land]]+Wapato_Inventory[[#This Row],[final_imp]]</f>
        <v>297700</v>
      </c>
      <c r="CH1137" t="str">
        <f t="shared" si="17"/>
        <v>update valuation set market_land =58000, market_bldg=239700, market_total =297700, market_mdno =405, market_date ='9/10/2023' where link_id = (select link_id from parcel where parcel_year = '2024' and parcel_id = '19111644003');</v>
      </c>
    </row>
    <row r="1138" spans="1:86" x14ac:dyDescent="0.25">
      <c r="A1138">
        <v>19111644004</v>
      </c>
      <c r="B1138">
        <v>1.24</v>
      </c>
      <c r="C1138">
        <v>54153</v>
      </c>
      <c r="D1138" t="s">
        <v>144</v>
      </c>
      <c r="E1138" t="s">
        <v>54</v>
      </c>
      <c r="F1138" t="s">
        <v>54</v>
      </c>
      <c r="G1138">
        <v>3</v>
      </c>
      <c r="H1138" t="s">
        <v>55</v>
      </c>
      <c r="I1138">
        <v>119400</v>
      </c>
      <c r="J1138">
        <v>46700</v>
      </c>
      <c r="K1138">
        <v>1.24</v>
      </c>
      <c r="L1138">
        <f>IF(Wapato_Inventory[[#This Row],[parcel_acres]]-Wapato_Inventory[[#This Row],[non_valued_acres]] =0,0,LN(Wapato_Inventory[[#This Row],[parcel_acres]]-Wapato_Inventory[[#This Row],[non_valued_acres]]))</f>
        <v>0.21511137961694549</v>
      </c>
      <c r="M1138">
        <v>0</v>
      </c>
      <c r="N1138">
        <v>0</v>
      </c>
      <c r="O1138">
        <v>0</v>
      </c>
      <c r="P1138">
        <v>27904.037</v>
      </c>
      <c r="Q1138">
        <v>74398</v>
      </c>
      <c r="R1138" s="3">
        <f>(Wapato_Inventory[[#This Row],[ln_acres]]*Wapato_Inventory[[#This Row],[coeff]])+Wapato_Inventory[[#This Row],[const]]</f>
        <v>80400.475895952288</v>
      </c>
      <c r="S1138" t="s">
        <v>66</v>
      </c>
      <c r="T1138">
        <v>1</v>
      </c>
      <c r="U1138" t="s">
        <v>75</v>
      </c>
      <c r="V1138" t="s">
        <v>73</v>
      </c>
      <c r="W1138">
        <v>0</v>
      </c>
      <c r="X1138">
        <v>0</v>
      </c>
      <c r="Y1138">
        <v>50</v>
      </c>
      <c r="Z1138">
        <v>73</v>
      </c>
      <c r="AA1138">
        <v>80</v>
      </c>
      <c r="AB1138">
        <v>1000</v>
      </c>
      <c r="AC1138">
        <v>980</v>
      </c>
      <c r="AD1138">
        <v>980</v>
      </c>
      <c r="AE1138">
        <v>0</v>
      </c>
      <c r="AF1138">
        <v>0</v>
      </c>
      <c r="AG1138">
        <v>0</v>
      </c>
      <c r="AH1138">
        <v>980</v>
      </c>
      <c r="AI1138">
        <v>0</v>
      </c>
      <c r="AJ1138">
        <v>0</v>
      </c>
      <c r="AK1138">
        <v>0</v>
      </c>
      <c r="AL1138">
        <v>150</v>
      </c>
      <c r="AM1138">
        <v>420</v>
      </c>
      <c r="AN1138">
        <v>100</v>
      </c>
      <c r="AO1138">
        <v>570</v>
      </c>
      <c r="AP1138">
        <v>5</v>
      </c>
      <c r="AQ1138">
        <v>0</v>
      </c>
      <c r="AR1138">
        <v>1</v>
      </c>
      <c r="AS1138" t="s">
        <v>59</v>
      </c>
      <c r="AT1138">
        <v>1</v>
      </c>
      <c r="AU1138" t="s">
        <v>64</v>
      </c>
      <c r="AV1138" t="s">
        <v>77</v>
      </c>
      <c r="AW1138">
        <v>0</v>
      </c>
      <c r="AX1138">
        <v>2</v>
      </c>
      <c r="AY1138">
        <v>0</v>
      </c>
      <c r="AZ1138">
        <v>0</v>
      </c>
      <c r="BA1138">
        <v>100</v>
      </c>
      <c r="BB1138">
        <v>100</v>
      </c>
      <c r="BC1138">
        <v>100</v>
      </c>
      <c r="BD1138">
        <v>100</v>
      </c>
      <c r="BE1138">
        <v>1</v>
      </c>
      <c r="BF1138">
        <v>15000</v>
      </c>
      <c r="BG1138">
        <v>1000</v>
      </c>
      <c r="BH1138" s="7">
        <f>ROUND(Wapato_Inventory[[#This Row],[detatched_value]]*Lookups!$B$22*Lookups!$H$48,-2)</f>
        <v>0</v>
      </c>
      <c r="BI1138" s="7">
        <f>ROUND(((Wapato_Inventory[[#This Row],[land_extract]]*Lookups!$B$3) +(Lookups!$B$2*0.5))*Lookups!$H$48,-2)</f>
        <v>58800</v>
      </c>
      <c r="BJ1138" s="7">
        <f>IF(Wapato_Inventory[[#This Row],[bldg_style]]="",0,Lookups!$B$2*0.5)</f>
        <v>53765.27</v>
      </c>
      <c r="BK1138" s="7">
        <f>_xlfn.IFNA(VLOOKUP(Wapato_Inventory[[#This Row],[quality]],Lookups!$H$2:$J$14,3,FALSE),0)</f>
        <v>48043</v>
      </c>
      <c r="BL1138" s="7">
        <f>_xlfn.IFNA(VLOOKUP(Wapato_Inventory[[#This Row],[condition]],Lookups!$H$17:$J$24,3,FALSE),0)</f>
        <v>16276</v>
      </c>
      <c r="BM1138" s="7">
        <f>Wapato_Inventory[[#This Row],[Age]]*Lookups!$B$16</f>
        <v>-27059.326100000002</v>
      </c>
      <c r="BN1138" s="7">
        <f>Wapato_Inventory[[#This Row],[Main Floor]]*Lookups!$B$17</f>
        <v>40964.724220000004</v>
      </c>
      <c r="BO1138" s="7">
        <f>Wapato_Inventory[[#This Row],[Upper Floor]]*Lookups!$B$18</f>
        <v>0</v>
      </c>
      <c r="BP1138" s="7">
        <f>Wapato_Inventory[[#This Row],[Fin BSMT]]*Lookups!$B$19</f>
        <v>0</v>
      </c>
      <c r="BQ1138" s="7">
        <f>(Wapato_Inventory[[#This Row],[att_gar]]+Wapato_Inventory[[#This Row],[blt_gar]])*Lookups!$B$20</f>
        <v>0</v>
      </c>
      <c r="BR1138" s="7">
        <f>Wapato_Inventory[[#This Row],[Patio]]*Lookups!$B$21</f>
        <v>18196.071179999999</v>
      </c>
      <c r="BS1138" s="7">
        <f>SUM(Wapato_Inventory[[#This Row],[intercept]:[patio_value]])*Wapato_Inventory[[#This Row],[res_pct]]</f>
        <v>150185.73929999999</v>
      </c>
      <c r="BT1138" s="7">
        <f>Wapato_Inventory[[#This Row],[land_value]]</f>
        <v>58800</v>
      </c>
      <c r="BU1138" s="2">
        <f>_xlfn.IFNA(VLOOKUP(Wapato_Inventory[[#This Row],[quality]],Lookups!$A$28:$C$37,3,FALSE),1)</f>
        <v>0.98196844879778955</v>
      </c>
      <c r="BV1138" s="2">
        <f>_xlfn.IFNA(VLOOKUP(Wapato_Inventory[[#This Row],[condition]],Lookups!$A$41:$C$48,3,FALSE),1)</f>
        <v>0.93399385491337139</v>
      </c>
      <c r="BW1138" s="2">
        <f>IF(Wapato_Inventory[[#This Row],[decade]]="",1,_xlfn.IFNA(VLOOKUP(Wapato_Inventory[[#This Row],[decade]],Lookups!$F$28:$H$45,3,FALSE),1))</f>
        <v>0.8438929209510081</v>
      </c>
      <c r="BX1138" s="2">
        <f>_xlfn.IFNA(VLOOKUP(Wapato_Inventory[[#This Row],[living_area_range]],Lookups!$K$28:$M$37,3,FALSE),1)</f>
        <v>0.99022994770196116</v>
      </c>
      <c r="BY1138" s="2">
        <f>AVERAGE(Wapato_Inventory[[#This Row],[qual_adj]:[range_adj]])</f>
        <v>0.9375212930910326</v>
      </c>
      <c r="BZ1138" s="7">
        <f>(Wapato_Inventory[[#This Row],[sum_land]]-IF(Wapato_Inventory[[#This Row],[no_utilities]]=1,12000,0))/IF(Wapato_Inventory[[#This Row],[unbuildable]]=1,2,1)</f>
        <v>58800</v>
      </c>
      <c r="CA1138" s="7">
        <f>Wapato_Inventory[[#This Row],[pre_res]]*Wapato_Inventory[[#This Row],[overall_adj]]</f>
        <v>140802.32851236869</v>
      </c>
      <c r="CB1138" s="3">
        <f>IF(ROUND(Wapato_Inventory[[#This Row],[adj_land]]*Lookups!$H$48,-2)&lt;Wapato_Inventory[[#This Row],[min_land]],Wapato_Inventory[[#This Row],[min_land]],ROUND(Wapato_Inventory[[#This Row],[adj_land]]*Lookups!$H$48,-2))</f>
        <v>55900</v>
      </c>
      <c r="CC1138" s="3">
        <f>IF(ROUND(Wapato_Inventory[[#This Row],[adj_res]]*Lookups!$H$48,-2)&lt;Wapato_Inventory[[#This Row],[min_res]],Wapato_Inventory[[#This Row],[min_res]],ROUND(Wapato_Inventory[[#This Row],[adj_res]]*Lookups!$H$48,-2))</f>
        <v>133800</v>
      </c>
      <c r="CD1138" s="3">
        <f>ROUND(Wapato_Inventory[[#This Row],[det_value]]*Lookups!$H$48,-2)</f>
        <v>0</v>
      </c>
      <c r="CE1138" s="3">
        <f>Wapato_Inventory[[#This Row],[final_res]]+Wapato_Inventory[[#This Row],[final_det]]</f>
        <v>133800</v>
      </c>
      <c r="CF1138" s="3">
        <f>Wapato_Inventory[[#This Row],[crop_value]]+Wapato_Inventory[[#This Row],[final_land]]+Wapato_Inventory[[#This Row],[final_imp]]</f>
        <v>189700</v>
      </c>
      <c r="CH1138" t="str">
        <f t="shared" si="17"/>
        <v>update valuation set market_land =55900, market_bldg=133800, market_total =189700, market_mdno =405, market_date ='9/10/2023' where link_id = (select link_id from parcel where parcel_year = '2024' and parcel_id = '19111644004');</v>
      </c>
    </row>
    <row r="1139" spans="1:86" x14ac:dyDescent="0.25">
      <c r="A1139">
        <v>19111644006</v>
      </c>
      <c r="B1139">
        <v>1.95</v>
      </c>
      <c r="C1139">
        <v>84753</v>
      </c>
      <c r="D1139" t="s">
        <v>144</v>
      </c>
      <c r="E1139" t="s">
        <v>54</v>
      </c>
      <c r="F1139" t="s">
        <v>54</v>
      </c>
      <c r="G1139">
        <v>3</v>
      </c>
      <c r="H1139" t="s">
        <v>55</v>
      </c>
      <c r="I1139">
        <v>321600</v>
      </c>
      <c r="J1139">
        <v>50000</v>
      </c>
      <c r="K1139">
        <v>1.95</v>
      </c>
      <c r="L1139">
        <f>IF(Wapato_Inventory[[#This Row],[parcel_acres]]-Wapato_Inventory[[#This Row],[non_valued_acres]] =0,0,LN(Wapato_Inventory[[#This Row],[parcel_acres]]-Wapato_Inventory[[#This Row],[non_valued_acres]]))</f>
        <v>0.66782937257565544</v>
      </c>
      <c r="M1139">
        <v>0</v>
      </c>
      <c r="N1139">
        <v>0</v>
      </c>
      <c r="O1139">
        <v>0</v>
      </c>
      <c r="P1139">
        <v>27904.037</v>
      </c>
      <c r="Q1139">
        <v>74398</v>
      </c>
      <c r="R1139" s="3">
        <f>(Wapato_Inventory[[#This Row],[ln_acres]]*Wapato_Inventory[[#This Row],[coeff]])+Wapato_Inventory[[#This Row],[const]]</f>
        <v>93033.135522037875</v>
      </c>
      <c r="S1139" t="s">
        <v>62</v>
      </c>
      <c r="T1139">
        <v>1</v>
      </c>
      <c r="U1139" t="s">
        <v>63</v>
      </c>
      <c r="V1139" t="s">
        <v>58</v>
      </c>
      <c r="W1139">
        <v>0</v>
      </c>
      <c r="X1139">
        <v>0</v>
      </c>
      <c r="Y1139">
        <v>9</v>
      </c>
      <c r="Z1139">
        <v>9</v>
      </c>
      <c r="AA1139">
        <v>10</v>
      </c>
      <c r="AB1139">
        <v>2000</v>
      </c>
      <c r="AC1139">
        <v>1778</v>
      </c>
      <c r="AD1139">
        <v>1778</v>
      </c>
      <c r="AE1139">
        <v>0</v>
      </c>
      <c r="AF1139">
        <v>0</v>
      </c>
      <c r="AG1139">
        <v>0</v>
      </c>
      <c r="AH1139">
        <v>0</v>
      </c>
      <c r="AI1139">
        <v>624</v>
      </c>
      <c r="AJ1139">
        <v>0</v>
      </c>
      <c r="AK1139">
        <v>0</v>
      </c>
      <c r="AL1139">
        <v>0</v>
      </c>
      <c r="AM1139">
        <v>228</v>
      </c>
      <c r="AN1139">
        <v>324</v>
      </c>
      <c r="AO1139">
        <v>0</v>
      </c>
      <c r="AP1139">
        <v>10</v>
      </c>
      <c r="AQ1139">
        <v>0</v>
      </c>
      <c r="AR1139">
        <v>0</v>
      </c>
      <c r="AS1139" t="s">
        <v>59</v>
      </c>
      <c r="AT1139">
        <v>1</v>
      </c>
      <c r="AU1139" t="s">
        <v>60</v>
      </c>
      <c r="AV1139" t="s">
        <v>61</v>
      </c>
      <c r="AW1139">
        <v>1</v>
      </c>
      <c r="AX1139">
        <v>3</v>
      </c>
      <c r="AY1139">
        <v>0</v>
      </c>
      <c r="AZ1139">
        <v>0</v>
      </c>
      <c r="BA1139">
        <v>100</v>
      </c>
      <c r="BB1139">
        <v>100</v>
      </c>
      <c r="BC1139">
        <v>100</v>
      </c>
      <c r="BD1139">
        <v>100</v>
      </c>
      <c r="BE1139">
        <v>1</v>
      </c>
      <c r="BF1139">
        <v>15000</v>
      </c>
      <c r="BG1139">
        <v>1000</v>
      </c>
      <c r="BH1139" s="7">
        <f>ROUND(Wapato_Inventory[[#This Row],[detatched_value]]*Lookups!$B$22*Lookups!$H$48,-2)</f>
        <v>0</v>
      </c>
      <c r="BI1139" s="7">
        <f>ROUND(((Wapato_Inventory[[#This Row],[land_extract]]*Lookups!$B$3) +(Lookups!$B$2*0.5))*Lookups!$H$48,-2)</f>
        <v>60100</v>
      </c>
      <c r="BJ1139" s="7">
        <f>IF(Wapato_Inventory[[#This Row],[bldg_style]]="",0,Lookups!$B$2*0.5)</f>
        <v>53765.27</v>
      </c>
      <c r="BK1139" s="7">
        <f>_xlfn.IFNA(VLOOKUP(Wapato_Inventory[[#This Row],[quality]],Lookups!$H$2:$J$14,3,FALSE),0)</f>
        <v>50594</v>
      </c>
      <c r="BL1139" s="7">
        <f>_xlfn.IFNA(VLOOKUP(Wapato_Inventory[[#This Row],[condition]],Lookups!$H$17:$J$24,3,FALSE),0)</f>
        <v>122095</v>
      </c>
      <c r="BM1139" s="7">
        <f>Wapato_Inventory[[#This Row],[Age]]*Lookups!$B$16</f>
        <v>-3336.0812999999998</v>
      </c>
      <c r="BN1139" s="7">
        <f>Wapato_Inventory[[#This Row],[Main Floor]]*Lookups!$B$17</f>
        <v>74321.713942000002</v>
      </c>
      <c r="BO1139" s="7">
        <f>Wapato_Inventory[[#This Row],[Upper Floor]]*Lookups!$B$18</f>
        <v>0</v>
      </c>
      <c r="BP1139" s="7">
        <f>Wapato_Inventory[[#This Row],[Fin BSMT]]*Lookups!$B$19</f>
        <v>0</v>
      </c>
      <c r="BQ1139" s="7">
        <f>(Wapato_Inventory[[#This Row],[att_gar]]+Wapato_Inventory[[#This Row],[blt_gar]])*Lookups!$B$20</f>
        <v>23093.461248</v>
      </c>
      <c r="BR1139" s="7">
        <f>Wapato_Inventory[[#This Row],[Patio]]*Lookups!$B$21</f>
        <v>9877.867212000001</v>
      </c>
      <c r="BS1139" s="7">
        <f>SUM(Wapato_Inventory[[#This Row],[intercept]:[patio_value]])*Wapato_Inventory[[#This Row],[res_pct]]</f>
        <v>330411.23110199999</v>
      </c>
      <c r="BT1139" s="7">
        <f>Wapato_Inventory[[#This Row],[land_value]]</f>
        <v>60100</v>
      </c>
      <c r="BU1139" s="2">
        <f>_xlfn.IFNA(VLOOKUP(Wapato_Inventory[[#This Row],[quality]],Lookups!$A$28:$C$37,3,FALSE),1)</f>
        <v>0.99197423394367223</v>
      </c>
      <c r="BV1139" s="2">
        <f>_xlfn.IFNA(VLOOKUP(Wapato_Inventory[[#This Row],[condition]],Lookups!$A$41:$C$48,3,FALSE),1)</f>
        <v>1.00041560026225</v>
      </c>
      <c r="BW1139" s="2">
        <f>IF(Wapato_Inventory[[#This Row],[decade]]="",1,_xlfn.IFNA(VLOOKUP(Wapato_Inventory[[#This Row],[decade]],Lookups!$F$28:$H$45,3,FALSE),1))</f>
        <v>1.0321018519633791</v>
      </c>
      <c r="BX1139" s="2">
        <f>_xlfn.IFNA(VLOOKUP(Wapato_Inventory[[#This Row],[living_area_range]],Lookups!$K$28:$M$37,3,FALSE),1)</f>
        <v>0.99330894324714125</v>
      </c>
      <c r="BY1139" s="2">
        <f>AVERAGE(Wapato_Inventory[[#This Row],[qual_adj]:[range_adj]])</f>
        <v>1.0044501573541107</v>
      </c>
      <c r="BZ1139" s="7">
        <f>(Wapato_Inventory[[#This Row],[sum_land]]-IF(Wapato_Inventory[[#This Row],[no_utilities]]=1,12000,0))/IF(Wapato_Inventory[[#This Row],[unbuildable]]=1,2,1)</f>
        <v>60100</v>
      </c>
      <c r="CA1139" s="7">
        <f>Wapato_Inventory[[#This Row],[pre_res]]*Wapato_Inventory[[#This Row],[overall_adj]]</f>
        <v>331881.6130719693</v>
      </c>
      <c r="CB1139" s="3">
        <f>IF(ROUND(Wapato_Inventory[[#This Row],[adj_land]]*Lookups!$H$48,-2)&lt;Wapato_Inventory[[#This Row],[min_land]],Wapato_Inventory[[#This Row],[min_land]],ROUND(Wapato_Inventory[[#This Row],[adj_land]]*Lookups!$H$48,-2))</f>
        <v>57100</v>
      </c>
      <c r="CC1139" s="3">
        <f>IF(ROUND(Wapato_Inventory[[#This Row],[adj_res]]*Lookups!$H$48,-2)&lt;Wapato_Inventory[[#This Row],[min_res]],Wapato_Inventory[[#This Row],[min_res]],ROUND(Wapato_Inventory[[#This Row],[adj_res]]*Lookups!$H$48,-2))</f>
        <v>315300</v>
      </c>
      <c r="CD1139" s="3">
        <f>ROUND(Wapato_Inventory[[#This Row],[det_value]]*Lookups!$H$48,-2)</f>
        <v>0</v>
      </c>
      <c r="CE1139" s="3">
        <f>Wapato_Inventory[[#This Row],[final_res]]+Wapato_Inventory[[#This Row],[final_det]]</f>
        <v>315300</v>
      </c>
      <c r="CF1139" s="3">
        <f>Wapato_Inventory[[#This Row],[crop_value]]+Wapato_Inventory[[#This Row],[final_land]]+Wapato_Inventory[[#This Row],[final_imp]]</f>
        <v>372400</v>
      </c>
      <c r="CH1139" t="str">
        <f t="shared" si="17"/>
        <v>update valuation set market_land =57100, market_bldg=315300, market_total =372400, market_mdno =405, market_date ='9/10/2023' where link_id = (select link_id from parcel where parcel_year = '2024' and parcel_id = '19111644006');</v>
      </c>
    </row>
    <row r="1140" spans="1:86" x14ac:dyDescent="0.25">
      <c r="A1140">
        <v>19111644007</v>
      </c>
      <c r="B1140">
        <v>0.6</v>
      </c>
      <c r="C1140">
        <v>25955</v>
      </c>
      <c r="D1140" t="s">
        <v>144</v>
      </c>
      <c r="E1140" t="s">
        <v>54</v>
      </c>
      <c r="F1140" t="s">
        <v>54</v>
      </c>
      <c r="G1140">
        <v>3</v>
      </c>
      <c r="H1140" t="s">
        <v>55</v>
      </c>
      <c r="I1140">
        <v>44800</v>
      </c>
      <c r="J1140">
        <v>41600</v>
      </c>
      <c r="K1140">
        <v>0.6</v>
      </c>
      <c r="L1140">
        <f>IF(Wapato_Inventory[[#This Row],[parcel_acres]]-Wapato_Inventory[[#This Row],[non_valued_acres]] =0,0,LN(Wapato_Inventory[[#This Row],[parcel_acres]]-Wapato_Inventory[[#This Row],[non_valued_acres]]))</f>
        <v>-0.51082562376599072</v>
      </c>
      <c r="M1140">
        <v>0</v>
      </c>
      <c r="N1140">
        <v>0</v>
      </c>
      <c r="O1140">
        <v>0</v>
      </c>
      <c r="P1140">
        <v>27904.037</v>
      </c>
      <c r="Q1140">
        <v>74398</v>
      </c>
      <c r="R1140" s="3">
        <f>(Wapato_Inventory[[#This Row],[ln_acres]]*Wapato_Inventory[[#This Row],[coeff]])+Wapato_Inventory[[#This Row],[const]]</f>
        <v>60143.902893885715</v>
      </c>
      <c r="S1140" t="s">
        <v>66</v>
      </c>
      <c r="T1140">
        <v>1</v>
      </c>
      <c r="U1140" t="s">
        <v>71</v>
      </c>
      <c r="V1140" t="s">
        <v>84</v>
      </c>
      <c r="W1140">
        <v>0</v>
      </c>
      <c r="X1140">
        <v>0</v>
      </c>
      <c r="Y1140">
        <v>51</v>
      </c>
      <c r="Z1140">
        <v>83</v>
      </c>
      <c r="AA1140">
        <v>90</v>
      </c>
      <c r="AB1140">
        <v>1000</v>
      </c>
      <c r="AC1140">
        <v>728</v>
      </c>
      <c r="AD1140">
        <v>728</v>
      </c>
      <c r="AE1140">
        <v>0</v>
      </c>
      <c r="AF1140">
        <v>0</v>
      </c>
      <c r="AG1140">
        <v>0</v>
      </c>
      <c r="AH1140">
        <v>0</v>
      </c>
      <c r="AI1140">
        <v>0</v>
      </c>
      <c r="AJ1140">
        <v>0</v>
      </c>
      <c r="AK1140">
        <v>266</v>
      </c>
      <c r="AL1140">
        <v>0</v>
      </c>
      <c r="AM1140">
        <v>0</v>
      </c>
      <c r="AN1140">
        <v>24</v>
      </c>
      <c r="AO1140">
        <v>0</v>
      </c>
      <c r="AP1140">
        <v>5</v>
      </c>
      <c r="AQ1140">
        <v>0</v>
      </c>
      <c r="AR1140">
        <v>0</v>
      </c>
      <c r="AS1140" t="s">
        <v>59</v>
      </c>
      <c r="AT1140">
        <v>1</v>
      </c>
      <c r="AU1140" t="s">
        <v>64</v>
      </c>
      <c r="AV1140" t="s">
        <v>77</v>
      </c>
      <c r="AW1140">
        <v>0</v>
      </c>
      <c r="AX1140">
        <v>2</v>
      </c>
      <c r="AY1140">
        <v>0</v>
      </c>
      <c r="AZ1140">
        <v>0</v>
      </c>
      <c r="BA1140">
        <v>100</v>
      </c>
      <c r="BB1140">
        <v>100</v>
      </c>
      <c r="BC1140">
        <v>100</v>
      </c>
      <c r="BD1140">
        <v>100</v>
      </c>
      <c r="BE1140">
        <v>1</v>
      </c>
      <c r="BF1140">
        <v>15000</v>
      </c>
      <c r="BG1140">
        <v>1000</v>
      </c>
      <c r="BH1140" s="7">
        <f>ROUND(Wapato_Inventory[[#This Row],[detatched_value]]*Lookups!$B$22*Lookups!$H$48,-2)</f>
        <v>0</v>
      </c>
      <c r="BI1140" s="7">
        <f>ROUND(((Wapato_Inventory[[#This Row],[land_extract]]*Lookups!$B$3) +(Lookups!$B$2*0.5))*Lookups!$H$48,-2)</f>
        <v>56900</v>
      </c>
      <c r="BJ1140" s="7">
        <f>IF(Wapato_Inventory[[#This Row],[bldg_style]]="",0,Lookups!$B$2*0.5)</f>
        <v>53765.27</v>
      </c>
      <c r="BK1140" s="7">
        <f>_xlfn.IFNA(VLOOKUP(Wapato_Inventory[[#This Row],[quality]],Lookups!$H$2:$J$14,3,FALSE),0)</f>
        <v>28034</v>
      </c>
      <c r="BL1140" s="7">
        <f>_xlfn.IFNA(VLOOKUP(Wapato_Inventory[[#This Row],[condition]],Lookups!$H$17:$J$24,3,FALSE),0)</f>
        <v>0</v>
      </c>
      <c r="BM1140" s="7">
        <f>Wapato_Inventory[[#This Row],[Age]]*Lookups!$B$16</f>
        <v>-30766.0831</v>
      </c>
      <c r="BN1140" s="7">
        <f>Wapato_Inventory[[#This Row],[Main Floor]]*Lookups!$B$17</f>
        <v>30430.937991999999</v>
      </c>
      <c r="BO1140" s="7">
        <f>Wapato_Inventory[[#This Row],[Upper Floor]]*Lookups!$B$18</f>
        <v>0</v>
      </c>
      <c r="BP1140" s="7">
        <f>Wapato_Inventory[[#This Row],[Fin BSMT]]*Lookups!$B$19</f>
        <v>0</v>
      </c>
      <c r="BQ1140" s="7">
        <f>(Wapato_Inventory[[#This Row],[att_gar]]+Wapato_Inventory[[#This Row],[blt_gar]])*Lookups!$B$20</f>
        <v>0</v>
      </c>
      <c r="BR1140" s="7">
        <f>Wapato_Inventory[[#This Row],[Patio]]*Lookups!$B$21</f>
        <v>0</v>
      </c>
      <c r="BS1140" s="7">
        <f>SUM(Wapato_Inventory[[#This Row],[intercept]:[patio_value]])*Wapato_Inventory[[#This Row],[res_pct]]</f>
        <v>81464.124891999993</v>
      </c>
      <c r="BT1140" s="7">
        <f>Wapato_Inventory[[#This Row],[land_value]]</f>
        <v>56900</v>
      </c>
      <c r="BU1140" s="2">
        <f>_xlfn.IFNA(VLOOKUP(Wapato_Inventory[[#This Row],[quality]],Lookups!$A$28:$C$37,3,FALSE),1)</f>
        <v>0.96265813922927435</v>
      </c>
      <c r="BV1140" s="2">
        <f>_xlfn.IFNA(VLOOKUP(Wapato_Inventory[[#This Row],[condition]],Lookups!$A$41:$C$48,3,FALSE),1)</f>
        <v>1.0000035546274355</v>
      </c>
      <c r="BW1140" s="2">
        <f>IF(Wapato_Inventory[[#This Row],[decade]]="",1,_xlfn.IFNA(VLOOKUP(Wapato_Inventory[[#This Row],[decade]],Lookups!$F$28:$H$45,3,FALSE),1))</f>
        <v>0.94742695999815718</v>
      </c>
      <c r="BX1140" s="2">
        <f>_xlfn.IFNA(VLOOKUP(Wapato_Inventory[[#This Row],[living_area_range]],Lookups!$K$28:$M$37,3,FALSE),1)</f>
        <v>0.99022994770196116</v>
      </c>
      <c r="BY1140" s="2">
        <f>AVERAGE(Wapato_Inventory[[#This Row],[qual_adj]:[range_adj]])</f>
        <v>0.97507965038920708</v>
      </c>
      <c r="BZ1140" s="7">
        <f>(Wapato_Inventory[[#This Row],[sum_land]]-IF(Wapato_Inventory[[#This Row],[no_utilities]]=1,12000,0))/IF(Wapato_Inventory[[#This Row],[unbuildable]]=1,2,1)</f>
        <v>56900</v>
      </c>
      <c r="CA1140" s="7">
        <f>Wapato_Inventory[[#This Row],[pre_res]]*Wapato_Inventory[[#This Row],[overall_adj]]</f>
        <v>79434.010418954058</v>
      </c>
      <c r="CB1140" s="3">
        <f>IF(ROUND(Wapato_Inventory[[#This Row],[adj_land]]*Lookups!$H$48,-2)&lt;Wapato_Inventory[[#This Row],[min_land]],Wapato_Inventory[[#This Row],[min_land]],ROUND(Wapato_Inventory[[#This Row],[adj_land]]*Lookups!$H$48,-2))</f>
        <v>54100</v>
      </c>
      <c r="CC1140" s="3">
        <f>IF(ROUND(Wapato_Inventory[[#This Row],[adj_res]]*Lookups!$H$48,-2)&lt;Wapato_Inventory[[#This Row],[min_res]],Wapato_Inventory[[#This Row],[min_res]],ROUND(Wapato_Inventory[[#This Row],[adj_res]]*Lookups!$H$48,-2))</f>
        <v>75500</v>
      </c>
      <c r="CD1140" s="3">
        <f>ROUND(Wapato_Inventory[[#This Row],[det_value]]*Lookups!$H$48,-2)</f>
        <v>0</v>
      </c>
      <c r="CE1140" s="3">
        <f>Wapato_Inventory[[#This Row],[final_res]]+Wapato_Inventory[[#This Row],[final_det]]</f>
        <v>75500</v>
      </c>
      <c r="CF1140" s="3">
        <f>Wapato_Inventory[[#This Row],[crop_value]]+Wapato_Inventory[[#This Row],[final_land]]+Wapato_Inventory[[#This Row],[final_imp]]</f>
        <v>129600</v>
      </c>
      <c r="CH1140" t="str">
        <f t="shared" si="17"/>
        <v>update valuation set market_land =54100, market_bldg=75500, market_total =129600, market_mdno =405, market_date ='9/10/2023' where link_id = (select link_id from parcel where parcel_year = '2024' and parcel_id = '19111644007');</v>
      </c>
    </row>
    <row r="1141" spans="1:86" x14ac:dyDescent="0.25">
      <c r="A1141">
        <v>19111644008</v>
      </c>
      <c r="B1141">
        <v>2.2400000000000002</v>
      </c>
      <c r="C1141">
        <v>97575</v>
      </c>
      <c r="D1141" t="s">
        <v>144</v>
      </c>
      <c r="E1141" t="s">
        <v>54</v>
      </c>
      <c r="F1141" t="s">
        <v>54</v>
      </c>
      <c r="G1141">
        <v>3</v>
      </c>
      <c r="H1141" t="s">
        <v>55</v>
      </c>
      <c r="I1141">
        <v>290200</v>
      </c>
      <c r="J1141">
        <v>50900</v>
      </c>
      <c r="K1141">
        <v>2.2400000000000002</v>
      </c>
      <c r="L1141">
        <f>IF(Wapato_Inventory[[#This Row],[parcel_acres]]-Wapato_Inventory[[#This Row],[non_valued_acres]] =0,0,LN(Wapato_Inventory[[#This Row],[parcel_acres]]-Wapato_Inventory[[#This Row],[non_valued_acres]]))</f>
        <v>0.80647586586694853</v>
      </c>
      <c r="M1141">
        <v>0</v>
      </c>
      <c r="N1141">
        <v>0</v>
      </c>
      <c r="O1141">
        <v>0</v>
      </c>
      <c r="P1141">
        <v>27904.037</v>
      </c>
      <c r="Q1141">
        <v>74398</v>
      </c>
      <c r="R1141" s="3">
        <f>(Wapato_Inventory[[#This Row],[ln_acres]]*Wapato_Inventory[[#This Row],[coeff]])+Wapato_Inventory[[#This Row],[const]]</f>
        <v>96901.932400758364</v>
      </c>
      <c r="S1141" t="s">
        <v>66</v>
      </c>
      <c r="T1141">
        <v>1</v>
      </c>
      <c r="U1141" t="s">
        <v>71</v>
      </c>
      <c r="V1141" t="s">
        <v>68</v>
      </c>
      <c r="W1141">
        <v>0</v>
      </c>
      <c r="X1141">
        <v>0</v>
      </c>
      <c r="Y1141">
        <v>53</v>
      </c>
      <c r="Z1141">
        <v>93</v>
      </c>
      <c r="AA1141">
        <v>100</v>
      </c>
      <c r="AB1141">
        <v>1000</v>
      </c>
      <c r="AC1141">
        <v>986</v>
      </c>
      <c r="AD1141">
        <v>986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420</v>
      </c>
      <c r="AL1141">
        <v>0</v>
      </c>
      <c r="AM1141">
        <v>0</v>
      </c>
      <c r="AN1141">
        <v>90</v>
      </c>
      <c r="AO1141">
        <v>0</v>
      </c>
      <c r="AP1141">
        <v>5</v>
      </c>
      <c r="AQ1141">
        <v>0</v>
      </c>
      <c r="AR1141">
        <v>0</v>
      </c>
      <c r="AS1141" t="s">
        <v>59</v>
      </c>
      <c r="AT1141">
        <v>1</v>
      </c>
      <c r="AU1141" t="s">
        <v>64</v>
      </c>
      <c r="AV1141" t="s">
        <v>61</v>
      </c>
      <c r="AW1141">
        <v>0</v>
      </c>
      <c r="AX1141">
        <v>2</v>
      </c>
      <c r="AY1141">
        <v>0</v>
      </c>
      <c r="AZ1141">
        <v>129000</v>
      </c>
      <c r="BA1141">
        <v>100</v>
      </c>
      <c r="BB1141">
        <v>100</v>
      </c>
      <c r="BC1141">
        <v>100</v>
      </c>
      <c r="BD1141">
        <v>100</v>
      </c>
      <c r="BE1141">
        <v>1</v>
      </c>
      <c r="BF1141">
        <v>15000</v>
      </c>
      <c r="BG1141">
        <v>1000</v>
      </c>
      <c r="BH1141" s="7">
        <f>ROUND(Wapato_Inventory[[#This Row],[detatched_value]]*Lookups!$B$22*Lookups!$H$48,-2)</f>
        <v>115200</v>
      </c>
      <c r="BI1141" s="7">
        <f>ROUND(((Wapato_Inventory[[#This Row],[land_extract]]*Lookups!$B$3) +(Lookups!$B$2*0.5))*Lookups!$H$48,-2)</f>
        <v>60400</v>
      </c>
      <c r="BJ1141" s="7">
        <f>IF(Wapato_Inventory[[#This Row],[bldg_style]]="",0,Lookups!$B$2*0.5)</f>
        <v>53765.27</v>
      </c>
      <c r="BK1141" s="7">
        <f>_xlfn.IFNA(VLOOKUP(Wapato_Inventory[[#This Row],[quality]],Lookups!$H$2:$J$14,3,FALSE),0)</f>
        <v>28034</v>
      </c>
      <c r="BL1141" s="7">
        <f>_xlfn.IFNA(VLOOKUP(Wapato_Inventory[[#This Row],[condition]],Lookups!$H$17:$J$24,3,FALSE),0)</f>
        <v>52231</v>
      </c>
      <c r="BM1141" s="7">
        <f>Wapato_Inventory[[#This Row],[Age]]*Lookups!$B$16</f>
        <v>-34472.840100000001</v>
      </c>
      <c r="BN1141" s="7">
        <f>Wapato_Inventory[[#This Row],[Main Floor]]*Lookups!$B$17</f>
        <v>41215.528654000002</v>
      </c>
      <c r="BO1141" s="7">
        <f>Wapato_Inventory[[#This Row],[Upper Floor]]*Lookups!$B$18</f>
        <v>0</v>
      </c>
      <c r="BP1141" s="7">
        <f>Wapato_Inventory[[#This Row],[Fin BSMT]]*Lookups!$B$19</f>
        <v>0</v>
      </c>
      <c r="BQ1141" s="7">
        <f>(Wapato_Inventory[[#This Row],[att_gar]]+Wapato_Inventory[[#This Row],[blt_gar]])*Lookups!$B$20</f>
        <v>0</v>
      </c>
      <c r="BR1141" s="7">
        <f>Wapato_Inventory[[#This Row],[Patio]]*Lookups!$B$21</f>
        <v>0</v>
      </c>
      <c r="BS1141" s="7">
        <f>SUM(Wapato_Inventory[[#This Row],[intercept]:[patio_value]])*Wapato_Inventory[[#This Row],[res_pct]]</f>
        <v>140772.95855399998</v>
      </c>
      <c r="BT1141" s="7">
        <f>Wapato_Inventory[[#This Row],[land_value]]</f>
        <v>60400</v>
      </c>
      <c r="BU1141" s="2">
        <f>_xlfn.IFNA(VLOOKUP(Wapato_Inventory[[#This Row],[quality]],Lookups!$A$28:$C$37,3,FALSE),1)</f>
        <v>0.96265813922927435</v>
      </c>
      <c r="BV1141" s="2">
        <f>_xlfn.IFNA(VLOOKUP(Wapato_Inventory[[#This Row],[condition]],Lookups!$A$41:$C$48,3,FALSE),1)</f>
        <v>0.9832333997567807</v>
      </c>
      <c r="BW1141" s="2">
        <f>IF(Wapato_Inventory[[#This Row],[decade]]="",1,_xlfn.IFNA(VLOOKUP(Wapato_Inventory[[#This Row],[decade]],Lookups!$F$28:$H$45,3,FALSE),1))</f>
        <v>1.0114203040664467</v>
      </c>
      <c r="BX1141" s="2">
        <f>_xlfn.IFNA(VLOOKUP(Wapato_Inventory[[#This Row],[living_area_range]],Lookups!$K$28:$M$37,3,FALSE),1)</f>
        <v>0.99022994770196116</v>
      </c>
      <c r="BY1141" s="2">
        <f>AVERAGE(Wapato_Inventory[[#This Row],[qual_adj]:[range_adj]])</f>
        <v>0.98688544768861564</v>
      </c>
      <c r="BZ1141" s="7">
        <f>(Wapato_Inventory[[#This Row],[sum_land]]-IF(Wapato_Inventory[[#This Row],[no_utilities]]=1,12000,0))/IF(Wapato_Inventory[[#This Row],[unbuildable]]=1,2,1)</f>
        <v>60400</v>
      </c>
      <c r="CA1141" s="7">
        <f>Wapato_Inventory[[#This Row],[pre_res]]*Wapato_Inventory[[#This Row],[overall_adj]]</f>
        <v>138926.7842250152</v>
      </c>
      <c r="CB1141" s="3">
        <f>IF(ROUND(Wapato_Inventory[[#This Row],[adj_land]]*Lookups!$H$48,-2)&lt;Wapato_Inventory[[#This Row],[min_land]],Wapato_Inventory[[#This Row],[min_land]],ROUND(Wapato_Inventory[[#This Row],[adj_land]]*Lookups!$H$48,-2))</f>
        <v>57400</v>
      </c>
      <c r="CC1141" s="3">
        <f>IF(ROUND(Wapato_Inventory[[#This Row],[adj_res]]*Lookups!$H$48,-2)&lt;Wapato_Inventory[[#This Row],[min_res]],Wapato_Inventory[[#This Row],[min_res]],ROUND(Wapato_Inventory[[#This Row],[adj_res]]*Lookups!$H$48,-2))</f>
        <v>132000</v>
      </c>
      <c r="CD1141" s="3">
        <f>ROUND(Wapato_Inventory[[#This Row],[det_value]]*Lookups!$H$48,-2)</f>
        <v>109400</v>
      </c>
      <c r="CE1141" s="3">
        <f>Wapato_Inventory[[#This Row],[final_res]]+Wapato_Inventory[[#This Row],[final_det]]</f>
        <v>241400</v>
      </c>
      <c r="CF1141" s="3">
        <f>Wapato_Inventory[[#This Row],[crop_value]]+Wapato_Inventory[[#This Row],[final_land]]+Wapato_Inventory[[#This Row],[final_imp]]</f>
        <v>298800</v>
      </c>
      <c r="CH1141" t="str">
        <f t="shared" si="17"/>
        <v>update valuation set market_land =57400, market_bldg=241400, market_total =298800, market_mdno =405, market_date ='9/10/2023' where link_id = (select link_id from parcel where parcel_year = '2024' and parcel_id = '19111644008');</v>
      </c>
    </row>
    <row r="1142" spans="1:86" x14ac:dyDescent="0.25">
      <c r="A1142">
        <v>19111644016</v>
      </c>
      <c r="B1142">
        <v>0.28999999999999998</v>
      </c>
      <c r="C1142">
        <v>12604</v>
      </c>
      <c r="D1142" t="s">
        <v>144</v>
      </c>
      <c r="E1142" t="s">
        <v>54</v>
      </c>
      <c r="F1142" t="s">
        <v>54</v>
      </c>
      <c r="G1142">
        <v>3</v>
      </c>
      <c r="H1142" t="s">
        <v>55</v>
      </c>
      <c r="I1142">
        <v>12100</v>
      </c>
      <c r="J1142">
        <v>36600</v>
      </c>
      <c r="K1142">
        <v>0.28999999999999998</v>
      </c>
      <c r="L1142">
        <f>IF(Wapato_Inventory[[#This Row],[parcel_acres]]-Wapato_Inventory[[#This Row],[non_valued_acres]] =0,0,LN(Wapato_Inventory[[#This Row],[parcel_acres]]-Wapato_Inventory[[#This Row],[non_valued_acres]]))</f>
        <v>-1.2378743560016174</v>
      </c>
      <c r="M1142">
        <v>0</v>
      </c>
      <c r="N1142">
        <v>0</v>
      </c>
      <c r="O1142">
        <v>0</v>
      </c>
      <c r="P1142">
        <v>27904.037</v>
      </c>
      <c r="Q1142">
        <v>74398</v>
      </c>
      <c r="R1142" s="3">
        <f>(Wapato_Inventory[[#This Row],[ln_acres]]*Wapato_Inventory[[#This Row],[coeff]])+Wapato_Inventory[[#This Row],[const]]</f>
        <v>39856.308168779695</v>
      </c>
      <c r="S1142" t="s">
        <v>83</v>
      </c>
      <c r="T1142">
        <v>1</v>
      </c>
      <c r="U1142" t="s">
        <v>86</v>
      </c>
      <c r="V1142" t="s">
        <v>111</v>
      </c>
      <c r="W1142">
        <v>0</v>
      </c>
      <c r="X1142">
        <v>0</v>
      </c>
      <c r="Y1142">
        <v>93</v>
      </c>
      <c r="Z1142">
        <v>93</v>
      </c>
      <c r="AA1142">
        <v>100</v>
      </c>
      <c r="AB1142">
        <v>1000</v>
      </c>
      <c r="AC1142">
        <v>816</v>
      </c>
      <c r="AD1142">
        <v>816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16</v>
      </c>
      <c r="AO1142">
        <v>0</v>
      </c>
      <c r="AP1142">
        <v>5</v>
      </c>
      <c r="AQ1142">
        <v>0</v>
      </c>
      <c r="AR1142">
        <v>0</v>
      </c>
      <c r="AS1142" t="s">
        <v>59</v>
      </c>
      <c r="AT1142">
        <v>0</v>
      </c>
      <c r="AU1142" t="s">
        <v>80</v>
      </c>
      <c r="AV1142" t="s">
        <v>158</v>
      </c>
      <c r="AW1142">
        <v>0</v>
      </c>
      <c r="AX1142">
        <v>2</v>
      </c>
      <c r="AY1142">
        <v>0</v>
      </c>
      <c r="AZ1142">
        <v>0</v>
      </c>
      <c r="BA1142">
        <v>100</v>
      </c>
      <c r="BB1142">
        <v>100</v>
      </c>
      <c r="BC1142">
        <v>100</v>
      </c>
      <c r="BD1142">
        <v>100</v>
      </c>
      <c r="BE1142">
        <v>1</v>
      </c>
      <c r="BF1142">
        <v>15000</v>
      </c>
      <c r="BG1142">
        <v>1000</v>
      </c>
      <c r="BH1142" s="7">
        <f>ROUND(Wapato_Inventory[[#This Row],[detatched_value]]*Lookups!$B$22*Lookups!$H$48,-2)</f>
        <v>0</v>
      </c>
      <c r="BI1142" s="7">
        <f>ROUND(((Wapato_Inventory[[#This Row],[land_extract]]*Lookups!$B$3) +(Lookups!$B$2*0.5))*Lookups!$H$48,-2)</f>
        <v>54900</v>
      </c>
      <c r="BJ1142" s="7">
        <f>IF(Wapato_Inventory[[#This Row],[bldg_style]]="",0,Lookups!$B$2*0.5)</f>
        <v>53765.27</v>
      </c>
      <c r="BK1142" s="7">
        <f>_xlfn.IFNA(VLOOKUP(Wapato_Inventory[[#This Row],[quality]],Lookups!$H$2:$J$14,3,FALSE),0)</f>
        <v>0</v>
      </c>
      <c r="BL1142" s="7">
        <f>_xlfn.IFNA(VLOOKUP(Wapato_Inventory[[#This Row],[condition]],Lookups!$H$17:$J$24,3,FALSE),0)</f>
        <v>-25449</v>
      </c>
      <c r="BM1142" s="7">
        <f>Wapato_Inventory[[#This Row],[Age]]*Lookups!$B$16</f>
        <v>-34472.840100000001</v>
      </c>
      <c r="BN1142" s="7">
        <f>Wapato_Inventory[[#This Row],[Main Floor]]*Lookups!$B$17</f>
        <v>34109.403023999999</v>
      </c>
      <c r="BO1142" s="7">
        <f>Wapato_Inventory[[#This Row],[Upper Floor]]*Lookups!$B$18</f>
        <v>0</v>
      </c>
      <c r="BP1142" s="7">
        <f>Wapato_Inventory[[#This Row],[Fin BSMT]]*Lookups!$B$19</f>
        <v>0</v>
      </c>
      <c r="BQ1142" s="7">
        <f>(Wapato_Inventory[[#This Row],[att_gar]]+Wapato_Inventory[[#This Row],[blt_gar]])*Lookups!$B$20</f>
        <v>0</v>
      </c>
      <c r="BR1142" s="7">
        <f>Wapato_Inventory[[#This Row],[Patio]]*Lookups!$B$21</f>
        <v>0</v>
      </c>
      <c r="BS1142" s="7">
        <f>SUM(Wapato_Inventory[[#This Row],[intercept]:[patio_value]])*Wapato_Inventory[[#This Row],[res_pct]]</f>
        <v>27952.832923999995</v>
      </c>
      <c r="BT1142" s="7">
        <f>Wapato_Inventory[[#This Row],[land_value]]</f>
        <v>54900</v>
      </c>
      <c r="BU1142" s="2">
        <f>_xlfn.IFNA(VLOOKUP(Wapato_Inventory[[#This Row],[quality]],Lookups!$A$28:$C$37,3,FALSE),1)</f>
        <v>1.0000010866511106</v>
      </c>
      <c r="BV1142" s="2">
        <f>_xlfn.IFNA(VLOOKUP(Wapato_Inventory[[#This Row],[condition]],Lookups!$A$41:$C$48,3,FALSE),1)</f>
        <v>1.0000035546274355</v>
      </c>
      <c r="BW1142" s="2">
        <f>IF(Wapato_Inventory[[#This Row],[decade]]="",1,_xlfn.IFNA(VLOOKUP(Wapato_Inventory[[#This Row],[decade]],Lookups!$F$28:$H$45,3,FALSE),1))</f>
        <v>1.0114203040664467</v>
      </c>
      <c r="BX1142" s="2">
        <f>_xlfn.IFNA(VLOOKUP(Wapato_Inventory[[#This Row],[living_area_range]],Lookups!$K$28:$M$37,3,FALSE),1)</f>
        <v>0.99022994770196116</v>
      </c>
      <c r="BY1142" s="2">
        <f>AVERAGE(Wapato_Inventory[[#This Row],[qual_adj]:[range_adj]])</f>
        <v>1.0004137232617385</v>
      </c>
      <c r="BZ1142" s="7">
        <f>(Wapato_Inventory[[#This Row],[sum_land]]-IF(Wapato_Inventory[[#This Row],[no_utilities]]=1,12000,0))/IF(Wapato_Inventory[[#This Row],[unbuildable]]=1,2,1)</f>
        <v>54900</v>
      </c>
      <c r="CA1142" s="7">
        <f>Wapato_Inventory[[#This Row],[pre_res]]*Wapato_Inventory[[#This Row],[overall_adj]]</f>
        <v>27964.397661212144</v>
      </c>
      <c r="CB1142" s="3">
        <f>IF(ROUND(Wapato_Inventory[[#This Row],[adj_land]]*Lookups!$H$48,-2)&lt;Wapato_Inventory[[#This Row],[min_land]],Wapato_Inventory[[#This Row],[min_land]],ROUND(Wapato_Inventory[[#This Row],[adj_land]]*Lookups!$H$48,-2))</f>
        <v>52200</v>
      </c>
      <c r="CC1142" s="3">
        <f>IF(ROUND(Wapato_Inventory[[#This Row],[adj_res]]*Lookups!$H$48,-2)&lt;Wapato_Inventory[[#This Row],[min_res]],Wapato_Inventory[[#This Row],[min_res]],ROUND(Wapato_Inventory[[#This Row],[adj_res]]*Lookups!$H$48,-2))</f>
        <v>26600</v>
      </c>
      <c r="CD1142" s="3">
        <f>ROUND(Wapato_Inventory[[#This Row],[det_value]]*Lookups!$H$48,-2)</f>
        <v>0</v>
      </c>
      <c r="CE1142" s="3">
        <f>Wapato_Inventory[[#This Row],[final_res]]+Wapato_Inventory[[#This Row],[final_det]]</f>
        <v>26600</v>
      </c>
      <c r="CF1142" s="3">
        <f>Wapato_Inventory[[#This Row],[crop_value]]+Wapato_Inventory[[#This Row],[final_land]]+Wapato_Inventory[[#This Row],[final_imp]]</f>
        <v>78800</v>
      </c>
      <c r="CH1142" t="str">
        <f t="shared" si="17"/>
        <v>update valuation set market_land =52200, market_bldg=26600, market_total =78800, market_mdno =405, market_date ='9/10/2023' where link_id = (select link_id from parcel where parcel_year = '2024' and parcel_id = '19111644016');</v>
      </c>
    </row>
    <row r="1143" spans="1:86" x14ac:dyDescent="0.25">
      <c r="A1143">
        <v>19111644017</v>
      </c>
      <c r="B1143">
        <v>0.41</v>
      </c>
      <c r="C1143">
        <v>17728</v>
      </c>
      <c r="D1143" t="s">
        <v>144</v>
      </c>
      <c r="E1143" t="s">
        <v>54</v>
      </c>
      <c r="F1143" t="s">
        <v>54</v>
      </c>
      <c r="G1143">
        <v>3</v>
      </c>
      <c r="H1143" t="s">
        <v>55</v>
      </c>
      <c r="I1143">
        <v>203300</v>
      </c>
      <c r="J1143">
        <v>39000</v>
      </c>
      <c r="K1143">
        <v>0.41</v>
      </c>
      <c r="L1143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143">
        <v>0</v>
      </c>
      <c r="N1143">
        <v>0</v>
      </c>
      <c r="O1143">
        <v>0</v>
      </c>
      <c r="P1143">
        <v>27904.037</v>
      </c>
      <c r="Q1143">
        <v>74398</v>
      </c>
      <c r="R1143" s="3">
        <f>(Wapato_Inventory[[#This Row],[ln_acres]]*Wapato_Inventory[[#This Row],[coeff]])+Wapato_Inventory[[#This Row],[const]]</f>
        <v>49518.813090374882</v>
      </c>
      <c r="S1143" t="s">
        <v>62</v>
      </c>
      <c r="T1143">
        <v>1</v>
      </c>
      <c r="U1143" t="s">
        <v>75</v>
      </c>
      <c r="V1143" t="s">
        <v>68</v>
      </c>
      <c r="W1143">
        <v>0</v>
      </c>
      <c r="X1143">
        <v>0</v>
      </c>
      <c r="Y1143">
        <v>46</v>
      </c>
      <c r="Z1143">
        <v>55</v>
      </c>
      <c r="AA1143">
        <v>60</v>
      </c>
      <c r="AB1143">
        <v>2000</v>
      </c>
      <c r="AC1143">
        <v>1725</v>
      </c>
      <c r="AD1143">
        <v>1725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</v>
      </c>
      <c r="AL1143">
        <v>272</v>
      </c>
      <c r="AM1143">
        <v>204</v>
      </c>
      <c r="AN1143">
        <v>72</v>
      </c>
      <c r="AO1143">
        <v>200</v>
      </c>
      <c r="AP1143">
        <v>6</v>
      </c>
      <c r="AQ1143">
        <v>1</v>
      </c>
      <c r="AR1143">
        <v>0</v>
      </c>
      <c r="AS1143" t="s">
        <v>82</v>
      </c>
      <c r="AT1143">
        <v>1</v>
      </c>
      <c r="AU1143" t="s">
        <v>76</v>
      </c>
      <c r="AV1143" t="s">
        <v>61</v>
      </c>
      <c r="AW1143">
        <v>0</v>
      </c>
      <c r="AX1143">
        <v>3</v>
      </c>
      <c r="AY1143">
        <v>0</v>
      </c>
      <c r="AZ1143">
        <v>1900</v>
      </c>
      <c r="BA1143">
        <v>100</v>
      </c>
      <c r="BB1143">
        <v>100</v>
      </c>
      <c r="BC1143">
        <v>100</v>
      </c>
      <c r="BD1143">
        <v>100</v>
      </c>
      <c r="BE1143">
        <v>1</v>
      </c>
      <c r="BF1143">
        <v>15000</v>
      </c>
      <c r="BG1143">
        <v>1000</v>
      </c>
      <c r="BH1143" s="7">
        <f>ROUND(Wapato_Inventory[[#This Row],[detatched_value]]*Lookups!$B$22*Lookups!$H$48,-2)</f>
        <v>1700</v>
      </c>
      <c r="BI1143" s="7">
        <f>ROUND(((Wapato_Inventory[[#This Row],[land_extract]]*Lookups!$B$3) +(Lookups!$B$2*0.5))*Lookups!$H$48,-2)</f>
        <v>55900</v>
      </c>
      <c r="BJ1143" s="7">
        <f>IF(Wapato_Inventory[[#This Row],[bldg_style]]="",0,Lookups!$B$2*0.5)</f>
        <v>53765.27</v>
      </c>
      <c r="BK1143" s="7">
        <f>_xlfn.IFNA(VLOOKUP(Wapato_Inventory[[#This Row],[quality]],Lookups!$H$2:$J$14,3,FALSE),0)</f>
        <v>48043</v>
      </c>
      <c r="BL1143" s="7">
        <f>_xlfn.IFNA(VLOOKUP(Wapato_Inventory[[#This Row],[condition]],Lookups!$H$17:$J$24,3,FALSE),0)</f>
        <v>52231</v>
      </c>
      <c r="BM1143" s="7">
        <f>Wapato_Inventory[[#This Row],[Age]]*Lookups!$B$16</f>
        <v>-20387.163499999999</v>
      </c>
      <c r="BN1143" s="7">
        <f>Wapato_Inventory[[#This Row],[Main Floor]]*Lookups!$B$17</f>
        <v>72106.274774999998</v>
      </c>
      <c r="BO1143" s="7">
        <f>Wapato_Inventory[[#This Row],[Upper Floor]]*Lookups!$B$18</f>
        <v>0</v>
      </c>
      <c r="BP1143" s="7">
        <f>Wapato_Inventory[[#This Row],[Fin BSMT]]*Lookups!$B$19</f>
        <v>0</v>
      </c>
      <c r="BQ1143" s="7">
        <f>(Wapato_Inventory[[#This Row],[att_gar]]+Wapato_Inventory[[#This Row],[blt_gar]])*Lookups!$B$20</f>
        <v>0</v>
      </c>
      <c r="BR1143" s="7">
        <f>Wapato_Inventory[[#This Row],[Patio]]*Lookups!$B$21</f>
        <v>8838.0917160000008</v>
      </c>
      <c r="BS1143" s="7">
        <f>SUM(Wapato_Inventory[[#This Row],[intercept]:[patio_value]])*Wapato_Inventory[[#This Row],[res_pct]]</f>
        <v>214596.47299099999</v>
      </c>
      <c r="BT1143" s="7">
        <f>Wapato_Inventory[[#This Row],[land_value]]</f>
        <v>55900</v>
      </c>
      <c r="BU1143" s="2">
        <f>_xlfn.IFNA(VLOOKUP(Wapato_Inventory[[#This Row],[quality]],Lookups!$A$28:$C$37,3,FALSE),1)</f>
        <v>0.98196844879778955</v>
      </c>
      <c r="BV1143" s="2">
        <f>_xlfn.IFNA(VLOOKUP(Wapato_Inventory[[#This Row],[condition]],Lookups!$A$41:$C$48,3,FALSE),1)</f>
        <v>0.9832333997567807</v>
      </c>
      <c r="BW1143" s="2">
        <f>IF(Wapato_Inventory[[#This Row],[decade]]="",1,_xlfn.IFNA(VLOOKUP(Wapato_Inventory[[#This Row],[decade]],Lookups!$F$28:$H$45,3,FALSE),1))</f>
        <v>1.035341704162583</v>
      </c>
      <c r="BX1143" s="2">
        <f>_xlfn.IFNA(VLOOKUP(Wapato_Inventory[[#This Row],[living_area_range]],Lookups!$K$28:$M$37,3,FALSE),1)</f>
        <v>0.99330894324714125</v>
      </c>
      <c r="BY1143" s="2">
        <f>AVERAGE(Wapato_Inventory[[#This Row],[qual_adj]:[range_adj]])</f>
        <v>0.99846312399107362</v>
      </c>
      <c r="BZ1143" s="7">
        <f>(Wapato_Inventory[[#This Row],[sum_land]]-IF(Wapato_Inventory[[#This Row],[no_utilities]]=1,12000,0))/IF(Wapato_Inventory[[#This Row],[unbuildable]]=1,2,1)</f>
        <v>55900</v>
      </c>
      <c r="CA1143" s="7">
        <f>Wapato_Inventory[[#This Row],[pre_res]]*Wapato_Inventory[[#This Row],[overall_adj]]</f>
        <v>214266.6648200599</v>
      </c>
      <c r="CB1143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43" s="3">
        <f>IF(ROUND(Wapato_Inventory[[#This Row],[adj_res]]*Lookups!$H$48,-2)&lt;Wapato_Inventory[[#This Row],[min_res]],Wapato_Inventory[[#This Row],[min_res]],ROUND(Wapato_Inventory[[#This Row],[adj_res]]*Lookups!$H$48,-2))</f>
        <v>203600</v>
      </c>
      <c r="CD1143" s="3">
        <f>ROUND(Wapato_Inventory[[#This Row],[det_value]]*Lookups!$H$48,-2)</f>
        <v>1600</v>
      </c>
      <c r="CE1143" s="3">
        <f>Wapato_Inventory[[#This Row],[final_res]]+Wapato_Inventory[[#This Row],[final_det]]</f>
        <v>205200</v>
      </c>
      <c r="CF1143" s="3">
        <f>Wapato_Inventory[[#This Row],[crop_value]]+Wapato_Inventory[[#This Row],[final_land]]+Wapato_Inventory[[#This Row],[final_imp]]</f>
        <v>258300</v>
      </c>
      <c r="CH1143" t="str">
        <f t="shared" si="17"/>
        <v>update valuation set market_land =53100, market_bldg=205200, market_total =258300, market_mdno =405, market_date ='9/10/2023' where link_id = (select link_id from parcel where parcel_year = '2024' and parcel_id = '19111644017');</v>
      </c>
    </row>
    <row r="1144" spans="1:86" x14ac:dyDescent="0.25">
      <c r="A1144">
        <v>19111644019</v>
      </c>
      <c r="B1144">
        <v>0.45</v>
      </c>
      <c r="C1144">
        <v>19717</v>
      </c>
      <c r="D1144" t="s">
        <v>144</v>
      </c>
      <c r="E1144" t="s">
        <v>54</v>
      </c>
      <c r="F1144" t="s">
        <v>54</v>
      </c>
      <c r="G1144">
        <v>3</v>
      </c>
      <c r="H1144" t="s">
        <v>55</v>
      </c>
      <c r="I1144">
        <v>271200</v>
      </c>
      <c r="J1144">
        <v>39600</v>
      </c>
      <c r="K1144">
        <v>0.45</v>
      </c>
      <c r="L1144">
        <f>IF(Wapato_Inventory[[#This Row],[parcel_acres]]-Wapato_Inventory[[#This Row],[non_valued_acres]] =0,0,LN(Wapato_Inventory[[#This Row],[parcel_acres]]-Wapato_Inventory[[#This Row],[non_valued_acres]]))</f>
        <v>-0.79850769621777162</v>
      </c>
      <c r="M1144">
        <v>0</v>
      </c>
      <c r="N1144">
        <v>0</v>
      </c>
      <c r="O1144">
        <v>0</v>
      </c>
      <c r="P1144">
        <v>27904.037</v>
      </c>
      <c r="Q1144">
        <v>74398</v>
      </c>
      <c r="R1144" s="3">
        <f>(Wapato_Inventory[[#This Row],[ln_acres]]*Wapato_Inventory[[#This Row],[coeff]])+Wapato_Inventory[[#This Row],[const]]</f>
        <v>52116.411699954537</v>
      </c>
      <c r="S1144" t="s">
        <v>66</v>
      </c>
      <c r="T1144">
        <v>1</v>
      </c>
      <c r="U1144" t="s">
        <v>75</v>
      </c>
      <c r="V1144" t="s">
        <v>69</v>
      </c>
      <c r="W1144">
        <v>0</v>
      </c>
      <c r="X1144">
        <v>0</v>
      </c>
      <c r="Y1144">
        <v>48</v>
      </c>
      <c r="Z1144">
        <v>63</v>
      </c>
      <c r="AA1144">
        <v>70</v>
      </c>
      <c r="AB1144">
        <v>2500</v>
      </c>
      <c r="AC1144">
        <v>2136</v>
      </c>
      <c r="AD1144">
        <v>2136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0</v>
      </c>
      <c r="AN1144">
        <v>0</v>
      </c>
      <c r="AO1144">
        <v>0</v>
      </c>
      <c r="AP1144">
        <v>8</v>
      </c>
      <c r="AQ1144">
        <v>0</v>
      </c>
      <c r="AR1144">
        <v>1</v>
      </c>
      <c r="AS1144" t="s">
        <v>59</v>
      </c>
      <c r="AT1144">
        <v>1</v>
      </c>
      <c r="AU1144" t="s">
        <v>64</v>
      </c>
      <c r="AV1144" t="s">
        <v>61</v>
      </c>
      <c r="AW1144">
        <v>1</v>
      </c>
      <c r="AX1144">
        <v>2</v>
      </c>
      <c r="AY1144">
        <v>0</v>
      </c>
      <c r="AZ1144">
        <v>0</v>
      </c>
      <c r="BA1144">
        <v>100</v>
      </c>
      <c r="BB1144">
        <v>100</v>
      </c>
      <c r="BC1144">
        <v>100</v>
      </c>
      <c r="BD1144">
        <v>100</v>
      </c>
      <c r="BE1144">
        <v>1</v>
      </c>
      <c r="BF1144">
        <v>15000</v>
      </c>
      <c r="BG1144">
        <v>1000</v>
      </c>
      <c r="BH1144" s="7">
        <f>ROUND(Wapato_Inventory[[#This Row],[detatched_value]]*Lookups!$B$22*Lookups!$H$48,-2)</f>
        <v>0</v>
      </c>
      <c r="BI1144" s="7">
        <f>ROUND(((Wapato_Inventory[[#This Row],[land_extract]]*Lookups!$B$3) +(Lookups!$B$2*0.5))*Lookups!$H$48,-2)</f>
        <v>56100</v>
      </c>
      <c r="BJ1144" s="7">
        <f>IF(Wapato_Inventory[[#This Row],[bldg_style]]="",0,Lookups!$B$2*0.5)</f>
        <v>53765.27</v>
      </c>
      <c r="BK1144" s="7">
        <f>_xlfn.IFNA(VLOOKUP(Wapato_Inventory[[#This Row],[quality]],Lookups!$H$2:$J$14,3,FALSE),0)</f>
        <v>48043</v>
      </c>
      <c r="BL1144" s="7">
        <f>_xlfn.IFNA(VLOOKUP(Wapato_Inventory[[#This Row],[condition]],Lookups!$H$17:$J$24,3,FALSE),0)</f>
        <v>74543</v>
      </c>
      <c r="BM1144" s="7">
        <f>Wapato_Inventory[[#This Row],[Age]]*Lookups!$B$16</f>
        <v>-23352.569100000001</v>
      </c>
      <c r="BN1144" s="7">
        <f>Wapato_Inventory[[#This Row],[Main Floor]]*Lookups!$B$17</f>
        <v>89286.378503999993</v>
      </c>
      <c r="BO1144" s="7">
        <f>Wapato_Inventory[[#This Row],[Upper Floor]]*Lookups!$B$18</f>
        <v>0</v>
      </c>
      <c r="BP1144" s="7">
        <f>Wapato_Inventory[[#This Row],[Fin BSMT]]*Lookups!$B$19</f>
        <v>0</v>
      </c>
      <c r="BQ1144" s="7">
        <f>(Wapato_Inventory[[#This Row],[att_gar]]+Wapato_Inventory[[#This Row],[blt_gar]])*Lookups!$B$20</f>
        <v>0</v>
      </c>
      <c r="BR1144" s="7">
        <f>Wapato_Inventory[[#This Row],[Patio]]*Lookups!$B$21</f>
        <v>0</v>
      </c>
      <c r="BS1144" s="7">
        <f>SUM(Wapato_Inventory[[#This Row],[intercept]:[patio_value]])*Wapato_Inventory[[#This Row],[res_pct]]</f>
        <v>242285.07940399999</v>
      </c>
      <c r="BT1144" s="7">
        <f>Wapato_Inventory[[#This Row],[land_value]]</f>
        <v>56100</v>
      </c>
      <c r="BU1144" s="2">
        <f>_xlfn.IFNA(VLOOKUP(Wapato_Inventory[[#This Row],[quality]],Lookups!$A$28:$C$37,3,FALSE),1)</f>
        <v>0.98196844879778955</v>
      </c>
      <c r="BV1144" s="2">
        <f>_xlfn.IFNA(VLOOKUP(Wapato_Inventory[[#This Row],[condition]],Lookups!$A$41:$C$48,3,FALSE),1)</f>
        <v>0.98442438223270734</v>
      </c>
      <c r="BW1144" s="2">
        <f>IF(Wapato_Inventory[[#This Row],[decade]]="",1,_xlfn.IFNA(VLOOKUP(Wapato_Inventory[[#This Row],[decade]],Lookups!$F$28:$H$45,3,FALSE),1))</f>
        <v>1.0012715221492001</v>
      </c>
      <c r="BX1144" s="2">
        <f>_xlfn.IFNA(VLOOKUP(Wapato_Inventory[[#This Row],[living_area_range]],Lookups!$K$28:$M$37,3,FALSE),1)</f>
        <v>0.90813907160181651</v>
      </c>
      <c r="BY1144" s="2">
        <f>AVERAGE(Wapato_Inventory[[#This Row],[qual_adj]:[range_adj]])</f>
        <v>0.96895085619537835</v>
      </c>
      <c r="BZ1144" s="7">
        <f>(Wapato_Inventory[[#This Row],[sum_land]]-IF(Wapato_Inventory[[#This Row],[no_utilities]]=1,12000,0))/IF(Wapato_Inventory[[#This Row],[unbuildable]]=1,2,1)</f>
        <v>56100</v>
      </c>
      <c r="CA1144" s="7">
        <f>Wapato_Inventory[[#This Row],[pre_res]]*Wapato_Inventory[[#This Row],[overall_adj]]</f>
        <v>234762.33513187102</v>
      </c>
      <c r="CB1144" s="3">
        <f>IF(ROUND(Wapato_Inventory[[#This Row],[adj_land]]*Lookups!$H$48,-2)&lt;Wapato_Inventory[[#This Row],[min_land]],Wapato_Inventory[[#This Row],[min_land]],ROUND(Wapato_Inventory[[#This Row],[adj_land]]*Lookups!$H$48,-2))</f>
        <v>53300</v>
      </c>
      <c r="CC1144" s="3">
        <f>IF(ROUND(Wapato_Inventory[[#This Row],[adj_res]]*Lookups!$H$48,-2)&lt;Wapato_Inventory[[#This Row],[min_res]],Wapato_Inventory[[#This Row],[min_res]],ROUND(Wapato_Inventory[[#This Row],[adj_res]]*Lookups!$H$48,-2))</f>
        <v>223000</v>
      </c>
      <c r="CD1144" s="3">
        <f>ROUND(Wapato_Inventory[[#This Row],[det_value]]*Lookups!$H$48,-2)</f>
        <v>0</v>
      </c>
      <c r="CE1144" s="3">
        <f>Wapato_Inventory[[#This Row],[final_res]]+Wapato_Inventory[[#This Row],[final_det]]</f>
        <v>223000</v>
      </c>
      <c r="CF1144" s="3">
        <f>Wapato_Inventory[[#This Row],[crop_value]]+Wapato_Inventory[[#This Row],[final_land]]+Wapato_Inventory[[#This Row],[final_imp]]</f>
        <v>276300</v>
      </c>
      <c r="CH1144" t="str">
        <f t="shared" si="17"/>
        <v>update valuation set market_land =53300, market_bldg=223000, market_total =276300, market_mdno =405, market_date ='9/10/2023' where link_id = (select link_id from parcel where parcel_year = '2024' and parcel_id = '19111644019');</v>
      </c>
    </row>
    <row r="1145" spans="1:86" x14ac:dyDescent="0.25">
      <c r="A1145">
        <v>19111644020</v>
      </c>
      <c r="B1145">
        <v>4.33</v>
      </c>
      <c r="C1145">
        <v>188813</v>
      </c>
      <c r="D1145" t="s">
        <v>144</v>
      </c>
      <c r="E1145" t="s">
        <v>54</v>
      </c>
      <c r="F1145" t="s">
        <v>54</v>
      </c>
      <c r="G1145">
        <v>3</v>
      </c>
      <c r="H1145" t="s">
        <v>55</v>
      </c>
      <c r="I1145">
        <v>257200</v>
      </c>
      <c r="J1145">
        <v>55500</v>
      </c>
      <c r="K1145">
        <v>4.33</v>
      </c>
      <c r="L1145">
        <f>IF(Wapato_Inventory[[#This Row],[parcel_acres]]-Wapato_Inventory[[#This Row],[non_valued_acres]] =0,0,LN(Wapato_Inventory[[#This Row],[parcel_acres]]-Wapato_Inventory[[#This Row],[non_valued_acres]]))</f>
        <v>1.4655675420143985</v>
      </c>
      <c r="M1145">
        <v>0</v>
      </c>
      <c r="N1145">
        <v>0</v>
      </c>
      <c r="O1145">
        <v>0</v>
      </c>
      <c r="P1145">
        <v>27904.037</v>
      </c>
      <c r="Q1145">
        <v>74398</v>
      </c>
      <c r="R1145" s="3">
        <f>(Wapato_Inventory[[#This Row],[ln_acres]]*Wapato_Inventory[[#This Row],[coeff]])+Wapato_Inventory[[#This Row],[const]]</f>
        <v>115293.25091836884</v>
      </c>
      <c r="S1145" t="s">
        <v>62</v>
      </c>
      <c r="T1145">
        <v>1</v>
      </c>
      <c r="U1145" t="s">
        <v>67</v>
      </c>
      <c r="V1145" t="s">
        <v>68</v>
      </c>
      <c r="W1145">
        <v>0</v>
      </c>
      <c r="X1145">
        <v>0</v>
      </c>
      <c r="Y1145">
        <v>48</v>
      </c>
      <c r="Z1145">
        <v>63</v>
      </c>
      <c r="AA1145">
        <v>70</v>
      </c>
      <c r="AB1145">
        <v>2000</v>
      </c>
      <c r="AC1145">
        <v>1948</v>
      </c>
      <c r="AD1145">
        <v>1948</v>
      </c>
      <c r="AE1145">
        <v>0</v>
      </c>
      <c r="AF1145">
        <v>0</v>
      </c>
      <c r="AG1145">
        <v>0</v>
      </c>
      <c r="AH1145">
        <v>1948</v>
      </c>
      <c r="AI1145">
        <v>624</v>
      </c>
      <c r="AJ1145">
        <v>0</v>
      </c>
      <c r="AK1145">
        <v>0</v>
      </c>
      <c r="AL1145">
        <v>0</v>
      </c>
      <c r="AM1145">
        <v>256</v>
      </c>
      <c r="AN1145">
        <v>0</v>
      </c>
      <c r="AO1145">
        <v>0</v>
      </c>
      <c r="AP1145">
        <v>9</v>
      </c>
      <c r="AQ1145">
        <v>0</v>
      </c>
      <c r="AR1145">
        <v>2</v>
      </c>
      <c r="AS1145" t="s">
        <v>59</v>
      </c>
      <c r="AT1145">
        <v>1</v>
      </c>
      <c r="AU1145" t="s">
        <v>64</v>
      </c>
      <c r="AV1145" t="s">
        <v>61</v>
      </c>
      <c r="AW1145">
        <v>0</v>
      </c>
      <c r="AX1145">
        <v>3</v>
      </c>
      <c r="AY1145">
        <v>0</v>
      </c>
      <c r="AZ1145">
        <v>0</v>
      </c>
      <c r="BA1145">
        <v>100</v>
      </c>
      <c r="BB1145">
        <v>100</v>
      </c>
      <c r="BC1145">
        <v>100</v>
      </c>
      <c r="BD1145">
        <v>100</v>
      </c>
      <c r="BE1145">
        <v>1</v>
      </c>
      <c r="BF1145">
        <v>15000</v>
      </c>
      <c r="BG1145">
        <v>1000</v>
      </c>
      <c r="BH1145" s="7">
        <f>ROUND(Wapato_Inventory[[#This Row],[detatched_value]]*Lookups!$B$22*Lookups!$H$48,-2)</f>
        <v>0</v>
      </c>
      <c r="BI1145" s="7">
        <f>ROUND(((Wapato_Inventory[[#This Row],[land_extract]]*Lookups!$B$3) +(Lookups!$B$2*0.5))*Lookups!$H$48,-2)</f>
        <v>62200</v>
      </c>
      <c r="BJ1145" s="7">
        <f>IF(Wapato_Inventory[[#This Row],[bldg_style]]="",0,Lookups!$B$2*0.5)</f>
        <v>53765.27</v>
      </c>
      <c r="BK1145" s="7">
        <f>_xlfn.IFNA(VLOOKUP(Wapato_Inventory[[#This Row],[quality]],Lookups!$H$2:$J$14,3,FALSE),0)</f>
        <v>50405</v>
      </c>
      <c r="BL1145" s="7">
        <f>_xlfn.IFNA(VLOOKUP(Wapato_Inventory[[#This Row],[condition]],Lookups!$H$17:$J$24,3,FALSE),0)</f>
        <v>52231</v>
      </c>
      <c r="BM1145" s="7">
        <f>Wapato_Inventory[[#This Row],[Age]]*Lookups!$B$16</f>
        <v>-23352.569100000001</v>
      </c>
      <c r="BN1145" s="7">
        <f>Wapato_Inventory[[#This Row],[Main Floor]]*Lookups!$B$17</f>
        <v>81427.839571999997</v>
      </c>
      <c r="BO1145" s="7">
        <f>Wapato_Inventory[[#This Row],[Upper Floor]]*Lookups!$B$18</f>
        <v>0</v>
      </c>
      <c r="BP1145" s="7">
        <f>Wapato_Inventory[[#This Row],[Fin BSMT]]*Lookups!$B$19</f>
        <v>0</v>
      </c>
      <c r="BQ1145" s="7">
        <f>(Wapato_Inventory[[#This Row],[att_gar]]+Wapato_Inventory[[#This Row],[blt_gar]])*Lookups!$B$20</f>
        <v>23093.461248</v>
      </c>
      <c r="BR1145" s="7">
        <f>Wapato_Inventory[[#This Row],[Patio]]*Lookups!$B$21</f>
        <v>11090.938624</v>
      </c>
      <c r="BS1145" s="7">
        <f>SUM(Wapato_Inventory[[#This Row],[intercept]:[patio_value]])*Wapato_Inventory[[#This Row],[res_pct]]</f>
        <v>248660.940344</v>
      </c>
      <c r="BT1145" s="7">
        <f>Wapato_Inventory[[#This Row],[land_value]]</f>
        <v>62200</v>
      </c>
      <c r="BU1145" s="2">
        <f>_xlfn.IFNA(VLOOKUP(Wapato_Inventory[[#This Row],[quality]],Lookups!$A$28:$C$37,3,FALSE),1)</f>
        <v>0.97993206410140754</v>
      </c>
      <c r="BV1145" s="2">
        <f>_xlfn.IFNA(VLOOKUP(Wapato_Inventory[[#This Row],[condition]],Lookups!$A$41:$C$48,3,FALSE),1)</f>
        <v>0.9832333997567807</v>
      </c>
      <c r="BW1145" s="2">
        <f>IF(Wapato_Inventory[[#This Row],[decade]]="",1,_xlfn.IFNA(VLOOKUP(Wapato_Inventory[[#This Row],[decade]],Lookups!$F$28:$H$45,3,FALSE),1))</f>
        <v>1.0012715221492001</v>
      </c>
      <c r="BX1145" s="2">
        <f>_xlfn.IFNA(VLOOKUP(Wapato_Inventory[[#This Row],[living_area_range]],Lookups!$K$28:$M$37,3,FALSE),1)</f>
        <v>0.99330894324714125</v>
      </c>
      <c r="BY1145" s="2">
        <f>AVERAGE(Wapato_Inventory[[#This Row],[qual_adj]:[range_adj]])</f>
        <v>0.98943648231363246</v>
      </c>
      <c r="BZ1145" s="7">
        <f>(Wapato_Inventory[[#This Row],[sum_land]]-IF(Wapato_Inventory[[#This Row],[no_utilities]]=1,12000,0))/IF(Wapato_Inventory[[#This Row],[unbuildable]]=1,2,1)</f>
        <v>62200</v>
      </c>
      <c r="CA1145" s="7">
        <f>Wapato_Inventory[[#This Row],[pre_res]]*Wapato_Inventory[[#This Row],[overall_adj]]</f>
        <v>246034.20610276738</v>
      </c>
      <c r="CB1145" s="3">
        <f>IF(ROUND(Wapato_Inventory[[#This Row],[adj_land]]*Lookups!$H$48,-2)&lt;Wapato_Inventory[[#This Row],[min_land]],Wapato_Inventory[[#This Row],[min_land]],ROUND(Wapato_Inventory[[#This Row],[adj_land]]*Lookups!$H$48,-2))</f>
        <v>59100</v>
      </c>
      <c r="CC1145" s="3">
        <f>IF(ROUND(Wapato_Inventory[[#This Row],[adj_res]]*Lookups!$H$48,-2)&lt;Wapato_Inventory[[#This Row],[min_res]],Wapato_Inventory[[#This Row],[min_res]],ROUND(Wapato_Inventory[[#This Row],[adj_res]]*Lookups!$H$48,-2))</f>
        <v>233700</v>
      </c>
      <c r="CD1145" s="3">
        <f>ROUND(Wapato_Inventory[[#This Row],[det_value]]*Lookups!$H$48,-2)</f>
        <v>0</v>
      </c>
      <c r="CE1145" s="3">
        <f>Wapato_Inventory[[#This Row],[final_res]]+Wapato_Inventory[[#This Row],[final_det]]</f>
        <v>233700</v>
      </c>
      <c r="CF1145" s="3">
        <f>Wapato_Inventory[[#This Row],[crop_value]]+Wapato_Inventory[[#This Row],[final_land]]+Wapato_Inventory[[#This Row],[final_imp]]</f>
        <v>292800</v>
      </c>
      <c r="CH1145" t="str">
        <f t="shared" si="17"/>
        <v>update valuation set market_land =59100, market_bldg=233700, market_total =292800, market_mdno =405, market_date ='9/10/2023' where link_id = (select link_id from parcel where parcel_year = '2024' and parcel_id = '19111644020');</v>
      </c>
    </row>
    <row r="1146" spans="1:86" x14ac:dyDescent="0.25">
      <c r="A1146">
        <v>19111644021</v>
      </c>
      <c r="B1146">
        <v>0.88</v>
      </c>
      <c r="C1146">
        <v>38177</v>
      </c>
      <c r="D1146" t="s">
        <v>144</v>
      </c>
      <c r="E1146" t="s">
        <v>54</v>
      </c>
      <c r="F1146" t="s">
        <v>54</v>
      </c>
      <c r="G1146">
        <v>3</v>
      </c>
      <c r="H1146" t="s">
        <v>55</v>
      </c>
      <c r="I1146">
        <v>106800</v>
      </c>
      <c r="J1146">
        <v>44300</v>
      </c>
      <c r="K1146">
        <v>0.88</v>
      </c>
      <c r="L1146">
        <f>IF(Wapato_Inventory[[#This Row],[parcel_acres]]-Wapato_Inventory[[#This Row],[non_valued_acres]] =0,0,LN(Wapato_Inventory[[#This Row],[parcel_acres]]-Wapato_Inventory[[#This Row],[non_valued_acres]]))</f>
        <v>-0.12783337150988489</v>
      </c>
      <c r="M1146">
        <v>0</v>
      </c>
      <c r="N1146">
        <v>0</v>
      </c>
      <c r="O1146">
        <v>0</v>
      </c>
      <c r="P1146">
        <v>27904.037</v>
      </c>
      <c r="Q1146">
        <v>74398</v>
      </c>
      <c r="R1146" s="3">
        <f>(Wapato_Inventory[[#This Row],[ln_acres]]*Wapato_Inventory[[#This Row],[coeff]])+Wapato_Inventory[[#This Row],[const]]</f>
        <v>70830.932871553421</v>
      </c>
      <c r="S1146" t="s">
        <v>66</v>
      </c>
      <c r="T1146">
        <v>1</v>
      </c>
      <c r="U1146" t="s">
        <v>75</v>
      </c>
      <c r="V1146" t="s">
        <v>69</v>
      </c>
      <c r="W1146">
        <v>0</v>
      </c>
      <c r="X1146">
        <v>0</v>
      </c>
      <c r="Y1146">
        <v>36</v>
      </c>
      <c r="Z1146">
        <v>83</v>
      </c>
      <c r="AA1146">
        <v>90</v>
      </c>
      <c r="AB1146">
        <v>2500</v>
      </c>
      <c r="AC1146">
        <v>2152</v>
      </c>
      <c r="AD1146">
        <v>2152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412</v>
      </c>
      <c r="AO1146">
        <v>0</v>
      </c>
      <c r="AP1146">
        <v>5</v>
      </c>
      <c r="AQ1146">
        <v>0</v>
      </c>
      <c r="AR1146">
        <v>0</v>
      </c>
      <c r="AS1146" t="s">
        <v>59</v>
      </c>
      <c r="AT1146">
        <v>1</v>
      </c>
      <c r="AU1146" t="s">
        <v>64</v>
      </c>
      <c r="AV1146" t="s">
        <v>77</v>
      </c>
      <c r="AW1146">
        <v>1</v>
      </c>
      <c r="AX1146">
        <v>3</v>
      </c>
      <c r="AY1146">
        <v>0</v>
      </c>
      <c r="AZ1146">
        <v>0</v>
      </c>
      <c r="BA1146">
        <v>100</v>
      </c>
      <c r="BB1146">
        <v>100</v>
      </c>
      <c r="BC1146">
        <v>100</v>
      </c>
      <c r="BD1146">
        <v>44</v>
      </c>
      <c r="BE1146">
        <v>0.44</v>
      </c>
      <c r="BF1146">
        <v>15000</v>
      </c>
      <c r="BG1146">
        <v>1000</v>
      </c>
      <c r="BH1146" s="7">
        <f>ROUND(Wapato_Inventory[[#This Row],[detatched_value]]*Lookups!$B$22*Lookups!$H$48,-2)</f>
        <v>0</v>
      </c>
      <c r="BI1146" s="7">
        <f>ROUND(((Wapato_Inventory[[#This Row],[land_extract]]*Lookups!$B$3) +(Lookups!$B$2*0.5))*Lookups!$H$48,-2)</f>
        <v>57900</v>
      </c>
      <c r="BJ1146" s="7">
        <f>IF(Wapato_Inventory[[#This Row],[bldg_style]]="",0,Lookups!$B$2*0.5)</f>
        <v>53765.27</v>
      </c>
      <c r="BK1146" s="7">
        <f>_xlfn.IFNA(VLOOKUP(Wapato_Inventory[[#This Row],[quality]],Lookups!$H$2:$J$14,3,FALSE),0)</f>
        <v>48043</v>
      </c>
      <c r="BL1146" s="7">
        <f>_xlfn.IFNA(VLOOKUP(Wapato_Inventory[[#This Row],[condition]],Lookups!$H$17:$J$24,3,FALSE),0)</f>
        <v>74543</v>
      </c>
      <c r="BM1146" s="7">
        <f>Wapato_Inventory[[#This Row],[Age]]*Lookups!$B$16</f>
        <v>-30766.0831</v>
      </c>
      <c r="BN1146" s="7">
        <f>Wapato_Inventory[[#This Row],[Main Floor]]*Lookups!$B$17</f>
        <v>89955.190327999997</v>
      </c>
      <c r="BO1146" s="7">
        <f>Wapato_Inventory[[#This Row],[Upper Floor]]*Lookups!$B$18</f>
        <v>0</v>
      </c>
      <c r="BP1146" s="7">
        <f>Wapato_Inventory[[#This Row],[Fin BSMT]]*Lookups!$B$19</f>
        <v>0</v>
      </c>
      <c r="BQ1146" s="7">
        <f>(Wapato_Inventory[[#This Row],[att_gar]]+Wapato_Inventory[[#This Row],[blt_gar]])*Lookups!$B$20</f>
        <v>0</v>
      </c>
      <c r="BR1146" s="7">
        <f>Wapato_Inventory[[#This Row],[Patio]]*Lookups!$B$21</f>
        <v>0</v>
      </c>
      <c r="BS1146" s="7">
        <f>SUM(Wapato_Inventory[[#This Row],[intercept]:[patio_value]])*Wapato_Inventory[[#This Row],[res_pct]]</f>
        <v>103637.76598031999</v>
      </c>
      <c r="BT1146" s="7">
        <f>Wapato_Inventory[[#This Row],[land_value]]</f>
        <v>57900</v>
      </c>
      <c r="BU1146" s="2">
        <f>_xlfn.IFNA(VLOOKUP(Wapato_Inventory[[#This Row],[quality]],Lookups!$A$28:$C$37,3,FALSE),1)</f>
        <v>0.98196844879778955</v>
      </c>
      <c r="BV1146" s="2">
        <f>_xlfn.IFNA(VLOOKUP(Wapato_Inventory[[#This Row],[condition]],Lookups!$A$41:$C$48,3,FALSE),1)</f>
        <v>0.98442438223270734</v>
      </c>
      <c r="BW1146" s="2">
        <f>IF(Wapato_Inventory[[#This Row],[decade]]="",1,_xlfn.IFNA(VLOOKUP(Wapato_Inventory[[#This Row],[decade]],Lookups!$F$28:$H$45,3,FALSE),1))</f>
        <v>0.94742695999815718</v>
      </c>
      <c r="BX1146" s="2">
        <f>_xlfn.IFNA(VLOOKUP(Wapato_Inventory[[#This Row],[living_area_range]],Lookups!$K$28:$M$37,3,FALSE),1)</f>
        <v>0.90813907160181651</v>
      </c>
      <c r="BY1146" s="2">
        <f>AVERAGE(Wapato_Inventory[[#This Row],[qual_adj]:[range_adj]])</f>
        <v>0.95548971565761764</v>
      </c>
      <c r="BZ1146" s="7">
        <f>(Wapato_Inventory[[#This Row],[sum_land]]-IF(Wapato_Inventory[[#This Row],[no_utilities]]=1,12000,0))/IF(Wapato_Inventory[[#This Row],[unbuildable]]=1,2,1)</f>
        <v>57900</v>
      </c>
      <c r="CA1146" s="7">
        <f>Wapato_Inventory[[#This Row],[pre_res]]*Wapato_Inventory[[#This Row],[overall_adj]]</f>
        <v>99024.819547926672</v>
      </c>
      <c r="CB1146" s="3">
        <f>IF(ROUND(Wapato_Inventory[[#This Row],[adj_land]]*Lookups!$H$48,-2)&lt;Wapato_Inventory[[#This Row],[min_land]],Wapato_Inventory[[#This Row],[min_land]],ROUND(Wapato_Inventory[[#This Row],[adj_land]]*Lookups!$H$48,-2))</f>
        <v>55000</v>
      </c>
      <c r="CC1146" s="3">
        <f>IF(ROUND(Wapato_Inventory[[#This Row],[adj_res]]*Lookups!$H$48,-2)&lt;Wapato_Inventory[[#This Row],[min_res]],Wapato_Inventory[[#This Row],[min_res]],ROUND(Wapato_Inventory[[#This Row],[adj_res]]*Lookups!$H$48,-2))</f>
        <v>94100</v>
      </c>
      <c r="CD1146" s="3">
        <f>ROUND(Wapato_Inventory[[#This Row],[det_value]]*Lookups!$H$48,-2)</f>
        <v>0</v>
      </c>
      <c r="CE1146" s="3">
        <f>Wapato_Inventory[[#This Row],[final_res]]+Wapato_Inventory[[#This Row],[final_det]]</f>
        <v>94100</v>
      </c>
      <c r="CF1146" s="3">
        <f>Wapato_Inventory[[#This Row],[crop_value]]+Wapato_Inventory[[#This Row],[final_land]]+Wapato_Inventory[[#This Row],[final_imp]]</f>
        <v>149100</v>
      </c>
      <c r="CH1146" t="str">
        <f t="shared" si="17"/>
        <v>update valuation set market_land =55000, market_bldg=94100, market_total =149100, market_mdno =405, market_date ='9/10/2023' where link_id = (select link_id from parcel where parcel_year = '2024' and parcel_id = '19111644021');</v>
      </c>
    </row>
    <row r="1147" spans="1:86" x14ac:dyDescent="0.25">
      <c r="A1147">
        <v>19111644024</v>
      </c>
      <c r="B1147">
        <v>1.07</v>
      </c>
      <c r="C1147">
        <v>46809</v>
      </c>
      <c r="D1147" t="s">
        <v>144</v>
      </c>
      <c r="E1147" t="s">
        <v>54</v>
      </c>
      <c r="F1147" t="s">
        <v>54</v>
      </c>
      <c r="G1147">
        <v>3</v>
      </c>
      <c r="H1147" t="s">
        <v>55</v>
      </c>
      <c r="I1147">
        <v>0</v>
      </c>
      <c r="J1147">
        <v>45800</v>
      </c>
      <c r="K1147">
        <v>1.07</v>
      </c>
      <c r="L1147">
        <f>IF(Wapato_Inventory[[#This Row],[parcel_acres]]-Wapato_Inventory[[#This Row],[non_valued_acres]] =0,0,LN(Wapato_Inventory[[#This Row],[parcel_acres]]-Wapato_Inventory[[#This Row],[non_valued_acres]]))</f>
        <v>6.7658648473814864E-2</v>
      </c>
      <c r="M1147">
        <v>0</v>
      </c>
      <c r="N1147">
        <v>0</v>
      </c>
      <c r="O1147">
        <v>0</v>
      </c>
      <c r="P1147">
        <v>27904.037</v>
      </c>
      <c r="Q1147">
        <v>74398</v>
      </c>
      <c r="R1147" s="3">
        <f>(Wapato_Inventory[[#This Row],[ln_acres]]*Wapato_Inventory[[#This Row],[coeff]])+Wapato_Inventory[[#This Row],[const]]</f>
        <v>76285.94943038332</v>
      </c>
      <c r="S1147" t="s">
        <v>83</v>
      </c>
      <c r="T1147">
        <v>1</v>
      </c>
      <c r="U1147" t="s">
        <v>86</v>
      </c>
      <c r="V1147" t="s">
        <v>110</v>
      </c>
      <c r="W1147">
        <v>0</v>
      </c>
      <c r="X1147">
        <v>0</v>
      </c>
      <c r="Y1147">
        <v>83</v>
      </c>
      <c r="Z1147">
        <v>83</v>
      </c>
      <c r="AA1147">
        <v>90</v>
      </c>
      <c r="AB1147">
        <v>1000</v>
      </c>
      <c r="AC1147">
        <v>824</v>
      </c>
      <c r="AD1147">
        <v>824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</v>
      </c>
      <c r="AL1147">
        <v>0</v>
      </c>
      <c r="AM1147">
        <v>240</v>
      </c>
      <c r="AN1147">
        <v>64</v>
      </c>
      <c r="AO1147">
        <v>240</v>
      </c>
      <c r="AP1147">
        <v>6</v>
      </c>
      <c r="AQ1147">
        <v>0</v>
      </c>
      <c r="AR1147">
        <v>0</v>
      </c>
      <c r="AS1147" t="s">
        <v>59</v>
      </c>
      <c r="AT1147">
        <v>0</v>
      </c>
      <c r="AU1147" t="s">
        <v>80</v>
      </c>
      <c r="AV1147" t="s">
        <v>61</v>
      </c>
      <c r="AW1147">
        <v>0</v>
      </c>
      <c r="AX1147">
        <v>2</v>
      </c>
      <c r="AY1147">
        <v>0</v>
      </c>
      <c r="AZ1147">
        <v>0</v>
      </c>
      <c r="BA1147">
        <v>100</v>
      </c>
      <c r="BB1147">
        <v>100</v>
      </c>
      <c r="BC1147">
        <v>100</v>
      </c>
      <c r="BD1147">
        <v>100</v>
      </c>
      <c r="BE1147">
        <v>0</v>
      </c>
      <c r="BF1147">
        <v>15000</v>
      </c>
      <c r="BG1147">
        <v>0</v>
      </c>
      <c r="BH1147" s="7">
        <f>ROUND(Wapato_Inventory[[#This Row],[detatched_value]]*Lookups!$B$22*Lookups!$H$48,-2)</f>
        <v>0</v>
      </c>
      <c r="BI1147" s="7">
        <f>ROUND(((Wapato_Inventory[[#This Row],[land_extract]]*Lookups!$B$3) +(Lookups!$B$2*0.5))*Lookups!$H$48,-2)</f>
        <v>58400</v>
      </c>
      <c r="BJ1147" s="7">
        <f>IF(Wapato_Inventory[[#This Row],[bldg_style]]="",0,Lookups!$B$2*0.5)</f>
        <v>53765.27</v>
      </c>
      <c r="BK1147" s="7">
        <f>_xlfn.IFNA(VLOOKUP(Wapato_Inventory[[#This Row],[quality]],Lookups!$H$2:$J$14,3,FALSE),0)</f>
        <v>0</v>
      </c>
      <c r="BL1147" s="7">
        <f>_xlfn.IFNA(VLOOKUP(Wapato_Inventory[[#This Row],[condition]],Lookups!$H$17:$J$24,3,FALSE),0)</f>
        <v>-49363</v>
      </c>
      <c r="BM1147" s="7">
        <f>Wapato_Inventory[[#This Row],[Age]]*Lookups!$B$16</f>
        <v>-30766.0831</v>
      </c>
      <c r="BN1147" s="7">
        <f>Wapato_Inventory[[#This Row],[Main Floor]]*Lookups!$B$17</f>
        <v>34443.808936000001</v>
      </c>
      <c r="BO1147" s="7">
        <f>Wapato_Inventory[[#This Row],[Upper Floor]]*Lookups!$B$18</f>
        <v>0</v>
      </c>
      <c r="BP1147" s="7">
        <f>Wapato_Inventory[[#This Row],[Fin BSMT]]*Lookups!$B$19</f>
        <v>0</v>
      </c>
      <c r="BQ1147" s="7">
        <f>(Wapato_Inventory[[#This Row],[att_gar]]+Wapato_Inventory[[#This Row],[blt_gar]])*Lookups!$B$20</f>
        <v>0</v>
      </c>
      <c r="BR1147" s="7">
        <f>Wapato_Inventory[[#This Row],[Patio]]*Lookups!$B$21</f>
        <v>10397.75496</v>
      </c>
      <c r="BS1147" s="7">
        <f>SUM(Wapato_Inventory[[#This Row],[intercept]:[patio_value]])*Wapato_Inventory[[#This Row],[res_pct]]</f>
        <v>0</v>
      </c>
      <c r="BT1147" s="7">
        <f>Wapato_Inventory[[#This Row],[land_value]]</f>
        <v>58400</v>
      </c>
      <c r="BU1147" s="2">
        <f>_xlfn.IFNA(VLOOKUP(Wapato_Inventory[[#This Row],[quality]],Lookups!$A$28:$C$37,3,FALSE),1)</f>
        <v>1.0000010866511106</v>
      </c>
      <c r="BV1147" s="2">
        <f>_xlfn.IFNA(VLOOKUP(Wapato_Inventory[[#This Row],[condition]],Lookups!$A$41:$C$48,3,FALSE),1)</f>
        <v>0</v>
      </c>
      <c r="BW1147" s="2">
        <f>IF(Wapato_Inventory[[#This Row],[decade]]="",1,_xlfn.IFNA(VLOOKUP(Wapato_Inventory[[#This Row],[decade]],Lookups!$F$28:$H$45,3,FALSE),1))</f>
        <v>0.94742695999815718</v>
      </c>
      <c r="BX1147" s="2">
        <f>_xlfn.IFNA(VLOOKUP(Wapato_Inventory[[#This Row],[living_area_range]],Lookups!$K$28:$M$37,3,FALSE),1)</f>
        <v>0.99022994770196116</v>
      </c>
      <c r="BY1147" s="2">
        <f>AVERAGE(Wapato_Inventory[[#This Row],[qual_adj]:[range_adj]])</f>
        <v>0.73441449858780727</v>
      </c>
      <c r="BZ1147" s="7">
        <f>(Wapato_Inventory[[#This Row],[sum_land]]-IF(Wapato_Inventory[[#This Row],[no_utilities]]=1,12000,0))/IF(Wapato_Inventory[[#This Row],[unbuildable]]=1,2,1)</f>
        <v>58400</v>
      </c>
      <c r="CA1147" s="7">
        <f>Wapato_Inventory[[#This Row],[pre_res]]*Wapato_Inventory[[#This Row],[overall_adj]]</f>
        <v>0</v>
      </c>
      <c r="CB1147" s="3">
        <f>IF(ROUND(Wapato_Inventory[[#This Row],[adj_land]]*Lookups!$H$48,-2)&lt;Wapato_Inventory[[#This Row],[min_land]],Wapato_Inventory[[#This Row],[min_land]],ROUND(Wapato_Inventory[[#This Row],[adj_land]]*Lookups!$H$48,-2))</f>
        <v>55500</v>
      </c>
      <c r="CC114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147" s="3">
        <f>ROUND(Wapato_Inventory[[#This Row],[det_value]]*Lookups!$H$48,-2)</f>
        <v>0</v>
      </c>
      <c r="CE1147" s="3">
        <f>Wapato_Inventory[[#This Row],[final_res]]+Wapato_Inventory[[#This Row],[final_det]]</f>
        <v>0</v>
      </c>
      <c r="CF1147" s="3">
        <f>Wapato_Inventory[[#This Row],[crop_value]]+Wapato_Inventory[[#This Row],[final_land]]+Wapato_Inventory[[#This Row],[final_imp]]</f>
        <v>55500</v>
      </c>
      <c r="CH1147" t="str">
        <f t="shared" si="17"/>
        <v>update valuation set market_land =55500, market_bldg=0, market_total =55500, market_mdno =405, market_date ='9/10/2023' where link_id = (select link_id from parcel where parcel_year = '2024' and parcel_id = '19111644024');</v>
      </c>
    </row>
    <row r="1148" spans="1:86" x14ac:dyDescent="0.25">
      <c r="A1148">
        <v>19111644025</v>
      </c>
      <c r="B1148">
        <v>0.85</v>
      </c>
      <c r="C1148">
        <v>37051</v>
      </c>
      <c r="D1148" t="s">
        <v>144</v>
      </c>
      <c r="E1148" t="s">
        <v>54</v>
      </c>
      <c r="F1148" t="s">
        <v>54</v>
      </c>
      <c r="G1148">
        <v>3</v>
      </c>
      <c r="H1148" t="s">
        <v>55</v>
      </c>
      <c r="I1148">
        <v>287100</v>
      </c>
      <c r="J1148">
        <v>44100</v>
      </c>
      <c r="K1148">
        <v>0.85</v>
      </c>
      <c r="L1148">
        <f>IF(Wapato_Inventory[[#This Row],[parcel_acres]]-Wapato_Inventory[[#This Row],[non_valued_acres]] =0,0,LN(Wapato_Inventory[[#This Row],[parcel_acres]]-Wapato_Inventory[[#This Row],[non_valued_acres]]))</f>
        <v>-0.16251892949777494</v>
      </c>
      <c r="M1148">
        <v>0</v>
      </c>
      <c r="N1148">
        <v>0</v>
      </c>
      <c r="O1148">
        <v>0</v>
      </c>
      <c r="P1148">
        <v>27904.037</v>
      </c>
      <c r="Q1148">
        <v>74398</v>
      </c>
      <c r="R1148" s="3">
        <f>(Wapato_Inventory[[#This Row],[ln_acres]]*Wapato_Inventory[[#This Row],[coeff]])+Wapato_Inventory[[#This Row],[const]]</f>
        <v>69863.065778093704</v>
      </c>
      <c r="S1148" t="s">
        <v>66</v>
      </c>
      <c r="T1148">
        <v>1</v>
      </c>
      <c r="U1148" t="s">
        <v>75</v>
      </c>
      <c r="V1148" t="s">
        <v>69</v>
      </c>
      <c r="W1148">
        <v>0</v>
      </c>
      <c r="X1148">
        <v>0</v>
      </c>
      <c r="Y1148">
        <v>53</v>
      </c>
      <c r="Z1148">
        <v>93</v>
      </c>
      <c r="AA1148">
        <v>100</v>
      </c>
      <c r="AB1148">
        <v>1500</v>
      </c>
      <c r="AC1148">
        <v>1462</v>
      </c>
      <c r="AD1148">
        <v>1462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872</v>
      </c>
      <c r="AM1148">
        <v>0</v>
      </c>
      <c r="AN1148">
        <v>0</v>
      </c>
      <c r="AO1148">
        <v>144</v>
      </c>
      <c r="AP1148">
        <v>9</v>
      </c>
      <c r="AQ1148">
        <v>0</v>
      </c>
      <c r="AR1148">
        <v>0</v>
      </c>
      <c r="AS1148" t="s">
        <v>59</v>
      </c>
      <c r="AT1148">
        <v>1</v>
      </c>
      <c r="AU1148" t="s">
        <v>64</v>
      </c>
      <c r="AV1148" t="s">
        <v>61</v>
      </c>
      <c r="AW1148">
        <v>0</v>
      </c>
      <c r="AX1148">
        <v>3</v>
      </c>
      <c r="AY1148">
        <v>0</v>
      </c>
      <c r="AZ1148">
        <v>65900</v>
      </c>
      <c r="BA1148">
        <v>100</v>
      </c>
      <c r="BB1148">
        <v>100</v>
      </c>
      <c r="BC1148">
        <v>100</v>
      </c>
      <c r="BD1148">
        <v>100</v>
      </c>
      <c r="BE1148">
        <v>1</v>
      </c>
      <c r="BF1148">
        <v>15000</v>
      </c>
      <c r="BG1148">
        <v>1000</v>
      </c>
      <c r="BH1148" s="7">
        <f>ROUND(Wapato_Inventory[[#This Row],[detatched_value]]*Lookups!$B$22*Lookups!$H$48,-2)</f>
        <v>58900</v>
      </c>
      <c r="BI1148" s="7">
        <f>ROUND(((Wapato_Inventory[[#This Row],[land_extract]]*Lookups!$B$3) +(Lookups!$B$2*0.5))*Lookups!$H$48,-2)</f>
        <v>57800</v>
      </c>
      <c r="BJ1148" s="7">
        <f>IF(Wapato_Inventory[[#This Row],[bldg_style]]="",0,Lookups!$B$2*0.5)</f>
        <v>53765.27</v>
      </c>
      <c r="BK1148" s="7">
        <f>_xlfn.IFNA(VLOOKUP(Wapato_Inventory[[#This Row],[quality]],Lookups!$H$2:$J$14,3,FALSE),0)</f>
        <v>48043</v>
      </c>
      <c r="BL1148" s="7">
        <f>_xlfn.IFNA(VLOOKUP(Wapato_Inventory[[#This Row],[condition]],Lookups!$H$17:$J$24,3,FALSE),0)</f>
        <v>74543</v>
      </c>
      <c r="BM1148" s="7">
        <f>Wapato_Inventory[[#This Row],[Age]]*Lookups!$B$16</f>
        <v>-34472.840100000001</v>
      </c>
      <c r="BN1148" s="7">
        <f>Wapato_Inventory[[#This Row],[Main Floor]]*Lookups!$B$17</f>
        <v>61112.680418000004</v>
      </c>
      <c r="BO1148" s="7">
        <f>Wapato_Inventory[[#This Row],[Upper Floor]]*Lookups!$B$18</f>
        <v>0</v>
      </c>
      <c r="BP1148" s="7">
        <f>Wapato_Inventory[[#This Row],[Fin BSMT]]*Lookups!$B$19</f>
        <v>0</v>
      </c>
      <c r="BQ1148" s="7">
        <f>(Wapato_Inventory[[#This Row],[att_gar]]+Wapato_Inventory[[#This Row],[blt_gar]])*Lookups!$B$20</f>
        <v>0</v>
      </c>
      <c r="BR1148" s="7">
        <f>Wapato_Inventory[[#This Row],[Patio]]*Lookups!$B$21</f>
        <v>0</v>
      </c>
      <c r="BS1148" s="7">
        <f>SUM(Wapato_Inventory[[#This Row],[intercept]:[patio_value]])*Wapato_Inventory[[#This Row],[res_pct]]</f>
        <v>202991.11031799999</v>
      </c>
      <c r="BT1148" s="7">
        <f>Wapato_Inventory[[#This Row],[land_value]]</f>
        <v>57800</v>
      </c>
      <c r="BU1148" s="2">
        <f>_xlfn.IFNA(VLOOKUP(Wapato_Inventory[[#This Row],[quality]],Lookups!$A$28:$C$37,3,FALSE),1)</f>
        <v>0.98196844879778955</v>
      </c>
      <c r="BV1148" s="2">
        <f>_xlfn.IFNA(VLOOKUP(Wapato_Inventory[[#This Row],[condition]],Lookups!$A$41:$C$48,3,FALSE),1)</f>
        <v>0.98442438223270734</v>
      </c>
      <c r="BW1148" s="2">
        <f>IF(Wapato_Inventory[[#This Row],[decade]]="",1,_xlfn.IFNA(VLOOKUP(Wapato_Inventory[[#This Row],[decade]],Lookups!$F$28:$H$45,3,FALSE),1))</f>
        <v>1.0114203040664467</v>
      </c>
      <c r="BX1148" s="2">
        <f>_xlfn.IFNA(VLOOKUP(Wapato_Inventory[[#This Row],[living_area_range]],Lookups!$K$28:$M$37,3,FALSE),1)</f>
        <v>1.0061411172456287</v>
      </c>
      <c r="BY1148" s="2">
        <f>AVERAGE(Wapato_Inventory[[#This Row],[qual_adj]:[range_adj]])</f>
        <v>0.9959885630856431</v>
      </c>
      <c r="BZ1148" s="7">
        <f>(Wapato_Inventory[[#This Row],[sum_land]]-IF(Wapato_Inventory[[#This Row],[no_utilities]]=1,12000,0))/IF(Wapato_Inventory[[#This Row],[unbuildable]]=1,2,1)</f>
        <v>57800</v>
      </c>
      <c r="CA1148" s="7">
        <f>Wapato_Inventory[[#This Row],[pre_res]]*Wapato_Inventory[[#This Row],[overall_adj]]</f>
        <v>202176.82428478406</v>
      </c>
      <c r="CB1148" s="3">
        <f>IF(ROUND(Wapato_Inventory[[#This Row],[adj_land]]*Lookups!$H$48,-2)&lt;Wapato_Inventory[[#This Row],[min_land]],Wapato_Inventory[[#This Row],[min_land]],ROUND(Wapato_Inventory[[#This Row],[adj_land]]*Lookups!$H$48,-2))</f>
        <v>54900</v>
      </c>
      <c r="CC1148" s="3">
        <f>IF(ROUND(Wapato_Inventory[[#This Row],[adj_res]]*Lookups!$H$48,-2)&lt;Wapato_Inventory[[#This Row],[min_res]],Wapato_Inventory[[#This Row],[min_res]],ROUND(Wapato_Inventory[[#This Row],[adj_res]]*Lookups!$H$48,-2))</f>
        <v>192100</v>
      </c>
      <c r="CD1148" s="3">
        <f>ROUND(Wapato_Inventory[[#This Row],[det_value]]*Lookups!$H$48,-2)</f>
        <v>56000</v>
      </c>
      <c r="CE1148" s="3">
        <f>Wapato_Inventory[[#This Row],[final_res]]+Wapato_Inventory[[#This Row],[final_det]]</f>
        <v>248100</v>
      </c>
      <c r="CF1148" s="3">
        <f>Wapato_Inventory[[#This Row],[crop_value]]+Wapato_Inventory[[#This Row],[final_land]]+Wapato_Inventory[[#This Row],[final_imp]]</f>
        <v>303000</v>
      </c>
      <c r="CH1148" t="str">
        <f t="shared" si="17"/>
        <v>update valuation set market_land =54900, market_bldg=248100, market_total =303000, market_mdno =405, market_date ='9/10/2023' where link_id = (select link_id from parcel where parcel_year = '2024' and parcel_id = '19111644025');</v>
      </c>
    </row>
    <row r="1149" spans="1:86" x14ac:dyDescent="0.25">
      <c r="A1149">
        <v>19111644026</v>
      </c>
      <c r="B1149">
        <v>1.23</v>
      </c>
      <c r="C1149">
        <v>53521</v>
      </c>
      <c r="D1149" t="s">
        <v>144</v>
      </c>
      <c r="E1149" t="s">
        <v>54</v>
      </c>
      <c r="F1149" t="s">
        <v>54</v>
      </c>
      <c r="G1149">
        <v>3</v>
      </c>
      <c r="H1149" t="s">
        <v>55</v>
      </c>
      <c r="I1149">
        <v>176600</v>
      </c>
      <c r="J1149">
        <v>46700</v>
      </c>
      <c r="K1149">
        <v>1.23</v>
      </c>
      <c r="L1149">
        <f>IF(Wapato_Inventory[[#This Row],[parcel_acres]]-Wapato_Inventory[[#This Row],[non_valued_acres]] =0,0,LN(Wapato_Inventory[[#This Row],[parcel_acres]]-Wapato_Inventory[[#This Row],[non_valued_acres]]))</f>
        <v>0.20701416938432612</v>
      </c>
      <c r="M1149">
        <v>0</v>
      </c>
      <c r="N1149">
        <v>0</v>
      </c>
      <c r="O1149">
        <v>0</v>
      </c>
      <c r="P1149">
        <v>27904.037</v>
      </c>
      <c r="Q1149">
        <v>74398</v>
      </c>
      <c r="R1149" s="3">
        <f>(Wapato_Inventory[[#This Row],[ln_acres]]*Wapato_Inventory[[#This Row],[coeff]])+Wapato_Inventory[[#This Row],[const]]</f>
        <v>80174.531042024508</v>
      </c>
      <c r="S1149" t="s">
        <v>66</v>
      </c>
      <c r="T1149">
        <v>1</v>
      </c>
      <c r="U1149" t="s">
        <v>78</v>
      </c>
      <c r="V1149" t="s">
        <v>68</v>
      </c>
      <c r="W1149">
        <v>0</v>
      </c>
      <c r="X1149">
        <v>0</v>
      </c>
      <c r="Y1149">
        <v>53</v>
      </c>
      <c r="Z1149">
        <v>93</v>
      </c>
      <c r="AA1149">
        <v>100</v>
      </c>
      <c r="AB1149">
        <v>1500</v>
      </c>
      <c r="AC1149">
        <v>1490</v>
      </c>
      <c r="AD1149">
        <v>1490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</v>
      </c>
      <c r="AL1149">
        <v>0</v>
      </c>
      <c r="AM1149">
        <v>208</v>
      </c>
      <c r="AN1149">
        <v>70</v>
      </c>
      <c r="AO1149">
        <v>0</v>
      </c>
      <c r="AP1149">
        <v>5</v>
      </c>
      <c r="AQ1149">
        <v>0</v>
      </c>
      <c r="AR1149">
        <v>0</v>
      </c>
      <c r="AS1149" t="s">
        <v>59</v>
      </c>
      <c r="AT1149">
        <v>1</v>
      </c>
      <c r="AU1149" t="s">
        <v>64</v>
      </c>
      <c r="AV1149" t="s">
        <v>61</v>
      </c>
      <c r="AW1149">
        <v>0</v>
      </c>
      <c r="AX1149">
        <v>3</v>
      </c>
      <c r="AY1149">
        <v>0</v>
      </c>
      <c r="AZ1149">
        <v>22100</v>
      </c>
      <c r="BA1149">
        <v>100</v>
      </c>
      <c r="BB1149">
        <v>100</v>
      </c>
      <c r="BC1149">
        <v>100</v>
      </c>
      <c r="BD1149">
        <v>100</v>
      </c>
      <c r="BE1149">
        <v>1</v>
      </c>
      <c r="BF1149">
        <v>15000</v>
      </c>
      <c r="BG1149">
        <v>1000</v>
      </c>
      <c r="BH1149" s="7">
        <f>ROUND(Wapato_Inventory[[#This Row],[detatched_value]]*Lookups!$B$22*Lookups!$H$48,-2)</f>
        <v>19700</v>
      </c>
      <c r="BI1149" s="7">
        <f>ROUND(((Wapato_Inventory[[#This Row],[land_extract]]*Lookups!$B$3) +(Lookups!$B$2*0.5))*Lookups!$H$48,-2)</f>
        <v>58800</v>
      </c>
      <c r="BJ1149" s="7">
        <f>IF(Wapato_Inventory[[#This Row],[bldg_style]]="",0,Lookups!$B$2*0.5)</f>
        <v>53765.27</v>
      </c>
      <c r="BK1149" s="7">
        <f>_xlfn.IFNA(VLOOKUP(Wapato_Inventory[[#This Row],[quality]],Lookups!$H$2:$J$14,3,FALSE),0)</f>
        <v>23424</v>
      </c>
      <c r="BL1149" s="7">
        <f>_xlfn.IFNA(VLOOKUP(Wapato_Inventory[[#This Row],[condition]],Lookups!$H$17:$J$24,3,FALSE),0)</f>
        <v>52231</v>
      </c>
      <c r="BM1149" s="7">
        <f>Wapato_Inventory[[#This Row],[Age]]*Lookups!$B$16</f>
        <v>-34472.840100000001</v>
      </c>
      <c r="BN1149" s="7">
        <f>Wapato_Inventory[[#This Row],[Main Floor]]*Lookups!$B$17</f>
        <v>62283.101110000003</v>
      </c>
      <c r="BO1149" s="7">
        <f>Wapato_Inventory[[#This Row],[Upper Floor]]*Lookups!$B$18</f>
        <v>0</v>
      </c>
      <c r="BP1149" s="7">
        <f>Wapato_Inventory[[#This Row],[Fin BSMT]]*Lookups!$B$19</f>
        <v>0</v>
      </c>
      <c r="BQ1149" s="7">
        <f>(Wapato_Inventory[[#This Row],[att_gar]]+Wapato_Inventory[[#This Row],[blt_gar]])*Lookups!$B$20</f>
        <v>0</v>
      </c>
      <c r="BR1149" s="7">
        <f>Wapato_Inventory[[#This Row],[Patio]]*Lookups!$B$21</f>
        <v>9011.3876319999999</v>
      </c>
      <c r="BS1149" s="7">
        <f>SUM(Wapato_Inventory[[#This Row],[intercept]:[patio_value]])*Wapato_Inventory[[#This Row],[res_pct]]</f>
        <v>166241.91864199998</v>
      </c>
      <c r="BT1149" s="7">
        <f>Wapato_Inventory[[#This Row],[land_value]]</f>
        <v>58800</v>
      </c>
      <c r="BU1149" s="2">
        <f>_xlfn.IFNA(VLOOKUP(Wapato_Inventory[[#This Row],[quality]],Lookups!$A$28:$C$37,3,FALSE),1)</f>
        <v>1.0091195562373767</v>
      </c>
      <c r="BV1149" s="2">
        <f>_xlfn.IFNA(VLOOKUP(Wapato_Inventory[[#This Row],[condition]],Lookups!$A$41:$C$48,3,FALSE),1)</f>
        <v>0.9832333997567807</v>
      </c>
      <c r="BW1149" s="2">
        <f>IF(Wapato_Inventory[[#This Row],[decade]]="",1,_xlfn.IFNA(VLOOKUP(Wapato_Inventory[[#This Row],[decade]],Lookups!$F$28:$H$45,3,FALSE),1))</f>
        <v>1.0114203040664467</v>
      </c>
      <c r="BX1149" s="2">
        <f>_xlfn.IFNA(VLOOKUP(Wapato_Inventory[[#This Row],[living_area_range]],Lookups!$K$28:$M$37,3,FALSE),1)</f>
        <v>1.0061411172456287</v>
      </c>
      <c r="BY1149" s="2">
        <f>AVERAGE(Wapato_Inventory[[#This Row],[qual_adj]:[range_adj]])</f>
        <v>1.0024785943265582</v>
      </c>
      <c r="BZ1149" s="7">
        <f>(Wapato_Inventory[[#This Row],[sum_land]]-IF(Wapato_Inventory[[#This Row],[no_utilities]]=1,12000,0))/IF(Wapato_Inventory[[#This Row],[unbuildable]]=1,2,1)</f>
        <v>58800</v>
      </c>
      <c r="CA1149" s="7">
        <f>Wapato_Inventory[[#This Row],[pre_res]]*Wapato_Inventory[[#This Row],[overall_adj]]</f>
        <v>166653.96491838217</v>
      </c>
      <c r="CB1149" s="3">
        <f>IF(ROUND(Wapato_Inventory[[#This Row],[adj_land]]*Lookups!$H$48,-2)&lt;Wapato_Inventory[[#This Row],[min_land]],Wapato_Inventory[[#This Row],[min_land]],ROUND(Wapato_Inventory[[#This Row],[adj_land]]*Lookups!$H$48,-2))</f>
        <v>55900</v>
      </c>
      <c r="CC1149" s="3">
        <f>IF(ROUND(Wapato_Inventory[[#This Row],[adj_res]]*Lookups!$H$48,-2)&lt;Wapato_Inventory[[#This Row],[min_res]],Wapato_Inventory[[#This Row],[min_res]],ROUND(Wapato_Inventory[[#This Row],[adj_res]]*Lookups!$H$48,-2))</f>
        <v>158300</v>
      </c>
      <c r="CD1149" s="3">
        <f>ROUND(Wapato_Inventory[[#This Row],[det_value]]*Lookups!$H$48,-2)</f>
        <v>18700</v>
      </c>
      <c r="CE1149" s="3">
        <f>Wapato_Inventory[[#This Row],[final_res]]+Wapato_Inventory[[#This Row],[final_det]]</f>
        <v>177000</v>
      </c>
      <c r="CF1149" s="3">
        <f>Wapato_Inventory[[#This Row],[crop_value]]+Wapato_Inventory[[#This Row],[final_land]]+Wapato_Inventory[[#This Row],[final_imp]]</f>
        <v>232900</v>
      </c>
      <c r="CH1149" t="str">
        <f t="shared" si="17"/>
        <v>update valuation set market_land =55900, market_bldg=177000, market_total =232900, market_mdno =405, market_date ='9/10/2023' where link_id = (select link_id from parcel where parcel_year = '2024' and parcel_id = '19111644026');</v>
      </c>
    </row>
    <row r="1150" spans="1:86" x14ac:dyDescent="0.25">
      <c r="A1150">
        <v>19111644029</v>
      </c>
      <c r="B1150">
        <v>3.86</v>
      </c>
      <c r="C1150">
        <v>168138</v>
      </c>
      <c r="D1150" t="s">
        <v>144</v>
      </c>
      <c r="E1150" t="s">
        <v>54</v>
      </c>
      <c r="F1150" t="s">
        <v>54</v>
      </c>
      <c r="G1150">
        <v>3</v>
      </c>
      <c r="H1150" t="s">
        <v>55</v>
      </c>
      <c r="I1150">
        <v>149900</v>
      </c>
      <c r="J1150">
        <v>54800</v>
      </c>
      <c r="K1150">
        <v>3.86</v>
      </c>
      <c r="L1150">
        <f>IF(Wapato_Inventory[[#This Row],[parcel_acres]]-Wapato_Inventory[[#This Row],[non_valued_acres]] =0,0,LN(Wapato_Inventory[[#This Row],[parcel_acres]]-Wapato_Inventory[[#This Row],[non_valued_acres]]))</f>
        <v>1.3506671834767394</v>
      </c>
      <c r="M1150">
        <v>0</v>
      </c>
      <c r="N1150">
        <v>0</v>
      </c>
      <c r="O1150">
        <v>0</v>
      </c>
      <c r="P1150">
        <v>27904.037</v>
      </c>
      <c r="Q1150">
        <v>74398</v>
      </c>
      <c r="R1150" s="3">
        <f>(Wapato_Inventory[[#This Row],[ln_acres]]*Wapato_Inventory[[#This Row],[coeff]])+Wapato_Inventory[[#This Row],[const]]</f>
        <v>112087.06706242073</v>
      </c>
      <c r="S1150" t="s">
        <v>66</v>
      </c>
      <c r="T1150">
        <v>1</v>
      </c>
      <c r="U1150" t="s">
        <v>71</v>
      </c>
      <c r="V1150" t="s">
        <v>68</v>
      </c>
      <c r="W1150">
        <v>0</v>
      </c>
      <c r="X1150">
        <v>0</v>
      </c>
      <c r="Y1150">
        <v>47</v>
      </c>
      <c r="Z1150">
        <v>57</v>
      </c>
      <c r="AA1150">
        <v>60</v>
      </c>
      <c r="AB1150">
        <v>1000</v>
      </c>
      <c r="AC1150">
        <v>896</v>
      </c>
      <c r="AD1150">
        <v>896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488</v>
      </c>
      <c r="AN1150">
        <v>144</v>
      </c>
      <c r="AO1150">
        <v>488</v>
      </c>
      <c r="AP1150">
        <v>5</v>
      </c>
      <c r="AQ1150">
        <v>0</v>
      </c>
      <c r="AR1150">
        <v>0</v>
      </c>
      <c r="AS1150" t="s">
        <v>59</v>
      </c>
      <c r="AT1150">
        <v>1</v>
      </c>
      <c r="AU1150" t="s">
        <v>60</v>
      </c>
      <c r="AV1150" t="s">
        <v>61</v>
      </c>
      <c r="AW1150">
        <v>1</v>
      </c>
      <c r="AX1150">
        <v>2</v>
      </c>
      <c r="AY1150">
        <v>0</v>
      </c>
      <c r="AZ1150">
        <v>5000</v>
      </c>
      <c r="BA1150">
        <v>100</v>
      </c>
      <c r="BB1150">
        <v>100</v>
      </c>
      <c r="BC1150">
        <v>100</v>
      </c>
      <c r="BD1150">
        <v>100</v>
      </c>
      <c r="BE1150">
        <v>1</v>
      </c>
      <c r="BF1150">
        <v>15000</v>
      </c>
      <c r="BG1150">
        <v>1000</v>
      </c>
      <c r="BH1150" s="7">
        <f>ROUND(Wapato_Inventory[[#This Row],[detatched_value]]*Lookups!$B$22*Lookups!$H$48,-2)</f>
        <v>4500</v>
      </c>
      <c r="BI1150" s="7">
        <f>ROUND(((Wapato_Inventory[[#This Row],[land_extract]]*Lookups!$B$3) +(Lookups!$B$2*0.5))*Lookups!$H$48,-2)</f>
        <v>61900</v>
      </c>
      <c r="BJ1150" s="7">
        <f>IF(Wapato_Inventory[[#This Row],[bldg_style]]="",0,Lookups!$B$2*0.5)</f>
        <v>53765.27</v>
      </c>
      <c r="BK1150" s="7">
        <f>_xlfn.IFNA(VLOOKUP(Wapato_Inventory[[#This Row],[quality]],Lookups!$H$2:$J$14,3,FALSE),0)</f>
        <v>28034</v>
      </c>
      <c r="BL1150" s="7">
        <f>_xlfn.IFNA(VLOOKUP(Wapato_Inventory[[#This Row],[condition]],Lookups!$H$17:$J$24,3,FALSE),0)</f>
        <v>52231</v>
      </c>
      <c r="BM1150" s="7">
        <f>Wapato_Inventory[[#This Row],[Age]]*Lookups!$B$16</f>
        <v>-21128.514900000002</v>
      </c>
      <c r="BN1150" s="7">
        <f>Wapato_Inventory[[#This Row],[Main Floor]]*Lookups!$B$17</f>
        <v>37453.462143999997</v>
      </c>
      <c r="BO1150" s="7">
        <f>Wapato_Inventory[[#This Row],[Upper Floor]]*Lookups!$B$18</f>
        <v>0</v>
      </c>
      <c r="BP1150" s="7">
        <f>Wapato_Inventory[[#This Row],[Fin BSMT]]*Lookups!$B$19</f>
        <v>0</v>
      </c>
      <c r="BQ1150" s="7">
        <f>(Wapato_Inventory[[#This Row],[att_gar]]+Wapato_Inventory[[#This Row],[blt_gar]])*Lookups!$B$20</f>
        <v>0</v>
      </c>
      <c r="BR1150" s="7">
        <f>Wapato_Inventory[[#This Row],[Patio]]*Lookups!$B$21</f>
        <v>21142.101752000002</v>
      </c>
      <c r="BS1150" s="7">
        <f>SUM(Wapato_Inventory[[#This Row],[intercept]:[patio_value]])*Wapato_Inventory[[#This Row],[res_pct]]</f>
        <v>171497.31899599999</v>
      </c>
      <c r="BT1150" s="7">
        <f>Wapato_Inventory[[#This Row],[land_value]]</f>
        <v>61900</v>
      </c>
      <c r="BU1150" s="2">
        <f>_xlfn.IFNA(VLOOKUP(Wapato_Inventory[[#This Row],[quality]],Lookups!$A$28:$C$37,3,FALSE),1)</f>
        <v>0.96265813922927435</v>
      </c>
      <c r="BV1150" s="2">
        <f>_xlfn.IFNA(VLOOKUP(Wapato_Inventory[[#This Row],[condition]],Lookups!$A$41:$C$48,3,FALSE),1)</f>
        <v>0.9832333997567807</v>
      </c>
      <c r="BW1150" s="2">
        <f>IF(Wapato_Inventory[[#This Row],[decade]]="",1,_xlfn.IFNA(VLOOKUP(Wapato_Inventory[[#This Row],[decade]],Lookups!$F$28:$H$45,3,FALSE),1))</f>
        <v>1.035341704162583</v>
      </c>
      <c r="BX1150" s="2">
        <f>_xlfn.IFNA(VLOOKUP(Wapato_Inventory[[#This Row],[living_area_range]],Lookups!$K$28:$M$37,3,FALSE),1)</f>
        <v>0.99022994770196116</v>
      </c>
      <c r="BY1150" s="2">
        <f>AVERAGE(Wapato_Inventory[[#This Row],[qual_adj]:[range_adj]])</f>
        <v>0.99286579771264971</v>
      </c>
      <c r="BZ1150" s="7">
        <f>(Wapato_Inventory[[#This Row],[sum_land]]-IF(Wapato_Inventory[[#This Row],[no_utilities]]=1,12000,0))/IF(Wapato_Inventory[[#This Row],[unbuildable]]=1,2,1)</f>
        <v>61900</v>
      </c>
      <c r="CA1150" s="7">
        <f>Wapato_Inventory[[#This Row],[pre_res]]*Wapato_Inventory[[#This Row],[overall_adj]]</f>
        <v>170273.82243054427</v>
      </c>
      <c r="CB1150" s="3">
        <f>IF(ROUND(Wapato_Inventory[[#This Row],[adj_land]]*Lookups!$H$48,-2)&lt;Wapato_Inventory[[#This Row],[min_land]],Wapato_Inventory[[#This Row],[min_land]],ROUND(Wapato_Inventory[[#This Row],[adj_land]]*Lookups!$H$48,-2))</f>
        <v>58800</v>
      </c>
      <c r="CC1150" s="3">
        <f>IF(ROUND(Wapato_Inventory[[#This Row],[adj_res]]*Lookups!$H$48,-2)&lt;Wapato_Inventory[[#This Row],[min_res]],Wapato_Inventory[[#This Row],[min_res]],ROUND(Wapato_Inventory[[#This Row],[adj_res]]*Lookups!$H$48,-2))</f>
        <v>161800</v>
      </c>
      <c r="CD1150" s="3">
        <f>ROUND(Wapato_Inventory[[#This Row],[det_value]]*Lookups!$H$48,-2)</f>
        <v>4300</v>
      </c>
      <c r="CE1150" s="3">
        <f>Wapato_Inventory[[#This Row],[final_res]]+Wapato_Inventory[[#This Row],[final_det]]</f>
        <v>166100</v>
      </c>
      <c r="CF1150" s="3">
        <f>Wapato_Inventory[[#This Row],[crop_value]]+Wapato_Inventory[[#This Row],[final_land]]+Wapato_Inventory[[#This Row],[final_imp]]</f>
        <v>224900</v>
      </c>
      <c r="CH1150" t="str">
        <f t="shared" si="17"/>
        <v>update valuation set market_land =58800, market_bldg=166100, market_total =224900, market_mdno =405, market_date ='9/10/2023' where link_id = (select link_id from parcel where parcel_year = '2024' and parcel_id = '19111644029');</v>
      </c>
    </row>
    <row r="1151" spans="1:86" x14ac:dyDescent="0.25">
      <c r="A1151">
        <v>19112211006</v>
      </c>
      <c r="B1151">
        <v>2.73</v>
      </c>
      <c r="C1151">
        <v>118754</v>
      </c>
      <c r="D1151" t="s">
        <v>144</v>
      </c>
      <c r="E1151" t="s">
        <v>54</v>
      </c>
      <c r="F1151" t="s">
        <v>54</v>
      </c>
      <c r="G1151">
        <v>3</v>
      </c>
      <c r="H1151" t="s">
        <v>55</v>
      </c>
      <c r="I1151">
        <v>131200</v>
      </c>
      <c r="J1151">
        <v>53000</v>
      </c>
      <c r="K1151">
        <v>2.73</v>
      </c>
      <c r="L1151">
        <f>IF(Wapato_Inventory[[#This Row],[parcel_acres]]-Wapato_Inventory[[#This Row],[non_valued_acres]] =0,0,LN(Wapato_Inventory[[#This Row],[parcel_acres]]-Wapato_Inventory[[#This Row],[non_valued_acres]]))</f>
        <v>1.0043016091968684</v>
      </c>
      <c r="M1151">
        <v>0</v>
      </c>
      <c r="N1151">
        <v>0</v>
      </c>
      <c r="O1151">
        <v>0</v>
      </c>
      <c r="P1151">
        <v>27904.037</v>
      </c>
      <c r="Q1151">
        <v>74398</v>
      </c>
      <c r="R1151" s="3">
        <f>(Wapato_Inventory[[#This Row],[ln_acres]]*Wapato_Inventory[[#This Row],[coeff]])+Wapato_Inventory[[#This Row],[const]]</f>
        <v>102422.06926218896</v>
      </c>
      <c r="S1151" t="s">
        <v>66</v>
      </c>
      <c r="T1151">
        <v>1</v>
      </c>
      <c r="U1151" t="s">
        <v>71</v>
      </c>
      <c r="V1151" t="s">
        <v>68</v>
      </c>
      <c r="W1151">
        <v>0</v>
      </c>
      <c r="X1151">
        <v>0</v>
      </c>
      <c r="Y1151">
        <v>60</v>
      </c>
      <c r="Z1151">
        <v>108</v>
      </c>
      <c r="AA1151">
        <v>110</v>
      </c>
      <c r="AB1151">
        <v>1500</v>
      </c>
      <c r="AC1151">
        <v>1152</v>
      </c>
      <c r="AD1151">
        <v>1152</v>
      </c>
      <c r="AE1151">
        <v>0</v>
      </c>
      <c r="AF1151">
        <v>0</v>
      </c>
      <c r="AG1151">
        <v>0</v>
      </c>
      <c r="AH1151">
        <v>576</v>
      </c>
      <c r="AI1151">
        <v>0</v>
      </c>
      <c r="AJ1151">
        <v>0</v>
      </c>
      <c r="AK1151">
        <v>0</v>
      </c>
      <c r="AL1151">
        <v>0</v>
      </c>
      <c r="AM1151">
        <v>0</v>
      </c>
      <c r="AN1151">
        <v>168</v>
      </c>
      <c r="AO1151">
        <v>0</v>
      </c>
      <c r="AP1151">
        <v>5</v>
      </c>
      <c r="AQ1151">
        <v>1</v>
      </c>
      <c r="AR1151">
        <v>0</v>
      </c>
      <c r="AS1151" t="s">
        <v>59</v>
      </c>
      <c r="AT1151">
        <v>0</v>
      </c>
      <c r="AU1151" t="s">
        <v>80</v>
      </c>
      <c r="AV1151" t="s">
        <v>61</v>
      </c>
      <c r="AW1151">
        <v>0</v>
      </c>
      <c r="AX1151">
        <v>4</v>
      </c>
      <c r="AY1151">
        <v>0</v>
      </c>
      <c r="AZ1151">
        <v>2000</v>
      </c>
      <c r="BA1151">
        <v>100</v>
      </c>
      <c r="BB1151">
        <v>100</v>
      </c>
      <c r="BC1151">
        <v>100</v>
      </c>
      <c r="BD1151">
        <v>100</v>
      </c>
      <c r="BE1151">
        <v>1</v>
      </c>
      <c r="BF1151">
        <v>15000</v>
      </c>
      <c r="BG1151">
        <v>1000</v>
      </c>
      <c r="BH1151" s="7">
        <f>ROUND(Wapato_Inventory[[#This Row],[detatched_value]]*Lookups!$B$22*Lookups!$H$48,-2)</f>
        <v>1800</v>
      </c>
      <c r="BI1151" s="7">
        <f>ROUND(((Wapato_Inventory[[#This Row],[land_extract]]*Lookups!$B$3) +(Lookups!$B$2*0.5))*Lookups!$H$48,-2)</f>
        <v>61000</v>
      </c>
      <c r="BJ1151" s="7">
        <f>IF(Wapato_Inventory[[#This Row],[bldg_style]]="",0,Lookups!$B$2*0.5)</f>
        <v>53765.27</v>
      </c>
      <c r="BK1151" s="7">
        <f>_xlfn.IFNA(VLOOKUP(Wapato_Inventory[[#This Row],[quality]],Lookups!$H$2:$J$14,3,FALSE),0)</f>
        <v>28034</v>
      </c>
      <c r="BL1151" s="7">
        <f>_xlfn.IFNA(VLOOKUP(Wapato_Inventory[[#This Row],[condition]],Lookups!$H$17:$J$24,3,FALSE),0)</f>
        <v>52231</v>
      </c>
      <c r="BM1151" s="7">
        <f>Wapato_Inventory[[#This Row],[Age]]*Lookups!$B$16</f>
        <v>-40032.975599999998</v>
      </c>
      <c r="BN1151" s="7">
        <f>Wapato_Inventory[[#This Row],[Main Floor]]*Lookups!$B$17</f>
        <v>48154.451328000003</v>
      </c>
      <c r="BO1151" s="7">
        <f>Wapato_Inventory[[#This Row],[Upper Floor]]*Lookups!$B$18</f>
        <v>0</v>
      </c>
      <c r="BP1151" s="7">
        <f>Wapato_Inventory[[#This Row],[Fin BSMT]]*Lookups!$B$19</f>
        <v>0</v>
      </c>
      <c r="BQ1151" s="7">
        <f>(Wapato_Inventory[[#This Row],[att_gar]]+Wapato_Inventory[[#This Row],[blt_gar]])*Lookups!$B$20</f>
        <v>0</v>
      </c>
      <c r="BR1151" s="7">
        <f>Wapato_Inventory[[#This Row],[Patio]]*Lookups!$B$21</f>
        <v>0</v>
      </c>
      <c r="BS1151" s="7">
        <f>SUM(Wapato_Inventory[[#This Row],[intercept]:[patio_value]])*Wapato_Inventory[[#This Row],[res_pct]]</f>
        <v>142151.74572799998</v>
      </c>
      <c r="BT1151" s="7">
        <f>Wapato_Inventory[[#This Row],[land_value]]</f>
        <v>61000</v>
      </c>
      <c r="BU1151" s="2">
        <f>_xlfn.IFNA(VLOOKUP(Wapato_Inventory[[#This Row],[quality]],Lookups!$A$28:$C$37,3,FALSE),1)</f>
        <v>0.96265813922927435</v>
      </c>
      <c r="BV1151" s="2">
        <f>_xlfn.IFNA(VLOOKUP(Wapato_Inventory[[#This Row],[condition]],Lookups!$A$41:$C$48,3,FALSE),1)</f>
        <v>0.9832333997567807</v>
      </c>
      <c r="BW1151" s="2">
        <f>IF(Wapato_Inventory[[#This Row],[decade]]="",1,_xlfn.IFNA(VLOOKUP(Wapato_Inventory[[#This Row],[decade]],Lookups!$F$28:$H$45,3,FALSE),1))</f>
        <v>0.93664589651353292</v>
      </c>
      <c r="BX1151" s="2">
        <f>_xlfn.IFNA(VLOOKUP(Wapato_Inventory[[#This Row],[living_area_range]],Lookups!$K$28:$M$37,3,FALSE),1)</f>
        <v>1.0061411172456287</v>
      </c>
      <c r="BY1151" s="2">
        <f>AVERAGE(Wapato_Inventory[[#This Row],[qual_adj]:[range_adj]])</f>
        <v>0.97216963818630409</v>
      </c>
      <c r="BZ1151" s="7">
        <f>(Wapato_Inventory[[#This Row],[sum_land]]-IF(Wapato_Inventory[[#This Row],[no_utilities]]=1,12000,0))/IF(Wapato_Inventory[[#This Row],[unbuildable]]=1,2,1)</f>
        <v>61000</v>
      </c>
      <c r="CA1151" s="7">
        <f>Wapato_Inventory[[#This Row],[pre_res]]*Wapato_Inventory[[#This Row],[overall_adj]]</f>
        <v>138195.61121194123</v>
      </c>
      <c r="CB1151" s="3">
        <f>IF(ROUND(Wapato_Inventory[[#This Row],[adj_land]]*Lookups!$H$48,-2)&lt;Wapato_Inventory[[#This Row],[min_land]],Wapato_Inventory[[#This Row],[min_land]],ROUND(Wapato_Inventory[[#This Row],[adj_land]]*Lookups!$H$48,-2))</f>
        <v>58000</v>
      </c>
      <c r="CC1151" s="3">
        <f>IF(ROUND(Wapato_Inventory[[#This Row],[adj_res]]*Lookups!$H$48,-2)&lt;Wapato_Inventory[[#This Row],[min_res]],Wapato_Inventory[[#This Row],[min_res]],ROUND(Wapato_Inventory[[#This Row],[adj_res]]*Lookups!$H$48,-2))</f>
        <v>131300</v>
      </c>
      <c r="CD1151" s="3">
        <f>ROUND(Wapato_Inventory[[#This Row],[det_value]]*Lookups!$H$48,-2)</f>
        <v>1700</v>
      </c>
      <c r="CE1151" s="3">
        <f>Wapato_Inventory[[#This Row],[final_res]]+Wapato_Inventory[[#This Row],[final_det]]</f>
        <v>133000</v>
      </c>
      <c r="CF1151" s="3">
        <f>Wapato_Inventory[[#This Row],[crop_value]]+Wapato_Inventory[[#This Row],[final_land]]+Wapato_Inventory[[#This Row],[final_imp]]</f>
        <v>191000</v>
      </c>
      <c r="CH1151" t="str">
        <f t="shared" si="17"/>
        <v>update valuation set market_land =58000, market_bldg=133000, market_total =191000, market_mdno =405, market_date ='9/10/2023' where link_id = (select link_id from parcel where parcel_year = '2024' and parcel_id = '19112211006');</v>
      </c>
    </row>
    <row r="1152" spans="1:86" x14ac:dyDescent="0.25">
      <c r="A1152">
        <v>19112211008</v>
      </c>
      <c r="B1152">
        <v>13.75</v>
      </c>
      <c r="C1152">
        <v>43560</v>
      </c>
      <c r="D1152" t="s">
        <v>144</v>
      </c>
      <c r="E1152" t="s">
        <v>54</v>
      </c>
      <c r="F1152" t="s">
        <v>54</v>
      </c>
      <c r="G1152">
        <v>3</v>
      </c>
      <c r="H1152" t="s">
        <v>55</v>
      </c>
      <c r="I1152">
        <v>315700</v>
      </c>
      <c r="J1152">
        <v>84900</v>
      </c>
      <c r="K1152">
        <v>13.75</v>
      </c>
      <c r="L1152">
        <f>IF(Wapato_Inventory[[#This Row],[parcel_acres]]-Wapato_Inventory[[#This Row],[non_valued_acres]] =0,0,LN(Wapato_Inventory[[#This Row],[parcel_acres]]-Wapato_Inventory[[#This Row],[non_valued_acres]]))</f>
        <v>2.6210388241125804</v>
      </c>
      <c r="M1152">
        <v>0</v>
      </c>
      <c r="N1152">
        <v>0</v>
      </c>
      <c r="O1152">
        <v>0</v>
      </c>
      <c r="P1152">
        <v>27904.037</v>
      </c>
      <c r="Q1152">
        <v>74398</v>
      </c>
      <c r="R1152" s="3">
        <f>(Wapato_Inventory[[#This Row],[ln_acres]]*Wapato_Inventory[[#This Row],[coeff]])+Wapato_Inventory[[#This Row],[const]]</f>
        <v>147535.56432647392</v>
      </c>
      <c r="S1152" t="s">
        <v>56</v>
      </c>
      <c r="T1152">
        <v>2</v>
      </c>
      <c r="U1152" t="s">
        <v>63</v>
      </c>
      <c r="V1152" t="s">
        <v>68</v>
      </c>
      <c r="W1152">
        <v>0</v>
      </c>
      <c r="X1152">
        <v>0</v>
      </c>
      <c r="Y1152">
        <v>27</v>
      </c>
      <c r="Z1152">
        <v>27</v>
      </c>
      <c r="AA1152">
        <v>30</v>
      </c>
      <c r="AB1152">
        <v>4500</v>
      </c>
      <c r="AC1152">
        <v>4145</v>
      </c>
      <c r="AD1152">
        <v>1793</v>
      </c>
      <c r="AE1152">
        <v>1456</v>
      </c>
      <c r="AF1152">
        <v>896</v>
      </c>
      <c r="AG1152">
        <v>0</v>
      </c>
      <c r="AH1152">
        <v>0</v>
      </c>
      <c r="AI1152">
        <v>0</v>
      </c>
      <c r="AJ1152">
        <v>391</v>
      </c>
      <c r="AK1152">
        <v>0</v>
      </c>
      <c r="AL1152">
        <v>533</v>
      </c>
      <c r="AM1152">
        <v>470</v>
      </c>
      <c r="AN1152">
        <v>0</v>
      </c>
      <c r="AO1152">
        <v>730</v>
      </c>
      <c r="AP1152">
        <v>17</v>
      </c>
      <c r="AQ1152">
        <v>0</v>
      </c>
      <c r="AR1152">
        <v>0</v>
      </c>
      <c r="AS1152" t="s">
        <v>59</v>
      </c>
      <c r="AT1152">
        <v>1</v>
      </c>
      <c r="AU1152" t="s">
        <v>60</v>
      </c>
      <c r="AV1152" t="s">
        <v>61</v>
      </c>
      <c r="AW1152">
        <v>1</v>
      </c>
      <c r="AX1152">
        <v>5</v>
      </c>
      <c r="AY1152">
        <v>0</v>
      </c>
      <c r="AZ1152">
        <v>0</v>
      </c>
      <c r="BA1152">
        <v>100</v>
      </c>
      <c r="BB1152">
        <v>100</v>
      </c>
      <c r="BC1152">
        <v>100</v>
      </c>
      <c r="BD1152">
        <v>100</v>
      </c>
      <c r="BE1152">
        <v>1</v>
      </c>
      <c r="BF1152">
        <v>15000</v>
      </c>
      <c r="BG1152">
        <v>1000</v>
      </c>
      <c r="BH1152" s="7">
        <f>ROUND(Wapato_Inventory[[#This Row],[detatched_value]]*Lookups!$B$22*Lookups!$H$48,-2)</f>
        <v>0</v>
      </c>
      <c r="BI1152" s="7">
        <f>ROUND(((Wapato_Inventory[[#This Row],[land_extract]]*Lookups!$B$3) +(Lookups!$B$2*0.5))*Lookups!$H$48,-2)</f>
        <v>65300</v>
      </c>
      <c r="BJ1152" s="7">
        <f>IF(Wapato_Inventory[[#This Row],[bldg_style]]="",0,Lookups!$B$2*0.5)</f>
        <v>53765.27</v>
      </c>
      <c r="BK1152" s="7">
        <f>_xlfn.IFNA(VLOOKUP(Wapato_Inventory[[#This Row],[quality]],Lookups!$H$2:$J$14,3,FALSE),0)</f>
        <v>50594</v>
      </c>
      <c r="BL1152" s="7">
        <f>_xlfn.IFNA(VLOOKUP(Wapato_Inventory[[#This Row],[condition]],Lookups!$H$17:$J$24,3,FALSE),0)</f>
        <v>52231</v>
      </c>
      <c r="BM1152" s="7">
        <f>Wapato_Inventory[[#This Row],[Age]]*Lookups!$B$16</f>
        <v>-10008.243899999999</v>
      </c>
      <c r="BN1152" s="7">
        <f>Wapato_Inventory[[#This Row],[Main Floor]]*Lookups!$B$17</f>
        <v>74948.725026999993</v>
      </c>
      <c r="BO1152" s="7">
        <f>Wapato_Inventory[[#This Row],[Upper Floor]]*Lookups!$B$18</f>
        <v>72219.258384000001</v>
      </c>
      <c r="BP1152" s="7">
        <f>Wapato_Inventory[[#This Row],[Fin BSMT]]*Lookups!$B$19</f>
        <v>0</v>
      </c>
      <c r="BQ1152" s="7">
        <f>(Wapato_Inventory[[#This Row],[att_gar]]+Wapato_Inventory[[#This Row],[blt_gar]])*Lookups!$B$20</f>
        <v>14470.422032</v>
      </c>
      <c r="BR1152" s="7">
        <f>Wapato_Inventory[[#This Row],[Patio]]*Lookups!$B$21</f>
        <v>20362.270130000001</v>
      </c>
      <c r="BS1152" s="7">
        <f>SUM(Wapato_Inventory[[#This Row],[intercept]:[patio_value]])*Wapato_Inventory[[#This Row],[res_pct]]</f>
        <v>328582.70167299995</v>
      </c>
      <c r="BT1152" s="7">
        <f>Wapato_Inventory[[#This Row],[land_value]]</f>
        <v>65300</v>
      </c>
      <c r="BU1152" s="2">
        <f>_xlfn.IFNA(VLOOKUP(Wapato_Inventory[[#This Row],[quality]],Lookups!$A$28:$C$37,3,FALSE),1)</f>
        <v>0.99197423394367223</v>
      </c>
      <c r="BV1152" s="2">
        <f>_xlfn.IFNA(VLOOKUP(Wapato_Inventory[[#This Row],[condition]],Lookups!$A$41:$C$48,3,FALSE),1)</f>
        <v>0.9832333997567807</v>
      </c>
      <c r="BW1152" s="2">
        <f>IF(Wapato_Inventory[[#This Row],[decade]]="",1,_xlfn.IFNA(VLOOKUP(Wapato_Inventory[[#This Row],[decade]],Lookups!$F$28:$H$45,3,FALSE),1))</f>
        <v>1.0490505496896987</v>
      </c>
      <c r="BX1152" s="2">
        <f>_xlfn.IFNA(VLOOKUP(Wapato_Inventory[[#This Row],[living_area_range]],Lookups!$K$28:$M$37,3,FALSE),1)</f>
        <v>1.0155869662067822</v>
      </c>
      <c r="BY1152" s="2">
        <f>AVERAGE(Wapato_Inventory[[#This Row],[qual_adj]:[range_adj]])</f>
        <v>1.0099612873992334</v>
      </c>
      <c r="BZ1152" s="7">
        <f>(Wapato_Inventory[[#This Row],[sum_land]]-IF(Wapato_Inventory[[#This Row],[no_utilities]]=1,12000,0))/IF(Wapato_Inventory[[#This Row],[unbuildable]]=1,2,1)</f>
        <v>65300</v>
      </c>
      <c r="CA1152" s="7">
        <f>Wapato_Inventory[[#This Row],[pre_res]]*Wapato_Inventory[[#This Row],[overall_adj]]</f>
        <v>331855.80839878129</v>
      </c>
      <c r="CB1152" s="3">
        <f>IF(ROUND(Wapato_Inventory[[#This Row],[adj_land]]*Lookups!$H$48,-2)&lt;Wapato_Inventory[[#This Row],[min_land]],Wapato_Inventory[[#This Row],[min_land]],ROUND(Wapato_Inventory[[#This Row],[adj_land]]*Lookups!$H$48,-2))</f>
        <v>62000</v>
      </c>
      <c r="CC1152" s="3">
        <f>IF(ROUND(Wapato_Inventory[[#This Row],[adj_res]]*Lookups!$H$48,-2)&lt;Wapato_Inventory[[#This Row],[min_res]],Wapato_Inventory[[#This Row],[min_res]],ROUND(Wapato_Inventory[[#This Row],[adj_res]]*Lookups!$H$48,-2))</f>
        <v>315300</v>
      </c>
      <c r="CD1152" s="3">
        <f>ROUND(Wapato_Inventory[[#This Row],[det_value]]*Lookups!$H$48,-2)</f>
        <v>0</v>
      </c>
      <c r="CE1152" s="3">
        <f>Wapato_Inventory[[#This Row],[final_res]]+Wapato_Inventory[[#This Row],[final_det]]</f>
        <v>315300</v>
      </c>
      <c r="CF1152" s="3">
        <f>Wapato_Inventory[[#This Row],[crop_value]]+Wapato_Inventory[[#This Row],[final_land]]+Wapato_Inventory[[#This Row],[final_imp]]</f>
        <v>377300</v>
      </c>
      <c r="CH1152" t="str">
        <f t="shared" si="17"/>
        <v>update valuation set market_land =62000, market_bldg=315300, market_total =377300, market_mdno =405, market_date ='9/10/2023' where link_id = (select link_id from parcel where parcel_year = '2024' and parcel_id = '19112211008');</v>
      </c>
    </row>
    <row r="1153" spans="1:86" x14ac:dyDescent="0.25">
      <c r="A1153">
        <v>19112211400</v>
      </c>
      <c r="B1153">
        <v>0.21</v>
      </c>
      <c r="C1153">
        <v>8960</v>
      </c>
      <c r="D1153" t="s">
        <v>144</v>
      </c>
      <c r="E1153" t="s">
        <v>54</v>
      </c>
      <c r="F1153" t="s">
        <v>54</v>
      </c>
      <c r="G1153">
        <v>3</v>
      </c>
      <c r="H1153" t="s">
        <v>55</v>
      </c>
      <c r="I1153">
        <v>107300</v>
      </c>
      <c r="J1153">
        <v>34800</v>
      </c>
      <c r="K1153">
        <v>0.21</v>
      </c>
      <c r="L1153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53">
        <v>0</v>
      </c>
      <c r="N1153">
        <v>0</v>
      </c>
      <c r="O1153">
        <v>0</v>
      </c>
      <c r="P1153">
        <v>27904.037</v>
      </c>
      <c r="Q1153">
        <v>74398</v>
      </c>
      <c r="R1153" s="3">
        <f>(Wapato_Inventory[[#This Row],[ln_acres]]*Wapato_Inventory[[#This Row],[coeff]])+Wapato_Inventory[[#This Row],[const]]</f>
        <v>30849.627488456012</v>
      </c>
      <c r="S1153" t="s">
        <v>66</v>
      </c>
      <c r="T1153">
        <v>1</v>
      </c>
      <c r="U1153" t="s">
        <v>71</v>
      </c>
      <c r="V1153" t="s">
        <v>68</v>
      </c>
      <c r="W1153">
        <v>0</v>
      </c>
      <c r="X1153">
        <v>0</v>
      </c>
      <c r="Y1153">
        <v>51</v>
      </c>
      <c r="Z1153">
        <v>83</v>
      </c>
      <c r="AA1153">
        <v>90</v>
      </c>
      <c r="AB1153">
        <v>1000</v>
      </c>
      <c r="AC1153">
        <v>920</v>
      </c>
      <c r="AD1153">
        <v>920</v>
      </c>
      <c r="AE1153">
        <v>0</v>
      </c>
      <c r="AF1153">
        <v>0</v>
      </c>
      <c r="AG1153">
        <v>0</v>
      </c>
      <c r="AH1153">
        <v>144</v>
      </c>
      <c r="AI1153">
        <v>0</v>
      </c>
      <c r="AJ1153">
        <v>0</v>
      </c>
      <c r="AK1153">
        <v>285</v>
      </c>
      <c r="AL1153">
        <v>0</v>
      </c>
      <c r="AM1153">
        <v>165</v>
      </c>
      <c r="AN1153">
        <v>52</v>
      </c>
      <c r="AO1153">
        <v>0</v>
      </c>
      <c r="AP1153">
        <v>5</v>
      </c>
      <c r="AQ1153">
        <v>0</v>
      </c>
      <c r="AR1153">
        <v>0</v>
      </c>
      <c r="AS1153" t="s">
        <v>59</v>
      </c>
      <c r="AT1153">
        <v>0</v>
      </c>
      <c r="AU1153" t="s">
        <v>80</v>
      </c>
      <c r="AV1153" t="s">
        <v>77</v>
      </c>
      <c r="AW1153">
        <v>0</v>
      </c>
      <c r="AX1153">
        <v>2</v>
      </c>
      <c r="AY1153">
        <v>0</v>
      </c>
      <c r="AZ1153">
        <v>0</v>
      </c>
      <c r="BA1153">
        <v>100</v>
      </c>
      <c r="BB1153">
        <v>100</v>
      </c>
      <c r="BC1153">
        <v>100</v>
      </c>
      <c r="BD1153">
        <v>100</v>
      </c>
      <c r="BE1153">
        <v>1</v>
      </c>
      <c r="BF1153">
        <v>15000</v>
      </c>
      <c r="BG1153">
        <v>1000</v>
      </c>
      <c r="BH1153" s="7">
        <f>ROUND(Wapato_Inventory[[#This Row],[detatched_value]]*Lookups!$B$22*Lookups!$H$48,-2)</f>
        <v>0</v>
      </c>
      <c r="BI1153" s="7">
        <f>ROUND(((Wapato_Inventory[[#This Row],[land_extract]]*Lookups!$B$3) +(Lookups!$B$2*0.5))*Lookups!$H$48,-2)</f>
        <v>54100</v>
      </c>
      <c r="BJ1153" s="7">
        <f>IF(Wapato_Inventory[[#This Row],[bldg_style]]="",0,Lookups!$B$2*0.5)</f>
        <v>53765.27</v>
      </c>
      <c r="BK1153" s="7">
        <f>_xlfn.IFNA(VLOOKUP(Wapato_Inventory[[#This Row],[quality]],Lookups!$H$2:$J$14,3,FALSE),0)</f>
        <v>28034</v>
      </c>
      <c r="BL1153" s="7">
        <f>_xlfn.IFNA(VLOOKUP(Wapato_Inventory[[#This Row],[condition]],Lookups!$H$17:$J$24,3,FALSE),0)</f>
        <v>52231</v>
      </c>
      <c r="BM1153" s="7">
        <f>Wapato_Inventory[[#This Row],[Age]]*Lookups!$B$16</f>
        <v>-30766.0831</v>
      </c>
      <c r="BN1153" s="7">
        <f>Wapato_Inventory[[#This Row],[Main Floor]]*Lookups!$B$17</f>
        <v>38456.679880000003</v>
      </c>
      <c r="BO1153" s="7">
        <f>Wapato_Inventory[[#This Row],[Upper Floor]]*Lookups!$B$18</f>
        <v>0</v>
      </c>
      <c r="BP1153" s="7">
        <f>Wapato_Inventory[[#This Row],[Fin BSMT]]*Lookups!$B$19</f>
        <v>0</v>
      </c>
      <c r="BQ1153" s="7">
        <f>(Wapato_Inventory[[#This Row],[att_gar]]+Wapato_Inventory[[#This Row],[blt_gar]])*Lookups!$B$20</f>
        <v>0</v>
      </c>
      <c r="BR1153" s="7">
        <f>Wapato_Inventory[[#This Row],[Patio]]*Lookups!$B$21</f>
        <v>7148.4565350000003</v>
      </c>
      <c r="BS1153" s="7">
        <f>SUM(Wapato_Inventory[[#This Row],[intercept]:[patio_value]])*Wapato_Inventory[[#This Row],[res_pct]]</f>
        <v>148869.32331499999</v>
      </c>
      <c r="BT1153" s="7">
        <f>Wapato_Inventory[[#This Row],[land_value]]</f>
        <v>54100</v>
      </c>
      <c r="BU1153" s="2">
        <f>_xlfn.IFNA(VLOOKUP(Wapato_Inventory[[#This Row],[quality]],Lookups!$A$28:$C$37,3,FALSE),1)</f>
        <v>0.96265813922927435</v>
      </c>
      <c r="BV1153" s="2">
        <f>_xlfn.IFNA(VLOOKUP(Wapato_Inventory[[#This Row],[condition]],Lookups!$A$41:$C$48,3,FALSE),1)</f>
        <v>0.9832333997567807</v>
      </c>
      <c r="BW1153" s="2">
        <f>IF(Wapato_Inventory[[#This Row],[decade]]="",1,_xlfn.IFNA(VLOOKUP(Wapato_Inventory[[#This Row],[decade]],Lookups!$F$28:$H$45,3,FALSE),1))</f>
        <v>0.94742695999815718</v>
      </c>
      <c r="BX1153" s="2">
        <f>_xlfn.IFNA(VLOOKUP(Wapato_Inventory[[#This Row],[living_area_range]],Lookups!$K$28:$M$37,3,FALSE),1)</f>
        <v>0.99022994770196116</v>
      </c>
      <c r="BY1153" s="2">
        <f>AVERAGE(Wapato_Inventory[[#This Row],[qual_adj]:[range_adj]])</f>
        <v>0.97088711167154329</v>
      </c>
      <c r="BZ1153" s="7">
        <f>(Wapato_Inventory[[#This Row],[sum_land]]-IF(Wapato_Inventory[[#This Row],[no_utilities]]=1,12000,0))/IF(Wapato_Inventory[[#This Row],[unbuildable]]=1,2,1)</f>
        <v>54100</v>
      </c>
      <c r="CA1153" s="7">
        <f>Wapato_Inventory[[#This Row],[pre_res]]*Wapato_Inventory[[#This Row],[overall_adj]]</f>
        <v>144535.30732979748</v>
      </c>
      <c r="CB1153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53" s="3">
        <f>IF(ROUND(Wapato_Inventory[[#This Row],[adj_res]]*Lookups!$H$48,-2)&lt;Wapato_Inventory[[#This Row],[min_res]],Wapato_Inventory[[#This Row],[min_res]],ROUND(Wapato_Inventory[[#This Row],[adj_res]]*Lookups!$H$48,-2))</f>
        <v>137300</v>
      </c>
      <c r="CD1153" s="3">
        <f>ROUND(Wapato_Inventory[[#This Row],[det_value]]*Lookups!$H$48,-2)</f>
        <v>0</v>
      </c>
      <c r="CE1153" s="3">
        <f>Wapato_Inventory[[#This Row],[final_res]]+Wapato_Inventory[[#This Row],[final_det]]</f>
        <v>137300</v>
      </c>
      <c r="CF1153" s="3">
        <f>Wapato_Inventory[[#This Row],[crop_value]]+Wapato_Inventory[[#This Row],[final_land]]+Wapato_Inventory[[#This Row],[final_imp]]</f>
        <v>188700</v>
      </c>
      <c r="CH1153" t="str">
        <f t="shared" si="17"/>
        <v>update valuation set market_land =51400, market_bldg=137300, market_total =188700, market_mdno =405, market_date ='9/10/2023' where link_id = (select link_id from parcel where parcel_year = '2024' and parcel_id = '19112211400');</v>
      </c>
    </row>
    <row r="1154" spans="1:86" x14ac:dyDescent="0.25">
      <c r="A1154">
        <v>19112211403</v>
      </c>
      <c r="B1154">
        <v>0.42</v>
      </c>
      <c r="C1154">
        <v>18431</v>
      </c>
      <c r="D1154" t="s">
        <v>144</v>
      </c>
      <c r="E1154" t="s">
        <v>54</v>
      </c>
      <c r="F1154" t="s">
        <v>54</v>
      </c>
      <c r="G1154">
        <v>3</v>
      </c>
      <c r="H1154" t="s">
        <v>55</v>
      </c>
      <c r="I1154">
        <v>94700</v>
      </c>
      <c r="J1154">
        <v>39700</v>
      </c>
      <c r="K1154">
        <v>0.42</v>
      </c>
      <c r="L1154">
        <f>IF(Wapato_Inventory[[#This Row],[parcel_acres]]-Wapato_Inventory[[#This Row],[non_valued_acres]] =0,0,LN(Wapato_Inventory[[#This Row],[parcel_acres]]-Wapato_Inventory[[#This Row],[non_valued_acres]]))</f>
        <v>-0.86750056770472306</v>
      </c>
      <c r="M1154">
        <v>0</v>
      </c>
      <c r="N1154">
        <v>0</v>
      </c>
      <c r="O1154">
        <v>0</v>
      </c>
      <c r="P1154">
        <v>27904.037</v>
      </c>
      <c r="Q1154">
        <v>74398</v>
      </c>
      <c r="R1154" s="3">
        <f>(Wapato_Inventory[[#This Row],[ln_acres]]*Wapato_Inventory[[#This Row],[coeff]])+Wapato_Inventory[[#This Row],[const]]</f>
        <v>50191.232061246403</v>
      </c>
      <c r="S1154" t="s">
        <v>66</v>
      </c>
      <c r="T1154">
        <v>1</v>
      </c>
      <c r="U1154" t="s">
        <v>71</v>
      </c>
      <c r="V1154" t="s">
        <v>73</v>
      </c>
      <c r="W1154">
        <v>0</v>
      </c>
      <c r="X1154">
        <v>0</v>
      </c>
      <c r="Y1154">
        <v>57</v>
      </c>
      <c r="Z1154">
        <v>103</v>
      </c>
      <c r="AA1154">
        <v>110</v>
      </c>
      <c r="AB1154">
        <v>1500</v>
      </c>
      <c r="AC1154">
        <v>1184</v>
      </c>
      <c r="AD1154">
        <v>1184</v>
      </c>
      <c r="AE1154">
        <v>0</v>
      </c>
      <c r="AF1154">
        <v>0</v>
      </c>
      <c r="AG1154">
        <v>0</v>
      </c>
      <c r="AH1154">
        <v>592</v>
      </c>
      <c r="AI1154">
        <v>0</v>
      </c>
      <c r="AJ1154">
        <v>0</v>
      </c>
      <c r="AK1154">
        <v>0</v>
      </c>
      <c r="AL1154">
        <v>0</v>
      </c>
      <c r="AM1154">
        <v>516</v>
      </c>
      <c r="AN1154">
        <v>128</v>
      </c>
      <c r="AO1154">
        <v>516</v>
      </c>
      <c r="AP1154">
        <v>5</v>
      </c>
      <c r="AQ1154">
        <v>1</v>
      </c>
      <c r="AR1154">
        <v>0</v>
      </c>
      <c r="AS1154" t="s">
        <v>59</v>
      </c>
      <c r="AT1154">
        <v>1</v>
      </c>
      <c r="AU1154" t="s">
        <v>72</v>
      </c>
      <c r="AV1154" t="s">
        <v>61</v>
      </c>
      <c r="AW1154">
        <v>0</v>
      </c>
      <c r="AX1154">
        <v>2</v>
      </c>
      <c r="AY1154">
        <v>0</v>
      </c>
      <c r="AZ1154">
        <v>4100</v>
      </c>
      <c r="BA1154">
        <v>100</v>
      </c>
      <c r="BB1154">
        <v>100</v>
      </c>
      <c r="BC1154">
        <v>100</v>
      </c>
      <c r="BD1154">
        <v>100</v>
      </c>
      <c r="BE1154">
        <v>1</v>
      </c>
      <c r="BF1154">
        <v>15000</v>
      </c>
      <c r="BG1154">
        <v>1000</v>
      </c>
      <c r="BH1154" s="7">
        <f>ROUND(Wapato_Inventory[[#This Row],[detatched_value]]*Lookups!$B$22*Lookups!$H$48,-2)</f>
        <v>3700</v>
      </c>
      <c r="BI1154" s="7">
        <f>ROUND(((Wapato_Inventory[[#This Row],[land_extract]]*Lookups!$B$3) +(Lookups!$B$2*0.5))*Lookups!$H$48,-2)</f>
        <v>55900</v>
      </c>
      <c r="BJ1154" s="7">
        <f>IF(Wapato_Inventory[[#This Row],[bldg_style]]="",0,Lookups!$B$2*0.5)</f>
        <v>53765.27</v>
      </c>
      <c r="BK1154" s="7">
        <f>_xlfn.IFNA(VLOOKUP(Wapato_Inventory[[#This Row],[quality]],Lookups!$H$2:$J$14,3,FALSE),0)</f>
        <v>28034</v>
      </c>
      <c r="BL1154" s="7">
        <f>_xlfn.IFNA(VLOOKUP(Wapato_Inventory[[#This Row],[condition]],Lookups!$H$17:$J$24,3,FALSE),0)</f>
        <v>16276</v>
      </c>
      <c r="BM1154" s="7">
        <f>Wapato_Inventory[[#This Row],[Age]]*Lookups!$B$16</f>
        <v>-38179.597099999999</v>
      </c>
      <c r="BN1154" s="7">
        <f>Wapato_Inventory[[#This Row],[Main Floor]]*Lookups!$B$17</f>
        <v>49492.074976000004</v>
      </c>
      <c r="BO1154" s="7">
        <f>Wapato_Inventory[[#This Row],[Upper Floor]]*Lookups!$B$18</f>
        <v>0</v>
      </c>
      <c r="BP1154" s="7">
        <f>Wapato_Inventory[[#This Row],[Fin BSMT]]*Lookups!$B$19</f>
        <v>0</v>
      </c>
      <c r="BQ1154" s="7">
        <f>(Wapato_Inventory[[#This Row],[att_gar]]+Wapato_Inventory[[#This Row],[blt_gar]])*Lookups!$B$20</f>
        <v>0</v>
      </c>
      <c r="BR1154" s="7">
        <f>Wapato_Inventory[[#This Row],[Patio]]*Lookups!$B$21</f>
        <v>22355.173164</v>
      </c>
      <c r="BS1154" s="7">
        <f>SUM(Wapato_Inventory[[#This Row],[intercept]:[patio_value]])*Wapato_Inventory[[#This Row],[res_pct]]</f>
        <v>131742.92103999999</v>
      </c>
      <c r="BT1154" s="7">
        <f>Wapato_Inventory[[#This Row],[land_value]]</f>
        <v>55900</v>
      </c>
      <c r="BU1154" s="2">
        <f>_xlfn.IFNA(VLOOKUP(Wapato_Inventory[[#This Row],[quality]],Lookups!$A$28:$C$37,3,FALSE),1)</f>
        <v>0.96265813922927435</v>
      </c>
      <c r="BV1154" s="2">
        <f>_xlfn.IFNA(VLOOKUP(Wapato_Inventory[[#This Row],[condition]],Lookups!$A$41:$C$48,3,FALSE),1)</f>
        <v>0.93399385491337139</v>
      </c>
      <c r="BW1154" s="2">
        <f>IF(Wapato_Inventory[[#This Row],[decade]]="",1,_xlfn.IFNA(VLOOKUP(Wapato_Inventory[[#This Row],[decade]],Lookups!$F$28:$H$45,3,FALSE),1))</f>
        <v>0.93664589651353292</v>
      </c>
      <c r="BX1154" s="2">
        <f>_xlfn.IFNA(VLOOKUP(Wapato_Inventory[[#This Row],[living_area_range]],Lookups!$K$28:$M$37,3,FALSE),1)</f>
        <v>1.0061411172456287</v>
      </c>
      <c r="BY1154" s="2">
        <f>AVERAGE(Wapato_Inventory[[#This Row],[qual_adj]:[range_adj]])</f>
        <v>0.95985975197545192</v>
      </c>
      <c r="BZ1154" s="7">
        <f>(Wapato_Inventory[[#This Row],[sum_land]]-IF(Wapato_Inventory[[#This Row],[no_utilities]]=1,12000,0))/IF(Wapato_Inventory[[#This Row],[unbuildable]]=1,2,1)</f>
        <v>55900</v>
      </c>
      <c r="CA1154" s="7">
        <f>Wapato_Inventory[[#This Row],[pre_res]]*Wapato_Inventory[[#This Row],[overall_adj]]</f>
        <v>126454.72751397593</v>
      </c>
      <c r="CB1154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54" s="3">
        <f>IF(ROUND(Wapato_Inventory[[#This Row],[adj_res]]*Lookups!$H$48,-2)&lt;Wapato_Inventory[[#This Row],[min_res]],Wapato_Inventory[[#This Row],[min_res]],ROUND(Wapato_Inventory[[#This Row],[adj_res]]*Lookups!$H$48,-2))</f>
        <v>120100</v>
      </c>
      <c r="CD1154" s="3">
        <f>ROUND(Wapato_Inventory[[#This Row],[det_value]]*Lookups!$H$48,-2)</f>
        <v>3500</v>
      </c>
      <c r="CE1154" s="3">
        <f>Wapato_Inventory[[#This Row],[final_res]]+Wapato_Inventory[[#This Row],[final_det]]</f>
        <v>123600</v>
      </c>
      <c r="CF1154" s="3">
        <f>Wapato_Inventory[[#This Row],[crop_value]]+Wapato_Inventory[[#This Row],[final_land]]+Wapato_Inventory[[#This Row],[final_imp]]</f>
        <v>176700</v>
      </c>
      <c r="CH1154" t="str">
        <f t="shared" ref="CH1154:CH1217" si="18">"update valuation set market_land ="&amp;CB1154&amp;", market_bldg="&amp;CE1154&amp;", market_total ="&amp;CF1154&amp;", market_mdno ="&amp;$CH$1&amp;", market_date ='"&amp;TEXT($CI$1,"m/d/yyyy")&amp;"' where link_id = (select link_id from parcel where parcel_year = '2024' and parcel_id = '"&amp;A1154&amp;"');"</f>
        <v>update valuation set market_land =53100, market_bldg=123600, market_total =176700, market_mdno =405, market_date ='9/10/2023' where link_id = (select link_id from parcel where parcel_year = '2024' and parcel_id = '19112211403');</v>
      </c>
    </row>
    <row r="1155" spans="1:86" x14ac:dyDescent="0.25">
      <c r="A1155">
        <v>19112211405</v>
      </c>
      <c r="B1155">
        <v>0.21</v>
      </c>
      <c r="C1155">
        <v>8960</v>
      </c>
      <c r="D1155" t="s">
        <v>144</v>
      </c>
      <c r="E1155" t="s">
        <v>54</v>
      </c>
      <c r="F1155" t="s">
        <v>54</v>
      </c>
      <c r="G1155">
        <v>3</v>
      </c>
      <c r="H1155" t="s">
        <v>55</v>
      </c>
      <c r="I1155">
        <v>122600</v>
      </c>
      <c r="J1155">
        <v>34800</v>
      </c>
      <c r="K1155">
        <v>0.21</v>
      </c>
      <c r="L1155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55">
        <v>0</v>
      </c>
      <c r="N1155">
        <v>0</v>
      </c>
      <c r="O1155">
        <v>0</v>
      </c>
      <c r="P1155">
        <v>27904.037</v>
      </c>
      <c r="Q1155">
        <v>74398</v>
      </c>
      <c r="R1155" s="3">
        <f>(Wapato_Inventory[[#This Row],[ln_acres]]*Wapato_Inventory[[#This Row],[coeff]])+Wapato_Inventory[[#This Row],[const]]</f>
        <v>30849.627488456012</v>
      </c>
      <c r="S1155" t="s">
        <v>66</v>
      </c>
      <c r="T1155">
        <v>1</v>
      </c>
      <c r="U1155" t="s">
        <v>71</v>
      </c>
      <c r="V1155" t="s">
        <v>68</v>
      </c>
      <c r="W1155">
        <v>0</v>
      </c>
      <c r="X1155">
        <v>0</v>
      </c>
      <c r="Y1155">
        <v>57</v>
      </c>
      <c r="Z1155">
        <v>103</v>
      </c>
      <c r="AA1155">
        <v>110</v>
      </c>
      <c r="AB1155">
        <v>1500</v>
      </c>
      <c r="AC1155">
        <v>1240</v>
      </c>
      <c r="AD1155">
        <v>1240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0</v>
      </c>
      <c r="AN1155">
        <v>0</v>
      </c>
      <c r="AO1155">
        <v>0</v>
      </c>
      <c r="AP1155">
        <v>8</v>
      </c>
      <c r="AQ1155">
        <v>1</v>
      </c>
      <c r="AR1155">
        <v>0</v>
      </c>
      <c r="AS1155" t="s">
        <v>59</v>
      </c>
      <c r="AT1155">
        <v>0</v>
      </c>
      <c r="AU1155" t="s">
        <v>80</v>
      </c>
      <c r="AV1155" t="s">
        <v>77</v>
      </c>
      <c r="AW1155">
        <v>0</v>
      </c>
      <c r="AX1155">
        <v>3</v>
      </c>
      <c r="AY1155">
        <v>0</v>
      </c>
      <c r="AZ1155">
        <v>0</v>
      </c>
      <c r="BA1155">
        <v>100</v>
      </c>
      <c r="BB1155">
        <v>100</v>
      </c>
      <c r="BC1155">
        <v>100</v>
      </c>
      <c r="BD1155">
        <v>100</v>
      </c>
      <c r="BE1155">
        <v>1</v>
      </c>
      <c r="BF1155">
        <v>15000</v>
      </c>
      <c r="BG1155">
        <v>1000</v>
      </c>
      <c r="BH1155" s="7">
        <f>ROUND(Wapato_Inventory[[#This Row],[detatched_value]]*Lookups!$B$22*Lookups!$H$48,-2)</f>
        <v>0</v>
      </c>
      <c r="BI1155" s="7">
        <f>ROUND(((Wapato_Inventory[[#This Row],[land_extract]]*Lookups!$B$3) +(Lookups!$B$2*0.5))*Lookups!$H$48,-2)</f>
        <v>54100</v>
      </c>
      <c r="BJ1155" s="7">
        <f>IF(Wapato_Inventory[[#This Row],[bldg_style]]="",0,Lookups!$B$2*0.5)</f>
        <v>53765.27</v>
      </c>
      <c r="BK1155" s="7">
        <f>_xlfn.IFNA(VLOOKUP(Wapato_Inventory[[#This Row],[quality]],Lookups!$H$2:$J$14,3,FALSE),0)</f>
        <v>28034</v>
      </c>
      <c r="BL1155" s="7">
        <f>_xlfn.IFNA(VLOOKUP(Wapato_Inventory[[#This Row],[condition]],Lookups!$H$17:$J$24,3,FALSE),0)</f>
        <v>52231</v>
      </c>
      <c r="BM1155" s="7">
        <f>Wapato_Inventory[[#This Row],[Age]]*Lookups!$B$16</f>
        <v>-38179.597099999999</v>
      </c>
      <c r="BN1155" s="7">
        <f>Wapato_Inventory[[#This Row],[Main Floor]]*Lookups!$B$17</f>
        <v>51832.916360000003</v>
      </c>
      <c r="BO1155" s="7">
        <f>Wapato_Inventory[[#This Row],[Upper Floor]]*Lookups!$B$18</f>
        <v>0</v>
      </c>
      <c r="BP1155" s="7">
        <f>Wapato_Inventory[[#This Row],[Fin BSMT]]*Lookups!$B$19</f>
        <v>0</v>
      </c>
      <c r="BQ1155" s="7">
        <f>(Wapato_Inventory[[#This Row],[att_gar]]+Wapato_Inventory[[#This Row],[blt_gar]])*Lookups!$B$20</f>
        <v>0</v>
      </c>
      <c r="BR1155" s="7">
        <f>Wapato_Inventory[[#This Row],[Patio]]*Lookups!$B$21</f>
        <v>0</v>
      </c>
      <c r="BS1155" s="7">
        <f>SUM(Wapato_Inventory[[#This Row],[intercept]:[patio_value]])*Wapato_Inventory[[#This Row],[res_pct]]</f>
        <v>147683.58925999998</v>
      </c>
      <c r="BT1155" s="7">
        <f>Wapato_Inventory[[#This Row],[land_value]]</f>
        <v>54100</v>
      </c>
      <c r="BU1155" s="2">
        <f>_xlfn.IFNA(VLOOKUP(Wapato_Inventory[[#This Row],[quality]],Lookups!$A$28:$C$37,3,FALSE),1)</f>
        <v>0.96265813922927435</v>
      </c>
      <c r="BV1155" s="2">
        <f>_xlfn.IFNA(VLOOKUP(Wapato_Inventory[[#This Row],[condition]],Lookups!$A$41:$C$48,3,FALSE),1)</f>
        <v>0.9832333997567807</v>
      </c>
      <c r="BW1155" s="2">
        <f>IF(Wapato_Inventory[[#This Row],[decade]]="",1,_xlfn.IFNA(VLOOKUP(Wapato_Inventory[[#This Row],[decade]],Lookups!$F$28:$H$45,3,FALSE),1))</f>
        <v>0.93664589651353292</v>
      </c>
      <c r="BX1155" s="2">
        <f>_xlfn.IFNA(VLOOKUP(Wapato_Inventory[[#This Row],[living_area_range]],Lookups!$K$28:$M$37,3,FALSE),1)</f>
        <v>1.0061411172456287</v>
      </c>
      <c r="BY1155" s="2">
        <f>AVERAGE(Wapato_Inventory[[#This Row],[qual_adj]:[range_adj]])</f>
        <v>0.97216963818630409</v>
      </c>
      <c r="BZ1155" s="7">
        <f>(Wapato_Inventory[[#This Row],[sum_land]]-IF(Wapato_Inventory[[#This Row],[no_utilities]]=1,12000,0))/IF(Wapato_Inventory[[#This Row],[unbuildable]]=1,2,1)</f>
        <v>54100</v>
      </c>
      <c r="CA1155" s="7">
        <f>Wapato_Inventory[[#This Row],[pre_res]]*Wapato_Inventory[[#This Row],[overall_adj]]</f>
        <v>143573.50153694893</v>
      </c>
      <c r="CB1155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55" s="3">
        <f>IF(ROUND(Wapato_Inventory[[#This Row],[adj_res]]*Lookups!$H$48,-2)&lt;Wapato_Inventory[[#This Row],[min_res]],Wapato_Inventory[[#This Row],[min_res]],ROUND(Wapato_Inventory[[#This Row],[adj_res]]*Lookups!$H$48,-2))</f>
        <v>136400</v>
      </c>
      <c r="CD1155" s="3">
        <f>ROUND(Wapato_Inventory[[#This Row],[det_value]]*Lookups!$H$48,-2)</f>
        <v>0</v>
      </c>
      <c r="CE1155" s="3">
        <f>Wapato_Inventory[[#This Row],[final_res]]+Wapato_Inventory[[#This Row],[final_det]]</f>
        <v>136400</v>
      </c>
      <c r="CF1155" s="3">
        <f>Wapato_Inventory[[#This Row],[crop_value]]+Wapato_Inventory[[#This Row],[final_land]]+Wapato_Inventory[[#This Row],[final_imp]]</f>
        <v>187800</v>
      </c>
      <c r="CH1155" t="str">
        <f t="shared" si="18"/>
        <v>update valuation set market_land =51400, market_bldg=136400, market_total =187800, market_mdno =405, market_date ='9/10/2023' where link_id = (select link_id from parcel where parcel_year = '2024' and parcel_id = '19112211405');</v>
      </c>
    </row>
    <row r="1156" spans="1:86" x14ac:dyDescent="0.25">
      <c r="A1156">
        <v>19112211406</v>
      </c>
      <c r="B1156">
        <v>0.21</v>
      </c>
      <c r="C1156">
        <v>8960</v>
      </c>
      <c r="D1156" t="s">
        <v>144</v>
      </c>
      <c r="E1156" t="s">
        <v>54</v>
      </c>
      <c r="F1156" t="s">
        <v>54</v>
      </c>
      <c r="G1156">
        <v>3</v>
      </c>
      <c r="H1156" t="s">
        <v>55</v>
      </c>
      <c r="I1156">
        <v>87000</v>
      </c>
      <c r="J1156">
        <v>34800</v>
      </c>
      <c r="K1156">
        <v>0.21</v>
      </c>
      <c r="L1156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56">
        <v>0</v>
      </c>
      <c r="N1156">
        <v>0</v>
      </c>
      <c r="O1156">
        <v>0</v>
      </c>
      <c r="P1156">
        <v>27904.037</v>
      </c>
      <c r="Q1156">
        <v>74398</v>
      </c>
      <c r="R1156" s="3">
        <f>(Wapato_Inventory[[#This Row],[ln_acres]]*Wapato_Inventory[[#This Row],[coeff]])+Wapato_Inventory[[#This Row],[const]]</f>
        <v>30849.627488456012</v>
      </c>
      <c r="S1156" t="s">
        <v>66</v>
      </c>
      <c r="T1156">
        <v>1</v>
      </c>
      <c r="U1156" t="s">
        <v>71</v>
      </c>
      <c r="V1156" t="s">
        <v>73</v>
      </c>
      <c r="W1156">
        <v>0</v>
      </c>
      <c r="X1156">
        <v>0</v>
      </c>
      <c r="Y1156">
        <v>51</v>
      </c>
      <c r="Z1156">
        <v>78</v>
      </c>
      <c r="AA1156">
        <v>80</v>
      </c>
      <c r="AB1156">
        <v>1500</v>
      </c>
      <c r="AC1156">
        <v>1096</v>
      </c>
      <c r="AD1156">
        <v>1096</v>
      </c>
      <c r="AE1156">
        <v>0</v>
      </c>
      <c r="AF1156">
        <v>0</v>
      </c>
      <c r="AG1156">
        <v>0</v>
      </c>
      <c r="AH1156">
        <v>0</v>
      </c>
      <c r="AI1156">
        <v>216</v>
      </c>
      <c r="AJ1156">
        <v>0</v>
      </c>
      <c r="AK1156">
        <v>0</v>
      </c>
      <c r="AL1156">
        <v>0</v>
      </c>
      <c r="AM1156">
        <v>0</v>
      </c>
      <c r="AN1156">
        <v>0</v>
      </c>
      <c r="AO1156">
        <v>0</v>
      </c>
      <c r="AP1156">
        <v>5</v>
      </c>
      <c r="AQ1156">
        <v>0</v>
      </c>
      <c r="AR1156">
        <v>0</v>
      </c>
      <c r="AS1156" t="s">
        <v>59</v>
      </c>
      <c r="AT1156">
        <v>1</v>
      </c>
      <c r="AU1156" t="s">
        <v>72</v>
      </c>
      <c r="AV1156" t="s">
        <v>77</v>
      </c>
      <c r="AW1156">
        <v>0</v>
      </c>
      <c r="AX1156">
        <v>3</v>
      </c>
      <c r="AY1156">
        <v>0</v>
      </c>
      <c r="AZ1156">
        <v>0</v>
      </c>
      <c r="BA1156">
        <v>100</v>
      </c>
      <c r="BB1156">
        <v>100</v>
      </c>
      <c r="BC1156">
        <v>100</v>
      </c>
      <c r="BD1156">
        <v>100</v>
      </c>
      <c r="BE1156">
        <v>1</v>
      </c>
      <c r="BF1156">
        <v>15000</v>
      </c>
      <c r="BG1156">
        <v>1000</v>
      </c>
      <c r="BH1156" s="7">
        <f>ROUND(Wapato_Inventory[[#This Row],[detatched_value]]*Lookups!$B$22*Lookups!$H$48,-2)</f>
        <v>0</v>
      </c>
      <c r="BI1156" s="7">
        <f>ROUND(((Wapato_Inventory[[#This Row],[land_extract]]*Lookups!$B$3) +(Lookups!$B$2*0.5))*Lookups!$H$48,-2)</f>
        <v>54100</v>
      </c>
      <c r="BJ1156" s="7">
        <f>IF(Wapato_Inventory[[#This Row],[bldg_style]]="",0,Lookups!$B$2*0.5)</f>
        <v>53765.27</v>
      </c>
      <c r="BK1156" s="7">
        <f>_xlfn.IFNA(VLOOKUP(Wapato_Inventory[[#This Row],[quality]],Lookups!$H$2:$J$14,3,FALSE),0)</f>
        <v>28034</v>
      </c>
      <c r="BL1156" s="7">
        <f>_xlfn.IFNA(VLOOKUP(Wapato_Inventory[[#This Row],[condition]],Lookups!$H$17:$J$24,3,FALSE),0)</f>
        <v>16276</v>
      </c>
      <c r="BM1156" s="7">
        <f>Wapato_Inventory[[#This Row],[Age]]*Lookups!$B$16</f>
        <v>-28912.704600000001</v>
      </c>
      <c r="BN1156" s="7">
        <f>Wapato_Inventory[[#This Row],[Main Floor]]*Lookups!$B$17</f>
        <v>45813.609944000003</v>
      </c>
      <c r="BO1156" s="7">
        <f>Wapato_Inventory[[#This Row],[Upper Floor]]*Lookups!$B$18</f>
        <v>0</v>
      </c>
      <c r="BP1156" s="7">
        <f>Wapato_Inventory[[#This Row],[Fin BSMT]]*Lookups!$B$19</f>
        <v>0</v>
      </c>
      <c r="BQ1156" s="7">
        <f>(Wapato_Inventory[[#This Row],[att_gar]]+Wapato_Inventory[[#This Row],[blt_gar]])*Lookups!$B$20</f>
        <v>7993.8904320000001</v>
      </c>
      <c r="BR1156" s="7">
        <f>Wapato_Inventory[[#This Row],[Patio]]*Lookups!$B$21</f>
        <v>0</v>
      </c>
      <c r="BS1156" s="7">
        <f>SUM(Wapato_Inventory[[#This Row],[intercept]:[patio_value]])*Wapato_Inventory[[#This Row],[res_pct]]</f>
        <v>122970.06577599999</v>
      </c>
      <c r="BT1156" s="7">
        <f>Wapato_Inventory[[#This Row],[land_value]]</f>
        <v>54100</v>
      </c>
      <c r="BU1156" s="2">
        <f>_xlfn.IFNA(VLOOKUP(Wapato_Inventory[[#This Row],[quality]],Lookups!$A$28:$C$37,3,FALSE),1)</f>
        <v>0.96265813922927435</v>
      </c>
      <c r="BV1156" s="2">
        <f>_xlfn.IFNA(VLOOKUP(Wapato_Inventory[[#This Row],[condition]],Lookups!$A$41:$C$48,3,FALSE),1)</f>
        <v>0.93399385491337139</v>
      </c>
      <c r="BW1156" s="2">
        <f>IF(Wapato_Inventory[[#This Row],[decade]]="",1,_xlfn.IFNA(VLOOKUP(Wapato_Inventory[[#This Row],[decade]],Lookups!$F$28:$H$45,3,FALSE),1))</f>
        <v>0.8438929209510081</v>
      </c>
      <c r="BX1156" s="2">
        <f>_xlfn.IFNA(VLOOKUP(Wapato_Inventory[[#This Row],[living_area_range]],Lookups!$K$28:$M$37,3,FALSE),1)</f>
        <v>1.0061411172456287</v>
      </c>
      <c r="BY1156" s="2">
        <f>AVERAGE(Wapato_Inventory[[#This Row],[qual_adj]:[range_adj]])</f>
        <v>0.93667150808482069</v>
      </c>
      <c r="BZ1156" s="7">
        <f>(Wapato_Inventory[[#This Row],[sum_land]]-IF(Wapato_Inventory[[#This Row],[no_utilities]]=1,12000,0))/IF(Wapato_Inventory[[#This Row],[unbuildable]]=1,2,1)</f>
        <v>54100</v>
      </c>
      <c r="CA1156" s="7">
        <f>Wapato_Inventory[[#This Row],[pre_res]]*Wapato_Inventory[[#This Row],[overall_adj]]</f>
        <v>115182.5569596955</v>
      </c>
      <c r="CB1156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56" s="3">
        <f>IF(ROUND(Wapato_Inventory[[#This Row],[adj_res]]*Lookups!$H$48,-2)&lt;Wapato_Inventory[[#This Row],[min_res]],Wapato_Inventory[[#This Row],[min_res]],ROUND(Wapato_Inventory[[#This Row],[adj_res]]*Lookups!$H$48,-2))</f>
        <v>109400</v>
      </c>
      <c r="CD1156" s="3">
        <f>ROUND(Wapato_Inventory[[#This Row],[det_value]]*Lookups!$H$48,-2)</f>
        <v>0</v>
      </c>
      <c r="CE1156" s="3">
        <f>Wapato_Inventory[[#This Row],[final_res]]+Wapato_Inventory[[#This Row],[final_det]]</f>
        <v>109400</v>
      </c>
      <c r="CF1156" s="3">
        <f>Wapato_Inventory[[#This Row],[crop_value]]+Wapato_Inventory[[#This Row],[final_land]]+Wapato_Inventory[[#This Row],[final_imp]]</f>
        <v>160800</v>
      </c>
      <c r="CH1156" t="str">
        <f t="shared" si="18"/>
        <v>update valuation set market_land =51400, market_bldg=109400, market_total =160800, market_mdno =405, market_date ='9/10/2023' where link_id = (select link_id from parcel where parcel_year = '2024' and parcel_id = '19112211406');</v>
      </c>
    </row>
    <row r="1157" spans="1:86" x14ac:dyDescent="0.25">
      <c r="A1157">
        <v>19112211407</v>
      </c>
      <c r="B1157">
        <v>0.41</v>
      </c>
      <c r="C1157">
        <v>17919</v>
      </c>
      <c r="D1157" t="s">
        <v>144</v>
      </c>
      <c r="E1157" t="s">
        <v>54</v>
      </c>
      <c r="F1157" t="s">
        <v>54</v>
      </c>
      <c r="G1157">
        <v>3</v>
      </c>
      <c r="H1157" t="s">
        <v>55</v>
      </c>
      <c r="I1157">
        <v>85500</v>
      </c>
      <c r="J1157">
        <v>39500</v>
      </c>
      <c r="K1157">
        <v>0.41</v>
      </c>
      <c r="L1157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157">
        <v>0</v>
      </c>
      <c r="N1157">
        <v>0</v>
      </c>
      <c r="O1157">
        <v>0</v>
      </c>
      <c r="P1157">
        <v>27904.037</v>
      </c>
      <c r="Q1157">
        <v>74398</v>
      </c>
      <c r="R1157" s="3">
        <f>(Wapato_Inventory[[#This Row],[ln_acres]]*Wapato_Inventory[[#This Row],[coeff]])+Wapato_Inventory[[#This Row],[const]]</f>
        <v>49518.813090374882</v>
      </c>
      <c r="S1157" t="s">
        <v>66</v>
      </c>
      <c r="T1157">
        <v>1</v>
      </c>
      <c r="U1157" t="s">
        <v>71</v>
      </c>
      <c r="V1157" t="s">
        <v>68</v>
      </c>
      <c r="W1157">
        <v>0</v>
      </c>
      <c r="X1157">
        <v>0</v>
      </c>
      <c r="Y1157">
        <v>55</v>
      </c>
      <c r="Z1157">
        <v>98</v>
      </c>
      <c r="AA1157">
        <v>100</v>
      </c>
      <c r="AB1157">
        <v>1000</v>
      </c>
      <c r="AC1157">
        <v>824</v>
      </c>
      <c r="AD1157">
        <v>824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280</v>
      </c>
      <c r="AN1157">
        <v>0</v>
      </c>
      <c r="AO1157">
        <v>280</v>
      </c>
      <c r="AP1157">
        <v>5</v>
      </c>
      <c r="AQ1157">
        <v>0</v>
      </c>
      <c r="AR1157">
        <v>0</v>
      </c>
      <c r="AS1157" t="s">
        <v>59</v>
      </c>
      <c r="AT1157">
        <v>1</v>
      </c>
      <c r="AU1157" t="s">
        <v>72</v>
      </c>
      <c r="AV1157" t="s">
        <v>77</v>
      </c>
      <c r="AW1157">
        <v>0</v>
      </c>
      <c r="AX1157">
        <v>2</v>
      </c>
      <c r="AY1157">
        <v>0</v>
      </c>
      <c r="AZ1157">
        <v>0</v>
      </c>
      <c r="BA1157">
        <v>100</v>
      </c>
      <c r="BB1157">
        <v>100</v>
      </c>
      <c r="BC1157">
        <v>100</v>
      </c>
      <c r="BD1157">
        <v>100</v>
      </c>
      <c r="BE1157">
        <v>1</v>
      </c>
      <c r="BF1157">
        <v>15000</v>
      </c>
      <c r="BG1157">
        <v>1000</v>
      </c>
      <c r="BH1157" s="7">
        <f>ROUND(Wapato_Inventory[[#This Row],[detatched_value]]*Lookups!$B$22*Lookups!$H$48,-2)</f>
        <v>0</v>
      </c>
      <c r="BI1157" s="7">
        <f>ROUND(((Wapato_Inventory[[#This Row],[land_extract]]*Lookups!$B$3) +(Lookups!$B$2*0.5))*Lookups!$H$48,-2)</f>
        <v>55900</v>
      </c>
      <c r="BJ1157" s="7">
        <f>IF(Wapato_Inventory[[#This Row],[bldg_style]]="",0,Lookups!$B$2*0.5)</f>
        <v>53765.27</v>
      </c>
      <c r="BK1157" s="7">
        <f>_xlfn.IFNA(VLOOKUP(Wapato_Inventory[[#This Row],[quality]],Lookups!$H$2:$J$14,3,FALSE),0)</f>
        <v>28034</v>
      </c>
      <c r="BL1157" s="7">
        <f>_xlfn.IFNA(VLOOKUP(Wapato_Inventory[[#This Row],[condition]],Lookups!$H$17:$J$24,3,FALSE),0)</f>
        <v>52231</v>
      </c>
      <c r="BM1157" s="7">
        <f>Wapato_Inventory[[#This Row],[Age]]*Lookups!$B$16</f>
        <v>-36326.2186</v>
      </c>
      <c r="BN1157" s="7">
        <f>Wapato_Inventory[[#This Row],[Main Floor]]*Lookups!$B$17</f>
        <v>34443.808936000001</v>
      </c>
      <c r="BO1157" s="7">
        <f>Wapato_Inventory[[#This Row],[Upper Floor]]*Lookups!$B$18</f>
        <v>0</v>
      </c>
      <c r="BP1157" s="7">
        <f>Wapato_Inventory[[#This Row],[Fin BSMT]]*Lookups!$B$19</f>
        <v>0</v>
      </c>
      <c r="BQ1157" s="7">
        <f>(Wapato_Inventory[[#This Row],[att_gar]]+Wapato_Inventory[[#This Row],[blt_gar]])*Lookups!$B$20</f>
        <v>0</v>
      </c>
      <c r="BR1157" s="7">
        <f>Wapato_Inventory[[#This Row],[Patio]]*Lookups!$B$21</f>
        <v>12130.714120000001</v>
      </c>
      <c r="BS1157" s="7">
        <f>SUM(Wapato_Inventory[[#This Row],[intercept]:[patio_value]])*Wapato_Inventory[[#This Row],[res_pct]]</f>
        <v>144278.57445599997</v>
      </c>
      <c r="BT1157" s="7">
        <f>Wapato_Inventory[[#This Row],[land_value]]</f>
        <v>55900</v>
      </c>
      <c r="BU1157" s="2">
        <f>_xlfn.IFNA(VLOOKUP(Wapato_Inventory[[#This Row],[quality]],Lookups!$A$28:$C$37,3,FALSE),1)</f>
        <v>0.96265813922927435</v>
      </c>
      <c r="BV1157" s="2">
        <f>_xlfn.IFNA(VLOOKUP(Wapato_Inventory[[#This Row],[condition]],Lookups!$A$41:$C$48,3,FALSE),1)</f>
        <v>0.9832333997567807</v>
      </c>
      <c r="BW1157" s="2">
        <f>IF(Wapato_Inventory[[#This Row],[decade]]="",1,_xlfn.IFNA(VLOOKUP(Wapato_Inventory[[#This Row],[decade]],Lookups!$F$28:$H$45,3,FALSE),1))</f>
        <v>1.0114203040664467</v>
      </c>
      <c r="BX1157" s="2">
        <f>_xlfn.IFNA(VLOOKUP(Wapato_Inventory[[#This Row],[living_area_range]],Lookups!$K$28:$M$37,3,FALSE),1)</f>
        <v>0.99022994770196116</v>
      </c>
      <c r="BY1157" s="2">
        <f>AVERAGE(Wapato_Inventory[[#This Row],[qual_adj]:[range_adj]])</f>
        <v>0.98688544768861564</v>
      </c>
      <c r="BZ1157" s="7">
        <f>(Wapato_Inventory[[#This Row],[sum_land]]-IF(Wapato_Inventory[[#This Row],[no_utilities]]=1,12000,0))/IF(Wapato_Inventory[[#This Row],[unbuildable]]=1,2,1)</f>
        <v>55900</v>
      </c>
      <c r="CA1157" s="7">
        <f>Wapato_Inventory[[#This Row],[pre_res]]*Wapato_Inventory[[#This Row],[overall_adj]]</f>
        <v>142386.4255438848</v>
      </c>
      <c r="CB1157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57" s="3">
        <f>IF(ROUND(Wapato_Inventory[[#This Row],[adj_res]]*Lookups!$H$48,-2)&lt;Wapato_Inventory[[#This Row],[min_res]],Wapato_Inventory[[#This Row],[min_res]],ROUND(Wapato_Inventory[[#This Row],[adj_res]]*Lookups!$H$48,-2))</f>
        <v>135300</v>
      </c>
      <c r="CD1157" s="3">
        <f>ROUND(Wapato_Inventory[[#This Row],[det_value]]*Lookups!$H$48,-2)</f>
        <v>0</v>
      </c>
      <c r="CE1157" s="3">
        <f>Wapato_Inventory[[#This Row],[final_res]]+Wapato_Inventory[[#This Row],[final_det]]</f>
        <v>135300</v>
      </c>
      <c r="CF1157" s="3">
        <f>Wapato_Inventory[[#This Row],[crop_value]]+Wapato_Inventory[[#This Row],[final_land]]+Wapato_Inventory[[#This Row],[final_imp]]</f>
        <v>188400</v>
      </c>
      <c r="CH1157" t="str">
        <f t="shared" si="18"/>
        <v>update valuation set market_land =53100, market_bldg=135300, market_total =188400, market_mdno =405, market_date ='9/10/2023' where link_id = (select link_id from parcel where parcel_year = '2024' and parcel_id = '19112211407');</v>
      </c>
    </row>
    <row r="1158" spans="1:86" x14ac:dyDescent="0.25">
      <c r="A1158">
        <v>19112211409</v>
      </c>
      <c r="B1158">
        <v>0.21</v>
      </c>
      <c r="C1158">
        <v>8960</v>
      </c>
      <c r="D1158" t="s">
        <v>144</v>
      </c>
      <c r="E1158" t="s">
        <v>54</v>
      </c>
      <c r="F1158" t="s">
        <v>54</v>
      </c>
      <c r="G1158">
        <v>3</v>
      </c>
      <c r="H1158" t="s">
        <v>55</v>
      </c>
      <c r="I1158">
        <v>137400</v>
      </c>
      <c r="J1158">
        <v>34800</v>
      </c>
      <c r="K1158">
        <v>0.21</v>
      </c>
      <c r="L1158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58">
        <v>0</v>
      </c>
      <c r="N1158">
        <v>0</v>
      </c>
      <c r="O1158">
        <v>0</v>
      </c>
      <c r="P1158">
        <v>27904.037</v>
      </c>
      <c r="Q1158">
        <v>74398</v>
      </c>
      <c r="R1158" s="3">
        <f>(Wapato_Inventory[[#This Row],[ln_acres]]*Wapato_Inventory[[#This Row],[coeff]])+Wapato_Inventory[[#This Row],[const]]</f>
        <v>30849.627488456012</v>
      </c>
      <c r="S1158" t="s">
        <v>66</v>
      </c>
      <c r="T1158">
        <v>1</v>
      </c>
      <c r="U1158" t="s">
        <v>71</v>
      </c>
      <c r="V1158" t="s">
        <v>69</v>
      </c>
      <c r="W1158">
        <v>0</v>
      </c>
      <c r="X1158">
        <v>0</v>
      </c>
      <c r="Y1158">
        <v>55</v>
      </c>
      <c r="Z1158">
        <v>98</v>
      </c>
      <c r="AA1158">
        <v>100</v>
      </c>
      <c r="AB1158">
        <v>1000</v>
      </c>
      <c r="AC1158">
        <v>944</v>
      </c>
      <c r="AD1158">
        <v>944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48</v>
      </c>
      <c r="AO1158">
        <v>0</v>
      </c>
      <c r="AP1158">
        <v>5</v>
      </c>
      <c r="AQ1158">
        <v>0</v>
      </c>
      <c r="AR1158">
        <v>0</v>
      </c>
      <c r="AS1158" t="s">
        <v>59</v>
      </c>
      <c r="AT1158">
        <v>0</v>
      </c>
      <c r="AU1158" t="s">
        <v>80</v>
      </c>
      <c r="AV1158" t="s">
        <v>77</v>
      </c>
      <c r="AW1158">
        <v>0</v>
      </c>
      <c r="AX1158">
        <v>2</v>
      </c>
      <c r="AY1158">
        <v>0</v>
      </c>
      <c r="AZ1158">
        <v>0</v>
      </c>
      <c r="BA1158">
        <v>100</v>
      </c>
      <c r="BB1158">
        <v>100</v>
      </c>
      <c r="BC1158">
        <v>100</v>
      </c>
      <c r="BD1158">
        <v>100</v>
      </c>
      <c r="BE1158">
        <v>1</v>
      </c>
      <c r="BF1158">
        <v>15000</v>
      </c>
      <c r="BG1158">
        <v>1000</v>
      </c>
      <c r="BH1158" s="7">
        <f>ROUND(Wapato_Inventory[[#This Row],[detatched_value]]*Lookups!$B$22*Lookups!$H$48,-2)</f>
        <v>0</v>
      </c>
      <c r="BI1158" s="7">
        <f>ROUND(((Wapato_Inventory[[#This Row],[land_extract]]*Lookups!$B$3) +(Lookups!$B$2*0.5))*Lookups!$H$48,-2)</f>
        <v>54100</v>
      </c>
      <c r="BJ1158" s="7">
        <f>IF(Wapato_Inventory[[#This Row],[bldg_style]]="",0,Lookups!$B$2*0.5)</f>
        <v>53765.27</v>
      </c>
      <c r="BK1158" s="7">
        <f>_xlfn.IFNA(VLOOKUP(Wapato_Inventory[[#This Row],[quality]],Lookups!$H$2:$J$14,3,FALSE),0)</f>
        <v>28034</v>
      </c>
      <c r="BL1158" s="7">
        <f>_xlfn.IFNA(VLOOKUP(Wapato_Inventory[[#This Row],[condition]],Lookups!$H$17:$J$24,3,FALSE),0)</f>
        <v>74543</v>
      </c>
      <c r="BM1158" s="7">
        <f>Wapato_Inventory[[#This Row],[Age]]*Lookups!$B$16</f>
        <v>-36326.2186</v>
      </c>
      <c r="BN1158" s="7">
        <f>Wapato_Inventory[[#This Row],[Main Floor]]*Lookups!$B$17</f>
        <v>39459.897616000002</v>
      </c>
      <c r="BO1158" s="7">
        <f>Wapato_Inventory[[#This Row],[Upper Floor]]*Lookups!$B$18</f>
        <v>0</v>
      </c>
      <c r="BP1158" s="7">
        <f>Wapato_Inventory[[#This Row],[Fin BSMT]]*Lookups!$B$19</f>
        <v>0</v>
      </c>
      <c r="BQ1158" s="7">
        <f>(Wapato_Inventory[[#This Row],[att_gar]]+Wapato_Inventory[[#This Row],[blt_gar]])*Lookups!$B$20</f>
        <v>0</v>
      </c>
      <c r="BR1158" s="7">
        <f>Wapato_Inventory[[#This Row],[Patio]]*Lookups!$B$21</f>
        <v>0</v>
      </c>
      <c r="BS1158" s="7">
        <f>SUM(Wapato_Inventory[[#This Row],[intercept]:[patio_value]])*Wapato_Inventory[[#This Row],[res_pct]]</f>
        <v>159475.949016</v>
      </c>
      <c r="BT1158" s="7">
        <f>Wapato_Inventory[[#This Row],[land_value]]</f>
        <v>54100</v>
      </c>
      <c r="BU1158" s="2">
        <f>_xlfn.IFNA(VLOOKUP(Wapato_Inventory[[#This Row],[quality]],Lookups!$A$28:$C$37,3,FALSE),1)</f>
        <v>0.96265813922927435</v>
      </c>
      <c r="BV1158" s="2">
        <f>_xlfn.IFNA(VLOOKUP(Wapato_Inventory[[#This Row],[condition]],Lookups!$A$41:$C$48,3,FALSE),1)</f>
        <v>0.98442438223270734</v>
      </c>
      <c r="BW1158" s="2">
        <f>IF(Wapato_Inventory[[#This Row],[decade]]="",1,_xlfn.IFNA(VLOOKUP(Wapato_Inventory[[#This Row],[decade]],Lookups!$F$28:$H$45,3,FALSE),1))</f>
        <v>1.0114203040664467</v>
      </c>
      <c r="BX1158" s="2">
        <f>_xlfn.IFNA(VLOOKUP(Wapato_Inventory[[#This Row],[living_area_range]],Lookups!$K$28:$M$37,3,FALSE),1)</f>
        <v>0.99022994770196116</v>
      </c>
      <c r="BY1158" s="2">
        <f>AVERAGE(Wapato_Inventory[[#This Row],[qual_adj]:[range_adj]])</f>
        <v>0.9871831933075973</v>
      </c>
      <c r="BZ1158" s="7">
        <f>(Wapato_Inventory[[#This Row],[sum_land]]-IF(Wapato_Inventory[[#This Row],[no_utilities]]=1,12000,0))/IF(Wapato_Inventory[[#This Row],[unbuildable]]=1,2,1)</f>
        <v>54100</v>
      </c>
      <c r="CA1158" s="7">
        <f>Wapato_Inventory[[#This Row],[pre_res]]*Wapato_Inventory[[#This Row],[overall_adj]]</f>
        <v>157431.97660537445</v>
      </c>
      <c r="CB1158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58" s="3">
        <f>IF(ROUND(Wapato_Inventory[[#This Row],[adj_res]]*Lookups!$H$48,-2)&lt;Wapato_Inventory[[#This Row],[min_res]],Wapato_Inventory[[#This Row],[min_res]],ROUND(Wapato_Inventory[[#This Row],[adj_res]]*Lookups!$H$48,-2))</f>
        <v>149600</v>
      </c>
      <c r="CD1158" s="3">
        <f>ROUND(Wapato_Inventory[[#This Row],[det_value]]*Lookups!$H$48,-2)</f>
        <v>0</v>
      </c>
      <c r="CE1158" s="3">
        <f>Wapato_Inventory[[#This Row],[final_res]]+Wapato_Inventory[[#This Row],[final_det]]</f>
        <v>149600</v>
      </c>
      <c r="CF1158" s="3">
        <f>Wapato_Inventory[[#This Row],[crop_value]]+Wapato_Inventory[[#This Row],[final_land]]+Wapato_Inventory[[#This Row],[final_imp]]</f>
        <v>201000</v>
      </c>
      <c r="CH1158" t="str">
        <f t="shared" si="18"/>
        <v>update valuation set market_land =51400, market_bldg=149600, market_total =201000, market_mdno =405, market_date ='9/10/2023' where link_id = (select link_id from parcel where parcel_year = '2024' and parcel_id = '19112211409');</v>
      </c>
    </row>
    <row r="1159" spans="1:86" x14ac:dyDescent="0.25">
      <c r="A1159">
        <v>19112211410</v>
      </c>
      <c r="B1159">
        <v>0.21</v>
      </c>
      <c r="C1159">
        <v>8960</v>
      </c>
      <c r="D1159" t="s">
        <v>144</v>
      </c>
      <c r="E1159" t="s">
        <v>54</v>
      </c>
      <c r="F1159" t="s">
        <v>54</v>
      </c>
      <c r="G1159">
        <v>3</v>
      </c>
      <c r="H1159" t="s">
        <v>55</v>
      </c>
      <c r="I1159">
        <v>106900</v>
      </c>
      <c r="J1159">
        <v>34800</v>
      </c>
      <c r="K1159">
        <v>0.21</v>
      </c>
      <c r="L1159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59">
        <v>0</v>
      </c>
      <c r="N1159">
        <v>0</v>
      </c>
      <c r="O1159">
        <v>0</v>
      </c>
      <c r="P1159">
        <v>27904.037</v>
      </c>
      <c r="Q1159">
        <v>74398</v>
      </c>
      <c r="R1159" s="3">
        <f>(Wapato_Inventory[[#This Row],[ln_acres]]*Wapato_Inventory[[#This Row],[coeff]])+Wapato_Inventory[[#This Row],[const]]</f>
        <v>30849.627488456012</v>
      </c>
      <c r="S1159" t="s">
        <v>66</v>
      </c>
      <c r="T1159">
        <v>1</v>
      </c>
      <c r="U1159" t="s">
        <v>71</v>
      </c>
      <c r="V1159" t="s">
        <v>68</v>
      </c>
      <c r="W1159">
        <v>0</v>
      </c>
      <c r="X1159">
        <v>0</v>
      </c>
      <c r="Y1159">
        <v>53</v>
      </c>
      <c r="Z1159">
        <v>93</v>
      </c>
      <c r="AA1159">
        <v>100</v>
      </c>
      <c r="AB1159">
        <v>1000</v>
      </c>
      <c r="AC1159">
        <v>990</v>
      </c>
      <c r="AD1159">
        <v>990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216</v>
      </c>
      <c r="AL1159">
        <v>0</v>
      </c>
      <c r="AM1159">
        <v>0</v>
      </c>
      <c r="AN1159">
        <v>0</v>
      </c>
      <c r="AO1159">
        <v>0</v>
      </c>
      <c r="AP1159">
        <v>5</v>
      </c>
      <c r="AQ1159">
        <v>0</v>
      </c>
      <c r="AR1159">
        <v>0</v>
      </c>
      <c r="AS1159" t="s">
        <v>59</v>
      </c>
      <c r="AT1159">
        <v>0</v>
      </c>
      <c r="AU1159" t="s">
        <v>80</v>
      </c>
      <c r="AV1159" t="s">
        <v>77</v>
      </c>
      <c r="AW1159">
        <v>0</v>
      </c>
      <c r="AX1159">
        <v>2</v>
      </c>
      <c r="AY1159">
        <v>0</v>
      </c>
      <c r="AZ1159">
        <v>0</v>
      </c>
      <c r="BA1159">
        <v>100</v>
      </c>
      <c r="BB1159">
        <v>100</v>
      </c>
      <c r="BC1159">
        <v>100</v>
      </c>
      <c r="BD1159">
        <v>100</v>
      </c>
      <c r="BE1159">
        <v>1</v>
      </c>
      <c r="BF1159">
        <v>15000</v>
      </c>
      <c r="BG1159">
        <v>1000</v>
      </c>
      <c r="BH1159" s="7">
        <f>ROUND(Wapato_Inventory[[#This Row],[detatched_value]]*Lookups!$B$22*Lookups!$H$48,-2)</f>
        <v>0</v>
      </c>
      <c r="BI1159" s="7">
        <f>ROUND(((Wapato_Inventory[[#This Row],[land_extract]]*Lookups!$B$3) +(Lookups!$B$2*0.5))*Lookups!$H$48,-2)</f>
        <v>54100</v>
      </c>
      <c r="BJ1159" s="7">
        <f>IF(Wapato_Inventory[[#This Row],[bldg_style]]="",0,Lookups!$B$2*0.5)</f>
        <v>53765.27</v>
      </c>
      <c r="BK1159" s="7">
        <f>_xlfn.IFNA(VLOOKUP(Wapato_Inventory[[#This Row],[quality]],Lookups!$H$2:$J$14,3,FALSE),0)</f>
        <v>28034</v>
      </c>
      <c r="BL1159" s="7">
        <f>_xlfn.IFNA(VLOOKUP(Wapato_Inventory[[#This Row],[condition]],Lookups!$H$17:$J$24,3,FALSE),0)</f>
        <v>52231</v>
      </c>
      <c r="BM1159" s="7">
        <f>Wapato_Inventory[[#This Row],[Age]]*Lookups!$B$16</f>
        <v>-34472.840100000001</v>
      </c>
      <c r="BN1159" s="7">
        <f>Wapato_Inventory[[#This Row],[Main Floor]]*Lookups!$B$17</f>
        <v>41382.731610000003</v>
      </c>
      <c r="BO1159" s="7">
        <f>Wapato_Inventory[[#This Row],[Upper Floor]]*Lookups!$B$18</f>
        <v>0</v>
      </c>
      <c r="BP1159" s="7">
        <f>Wapato_Inventory[[#This Row],[Fin BSMT]]*Lookups!$B$19</f>
        <v>0</v>
      </c>
      <c r="BQ1159" s="7">
        <f>(Wapato_Inventory[[#This Row],[att_gar]]+Wapato_Inventory[[#This Row],[blt_gar]])*Lookups!$B$20</f>
        <v>0</v>
      </c>
      <c r="BR1159" s="7">
        <f>Wapato_Inventory[[#This Row],[Patio]]*Lookups!$B$21</f>
        <v>0</v>
      </c>
      <c r="BS1159" s="7">
        <f>SUM(Wapato_Inventory[[#This Row],[intercept]:[patio_value]])*Wapato_Inventory[[#This Row],[res_pct]]</f>
        <v>140940.16151000001</v>
      </c>
      <c r="BT1159" s="7">
        <f>Wapato_Inventory[[#This Row],[land_value]]</f>
        <v>54100</v>
      </c>
      <c r="BU1159" s="2">
        <f>_xlfn.IFNA(VLOOKUP(Wapato_Inventory[[#This Row],[quality]],Lookups!$A$28:$C$37,3,FALSE),1)</f>
        <v>0.96265813922927435</v>
      </c>
      <c r="BV1159" s="2">
        <f>_xlfn.IFNA(VLOOKUP(Wapato_Inventory[[#This Row],[condition]],Lookups!$A$41:$C$48,3,FALSE),1)</f>
        <v>0.9832333997567807</v>
      </c>
      <c r="BW1159" s="2">
        <f>IF(Wapato_Inventory[[#This Row],[decade]]="",1,_xlfn.IFNA(VLOOKUP(Wapato_Inventory[[#This Row],[decade]],Lookups!$F$28:$H$45,3,FALSE),1))</f>
        <v>1.0114203040664467</v>
      </c>
      <c r="BX1159" s="2">
        <f>_xlfn.IFNA(VLOOKUP(Wapato_Inventory[[#This Row],[living_area_range]],Lookups!$K$28:$M$37,3,FALSE),1)</f>
        <v>0.99022994770196116</v>
      </c>
      <c r="BY1159" s="2">
        <f>AVERAGE(Wapato_Inventory[[#This Row],[qual_adj]:[range_adj]])</f>
        <v>0.98688544768861564</v>
      </c>
      <c r="BZ1159" s="7">
        <f>(Wapato_Inventory[[#This Row],[sum_land]]-IF(Wapato_Inventory[[#This Row],[no_utilities]]=1,12000,0))/IF(Wapato_Inventory[[#This Row],[unbuildable]]=1,2,1)</f>
        <v>54100</v>
      </c>
      <c r="CA1159" s="7">
        <f>Wapato_Inventory[[#This Row],[pre_res]]*Wapato_Inventory[[#This Row],[overall_adj]]</f>
        <v>139091.79438910214</v>
      </c>
      <c r="CB1159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59" s="3">
        <f>IF(ROUND(Wapato_Inventory[[#This Row],[adj_res]]*Lookups!$H$48,-2)&lt;Wapato_Inventory[[#This Row],[min_res]],Wapato_Inventory[[#This Row],[min_res]],ROUND(Wapato_Inventory[[#This Row],[adj_res]]*Lookups!$H$48,-2))</f>
        <v>132100</v>
      </c>
      <c r="CD1159" s="3">
        <f>ROUND(Wapato_Inventory[[#This Row],[det_value]]*Lookups!$H$48,-2)</f>
        <v>0</v>
      </c>
      <c r="CE1159" s="3">
        <f>Wapato_Inventory[[#This Row],[final_res]]+Wapato_Inventory[[#This Row],[final_det]]</f>
        <v>132100</v>
      </c>
      <c r="CF1159" s="3">
        <f>Wapato_Inventory[[#This Row],[crop_value]]+Wapato_Inventory[[#This Row],[final_land]]+Wapato_Inventory[[#This Row],[final_imp]]</f>
        <v>183500</v>
      </c>
      <c r="CH1159" t="str">
        <f t="shared" si="18"/>
        <v>update valuation set market_land =51400, market_bldg=132100, market_total =183500, market_mdno =405, market_date ='9/10/2023' where link_id = (select link_id from parcel where parcel_year = '2024' and parcel_id = '19112211410');</v>
      </c>
    </row>
    <row r="1160" spans="1:86" x14ac:dyDescent="0.25">
      <c r="A1160">
        <v>19112211412</v>
      </c>
      <c r="B1160">
        <v>0.21</v>
      </c>
      <c r="C1160">
        <v>8960</v>
      </c>
      <c r="D1160" t="s">
        <v>144</v>
      </c>
      <c r="E1160" t="s">
        <v>54</v>
      </c>
      <c r="F1160" t="s">
        <v>54</v>
      </c>
      <c r="G1160">
        <v>3</v>
      </c>
      <c r="H1160" t="s">
        <v>55</v>
      </c>
      <c r="I1160">
        <v>136700</v>
      </c>
      <c r="J1160">
        <v>34800</v>
      </c>
      <c r="K1160">
        <v>0.21</v>
      </c>
      <c r="L1160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60">
        <v>0</v>
      </c>
      <c r="N1160">
        <v>0</v>
      </c>
      <c r="O1160">
        <v>0</v>
      </c>
      <c r="P1160">
        <v>27904.037</v>
      </c>
      <c r="Q1160">
        <v>74398</v>
      </c>
      <c r="R1160" s="3">
        <f>(Wapato_Inventory[[#This Row],[ln_acres]]*Wapato_Inventory[[#This Row],[coeff]])+Wapato_Inventory[[#This Row],[const]]</f>
        <v>30849.627488456012</v>
      </c>
      <c r="S1160" t="s">
        <v>66</v>
      </c>
      <c r="T1160">
        <v>2</v>
      </c>
      <c r="U1160" t="s">
        <v>71</v>
      </c>
      <c r="V1160" t="s">
        <v>68</v>
      </c>
      <c r="W1160">
        <v>0</v>
      </c>
      <c r="X1160">
        <v>0</v>
      </c>
      <c r="Y1160">
        <v>52</v>
      </c>
      <c r="Z1160">
        <v>88</v>
      </c>
      <c r="AA1160">
        <v>90</v>
      </c>
      <c r="AB1160">
        <v>2000</v>
      </c>
      <c r="AC1160">
        <v>1512</v>
      </c>
      <c r="AD1160">
        <v>1176</v>
      </c>
      <c r="AE1160">
        <v>336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0</v>
      </c>
      <c r="AL1160">
        <v>200</v>
      </c>
      <c r="AM1160">
        <v>0</v>
      </c>
      <c r="AN1160">
        <v>0</v>
      </c>
      <c r="AO1160">
        <v>200</v>
      </c>
      <c r="AP1160">
        <v>8</v>
      </c>
      <c r="AQ1160">
        <v>0</v>
      </c>
      <c r="AR1160">
        <v>0</v>
      </c>
      <c r="AS1160" t="s">
        <v>59</v>
      </c>
      <c r="AT1160">
        <v>1</v>
      </c>
      <c r="AU1160" t="s">
        <v>76</v>
      </c>
      <c r="AV1160" t="s">
        <v>61</v>
      </c>
      <c r="AW1160">
        <v>0</v>
      </c>
      <c r="AX1160">
        <v>4</v>
      </c>
      <c r="AY1160">
        <v>0</v>
      </c>
      <c r="AZ1160">
        <v>0</v>
      </c>
      <c r="BA1160">
        <v>100</v>
      </c>
      <c r="BB1160">
        <v>100</v>
      </c>
      <c r="BC1160">
        <v>100</v>
      </c>
      <c r="BD1160">
        <v>100</v>
      </c>
      <c r="BE1160">
        <v>1</v>
      </c>
      <c r="BF1160">
        <v>15000</v>
      </c>
      <c r="BG1160">
        <v>1000</v>
      </c>
      <c r="BH1160" s="7">
        <f>ROUND(Wapato_Inventory[[#This Row],[detatched_value]]*Lookups!$B$22*Lookups!$H$48,-2)</f>
        <v>0</v>
      </c>
      <c r="BI1160" s="7">
        <f>ROUND(((Wapato_Inventory[[#This Row],[land_extract]]*Lookups!$B$3) +(Lookups!$B$2*0.5))*Lookups!$H$48,-2)</f>
        <v>54100</v>
      </c>
      <c r="BJ1160" s="7">
        <f>IF(Wapato_Inventory[[#This Row],[bldg_style]]="",0,Lookups!$B$2*0.5)</f>
        <v>53765.27</v>
      </c>
      <c r="BK1160" s="7">
        <f>_xlfn.IFNA(VLOOKUP(Wapato_Inventory[[#This Row],[quality]],Lookups!$H$2:$J$14,3,FALSE),0)</f>
        <v>28034</v>
      </c>
      <c r="BL1160" s="7">
        <f>_xlfn.IFNA(VLOOKUP(Wapato_Inventory[[#This Row],[condition]],Lookups!$H$17:$J$24,3,FALSE),0)</f>
        <v>52231</v>
      </c>
      <c r="BM1160" s="7">
        <f>Wapato_Inventory[[#This Row],[Age]]*Lookups!$B$16</f>
        <v>-32619.461600000002</v>
      </c>
      <c r="BN1160" s="7">
        <f>Wapato_Inventory[[#This Row],[Main Floor]]*Lookups!$B$17</f>
        <v>49157.669064000002</v>
      </c>
      <c r="BO1160" s="7">
        <f>Wapato_Inventory[[#This Row],[Upper Floor]]*Lookups!$B$18</f>
        <v>16665.982704000002</v>
      </c>
      <c r="BP1160" s="7">
        <f>Wapato_Inventory[[#This Row],[Fin BSMT]]*Lookups!$B$19</f>
        <v>0</v>
      </c>
      <c r="BQ1160" s="7">
        <f>(Wapato_Inventory[[#This Row],[att_gar]]+Wapato_Inventory[[#This Row],[blt_gar]])*Lookups!$B$20</f>
        <v>0</v>
      </c>
      <c r="BR1160" s="7">
        <f>Wapato_Inventory[[#This Row],[Patio]]*Lookups!$B$21</f>
        <v>0</v>
      </c>
      <c r="BS1160" s="7">
        <f>SUM(Wapato_Inventory[[#This Row],[intercept]:[patio_value]])*Wapato_Inventory[[#This Row],[res_pct]]</f>
        <v>167234.46016799999</v>
      </c>
      <c r="BT1160" s="7">
        <f>Wapato_Inventory[[#This Row],[land_value]]</f>
        <v>54100</v>
      </c>
      <c r="BU1160" s="2">
        <f>_xlfn.IFNA(VLOOKUP(Wapato_Inventory[[#This Row],[quality]],Lookups!$A$28:$C$37,3,FALSE),1)</f>
        <v>0.96265813922927435</v>
      </c>
      <c r="BV1160" s="2">
        <f>_xlfn.IFNA(VLOOKUP(Wapato_Inventory[[#This Row],[condition]],Lookups!$A$41:$C$48,3,FALSE),1)</f>
        <v>0.9832333997567807</v>
      </c>
      <c r="BW1160" s="2">
        <f>IF(Wapato_Inventory[[#This Row],[decade]]="",1,_xlfn.IFNA(VLOOKUP(Wapato_Inventory[[#This Row],[decade]],Lookups!$F$28:$H$45,3,FALSE),1))</f>
        <v>0.94742695999815718</v>
      </c>
      <c r="BX1160" s="2">
        <f>_xlfn.IFNA(VLOOKUP(Wapato_Inventory[[#This Row],[living_area_range]],Lookups!$K$28:$M$37,3,FALSE),1)</f>
        <v>0.99330894324714125</v>
      </c>
      <c r="BY1160" s="2">
        <f>AVERAGE(Wapato_Inventory[[#This Row],[qual_adj]:[range_adj]])</f>
        <v>0.97165686055783829</v>
      </c>
      <c r="BZ1160" s="7">
        <f>(Wapato_Inventory[[#This Row],[sum_land]]-IF(Wapato_Inventory[[#This Row],[no_utilities]]=1,12000,0))/IF(Wapato_Inventory[[#This Row],[unbuildable]]=1,2,1)</f>
        <v>54100</v>
      </c>
      <c r="CA1160" s="7">
        <f>Wapato_Inventory[[#This Row],[pre_res]]*Wapato_Inventory[[#This Row],[overall_adj]]</f>
        <v>162494.51054392374</v>
      </c>
      <c r="CB1160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60" s="3">
        <f>IF(ROUND(Wapato_Inventory[[#This Row],[adj_res]]*Lookups!$H$48,-2)&lt;Wapato_Inventory[[#This Row],[min_res]],Wapato_Inventory[[#This Row],[min_res]],ROUND(Wapato_Inventory[[#This Row],[adj_res]]*Lookups!$H$48,-2))</f>
        <v>154400</v>
      </c>
      <c r="CD1160" s="3">
        <f>ROUND(Wapato_Inventory[[#This Row],[det_value]]*Lookups!$H$48,-2)</f>
        <v>0</v>
      </c>
      <c r="CE1160" s="3">
        <f>Wapato_Inventory[[#This Row],[final_res]]+Wapato_Inventory[[#This Row],[final_det]]</f>
        <v>154400</v>
      </c>
      <c r="CF1160" s="3">
        <f>Wapato_Inventory[[#This Row],[crop_value]]+Wapato_Inventory[[#This Row],[final_land]]+Wapato_Inventory[[#This Row],[final_imp]]</f>
        <v>205800</v>
      </c>
      <c r="CH1160" t="str">
        <f t="shared" si="18"/>
        <v>update valuation set market_land =51400, market_bldg=154400, market_total =205800, market_mdno =405, market_date ='9/10/2023' where link_id = (select link_id from parcel where parcel_year = '2024' and parcel_id = '19112211412');</v>
      </c>
    </row>
    <row r="1161" spans="1:86" x14ac:dyDescent="0.25">
      <c r="A1161">
        <v>19112211413</v>
      </c>
      <c r="B1161">
        <v>0.21</v>
      </c>
      <c r="C1161">
        <v>8960</v>
      </c>
      <c r="D1161" t="s">
        <v>144</v>
      </c>
      <c r="E1161" t="s">
        <v>54</v>
      </c>
      <c r="F1161" t="s">
        <v>54</v>
      </c>
      <c r="G1161">
        <v>3</v>
      </c>
      <c r="H1161" t="s">
        <v>55</v>
      </c>
      <c r="I1161">
        <v>186100</v>
      </c>
      <c r="J1161">
        <v>34800</v>
      </c>
      <c r="K1161">
        <v>0.21</v>
      </c>
      <c r="L1161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61">
        <v>0</v>
      </c>
      <c r="N1161">
        <v>0</v>
      </c>
      <c r="O1161">
        <v>0</v>
      </c>
      <c r="P1161">
        <v>27904.037</v>
      </c>
      <c r="Q1161">
        <v>74398</v>
      </c>
      <c r="R1161" s="3">
        <f>(Wapato_Inventory[[#This Row],[ln_acres]]*Wapato_Inventory[[#This Row],[coeff]])+Wapato_Inventory[[#This Row],[const]]</f>
        <v>30849.627488456012</v>
      </c>
      <c r="S1161" t="s">
        <v>66</v>
      </c>
      <c r="T1161">
        <v>1</v>
      </c>
      <c r="U1161" t="s">
        <v>75</v>
      </c>
      <c r="V1161" t="s">
        <v>70</v>
      </c>
      <c r="W1161">
        <v>0</v>
      </c>
      <c r="X1161">
        <v>0</v>
      </c>
      <c r="Y1161">
        <v>53</v>
      </c>
      <c r="Z1161">
        <v>93</v>
      </c>
      <c r="AA1161">
        <v>100</v>
      </c>
      <c r="AB1161">
        <v>1000</v>
      </c>
      <c r="AC1161">
        <v>880</v>
      </c>
      <c r="AD1161">
        <v>880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v>0</v>
      </c>
      <c r="AN1161">
        <v>48</v>
      </c>
      <c r="AO1161">
        <v>0</v>
      </c>
      <c r="AP1161">
        <v>5</v>
      </c>
      <c r="AQ1161">
        <v>0</v>
      </c>
      <c r="AR1161">
        <v>0</v>
      </c>
      <c r="AS1161" t="s">
        <v>59</v>
      </c>
      <c r="AT1161">
        <v>1</v>
      </c>
      <c r="AU1161" t="s">
        <v>76</v>
      </c>
      <c r="AV1161" t="s">
        <v>61</v>
      </c>
      <c r="AW1161">
        <v>0</v>
      </c>
      <c r="AX1161">
        <v>3</v>
      </c>
      <c r="AY1161">
        <v>0</v>
      </c>
      <c r="AZ1161">
        <v>0</v>
      </c>
      <c r="BA1161">
        <v>100</v>
      </c>
      <c r="BB1161">
        <v>100</v>
      </c>
      <c r="BC1161">
        <v>100</v>
      </c>
      <c r="BD1161">
        <v>100</v>
      </c>
      <c r="BE1161">
        <v>1</v>
      </c>
      <c r="BF1161">
        <v>15000</v>
      </c>
      <c r="BG1161">
        <v>1000</v>
      </c>
      <c r="BH1161" s="7">
        <f>ROUND(Wapato_Inventory[[#This Row],[detatched_value]]*Lookups!$B$22*Lookups!$H$48,-2)</f>
        <v>0</v>
      </c>
      <c r="BI1161" s="7">
        <f>ROUND(((Wapato_Inventory[[#This Row],[land_extract]]*Lookups!$B$3) +(Lookups!$B$2*0.5))*Lookups!$H$48,-2)</f>
        <v>54100</v>
      </c>
      <c r="BJ1161" s="7">
        <f>IF(Wapato_Inventory[[#This Row],[bldg_style]]="",0,Lookups!$B$2*0.5)</f>
        <v>53765.27</v>
      </c>
      <c r="BK1161" s="7">
        <f>_xlfn.IFNA(VLOOKUP(Wapato_Inventory[[#This Row],[quality]],Lookups!$H$2:$J$14,3,FALSE),0)</f>
        <v>48043</v>
      </c>
      <c r="BL1161" s="7">
        <f>_xlfn.IFNA(VLOOKUP(Wapato_Inventory[[#This Row],[condition]],Lookups!$H$17:$J$24,3,FALSE),0)</f>
        <v>84338</v>
      </c>
      <c r="BM1161" s="7">
        <f>Wapato_Inventory[[#This Row],[Age]]*Lookups!$B$16</f>
        <v>-34472.840100000001</v>
      </c>
      <c r="BN1161" s="7">
        <f>Wapato_Inventory[[#This Row],[Main Floor]]*Lookups!$B$17</f>
        <v>36784.650320000001</v>
      </c>
      <c r="BO1161" s="7">
        <f>Wapato_Inventory[[#This Row],[Upper Floor]]*Lookups!$B$18</f>
        <v>0</v>
      </c>
      <c r="BP1161" s="7">
        <f>Wapato_Inventory[[#This Row],[Fin BSMT]]*Lookups!$B$19</f>
        <v>0</v>
      </c>
      <c r="BQ1161" s="7">
        <f>(Wapato_Inventory[[#This Row],[att_gar]]+Wapato_Inventory[[#This Row],[blt_gar]])*Lookups!$B$20</f>
        <v>0</v>
      </c>
      <c r="BR1161" s="7">
        <f>Wapato_Inventory[[#This Row],[Patio]]*Lookups!$B$21</f>
        <v>0</v>
      </c>
      <c r="BS1161" s="7">
        <f>SUM(Wapato_Inventory[[#This Row],[intercept]:[patio_value]])*Wapato_Inventory[[#This Row],[res_pct]]</f>
        <v>188458.08022</v>
      </c>
      <c r="BT1161" s="7">
        <f>Wapato_Inventory[[#This Row],[land_value]]</f>
        <v>54100</v>
      </c>
      <c r="BU1161" s="2">
        <f>_xlfn.IFNA(VLOOKUP(Wapato_Inventory[[#This Row],[quality]],Lookups!$A$28:$C$37,3,FALSE),1)</f>
        <v>0.98196844879778955</v>
      </c>
      <c r="BV1161" s="2">
        <f>_xlfn.IFNA(VLOOKUP(Wapato_Inventory[[#This Row],[condition]],Lookups!$A$41:$C$48,3,FALSE),1)</f>
        <v>0.99478075210508476</v>
      </c>
      <c r="BW1161" s="2">
        <f>IF(Wapato_Inventory[[#This Row],[decade]]="",1,_xlfn.IFNA(VLOOKUP(Wapato_Inventory[[#This Row],[decade]],Lookups!$F$28:$H$45,3,FALSE),1))</f>
        <v>1.0114203040664467</v>
      </c>
      <c r="BX1161" s="2">
        <f>_xlfn.IFNA(VLOOKUP(Wapato_Inventory[[#This Row],[living_area_range]],Lookups!$K$28:$M$37,3,FALSE),1)</f>
        <v>0.99022994770196116</v>
      </c>
      <c r="BY1161" s="2">
        <f>AVERAGE(Wapato_Inventory[[#This Row],[qual_adj]:[range_adj]])</f>
        <v>0.99459986316782045</v>
      </c>
      <c r="BZ1161" s="7">
        <f>(Wapato_Inventory[[#This Row],[sum_land]]-IF(Wapato_Inventory[[#This Row],[no_utilities]]=1,12000,0))/IF(Wapato_Inventory[[#This Row],[unbuildable]]=1,2,1)</f>
        <v>54100</v>
      </c>
      <c r="CA1161" s="7">
        <f>Wapato_Inventory[[#This Row],[pre_res]]*Wapato_Inventory[[#This Row],[overall_adj]]</f>
        <v>187440.38079968214</v>
      </c>
      <c r="CB1161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61" s="3">
        <f>IF(ROUND(Wapato_Inventory[[#This Row],[adj_res]]*Lookups!$H$48,-2)&lt;Wapato_Inventory[[#This Row],[min_res]],Wapato_Inventory[[#This Row],[min_res]],ROUND(Wapato_Inventory[[#This Row],[adj_res]]*Lookups!$H$48,-2))</f>
        <v>178100</v>
      </c>
      <c r="CD1161" s="3">
        <f>ROUND(Wapato_Inventory[[#This Row],[det_value]]*Lookups!$H$48,-2)</f>
        <v>0</v>
      </c>
      <c r="CE1161" s="3">
        <f>Wapato_Inventory[[#This Row],[final_res]]+Wapato_Inventory[[#This Row],[final_det]]</f>
        <v>178100</v>
      </c>
      <c r="CF1161" s="3">
        <f>Wapato_Inventory[[#This Row],[crop_value]]+Wapato_Inventory[[#This Row],[final_land]]+Wapato_Inventory[[#This Row],[final_imp]]</f>
        <v>229500</v>
      </c>
      <c r="CH1161" t="str">
        <f t="shared" si="18"/>
        <v>update valuation set market_land =51400, market_bldg=178100, market_total =229500, market_mdno =405, market_date ='9/10/2023' where link_id = (select link_id from parcel where parcel_year = '2024' and parcel_id = '19112211413');</v>
      </c>
    </row>
    <row r="1162" spans="1:86" x14ac:dyDescent="0.25">
      <c r="A1162">
        <v>19112211414</v>
      </c>
      <c r="B1162">
        <v>0.62</v>
      </c>
      <c r="C1162">
        <v>26879</v>
      </c>
      <c r="D1162" t="s">
        <v>144</v>
      </c>
      <c r="E1162" t="s">
        <v>54</v>
      </c>
      <c r="F1162" t="s">
        <v>54</v>
      </c>
      <c r="G1162">
        <v>3</v>
      </c>
      <c r="H1162" t="s">
        <v>55</v>
      </c>
      <c r="I1162">
        <v>152900</v>
      </c>
      <c r="J1162">
        <v>42500</v>
      </c>
      <c r="K1162">
        <v>0.62</v>
      </c>
      <c r="L1162">
        <f>IF(Wapato_Inventory[[#This Row],[parcel_acres]]-Wapato_Inventory[[#This Row],[non_valued_acres]] =0,0,LN(Wapato_Inventory[[#This Row],[parcel_acres]]-Wapato_Inventory[[#This Row],[non_valued_acres]]))</f>
        <v>-0.4780358009429998</v>
      </c>
      <c r="M1162">
        <v>0</v>
      </c>
      <c r="N1162">
        <v>0</v>
      </c>
      <c r="O1162">
        <v>0</v>
      </c>
      <c r="P1162">
        <v>27904.037</v>
      </c>
      <c r="Q1162">
        <v>74398</v>
      </c>
      <c r="R1162" s="3">
        <f>(Wapato_Inventory[[#This Row],[ln_acres]]*Wapato_Inventory[[#This Row],[coeff]])+Wapato_Inventory[[#This Row],[const]]</f>
        <v>61058.871323161897</v>
      </c>
      <c r="S1162" t="s">
        <v>66</v>
      </c>
      <c r="T1162">
        <v>1</v>
      </c>
      <c r="U1162" t="s">
        <v>71</v>
      </c>
      <c r="V1162" t="s">
        <v>68</v>
      </c>
      <c r="W1162">
        <v>0</v>
      </c>
      <c r="X1162">
        <v>0</v>
      </c>
      <c r="Y1162">
        <v>51</v>
      </c>
      <c r="Z1162">
        <v>77</v>
      </c>
      <c r="AA1162">
        <v>80</v>
      </c>
      <c r="AB1162">
        <v>1500</v>
      </c>
      <c r="AC1162">
        <v>1150</v>
      </c>
      <c r="AD1162">
        <v>1150</v>
      </c>
      <c r="AE1162">
        <v>0</v>
      </c>
      <c r="AF1162">
        <v>0</v>
      </c>
      <c r="AG1162">
        <v>0</v>
      </c>
      <c r="AH1162">
        <v>0</v>
      </c>
      <c r="AI1162">
        <v>0</v>
      </c>
      <c r="AJ1162">
        <v>0</v>
      </c>
      <c r="AK1162">
        <v>0</v>
      </c>
      <c r="AL1162">
        <v>0</v>
      </c>
      <c r="AM1162">
        <v>72</v>
      </c>
      <c r="AN1162">
        <v>140</v>
      </c>
      <c r="AO1162">
        <v>0</v>
      </c>
      <c r="AP1162">
        <v>6</v>
      </c>
      <c r="AQ1162">
        <v>1</v>
      </c>
      <c r="AR1162">
        <v>0</v>
      </c>
      <c r="AS1162" t="s">
        <v>59</v>
      </c>
      <c r="AT1162">
        <v>0</v>
      </c>
      <c r="AU1162" t="s">
        <v>80</v>
      </c>
      <c r="AV1162" t="s">
        <v>61</v>
      </c>
      <c r="AW1162">
        <v>0</v>
      </c>
      <c r="AX1162">
        <v>2</v>
      </c>
      <c r="AY1162">
        <v>0</v>
      </c>
      <c r="AZ1162">
        <v>15400</v>
      </c>
      <c r="BA1162">
        <v>100</v>
      </c>
      <c r="BB1162">
        <v>100</v>
      </c>
      <c r="BC1162">
        <v>100</v>
      </c>
      <c r="BD1162">
        <v>100</v>
      </c>
      <c r="BE1162">
        <v>1</v>
      </c>
      <c r="BF1162">
        <v>15000</v>
      </c>
      <c r="BG1162">
        <v>1000</v>
      </c>
      <c r="BH1162" s="7">
        <f>ROUND(Wapato_Inventory[[#This Row],[detatched_value]]*Lookups!$B$22*Lookups!$H$48,-2)</f>
        <v>13800</v>
      </c>
      <c r="BI1162" s="7">
        <f>ROUND(((Wapato_Inventory[[#This Row],[land_extract]]*Lookups!$B$3) +(Lookups!$B$2*0.5))*Lookups!$H$48,-2)</f>
        <v>57000</v>
      </c>
      <c r="BJ1162" s="7">
        <f>IF(Wapato_Inventory[[#This Row],[bldg_style]]="",0,Lookups!$B$2*0.5)</f>
        <v>53765.27</v>
      </c>
      <c r="BK1162" s="7">
        <f>_xlfn.IFNA(VLOOKUP(Wapato_Inventory[[#This Row],[quality]],Lookups!$H$2:$J$14,3,FALSE),0)</f>
        <v>28034</v>
      </c>
      <c r="BL1162" s="7">
        <f>_xlfn.IFNA(VLOOKUP(Wapato_Inventory[[#This Row],[condition]],Lookups!$H$17:$J$24,3,FALSE),0)</f>
        <v>52231</v>
      </c>
      <c r="BM1162" s="7">
        <f>Wapato_Inventory[[#This Row],[Age]]*Lookups!$B$16</f>
        <v>-28542.028900000001</v>
      </c>
      <c r="BN1162" s="7">
        <f>Wapato_Inventory[[#This Row],[Main Floor]]*Lookups!$B$17</f>
        <v>48070.849849999999</v>
      </c>
      <c r="BO1162" s="7">
        <f>Wapato_Inventory[[#This Row],[Upper Floor]]*Lookups!$B$18</f>
        <v>0</v>
      </c>
      <c r="BP1162" s="7">
        <f>Wapato_Inventory[[#This Row],[Fin BSMT]]*Lookups!$B$19</f>
        <v>0</v>
      </c>
      <c r="BQ1162" s="7">
        <f>(Wapato_Inventory[[#This Row],[att_gar]]+Wapato_Inventory[[#This Row],[blt_gar]])*Lookups!$B$20</f>
        <v>0</v>
      </c>
      <c r="BR1162" s="7">
        <f>Wapato_Inventory[[#This Row],[Patio]]*Lookups!$B$21</f>
        <v>3119.3264880000002</v>
      </c>
      <c r="BS1162" s="7">
        <f>SUM(Wapato_Inventory[[#This Row],[intercept]:[patio_value]])*Wapato_Inventory[[#This Row],[res_pct]]</f>
        <v>156678.41743799997</v>
      </c>
      <c r="BT1162" s="7">
        <f>Wapato_Inventory[[#This Row],[land_value]]</f>
        <v>57000</v>
      </c>
      <c r="BU1162" s="2">
        <f>_xlfn.IFNA(VLOOKUP(Wapato_Inventory[[#This Row],[quality]],Lookups!$A$28:$C$37,3,FALSE),1)</f>
        <v>0.96265813922927435</v>
      </c>
      <c r="BV1162" s="2">
        <f>_xlfn.IFNA(VLOOKUP(Wapato_Inventory[[#This Row],[condition]],Lookups!$A$41:$C$48,3,FALSE),1)</f>
        <v>0.9832333997567807</v>
      </c>
      <c r="BW1162" s="2">
        <f>IF(Wapato_Inventory[[#This Row],[decade]]="",1,_xlfn.IFNA(VLOOKUP(Wapato_Inventory[[#This Row],[decade]],Lookups!$F$28:$H$45,3,FALSE),1))</f>
        <v>0.8438929209510081</v>
      </c>
      <c r="BX1162" s="2">
        <f>_xlfn.IFNA(VLOOKUP(Wapato_Inventory[[#This Row],[living_area_range]],Lookups!$K$28:$M$37,3,FALSE),1)</f>
        <v>1.0061411172456287</v>
      </c>
      <c r="BY1162" s="2">
        <f>AVERAGE(Wapato_Inventory[[#This Row],[qual_adj]:[range_adj]])</f>
        <v>0.94898139429567296</v>
      </c>
      <c r="BZ1162" s="7">
        <f>(Wapato_Inventory[[#This Row],[sum_land]]-IF(Wapato_Inventory[[#This Row],[no_utilities]]=1,12000,0))/IF(Wapato_Inventory[[#This Row],[unbuildable]]=1,2,1)</f>
        <v>57000</v>
      </c>
      <c r="CA1162" s="7">
        <f>Wapato_Inventory[[#This Row],[pre_res]]*Wapato_Inventory[[#This Row],[overall_adj]]</f>
        <v>148684.90303635268</v>
      </c>
      <c r="CB1162" s="3">
        <f>IF(ROUND(Wapato_Inventory[[#This Row],[adj_land]]*Lookups!$H$48,-2)&lt;Wapato_Inventory[[#This Row],[min_land]],Wapato_Inventory[[#This Row],[min_land]],ROUND(Wapato_Inventory[[#This Row],[adj_land]]*Lookups!$H$48,-2))</f>
        <v>54200</v>
      </c>
      <c r="CC1162" s="3">
        <f>IF(ROUND(Wapato_Inventory[[#This Row],[adj_res]]*Lookups!$H$48,-2)&lt;Wapato_Inventory[[#This Row],[min_res]],Wapato_Inventory[[#This Row],[min_res]],ROUND(Wapato_Inventory[[#This Row],[adj_res]]*Lookups!$H$48,-2))</f>
        <v>141300</v>
      </c>
      <c r="CD1162" s="3">
        <f>ROUND(Wapato_Inventory[[#This Row],[det_value]]*Lookups!$H$48,-2)</f>
        <v>13100</v>
      </c>
      <c r="CE1162" s="3">
        <f>Wapato_Inventory[[#This Row],[final_res]]+Wapato_Inventory[[#This Row],[final_det]]</f>
        <v>154400</v>
      </c>
      <c r="CF1162" s="3">
        <f>Wapato_Inventory[[#This Row],[crop_value]]+Wapato_Inventory[[#This Row],[final_land]]+Wapato_Inventory[[#This Row],[final_imp]]</f>
        <v>208600</v>
      </c>
      <c r="CH1162" t="str">
        <f t="shared" si="18"/>
        <v>update valuation set market_land =54200, market_bldg=154400, market_total =208600, market_mdno =405, market_date ='9/10/2023' where link_id = (select link_id from parcel where parcel_year = '2024' and parcel_id = '19112211414');</v>
      </c>
    </row>
    <row r="1163" spans="1:86" x14ac:dyDescent="0.25">
      <c r="A1163">
        <v>19112211415</v>
      </c>
      <c r="B1163">
        <v>0.21</v>
      </c>
      <c r="C1163">
        <v>8960</v>
      </c>
      <c r="D1163" t="s">
        <v>144</v>
      </c>
      <c r="E1163" t="s">
        <v>54</v>
      </c>
      <c r="F1163" t="s">
        <v>54</v>
      </c>
      <c r="G1163">
        <v>3</v>
      </c>
      <c r="H1163" t="s">
        <v>55</v>
      </c>
      <c r="I1163">
        <v>67400</v>
      </c>
      <c r="J1163">
        <v>34800</v>
      </c>
      <c r="K1163">
        <v>0.21</v>
      </c>
      <c r="L1163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63">
        <v>0</v>
      </c>
      <c r="N1163">
        <v>0</v>
      </c>
      <c r="O1163">
        <v>0</v>
      </c>
      <c r="P1163">
        <v>27904.037</v>
      </c>
      <c r="Q1163">
        <v>74398</v>
      </c>
      <c r="R1163" s="3">
        <f>(Wapato_Inventory[[#This Row],[ln_acres]]*Wapato_Inventory[[#This Row],[coeff]])+Wapato_Inventory[[#This Row],[const]]</f>
        <v>30849.627488456012</v>
      </c>
      <c r="S1163" t="s">
        <v>62</v>
      </c>
      <c r="T1163">
        <v>1</v>
      </c>
      <c r="U1163" t="s">
        <v>71</v>
      </c>
      <c r="V1163" t="s">
        <v>68</v>
      </c>
      <c r="W1163">
        <v>0</v>
      </c>
      <c r="X1163">
        <v>0</v>
      </c>
      <c r="Y1163">
        <v>30</v>
      </c>
      <c r="Z1163">
        <v>30</v>
      </c>
      <c r="AA1163">
        <v>30</v>
      </c>
      <c r="AB1163">
        <v>1500</v>
      </c>
      <c r="AC1163">
        <v>1208</v>
      </c>
      <c r="AD1163">
        <v>1208</v>
      </c>
      <c r="AE1163">
        <v>0</v>
      </c>
      <c r="AF1163">
        <v>0</v>
      </c>
      <c r="AG1163">
        <v>0</v>
      </c>
      <c r="AH1163">
        <v>0</v>
      </c>
      <c r="AI1163">
        <v>0</v>
      </c>
      <c r="AJ1163">
        <v>0</v>
      </c>
      <c r="AK1163">
        <v>0</v>
      </c>
      <c r="AL1163">
        <v>0</v>
      </c>
      <c r="AM1163">
        <v>0</v>
      </c>
      <c r="AN1163">
        <v>0</v>
      </c>
      <c r="AO1163">
        <v>0</v>
      </c>
      <c r="AP1163">
        <v>6</v>
      </c>
      <c r="AQ1163">
        <v>0</v>
      </c>
      <c r="AR1163">
        <v>0</v>
      </c>
      <c r="AS1163" t="s">
        <v>82</v>
      </c>
      <c r="AT1163">
        <v>1</v>
      </c>
      <c r="AU1163" t="s">
        <v>72</v>
      </c>
      <c r="AV1163" t="s">
        <v>61</v>
      </c>
      <c r="AW1163">
        <v>0</v>
      </c>
      <c r="AX1163">
        <v>3</v>
      </c>
      <c r="AY1163">
        <v>0</v>
      </c>
      <c r="AZ1163">
        <v>0</v>
      </c>
      <c r="BA1163">
        <v>100</v>
      </c>
      <c r="BB1163">
        <v>100</v>
      </c>
      <c r="BC1163">
        <v>100</v>
      </c>
      <c r="BD1163">
        <v>45</v>
      </c>
      <c r="BE1163">
        <v>0.45</v>
      </c>
      <c r="BF1163">
        <v>15000</v>
      </c>
      <c r="BG1163">
        <v>1000</v>
      </c>
      <c r="BH1163" s="7">
        <f>ROUND(Wapato_Inventory[[#This Row],[detatched_value]]*Lookups!$B$22*Lookups!$H$48,-2)</f>
        <v>0</v>
      </c>
      <c r="BI1163" s="7">
        <f>ROUND(((Wapato_Inventory[[#This Row],[land_extract]]*Lookups!$B$3) +(Lookups!$B$2*0.5))*Lookups!$H$48,-2)</f>
        <v>54100</v>
      </c>
      <c r="BJ1163" s="7">
        <f>IF(Wapato_Inventory[[#This Row],[bldg_style]]="",0,Lookups!$B$2*0.5)</f>
        <v>53765.27</v>
      </c>
      <c r="BK1163" s="7">
        <f>_xlfn.IFNA(VLOOKUP(Wapato_Inventory[[#This Row],[quality]],Lookups!$H$2:$J$14,3,FALSE),0)</f>
        <v>28034</v>
      </c>
      <c r="BL1163" s="7">
        <f>_xlfn.IFNA(VLOOKUP(Wapato_Inventory[[#This Row],[condition]],Lookups!$H$17:$J$24,3,FALSE),0)</f>
        <v>52231</v>
      </c>
      <c r="BM1163" s="7">
        <f>Wapato_Inventory[[#This Row],[Age]]*Lookups!$B$16</f>
        <v>-11120.271000000001</v>
      </c>
      <c r="BN1163" s="7">
        <f>Wapato_Inventory[[#This Row],[Main Floor]]*Lookups!$B$17</f>
        <v>50495.292712000002</v>
      </c>
      <c r="BO1163" s="7">
        <f>Wapato_Inventory[[#This Row],[Upper Floor]]*Lookups!$B$18</f>
        <v>0</v>
      </c>
      <c r="BP1163" s="7">
        <f>Wapato_Inventory[[#This Row],[Fin BSMT]]*Lookups!$B$19</f>
        <v>0</v>
      </c>
      <c r="BQ1163" s="7">
        <f>(Wapato_Inventory[[#This Row],[att_gar]]+Wapato_Inventory[[#This Row],[blt_gar]])*Lookups!$B$20</f>
        <v>0</v>
      </c>
      <c r="BR1163" s="7">
        <f>Wapato_Inventory[[#This Row],[Patio]]*Lookups!$B$21</f>
        <v>0</v>
      </c>
      <c r="BS1163" s="7">
        <f>SUM(Wapato_Inventory[[#This Row],[intercept]:[patio_value]])*Wapato_Inventory[[#This Row],[res_pct]]</f>
        <v>78032.381270399987</v>
      </c>
      <c r="BT1163" s="7">
        <f>Wapato_Inventory[[#This Row],[land_value]]</f>
        <v>54100</v>
      </c>
      <c r="BU1163" s="2">
        <f>_xlfn.IFNA(VLOOKUP(Wapato_Inventory[[#This Row],[quality]],Lookups!$A$28:$C$37,3,FALSE),1)</f>
        <v>0.96265813922927435</v>
      </c>
      <c r="BV1163" s="2">
        <f>_xlfn.IFNA(VLOOKUP(Wapato_Inventory[[#This Row],[condition]],Lookups!$A$41:$C$48,3,FALSE),1)</f>
        <v>0.9832333997567807</v>
      </c>
      <c r="BW1163" s="2">
        <f>IF(Wapato_Inventory[[#This Row],[decade]]="",1,_xlfn.IFNA(VLOOKUP(Wapato_Inventory[[#This Row],[decade]],Lookups!$F$28:$H$45,3,FALSE),1))</f>
        <v>1.0490505496896987</v>
      </c>
      <c r="BX1163" s="2">
        <f>_xlfn.IFNA(VLOOKUP(Wapato_Inventory[[#This Row],[living_area_range]],Lookups!$K$28:$M$37,3,FALSE),1)</f>
        <v>1.0061411172456287</v>
      </c>
      <c r="BY1163" s="2">
        <f>AVERAGE(Wapato_Inventory[[#This Row],[qual_adj]:[range_adj]])</f>
        <v>1.0002708014803456</v>
      </c>
      <c r="BZ1163" s="7">
        <f>(Wapato_Inventory[[#This Row],[sum_land]]-IF(Wapato_Inventory[[#This Row],[no_utilities]]=1,12000,0))/IF(Wapato_Inventory[[#This Row],[unbuildable]]=1,2,1)</f>
        <v>54100</v>
      </c>
      <c r="CA1163" s="7">
        <f>Wapato_Inventory[[#This Row],[pre_res]]*Wapato_Inventory[[#This Row],[overall_adj]]</f>
        <v>78053.5125547629</v>
      </c>
      <c r="CB1163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63" s="3">
        <f>IF(ROUND(Wapato_Inventory[[#This Row],[adj_res]]*Lookups!$H$48,-2)&lt;Wapato_Inventory[[#This Row],[min_res]],Wapato_Inventory[[#This Row],[min_res]],ROUND(Wapato_Inventory[[#This Row],[adj_res]]*Lookups!$H$48,-2))</f>
        <v>74200</v>
      </c>
      <c r="CD1163" s="3">
        <f>ROUND(Wapato_Inventory[[#This Row],[det_value]]*Lookups!$H$48,-2)</f>
        <v>0</v>
      </c>
      <c r="CE1163" s="3">
        <f>Wapato_Inventory[[#This Row],[final_res]]+Wapato_Inventory[[#This Row],[final_det]]</f>
        <v>74200</v>
      </c>
      <c r="CF1163" s="3">
        <f>Wapato_Inventory[[#This Row],[crop_value]]+Wapato_Inventory[[#This Row],[final_land]]+Wapato_Inventory[[#This Row],[final_imp]]</f>
        <v>125600</v>
      </c>
      <c r="CH1163" t="str">
        <f t="shared" si="18"/>
        <v>update valuation set market_land =51400, market_bldg=74200, market_total =125600, market_mdno =405, market_date ='9/10/2023' where link_id = (select link_id from parcel where parcel_year = '2024' and parcel_id = '19112211415');</v>
      </c>
    </row>
    <row r="1164" spans="1:86" x14ac:dyDescent="0.25">
      <c r="A1164">
        <v>19112211416</v>
      </c>
      <c r="B1164">
        <v>0.21</v>
      </c>
      <c r="C1164">
        <v>8960</v>
      </c>
      <c r="D1164" t="s">
        <v>144</v>
      </c>
      <c r="E1164" t="s">
        <v>54</v>
      </c>
      <c r="F1164" t="s">
        <v>54</v>
      </c>
      <c r="G1164">
        <v>3</v>
      </c>
      <c r="H1164" t="s">
        <v>55</v>
      </c>
      <c r="I1164">
        <v>141000</v>
      </c>
      <c r="J1164">
        <v>34800</v>
      </c>
      <c r="K1164">
        <v>0.21</v>
      </c>
      <c r="L1164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64">
        <v>0</v>
      </c>
      <c r="N1164">
        <v>0</v>
      </c>
      <c r="O1164">
        <v>0</v>
      </c>
      <c r="P1164">
        <v>27904.037</v>
      </c>
      <c r="Q1164">
        <v>74398</v>
      </c>
      <c r="R1164" s="3">
        <f>(Wapato_Inventory[[#This Row],[ln_acres]]*Wapato_Inventory[[#This Row],[coeff]])+Wapato_Inventory[[#This Row],[const]]</f>
        <v>30849.627488456012</v>
      </c>
      <c r="S1164" t="s">
        <v>66</v>
      </c>
      <c r="T1164">
        <v>1</v>
      </c>
      <c r="U1164" t="s">
        <v>71</v>
      </c>
      <c r="V1164" t="s">
        <v>68</v>
      </c>
      <c r="W1164">
        <v>0</v>
      </c>
      <c r="X1164">
        <v>0</v>
      </c>
      <c r="Y1164">
        <v>57</v>
      </c>
      <c r="Z1164">
        <v>103</v>
      </c>
      <c r="AA1164">
        <v>110</v>
      </c>
      <c r="AB1164">
        <v>1500</v>
      </c>
      <c r="AC1164">
        <v>1440</v>
      </c>
      <c r="AD1164">
        <v>1440</v>
      </c>
      <c r="AE1164">
        <v>0</v>
      </c>
      <c r="AF1164">
        <v>0</v>
      </c>
      <c r="AG1164">
        <v>0</v>
      </c>
      <c r="AH1164">
        <v>0</v>
      </c>
      <c r="AI1164">
        <v>0</v>
      </c>
      <c r="AJ1164">
        <v>0</v>
      </c>
      <c r="AK1164">
        <v>640</v>
      </c>
      <c r="AL1164">
        <v>0</v>
      </c>
      <c r="AM1164">
        <v>212</v>
      </c>
      <c r="AN1164">
        <v>0</v>
      </c>
      <c r="AO1164">
        <v>0</v>
      </c>
      <c r="AP1164">
        <v>5</v>
      </c>
      <c r="AQ1164">
        <v>0</v>
      </c>
      <c r="AR1164">
        <v>0</v>
      </c>
      <c r="AS1164" t="s">
        <v>59</v>
      </c>
      <c r="AT1164">
        <v>0</v>
      </c>
      <c r="AU1164" t="s">
        <v>80</v>
      </c>
      <c r="AV1164" t="s">
        <v>61</v>
      </c>
      <c r="AW1164">
        <v>0</v>
      </c>
      <c r="AX1164">
        <v>3</v>
      </c>
      <c r="AY1164">
        <v>0</v>
      </c>
      <c r="AZ1164">
        <v>0</v>
      </c>
      <c r="BA1164">
        <v>100</v>
      </c>
      <c r="BB1164">
        <v>100</v>
      </c>
      <c r="BC1164">
        <v>100</v>
      </c>
      <c r="BD1164">
        <v>100</v>
      </c>
      <c r="BE1164">
        <v>1</v>
      </c>
      <c r="BF1164">
        <v>15000</v>
      </c>
      <c r="BG1164">
        <v>1000</v>
      </c>
      <c r="BH1164" s="7">
        <f>ROUND(Wapato_Inventory[[#This Row],[detatched_value]]*Lookups!$B$22*Lookups!$H$48,-2)</f>
        <v>0</v>
      </c>
      <c r="BI1164" s="7">
        <f>ROUND(((Wapato_Inventory[[#This Row],[land_extract]]*Lookups!$B$3) +(Lookups!$B$2*0.5))*Lookups!$H$48,-2)</f>
        <v>54100</v>
      </c>
      <c r="BJ1164" s="7">
        <f>IF(Wapato_Inventory[[#This Row],[bldg_style]]="",0,Lookups!$B$2*0.5)</f>
        <v>53765.27</v>
      </c>
      <c r="BK1164" s="7">
        <f>_xlfn.IFNA(VLOOKUP(Wapato_Inventory[[#This Row],[quality]],Lookups!$H$2:$J$14,3,FALSE),0)</f>
        <v>28034</v>
      </c>
      <c r="BL1164" s="7">
        <f>_xlfn.IFNA(VLOOKUP(Wapato_Inventory[[#This Row],[condition]],Lookups!$H$17:$J$24,3,FALSE),0)</f>
        <v>52231</v>
      </c>
      <c r="BM1164" s="7">
        <f>Wapato_Inventory[[#This Row],[Age]]*Lookups!$B$16</f>
        <v>-38179.597099999999</v>
      </c>
      <c r="BN1164" s="7">
        <f>Wapato_Inventory[[#This Row],[Main Floor]]*Lookups!$B$17</f>
        <v>60193.064160000002</v>
      </c>
      <c r="BO1164" s="7">
        <f>Wapato_Inventory[[#This Row],[Upper Floor]]*Lookups!$B$18</f>
        <v>0</v>
      </c>
      <c r="BP1164" s="7">
        <f>Wapato_Inventory[[#This Row],[Fin BSMT]]*Lookups!$B$19</f>
        <v>0</v>
      </c>
      <c r="BQ1164" s="7">
        <f>(Wapato_Inventory[[#This Row],[att_gar]]+Wapato_Inventory[[#This Row],[blt_gar]])*Lookups!$B$20</f>
        <v>0</v>
      </c>
      <c r="BR1164" s="7">
        <f>Wapato_Inventory[[#This Row],[Patio]]*Lookups!$B$21</f>
        <v>9184.6835480000009</v>
      </c>
      <c r="BS1164" s="7">
        <f>SUM(Wapato_Inventory[[#This Row],[intercept]:[patio_value]])*Wapato_Inventory[[#This Row],[res_pct]]</f>
        <v>165228.42060799999</v>
      </c>
      <c r="BT1164" s="7">
        <f>Wapato_Inventory[[#This Row],[land_value]]</f>
        <v>54100</v>
      </c>
      <c r="BU1164" s="2">
        <f>_xlfn.IFNA(VLOOKUP(Wapato_Inventory[[#This Row],[quality]],Lookups!$A$28:$C$37,3,FALSE),1)</f>
        <v>0.96265813922927435</v>
      </c>
      <c r="BV1164" s="2">
        <f>_xlfn.IFNA(VLOOKUP(Wapato_Inventory[[#This Row],[condition]],Lookups!$A$41:$C$48,3,FALSE),1)</f>
        <v>0.9832333997567807</v>
      </c>
      <c r="BW1164" s="2">
        <f>IF(Wapato_Inventory[[#This Row],[decade]]="",1,_xlfn.IFNA(VLOOKUP(Wapato_Inventory[[#This Row],[decade]],Lookups!$F$28:$H$45,3,FALSE),1))</f>
        <v>0.93664589651353292</v>
      </c>
      <c r="BX1164" s="2">
        <f>_xlfn.IFNA(VLOOKUP(Wapato_Inventory[[#This Row],[living_area_range]],Lookups!$K$28:$M$37,3,FALSE),1)</f>
        <v>1.0061411172456287</v>
      </c>
      <c r="BY1164" s="2">
        <f>AVERAGE(Wapato_Inventory[[#This Row],[qual_adj]:[range_adj]])</f>
        <v>0.97216963818630409</v>
      </c>
      <c r="BZ1164" s="7">
        <f>(Wapato_Inventory[[#This Row],[sum_land]]-IF(Wapato_Inventory[[#This Row],[no_utilities]]=1,12000,0))/IF(Wapato_Inventory[[#This Row],[unbuildable]]=1,2,1)</f>
        <v>54100</v>
      </c>
      <c r="CA1164" s="7">
        <f>Wapato_Inventory[[#This Row],[pre_res]]*Wapato_Inventory[[#This Row],[overall_adj]]</f>
        <v>160630.0538805738</v>
      </c>
      <c r="CB1164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64" s="3">
        <f>IF(ROUND(Wapato_Inventory[[#This Row],[adj_res]]*Lookups!$H$48,-2)&lt;Wapato_Inventory[[#This Row],[min_res]],Wapato_Inventory[[#This Row],[min_res]],ROUND(Wapato_Inventory[[#This Row],[adj_res]]*Lookups!$H$48,-2))</f>
        <v>152600</v>
      </c>
      <c r="CD1164" s="3">
        <f>ROUND(Wapato_Inventory[[#This Row],[det_value]]*Lookups!$H$48,-2)</f>
        <v>0</v>
      </c>
      <c r="CE1164" s="3">
        <f>Wapato_Inventory[[#This Row],[final_res]]+Wapato_Inventory[[#This Row],[final_det]]</f>
        <v>152600</v>
      </c>
      <c r="CF1164" s="3">
        <f>Wapato_Inventory[[#This Row],[crop_value]]+Wapato_Inventory[[#This Row],[final_land]]+Wapato_Inventory[[#This Row],[final_imp]]</f>
        <v>204000</v>
      </c>
      <c r="CH1164" t="str">
        <f t="shared" si="18"/>
        <v>update valuation set market_land =51400, market_bldg=152600, market_total =204000, market_mdno =405, market_date ='9/10/2023' where link_id = (select link_id from parcel where parcel_year = '2024' and parcel_id = '19112211416');</v>
      </c>
    </row>
    <row r="1165" spans="1:86" x14ac:dyDescent="0.25">
      <c r="A1165">
        <v>19112211417</v>
      </c>
      <c r="B1165">
        <v>0.21</v>
      </c>
      <c r="C1165">
        <v>8960</v>
      </c>
      <c r="D1165" t="s">
        <v>144</v>
      </c>
      <c r="E1165" t="s">
        <v>54</v>
      </c>
      <c r="F1165" t="s">
        <v>54</v>
      </c>
      <c r="G1165">
        <v>3</v>
      </c>
      <c r="H1165" t="s">
        <v>55</v>
      </c>
      <c r="I1165">
        <v>118300</v>
      </c>
      <c r="J1165">
        <v>34800</v>
      </c>
      <c r="K1165">
        <v>0.21</v>
      </c>
      <c r="L1165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65">
        <v>0</v>
      </c>
      <c r="N1165">
        <v>0</v>
      </c>
      <c r="O1165">
        <v>0</v>
      </c>
      <c r="P1165">
        <v>27904.037</v>
      </c>
      <c r="Q1165">
        <v>74398</v>
      </c>
      <c r="R1165" s="3">
        <f>(Wapato_Inventory[[#This Row],[ln_acres]]*Wapato_Inventory[[#This Row],[coeff]])+Wapato_Inventory[[#This Row],[const]]</f>
        <v>30849.627488456012</v>
      </c>
      <c r="S1165" t="s">
        <v>66</v>
      </c>
      <c r="T1165">
        <v>1</v>
      </c>
      <c r="U1165" t="s">
        <v>71</v>
      </c>
      <c r="V1165" t="s">
        <v>68</v>
      </c>
      <c r="W1165">
        <v>0</v>
      </c>
      <c r="X1165">
        <v>0</v>
      </c>
      <c r="Y1165">
        <v>51</v>
      </c>
      <c r="Z1165">
        <v>83</v>
      </c>
      <c r="AA1165">
        <v>90</v>
      </c>
      <c r="AB1165">
        <v>1500</v>
      </c>
      <c r="AC1165">
        <v>1032</v>
      </c>
      <c r="AD1165">
        <v>1032</v>
      </c>
      <c r="AE1165">
        <v>0</v>
      </c>
      <c r="AF1165">
        <v>0</v>
      </c>
      <c r="AG1165">
        <v>0</v>
      </c>
      <c r="AH1165">
        <v>0</v>
      </c>
      <c r="AI1165">
        <v>0</v>
      </c>
      <c r="AJ1165">
        <v>0</v>
      </c>
      <c r="AK1165">
        <v>0</v>
      </c>
      <c r="AL1165">
        <v>0</v>
      </c>
      <c r="AM1165">
        <v>224</v>
      </c>
      <c r="AN1165">
        <v>0</v>
      </c>
      <c r="AO1165">
        <v>224</v>
      </c>
      <c r="AP1165">
        <v>5</v>
      </c>
      <c r="AQ1165">
        <v>0</v>
      </c>
      <c r="AR1165">
        <v>0</v>
      </c>
      <c r="AS1165" t="s">
        <v>59</v>
      </c>
      <c r="AT1165">
        <v>1</v>
      </c>
      <c r="AU1165" t="s">
        <v>64</v>
      </c>
      <c r="AV1165" t="s">
        <v>77</v>
      </c>
      <c r="AW1165">
        <v>0</v>
      </c>
      <c r="AX1165">
        <v>2</v>
      </c>
      <c r="AY1165">
        <v>0</v>
      </c>
      <c r="AZ1165">
        <v>6300</v>
      </c>
      <c r="BA1165">
        <v>100</v>
      </c>
      <c r="BB1165">
        <v>100</v>
      </c>
      <c r="BC1165">
        <v>100</v>
      </c>
      <c r="BD1165">
        <v>100</v>
      </c>
      <c r="BE1165">
        <v>1</v>
      </c>
      <c r="BF1165">
        <v>15000</v>
      </c>
      <c r="BG1165">
        <v>1000</v>
      </c>
      <c r="BH1165" s="7">
        <f>ROUND(Wapato_Inventory[[#This Row],[detatched_value]]*Lookups!$B$22*Lookups!$H$48,-2)</f>
        <v>5600</v>
      </c>
      <c r="BI1165" s="7">
        <f>ROUND(((Wapato_Inventory[[#This Row],[land_extract]]*Lookups!$B$3) +(Lookups!$B$2*0.5))*Lookups!$H$48,-2)</f>
        <v>54100</v>
      </c>
      <c r="BJ1165" s="7">
        <f>IF(Wapato_Inventory[[#This Row],[bldg_style]]="",0,Lookups!$B$2*0.5)</f>
        <v>53765.27</v>
      </c>
      <c r="BK1165" s="7">
        <f>_xlfn.IFNA(VLOOKUP(Wapato_Inventory[[#This Row],[quality]],Lookups!$H$2:$J$14,3,FALSE),0)</f>
        <v>28034</v>
      </c>
      <c r="BL1165" s="7">
        <f>_xlfn.IFNA(VLOOKUP(Wapato_Inventory[[#This Row],[condition]],Lookups!$H$17:$J$24,3,FALSE),0)</f>
        <v>52231</v>
      </c>
      <c r="BM1165" s="7">
        <f>Wapato_Inventory[[#This Row],[Age]]*Lookups!$B$16</f>
        <v>-30766.0831</v>
      </c>
      <c r="BN1165" s="7">
        <f>Wapato_Inventory[[#This Row],[Main Floor]]*Lookups!$B$17</f>
        <v>43138.362648000002</v>
      </c>
      <c r="BO1165" s="7">
        <f>Wapato_Inventory[[#This Row],[Upper Floor]]*Lookups!$B$18</f>
        <v>0</v>
      </c>
      <c r="BP1165" s="7">
        <f>Wapato_Inventory[[#This Row],[Fin BSMT]]*Lookups!$B$19</f>
        <v>0</v>
      </c>
      <c r="BQ1165" s="7">
        <f>(Wapato_Inventory[[#This Row],[att_gar]]+Wapato_Inventory[[#This Row],[blt_gar]])*Lookups!$B$20</f>
        <v>0</v>
      </c>
      <c r="BR1165" s="7">
        <f>Wapato_Inventory[[#This Row],[Patio]]*Lookups!$B$21</f>
        <v>9704.5712960000001</v>
      </c>
      <c r="BS1165" s="7">
        <f>SUM(Wapato_Inventory[[#This Row],[intercept]:[patio_value]])*Wapato_Inventory[[#This Row],[res_pct]]</f>
        <v>156107.12084399999</v>
      </c>
      <c r="BT1165" s="7">
        <f>Wapato_Inventory[[#This Row],[land_value]]</f>
        <v>54100</v>
      </c>
      <c r="BU1165" s="2">
        <f>_xlfn.IFNA(VLOOKUP(Wapato_Inventory[[#This Row],[quality]],Lookups!$A$28:$C$37,3,FALSE),1)</f>
        <v>0.96265813922927435</v>
      </c>
      <c r="BV1165" s="2">
        <f>_xlfn.IFNA(VLOOKUP(Wapato_Inventory[[#This Row],[condition]],Lookups!$A$41:$C$48,3,FALSE),1)</f>
        <v>0.9832333997567807</v>
      </c>
      <c r="BW1165" s="2">
        <f>IF(Wapato_Inventory[[#This Row],[decade]]="",1,_xlfn.IFNA(VLOOKUP(Wapato_Inventory[[#This Row],[decade]],Lookups!$F$28:$H$45,3,FALSE),1))</f>
        <v>0.94742695999815718</v>
      </c>
      <c r="BX1165" s="2">
        <f>_xlfn.IFNA(VLOOKUP(Wapato_Inventory[[#This Row],[living_area_range]],Lookups!$K$28:$M$37,3,FALSE),1)</f>
        <v>1.0061411172456287</v>
      </c>
      <c r="BY1165" s="2">
        <f>AVERAGE(Wapato_Inventory[[#This Row],[qual_adj]:[range_adj]])</f>
        <v>0.97486490405746018</v>
      </c>
      <c r="BZ1165" s="7">
        <f>(Wapato_Inventory[[#This Row],[sum_land]]-IF(Wapato_Inventory[[#This Row],[no_utilities]]=1,12000,0))/IF(Wapato_Inventory[[#This Row],[unbuildable]]=1,2,1)</f>
        <v>54100</v>
      </c>
      <c r="CA1165" s="7">
        <f>Wapato_Inventory[[#This Row],[pre_res]]*Wapato_Inventory[[#This Row],[overall_adj]]</f>
        <v>152183.3533842724</v>
      </c>
      <c r="CB1165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65" s="3">
        <f>IF(ROUND(Wapato_Inventory[[#This Row],[adj_res]]*Lookups!$H$48,-2)&lt;Wapato_Inventory[[#This Row],[min_res]],Wapato_Inventory[[#This Row],[min_res]],ROUND(Wapato_Inventory[[#This Row],[adj_res]]*Lookups!$H$48,-2))</f>
        <v>144600</v>
      </c>
      <c r="CD1165" s="3">
        <f>ROUND(Wapato_Inventory[[#This Row],[det_value]]*Lookups!$H$48,-2)</f>
        <v>5300</v>
      </c>
      <c r="CE1165" s="3">
        <f>Wapato_Inventory[[#This Row],[final_res]]+Wapato_Inventory[[#This Row],[final_det]]</f>
        <v>149900</v>
      </c>
      <c r="CF1165" s="3">
        <f>Wapato_Inventory[[#This Row],[crop_value]]+Wapato_Inventory[[#This Row],[final_land]]+Wapato_Inventory[[#This Row],[final_imp]]</f>
        <v>201300</v>
      </c>
      <c r="CH1165" t="str">
        <f t="shared" si="18"/>
        <v>update valuation set market_land =51400, market_bldg=149900, market_total =201300, market_mdno =405, market_date ='9/10/2023' where link_id = (select link_id from parcel where parcel_year = '2024' and parcel_id = '19112211417');</v>
      </c>
    </row>
    <row r="1166" spans="1:86" x14ac:dyDescent="0.25">
      <c r="A1166">
        <v>19112211418</v>
      </c>
      <c r="B1166">
        <v>0.21</v>
      </c>
      <c r="C1166">
        <v>8960</v>
      </c>
      <c r="D1166" t="s">
        <v>144</v>
      </c>
      <c r="E1166" t="s">
        <v>54</v>
      </c>
      <c r="F1166" t="s">
        <v>54</v>
      </c>
      <c r="G1166">
        <v>3</v>
      </c>
      <c r="H1166" t="s">
        <v>55</v>
      </c>
      <c r="I1166">
        <v>63500</v>
      </c>
      <c r="J1166">
        <v>34800</v>
      </c>
      <c r="K1166">
        <v>0.21</v>
      </c>
      <c r="L1166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66">
        <v>0</v>
      </c>
      <c r="N1166">
        <v>0</v>
      </c>
      <c r="O1166">
        <v>0</v>
      </c>
      <c r="P1166">
        <v>27904.037</v>
      </c>
      <c r="Q1166">
        <v>74398</v>
      </c>
      <c r="R1166" s="3">
        <f>(Wapato_Inventory[[#This Row],[ln_acres]]*Wapato_Inventory[[#This Row],[coeff]])+Wapato_Inventory[[#This Row],[const]]</f>
        <v>30849.627488456012</v>
      </c>
      <c r="S1166" t="s">
        <v>66</v>
      </c>
      <c r="T1166">
        <v>1</v>
      </c>
      <c r="U1166" t="s">
        <v>78</v>
      </c>
      <c r="V1166" t="s">
        <v>73</v>
      </c>
      <c r="W1166">
        <v>0</v>
      </c>
      <c r="X1166">
        <v>0</v>
      </c>
      <c r="Y1166">
        <v>52</v>
      </c>
      <c r="Z1166">
        <v>88</v>
      </c>
      <c r="AA1166">
        <v>90</v>
      </c>
      <c r="AB1166">
        <v>1000</v>
      </c>
      <c r="AC1166">
        <v>658</v>
      </c>
      <c r="AD1166">
        <v>658</v>
      </c>
      <c r="AE1166">
        <v>0</v>
      </c>
      <c r="AF1166">
        <v>0</v>
      </c>
      <c r="AG1166">
        <v>0</v>
      </c>
      <c r="AH1166">
        <v>0</v>
      </c>
      <c r="AI1166">
        <v>0</v>
      </c>
      <c r="AJ1166">
        <v>0</v>
      </c>
      <c r="AK1166">
        <v>0</v>
      </c>
      <c r="AL1166">
        <v>0</v>
      </c>
      <c r="AM1166">
        <v>0</v>
      </c>
      <c r="AN1166">
        <v>18</v>
      </c>
      <c r="AO1166">
        <v>0</v>
      </c>
      <c r="AP1166">
        <v>5</v>
      </c>
      <c r="AQ1166">
        <v>0</v>
      </c>
      <c r="AR1166">
        <v>0</v>
      </c>
      <c r="AS1166" t="s">
        <v>59</v>
      </c>
      <c r="AT1166">
        <v>0</v>
      </c>
      <c r="AU1166" t="s">
        <v>80</v>
      </c>
      <c r="AV1166" t="s">
        <v>77</v>
      </c>
      <c r="AW1166">
        <v>0</v>
      </c>
      <c r="AX1166">
        <v>2</v>
      </c>
      <c r="AY1166">
        <v>0</v>
      </c>
      <c r="AZ1166">
        <v>0</v>
      </c>
      <c r="BA1166">
        <v>100</v>
      </c>
      <c r="BB1166">
        <v>100</v>
      </c>
      <c r="BC1166">
        <v>100</v>
      </c>
      <c r="BD1166">
        <v>100</v>
      </c>
      <c r="BE1166">
        <v>1</v>
      </c>
      <c r="BF1166">
        <v>15000</v>
      </c>
      <c r="BG1166">
        <v>1000</v>
      </c>
      <c r="BH1166" s="7">
        <f>ROUND(Wapato_Inventory[[#This Row],[detatched_value]]*Lookups!$B$22*Lookups!$H$48,-2)</f>
        <v>0</v>
      </c>
      <c r="BI1166" s="7">
        <f>ROUND(((Wapato_Inventory[[#This Row],[land_extract]]*Lookups!$B$3) +(Lookups!$B$2*0.5))*Lookups!$H$48,-2)</f>
        <v>54100</v>
      </c>
      <c r="BJ1166" s="7">
        <f>IF(Wapato_Inventory[[#This Row],[bldg_style]]="",0,Lookups!$B$2*0.5)</f>
        <v>53765.27</v>
      </c>
      <c r="BK1166" s="7">
        <f>_xlfn.IFNA(VLOOKUP(Wapato_Inventory[[#This Row],[quality]],Lookups!$H$2:$J$14,3,FALSE),0)</f>
        <v>23424</v>
      </c>
      <c r="BL1166" s="7">
        <f>_xlfn.IFNA(VLOOKUP(Wapato_Inventory[[#This Row],[condition]],Lookups!$H$17:$J$24,3,FALSE),0)</f>
        <v>16276</v>
      </c>
      <c r="BM1166" s="7">
        <f>Wapato_Inventory[[#This Row],[Age]]*Lookups!$B$16</f>
        <v>-32619.461600000002</v>
      </c>
      <c r="BN1166" s="7">
        <f>Wapato_Inventory[[#This Row],[Main Floor]]*Lookups!$B$17</f>
        <v>27504.886262</v>
      </c>
      <c r="BO1166" s="7">
        <f>Wapato_Inventory[[#This Row],[Upper Floor]]*Lookups!$B$18</f>
        <v>0</v>
      </c>
      <c r="BP1166" s="7">
        <f>Wapato_Inventory[[#This Row],[Fin BSMT]]*Lookups!$B$19</f>
        <v>0</v>
      </c>
      <c r="BQ1166" s="7">
        <f>(Wapato_Inventory[[#This Row],[att_gar]]+Wapato_Inventory[[#This Row],[blt_gar]])*Lookups!$B$20</f>
        <v>0</v>
      </c>
      <c r="BR1166" s="7">
        <f>Wapato_Inventory[[#This Row],[Patio]]*Lookups!$B$21</f>
        <v>0</v>
      </c>
      <c r="BS1166" s="7">
        <f>SUM(Wapato_Inventory[[#This Row],[intercept]:[patio_value]])*Wapato_Inventory[[#This Row],[res_pct]]</f>
        <v>88350.694661999994</v>
      </c>
      <c r="BT1166" s="7">
        <f>Wapato_Inventory[[#This Row],[land_value]]</f>
        <v>54100</v>
      </c>
      <c r="BU1166" s="2">
        <f>_xlfn.IFNA(VLOOKUP(Wapato_Inventory[[#This Row],[quality]],Lookups!$A$28:$C$37,3,FALSE),1)</f>
        <v>1.0091195562373767</v>
      </c>
      <c r="BV1166" s="2">
        <f>_xlfn.IFNA(VLOOKUP(Wapato_Inventory[[#This Row],[condition]],Lookups!$A$41:$C$48,3,FALSE),1)</f>
        <v>0.93399385491337139</v>
      </c>
      <c r="BW1166" s="2">
        <f>IF(Wapato_Inventory[[#This Row],[decade]]="",1,_xlfn.IFNA(VLOOKUP(Wapato_Inventory[[#This Row],[decade]],Lookups!$F$28:$H$45,3,FALSE),1))</f>
        <v>0.94742695999815718</v>
      </c>
      <c r="BX1166" s="2">
        <f>_xlfn.IFNA(VLOOKUP(Wapato_Inventory[[#This Row],[living_area_range]],Lookups!$K$28:$M$37,3,FALSE),1)</f>
        <v>0.99022994770196116</v>
      </c>
      <c r="BY1166" s="2">
        <f>AVERAGE(Wapato_Inventory[[#This Row],[qual_adj]:[range_adj]])</f>
        <v>0.97019257971271655</v>
      </c>
      <c r="BZ1166" s="7">
        <f>(Wapato_Inventory[[#This Row],[sum_land]]-IF(Wapato_Inventory[[#This Row],[no_utilities]]=1,12000,0))/IF(Wapato_Inventory[[#This Row],[unbuildable]]=1,2,1)</f>
        <v>54100</v>
      </c>
      <c r="CA1166" s="7">
        <f>Wapato_Inventory[[#This Row],[pre_res]]*Wapato_Inventory[[#This Row],[overall_adj]]</f>
        <v>85717.188373536308</v>
      </c>
      <c r="CB1166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66" s="3">
        <f>IF(ROUND(Wapato_Inventory[[#This Row],[adj_res]]*Lookups!$H$48,-2)&lt;Wapato_Inventory[[#This Row],[min_res]],Wapato_Inventory[[#This Row],[min_res]],ROUND(Wapato_Inventory[[#This Row],[adj_res]]*Lookups!$H$48,-2))</f>
        <v>81400</v>
      </c>
      <c r="CD1166" s="3">
        <f>ROUND(Wapato_Inventory[[#This Row],[det_value]]*Lookups!$H$48,-2)</f>
        <v>0</v>
      </c>
      <c r="CE1166" s="3">
        <f>Wapato_Inventory[[#This Row],[final_res]]+Wapato_Inventory[[#This Row],[final_det]]</f>
        <v>81400</v>
      </c>
      <c r="CF1166" s="3">
        <f>Wapato_Inventory[[#This Row],[crop_value]]+Wapato_Inventory[[#This Row],[final_land]]+Wapato_Inventory[[#This Row],[final_imp]]</f>
        <v>132800</v>
      </c>
      <c r="CH1166" t="str">
        <f t="shared" si="18"/>
        <v>update valuation set market_land =51400, market_bldg=81400, market_total =132800, market_mdno =405, market_date ='9/10/2023' where link_id = (select link_id from parcel where parcel_year = '2024' and parcel_id = '19112211418');</v>
      </c>
    </row>
    <row r="1167" spans="1:86" x14ac:dyDescent="0.25">
      <c r="A1167">
        <v>19112211419</v>
      </c>
      <c r="B1167">
        <v>0.21</v>
      </c>
      <c r="C1167">
        <v>8960</v>
      </c>
      <c r="D1167" t="s">
        <v>144</v>
      </c>
      <c r="E1167" t="s">
        <v>54</v>
      </c>
      <c r="F1167" t="s">
        <v>54</v>
      </c>
      <c r="G1167">
        <v>3</v>
      </c>
      <c r="H1167" t="s">
        <v>55</v>
      </c>
      <c r="I1167">
        <v>130600</v>
      </c>
      <c r="J1167">
        <v>34800</v>
      </c>
      <c r="K1167">
        <v>0.21</v>
      </c>
      <c r="L1167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67">
        <v>0</v>
      </c>
      <c r="N1167">
        <v>0</v>
      </c>
      <c r="O1167">
        <v>0</v>
      </c>
      <c r="P1167">
        <v>27904.037</v>
      </c>
      <c r="Q1167">
        <v>74398</v>
      </c>
      <c r="R1167" s="3">
        <f>(Wapato_Inventory[[#This Row],[ln_acres]]*Wapato_Inventory[[#This Row],[coeff]])+Wapato_Inventory[[#This Row],[const]]</f>
        <v>30849.627488456012</v>
      </c>
      <c r="S1167" t="s">
        <v>66</v>
      </c>
      <c r="T1167">
        <v>1</v>
      </c>
      <c r="U1167" t="s">
        <v>71</v>
      </c>
      <c r="V1167" t="s">
        <v>69</v>
      </c>
      <c r="W1167">
        <v>0</v>
      </c>
      <c r="X1167">
        <v>0</v>
      </c>
      <c r="Y1167">
        <v>51</v>
      </c>
      <c r="Z1167">
        <v>83</v>
      </c>
      <c r="AA1167">
        <v>90</v>
      </c>
      <c r="AB1167">
        <v>1000</v>
      </c>
      <c r="AC1167">
        <v>727</v>
      </c>
      <c r="AD1167">
        <v>727</v>
      </c>
      <c r="AE1167">
        <v>0</v>
      </c>
      <c r="AF1167">
        <v>0</v>
      </c>
      <c r="AG1167">
        <v>0</v>
      </c>
      <c r="AH1167">
        <v>0</v>
      </c>
      <c r="AI1167">
        <v>0</v>
      </c>
      <c r="AJ1167">
        <v>0</v>
      </c>
      <c r="AK1167">
        <v>0</v>
      </c>
      <c r="AL1167">
        <v>0</v>
      </c>
      <c r="AM1167">
        <v>0</v>
      </c>
      <c r="AN1167">
        <v>0</v>
      </c>
      <c r="AO1167">
        <v>0</v>
      </c>
      <c r="AP1167">
        <v>5</v>
      </c>
      <c r="AQ1167">
        <v>0</v>
      </c>
      <c r="AR1167">
        <v>0</v>
      </c>
      <c r="AS1167" t="s">
        <v>59</v>
      </c>
      <c r="AT1167">
        <v>0</v>
      </c>
      <c r="AU1167" t="s">
        <v>80</v>
      </c>
      <c r="AV1167" t="s">
        <v>77</v>
      </c>
      <c r="AW1167">
        <v>0</v>
      </c>
      <c r="AX1167">
        <v>2</v>
      </c>
      <c r="AY1167">
        <v>0</v>
      </c>
      <c r="AZ1167">
        <v>0</v>
      </c>
      <c r="BA1167">
        <v>100</v>
      </c>
      <c r="BB1167">
        <v>100</v>
      </c>
      <c r="BC1167">
        <v>100</v>
      </c>
      <c r="BD1167">
        <v>100</v>
      </c>
      <c r="BE1167">
        <v>1</v>
      </c>
      <c r="BF1167">
        <v>15000</v>
      </c>
      <c r="BG1167">
        <v>1000</v>
      </c>
      <c r="BH1167" s="7">
        <f>ROUND(Wapato_Inventory[[#This Row],[detatched_value]]*Lookups!$B$22*Lookups!$H$48,-2)</f>
        <v>0</v>
      </c>
      <c r="BI1167" s="7">
        <f>ROUND(((Wapato_Inventory[[#This Row],[land_extract]]*Lookups!$B$3) +(Lookups!$B$2*0.5))*Lookups!$H$48,-2)</f>
        <v>54100</v>
      </c>
      <c r="BJ1167" s="7">
        <f>IF(Wapato_Inventory[[#This Row],[bldg_style]]="",0,Lookups!$B$2*0.5)</f>
        <v>53765.27</v>
      </c>
      <c r="BK1167" s="7">
        <f>_xlfn.IFNA(VLOOKUP(Wapato_Inventory[[#This Row],[quality]],Lookups!$H$2:$J$14,3,FALSE),0)</f>
        <v>28034</v>
      </c>
      <c r="BL1167" s="7">
        <f>_xlfn.IFNA(VLOOKUP(Wapato_Inventory[[#This Row],[condition]],Lookups!$H$17:$J$24,3,FALSE),0)</f>
        <v>74543</v>
      </c>
      <c r="BM1167" s="7">
        <f>Wapato_Inventory[[#This Row],[Age]]*Lookups!$B$16</f>
        <v>-30766.0831</v>
      </c>
      <c r="BN1167" s="7">
        <f>Wapato_Inventory[[#This Row],[Main Floor]]*Lookups!$B$17</f>
        <v>30389.137253000001</v>
      </c>
      <c r="BO1167" s="7">
        <f>Wapato_Inventory[[#This Row],[Upper Floor]]*Lookups!$B$18</f>
        <v>0</v>
      </c>
      <c r="BP1167" s="7">
        <f>Wapato_Inventory[[#This Row],[Fin BSMT]]*Lookups!$B$19</f>
        <v>0</v>
      </c>
      <c r="BQ1167" s="7">
        <f>(Wapato_Inventory[[#This Row],[att_gar]]+Wapato_Inventory[[#This Row],[blt_gar]])*Lookups!$B$20</f>
        <v>0</v>
      </c>
      <c r="BR1167" s="7">
        <f>Wapato_Inventory[[#This Row],[Patio]]*Lookups!$B$21</f>
        <v>0</v>
      </c>
      <c r="BS1167" s="7">
        <f>SUM(Wapato_Inventory[[#This Row],[intercept]:[patio_value]])*Wapato_Inventory[[#This Row],[res_pct]]</f>
        <v>155965.32415299999</v>
      </c>
      <c r="BT1167" s="7">
        <f>Wapato_Inventory[[#This Row],[land_value]]</f>
        <v>54100</v>
      </c>
      <c r="BU1167" s="2">
        <f>_xlfn.IFNA(VLOOKUP(Wapato_Inventory[[#This Row],[quality]],Lookups!$A$28:$C$37,3,FALSE),1)</f>
        <v>0.96265813922927435</v>
      </c>
      <c r="BV1167" s="2">
        <f>_xlfn.IFNA(VLOOKUP(Wapato_Inventory[[#This Row],[condition]],Lookups!$A$41:$C$48,3,FALSE),1)</f>
        <v>0.98442438223270734</v>
      </c>
      <c r="BW1167" s="2">
        <f>IF(Wapato_Inventory[[#This Row],[decade]]="",1,_xlfn.IFNA(VLOOKUP(Wapato_Inventory[[#This Row],[decade]],Lookups!$F$28:$H$45,3,FALSE),1))</f>
        <v>0.94742695999815718</v>
      </c>
      <c r="BX1167" s="2">
        <f>_xlfn.IFNA(VLOOKUP(Wapato_Inventory[[#This Row],[living_area_range]],Lookups!$K$28:$M$37,3,FALSE),1)</f>
        <v>0.99022994770196116</v>
      </c>
      <c r="BY1167" s="2">
        <f>AVERAGE(Wapato_Inventory[[#This Row],[qual_adj]:[range_adj]])</f>
        <v>0.97118485729052495</v>
      </c>
      <c r="BZ1167" s="7">
        <f>(Wapato_Inventory[[#This Row],[sum_land]]-IF(Wapato_Inventory[[#This Row],[no_utilities]]=1,12000,0))/IF(Wapato_Inventory[[#This Row],[unbuildable]]=1,2,1)</f>
        <v>54100</v>
      </c>
      <c r="CA1167" s="7">
        <f>Wapato_Inventory[[#This Row],[pre_res]]*Wapato_Inventory[[#This Row],[overall_adj]]</f>
        <v>151471.16107980176</v>
      </c>
      <c r="CB1167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67" s="3">
        <f>IF(ROUND(Wapato_Inventory[[#This Row],[adj_res]]*Lookups!$H$48,-2)&lt;Wapato_Inventory[[#This Row],[min_res]],Wapato_Inventory[[#This Row],[min_res]],ROUND(Wapato_Inventory[[#This Row],[adj_res]]*Lookups!$H$48,-2))</f>
        <v>143900</v>
      </c>
      <c r="CD1167" s="3">
        <f>ROUND(Wapato_Inventory[[#This Row],[det_value]]*Lookups!$H$48,-2)</f>
        <v>0</v>
      </c>
      <c r="CE1167" s="3">
        <f>Wapato_Inventory[[#This Row],[final_res]]+Wapato_Inventory[[#This Row],[final_det]]</f>
        <v>143900</v>
      </c>
      <c r="CF1167" s="3">
        <f>Wapato_Inventory[[#This Row],[crop_value]]+Wapato_Inventory[[#This Row],[final_land]]+Wapato_Inventory[[#This Row],[final_imp]]</f>
        <v>195300</v>
      </c>
      <c r="CH1167" t="str">
        <f t="shared" si="18"/>
        <v>update valuation set market_land =51400, market_bldg=143900, market_total =195300, market_mdno =405, market_date ='9/10/2023' where link_id = (select link_id from parcel where parcel_year = '2024' and parcel_id = '19112211419');</v>
      </c>
    </row>
    <row r="1168" spans="1:86" x14ac:dyDescent="0.25">
      <c r="A1168">
        <v>19112211420</v>
      </c>
      <c r="B1168">
        <v>0.21</v>
      </c>
      <c r="C1168">
        <v>8960</v>
      </c>
      <c r="D1168" t="s">
        <v>144</v>
      </c>
      <c r="E1168" t="s">
        <v>54</v>
      </c>
      <c r="F1168" t="s">
        <v>54</v>
      </c>
      <c r="G1168">
        <v>3</v>
      </c>
      <c r="H1168" t="s">
        <v>55</v>
      </c>
      <c r="I1168">
        <v>48800</v>
      </c>
      <c r="J1168">
        <v>34800</v>
      </c>
      <c r="K1168">
        <v>0.21</v>
      </c>
      <c r="L1168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68">
        <v>0</v>
      </c>
      <c r="N1168">
        <v>0</v>
      </c>
      <c r="O1168">
        <v>0</v>
      </c>
      <c r="P1168">
        <v>27904.037</v>
      </c>
      <c r="Q1168">
        <v>74398</v>
      </c>
      <c r="R1168" s="3">
        <f>(Wapato_Inventory[[#This Row],[ln_acres]]*Wapato_Inventory[[#This Row],[coeff]])+Wapato_Inventory[[#This Row],[const]]</f>
        <v>30849.627488456012</v>
      </c>
      <c r="S1168" t="s">
        <v>66</v>
      </c>
      <c r="T1168">
        <v>1</v>
      </c>
      <c r="U1168" t="s">
        <v>86</v>
      </c>
      <c r="V1168" t="s">
        <v>73</v>
      </c>
      <c r="W1168">
        <v>0</v>
      </c>
      <c r="X1168">
        <v>0</v>
      </c>
      <c r="Y1168">
        <v>53</v>
      </c>
      <c r="Z1168">
        <v>93</v>
      </c>
      <c r="AA1168">
        <v>100</v>
      </c>
      <c r="AB1168">
        <v>1000</v>
      </c>
      <c r="AC1168">
        <v>644</v>
      </c>
      <c r="AD1168">
        <v>644</v>
      </c>
      <c r="AE1168">
        <v>0</v>
      </c>
      <c r="AF1168">
        <v>0</v>
      </c>
      <c r="AG1168">
        <v>0</v>
      </c>
      <c r="AH1168">
        <v>0</v>
      </c>
      <c r="AI1168">
        <v>0</v>
      </c>
      <c r="AJ1168">
        <v>0</v>
      </c>
      <c r="AK1168">
        <v>336</v>
      </c>
      <c r="AL1168">
        <v>0</v>
      </c>
      <c r="AM1168">
        <v>0</v>
      </c>
      <c r="AN1168">
        <v>0</v>
      </c>
      <c r="AO1168">
        <v>0</v>
      </c>
      <c r="AP1168">
        <v>5</v>
      </c>
      <c r="AQ1168">
        <v>0</v>
      </c>
      <c r="AR1168">
        <v>0</v>
      </c>
      <c r="AS1168" t="s">
        <v>59</v>
      </c>
      <c r="AT1168">
        <v>0</v>
      </c>
      <c r="AU1168" t="s">
        <v>80</v>
      </c>
      <c r="AV1168" t="s">
        <v>61</v>
      </c>
      <c r="AW1168">
        <v>0</v>
      </c>
      <c r="AX1168">
        <v>3</v>
      </c>
      <c r="AY1168">
        <v>0</v>
      </c>
      <c r="AZ1168">
        <v>0</v>
      </c>
      <c r="BA1168">
        <v>100</v>
      </c>
      <c r="BB1168">
        <v>100</v>
      </c>
      <c r="BC1168">
        <v>100</v>
      </c>
      <c r="BD1168">
        <v>100</v>
      </c>
      <c r="BE1168">
        <v>1</v>
      </c>
      <c r="BF1168">
        <v>15000</v>
      </c>
      <c r="BG1168">
        <v>1000</v>
      </c>
      <c r="BH1168" s="7">
        <f>ROUND(Wapato_Inventory[[#This Row],[detatched_value]]*Lookups!$B$22*Lookups!$H$48,-2)</f>
        <v>0</v>
      </c>
      <c r="BI1168" s="7">
        <f>ROUND(((Wapato_Inventory[[#This Row],[land_extract]]*Lookups!$B$3) +(Lookups!$B$2*0.5))*Lookups!$H$48,-2)</f>
        <v>54100</v>
      </c>
      <c r="BJ1168" s="7">
        <f>IF(Wapato_Inventory[[#This Row],[bldg_style]]="",0,Lookups!$B$2*0.5)</f>
        <v>53765.27</v>
      </c>
      <c r="BK1168" s="7">
        <f>_xlfn.IFNA(VLOOKUP(Wapato_Inventory[[#This Row],[quality]],Lookups!$H$2:$J$14,3,FALSE),0)</f>
        <v>0</v>
      </c>
      <c r="BL1168" s="7">
        <f>_xlfn.IFNA(VLOOKUP(Wapato_Inventory[[#This Row],[condition]],Lookups!$H$17:$J$24,3,FALSE),0)</f>
        <v>16276</v>
      </c>
      <c r="BM1168" s="7">
        <f>Wapato_Inventory[[#This Row],[Age]]*Lookups!$B$16</f>
        <v>-34472.840100000001</v>
      </c>
      <c r="BN1168" s="7">
        <f>Wapato_Inventory[[#This Row],[Main Floor]]*Lookups!$B$17</f>
        <v>26919.675916</v>
      </c>
      <c r="BO1168" s="7">
        <f>Wapato_Inventory[[#This Row],[Upper Floor]]*Lookups!$B$18</f>
        <v>0</v>
      </c>
      <c r="BP1168" s="7">
        <f>Wapato_Inventory[[#This Row],[Fin BSMT]]*Lookups!$B$19</f>
        <v>0</v>
      </c>
      <c r="BQ1168" s="7">
        <f>(Wapato_Inventory[[#This Row],[att_gar]]+Wapato_Inventory[[#This Row],[blt_gar]])*Lookups!$B$20</f>
        <v>0</v>
      </c>
      <c r="BR1168" s="7">
        <f>Wapato_Inventory[[#This Row],[Patio]]*Lookups!$B$21</f>
        <v>0</v>
      </c>
      <c r="BS1168" s="7">
        <f>SUM(Wapato_Inventory[[#This Row],[intercept]:[patio_value]])*Wapato_Inventory[[#This Row],[res_pct]]</f>
        <v>62488.105815999988</v>
      </c>
      <c r="BT1168" s="7">
        <f>Wapato_Inventory[[#This Row],[land_value]]</f>
        <v>54100</v>
      </c>
      <c r="BU1168" s="2">
        <f>_xlfn.IFNA(VLOOKUP(Wapato_Inventory[[#This Row],[quality]],Lookups!$A$28:$C$37,3,FALSE),1)</f>
        <v>1.0000010866511106</v>
      </c>
      <c r="BV1168" s="2">
        <f>_xlfn.IFNA(VLOOKUP(Wapato_Inventory[[#This Row],[condition]],Lookups!$A$41:$C$48,3,FALSE),1)</f>
        <v>0.93399385491337139</v>
      </c>
      <c r="BW1168" s="2">
        <f>IF(Wapato_Inventory[[#This Row],[decade]]="",1,_xlfn.IFNA(VLOOKUP(Wapato_Inventory[[#This Row],[decade]],Lookups!$F$28:$H$45,3,FALSE),1))</f>
        <v>1.0114203040664467</v>
      </c>
      <c r="BX1168" s="2">
        <f>_xlfn.IFNA(VLOOKUP(Wapato_Inventory[[#This Row],[living_area_range]],Lookups!$K$28:$M$37,3,FALSE),1)</f>
        <v>0.99022994770196116</v>
      </c>
      <c r="BY1168" s="2">
        <f>AVERAGE(Wapato_Inventory[[#This Row],[qual_adj]:[range_adj]])</f>
        <v>0.98391129833322244</v>
      </c>
      <c r="BZ1168" s="7">
        <f>(Wapato_Inventory[[#This Row],[sum_land]]-IF(Wapato_Inventory[[#This Row],[no_utilities]]=1,12000,0))/IF(Wapato_Inventory[[#This Row],[unbuildable]]=1,2,1)</f>
        <v>54100</v>
      </c>
      <c r="CA1168" s="7">
        <f>Wapato_Inventory[[#This Row],[pre_res]]*Wapato_Inventory[[#This Row],[overall_adj]]</f>
        <v>61482.75332380434</v>
      </c>
      <c r="CB1168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68" s="3">
        <f>IF(ROUND(Wapato_Inventory[[#This Row],[adj_res]]*Lookups!$H$48,-2)&lt;Wapato_Inventory[[#This Row],[min_res]],Wapato_Inventory[[#This Row],[min_res]],ROUND(Wapato_Inventory[[#This Row],[adj_res]]*Lookups!$H$48,-2))</f>
        <v>58400</v>
      </c>
      <c r="CD1168" s="3">
        <f>ROUND(Wapato_Inventory[[#This Row],[det_value]]*Lookups!$H$48,-2)</f>
        <v>0</v>
      </c>
      <c r="CE1168" s="3">
        <f>Wapato_Inventory[[#This Row],[final_res]]+Wapato_Inventory[[#This Row],[final_det]]</f>
        <v>58400</v>
      </c>
      <c r="CF1168" s="3">
        <f>Wapato_Inventory[[#This Row],[crop_value]]+Wapato_Inventory[[#This Row],[final_land]]+Wapato_Inventory[[#This Row],[final_imp]]</f>
        <v>109800</v>
      </c>
      <c r="CH1168" t="str">
        <f t="shared" si="18"/>
        <v>update valuation set market_land =51400, market_bldg=58400, market_total =109800, market_mdno =405, market_date ='9/10/2023' where link_id = (select link_id from parcel where parcel_year = '2024' and parcel_id = '19112211420');</v>
      </c>
    </row>
    <row r="1169" spans="1:86" x14ac:dyDescent="0.25">
      <c r="A1169">
        <v>19112211421</v>
      </c>
      <c r="B1169">
        <v>0.21</v>
      </c>
      <c r="C1169">
        <v>8960</v>
      </c>
      <c r="D1169" t="s">
        <v>144</v>
      </c>
      <c r="E1169" t="s">
        <v>54</v>
      </c>
      <c r="F1169" t="s">
        <v>54</v>
      </c>
      <c r="G1169">
        <v>3</v>
      </c>
      <c r="H1169" t="s">
        <v>55</v>
      </c>
      <c r="I1169">
        <v>137300</v>
      </c>
      <c r="J1169">
        <v>34800</v>
      </c>
      <c r="K1169">
        <v>0.21</v>
      </c>
      <c r="L1169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69">
        <v>0</v>
      </c>
      <c r="N1169">
        <v>0</v>
      </c>
      <c r="O1169">
        <v>0</v>
      </c>
      <c r="P1169">
        <v>27904.037</v>
      </c>
      <c r="Q1169">
        <v>74398</v>
      </c>
      <c r="R1169" s="3">
        <f>(Wapato_Inventory[[#This Row],[ln_acres]]*Wapato_Inventory[[#This Row],[coeff]])+Wapato_Inventory[[#This Row],[const]]</f>
        <v>30849.627488456012</v>
      </c>
      <c r="S1169" t="s">
        <v>66</v>
      </c>
      <c r="T1169">
        <v>1</v>
      </c>
      <c r="U1169" t="s">
        <v>75</v>
      </c>
      <c r="V1169" t="s">
        <v>68</v>
      </c>
      <c r="W1169">
        <v>0</v>
      </c>
      <c r="X1169">
        <v>0</v>
      </c>
      <c r="Y1169">
        <v>55</v>
      </c>
      <c r="Z1169">
        <v>98</v>
      </c>
      <c r="AA1169">
        <v>100</v>
      </c>
      <c r="AB1169">
        <v>1500</v>
      </c>
      <c r="AC1169">
        <v>1092</v>
      </c>
      <c r="AD1169">
        <v>1092</v>
      </c>
      <c r="AE1169">
        <v>0</v>
      </c>
      <c r="AF1169">
        <v>0</v>
      </c>
      <c r="AG1169">
        <v>0</v>
      </c>
      <c r="AH1169">
        <v>0</v>
      </c>
      <c r="AI1169">
        <v>0</v>
      </c>
      <c r="AJ1169">
        <v>0</v>
      </c>
      <c r="AK1169">
        <v>286</v>
      </c>
      <c r="AL1169">
        <v>0</v>
      </c>
      <c r="AM1169">
        <v>0</v>
      </c>
      <c r="AN1169">
        <v>0</v>
      </c>
      <c r="AO1169">
        <v>0</v>
      </c>
      <c r="AP1169">
        <v>8</v>
      </c>
      <c r="AQ1169">
        <v>0</v>
      </c>
      <c r="AR1169">
        <v>0</v>
      </c>
      <c r="AS1169" t="s">
        <v>59</v>
      </c>
      <c r="AT1169">
        <v>1</v>
      </c>
      <c r="AU1169" t="s">
        <v>76</v>
      </c>
      <c r="AV1169" t="s">
        <v>61</v>
      </c>
      <c r="AW1169">
        <v>0</v>
      </c>
      <c r="AX1169">
        <v>3</v>
      </c>
      <c r="AY1169">
        <v>0</v>
      </c>
      <c r="AZ1169">
        <v>4100</v>
      </c>
      <c r="BA1169">
        <v>100</v>
      </c>
      <c r="BB1169">
        <v>100</v>
      </c>
      <c r="BC1169">
        <v>100</v>
      </c>
      <c r="BD1169">
        <v>100</v>
      </c>
      <c r="BE1169">
        <v>1</v>
      </c>
      <c r="BF1169">
        <v>15000</v>
      </c>
      <c r="BG1169">
        <v>1000</v>
      </c>
      <c r="BH1169" s="7">
        <f>ROUND(Wapato_Inventory[[#This Row],[detatched_value]]*Lookups!$B$22*Lookups!$H$48,-2)</f>
        <v>3700</v>
      </c>
      <c r="BI1169" s="7">
        <f>ROUND(((Wapato_Inventory[[#This Row],[land_extract]]*Lookups!$B$3) +(Lookups!$B$2*0.5))*Lookups!$H$48,-2)</f>
        <v>54100</v>
      </c>
      <c r="BJ1169" s="7">
        <f>IF(Wapato_Inventory[[#This Row],[bldg_style]]="",0,Lookups!$B$2*0.5)</f>
        <v>53765.27</v>
      </c>
      <c r="BK1169" s="7">
        <f>_xlfn.IFNA(VLOOKUP(Wapato_Inventory[[#This Row],[quality]],Lookups!$H$2:$J$14,3,FALSE),0)</f>
        <v>48043</v>
      </c>
      <c r="BL1169" s="7">
        <f>_xlfn.IFNA(VLOOKUP(Wapato_Inventory[[#This Row],[condition]],Lookups!$H$17:$J$24,3,FALSE),0)</f>
        <v>52231</v>
      </c>
      <c r="BM1169" s="7">
        <f>Wapato_Inventory[[#This Row],[Age]]*Lookups!$B$16</f>
        <v>-36326.2186</v>
      </c>
      <c r="BN1169" s="7">
        <f>Wapato_Inventory[[#This Row],[Main Floor]]*Lookups!$B$17</f>
        <v>45646.406988000002</v>
      </c>
      <c r="BO1169" s="7">
        <f>Wapato_Inventory[[#This Row],[Upper Floor]]*Lookups!$B$18</f>
        <v>0</v>
      </c>
      <c r="BP1169" s="7">
        <f>Wapato_Inventory[[#This Row],[Fin BSMT]]*Lookups!$B$19</f>
        <v>0</v>
      </c>
      <c r="BQ1169" s="7">
        <f>(Wapato_Inventory[[#This Row],[att_gar]]+Wapato_Inventory[[#This Row],[blt_gar]])*Lookups!$B$20</f>
        <v>0</v>
      </c>
      <c r="BR1169" s="7">
        <f>Wapato_Inventory[[#This Row],[Patio]]*Lookups!$B$21</f>
        <v>0</v>
      </c>
      <c r="BS1169" s="7">
        <f>SUM(Wapato_Inventory[[#This Row],[intercept]:[patio_value]])*Wapato_Inventory[[#This Row],[res_pct]]</f>
        <v>163359.458388</v>
      </c>
      <c r="BT1169" s="7">
        <f>Wapato_Inventory[[#This Row],[land_value]]</f>
        <v>54100</v>
      </c>
      <c r="BU1169" s="2">
        <f>_xlfn.IFNA(VLOOKUP(Wapato_Inventory[[#This Row],[quality]],Lookups!$A$28:$C$37,3,FALSE),1)</f>
        <v>0.98196844879778955</v>
      </c>
      <c r="BV1169" s="2">
        <f>_xlfn.IFNA(VLOOKUP(Wapato_Inventory[[#This Row],[condition]],Lookups!$A$41:$C$48,3,FALSE),1)</f>
        <v>0.9832333997567807</v>
      </c>
      <c r="BW1169" s="2">
        <f>IF(Wapato_Inventory[[#This Row],[decade]]="",1,_xlfn.IFNA(VLOOKUP(Wapato_Inventory[[#This Row],[decade]],Lookups!$F$28:$H$45,3,FALSE),1))</f>
        <v>1.0114203040664467</v>
      </c>
      <c r="BX1169" s="2">
        <f>_xlfn.IFNA(VLOOKUP(Wapato_Inventory[[#This Row],[living_area_range]],Lookups!$K$28:$M$37,3,FALSE),1)</f>
        <v>1.0061411172456287</v>
      </c>
      <c r="BY1169" s="2">
        <f>AVERAGE(Wapato_Inventory[[#This Row],[qual_adj]:[range_adj]])</f>
        <v>0.99569081746666144</v>
      </c>
      <c r="BZ1169" s="7">
        <f>(Wapato_Inventory[[#This Row],[sum_land]]-IF(Wapato_Inventory[[#This Row],[no_utilities]]=1,12000,0))/IF(Wapato_Inventory[[#This Row],[unbuildable]]=1,2,1)</f>
        <v>54100</v>
      </c>
      <c r="CA1169" s="7">
        <f>Wapato_Inventory[[#This Row],[pre_res]]*Wapato_Inventory[[#This Row],[overall_adj]]</f>
        <v>162655.51266325879</v>
      </c>
      <c r="CB1169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69" s="3">
        <f>IF(ROUND(Wapato_Inventory[[#This Row],[adj_res]]*Lookups!$H$48,-2)&lt;Wapato_Inventory[[#This Row],[min_res]],Wapato_Inventory[[#This Row],[min_res]],ROUND(Wapato_Inventory[[#This Row],[adj_res]]*Lookups!$H$48,-2))</f>
        <v>154500</v>
      </c>
      <c r="CD1169" s="3">
        <f>ROUND(Wapato_Inventory[[#This Row],[det_value]]*Lookups!$H$48,-2)</f>
        <v>3500</v>
      </c>
      <c r="CE1169" s="3">
        <f>Wapato_Inventory[[#This Row],[final_res]]+Wapato_Inventory[[#This Row],[final_det]]</f>
        <v>158000</v>
      </c>
      <c r="CF1169" s="3">
        <f>Wapato_Inventory[[#This Row],[crop_value]]+Wapato_Inventory[[#This Row],[final_land]]+Wapato_Inventory[[#This Row],[final_imp]]</f>
        <v>209400</v>
      </c>
      <c r="CH1169" t="str">
        <f t="shared" si="18"/>
        <v>update valuation set market_land =51400, market_bldg=158000, market_total =209400, market_mdno =405, market_date ='9/10/2023' where link_id = (select link_id from parcel where parcel_year = '2024' and parcel_id = '19112211421');</v>
      </c>
    </row>
    <row r="1170" spans="1:86" x14ac:dyDescent="0.25">
      <c r="A1170">
        <v>19112211422</v>
      </c>
      <c r="B1170">
        <v>0.41</v>
      </c>
      <c r="C1170">
        <v>17919</v>
      </c>
      <c r="D1170" t="s">
        <v>144</v>
      </c>
      <c r="E1170" t="s">
        <v>54</v>
      </c>
      <c r="F1170" t="s">
        <v>54</v>
      </c>
      <c r="G1170">
        <v>3</v>
      </c>
      <c r="H1170" t="s">
        <v>55</v>
      </c>
      <c r="I1170">
        <v>161700</v>
      </c>
      <c r="J1170">
        <v>39500</v>
      </c>
      <c r="K1170">
        <v>0.41</v>
      </c>
      <c r="L1170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170">
        <v>0</v>
      </c>
      <c r="N1170">
        <v>0</v>
      </c>
      <c r="O1170">
        <v>0</v>
      </c>
      <c r="P1170">
        <v>27904.037</v>
      </c>
      <c r="Q1170">
        <v>74398</v>
      </c>
      <c r="R1170" s="3">
        <f>(Wapato_Inventory[[#This Row],[ln_acres]]*Wapato_Inventory[[#This Row],[coeff]])+Wapato_Inventory[[#This Row],[const]]</f>
        <v>49518.813090374882</v>
      </c>
      <c r="S1170" t="s">
        <v>66</v>
      </c>
      <c r="T1170">
        <v>1</v>
      </c>
      <c r="U1170" t="s">
        <v>71</v>
      </c>
      <c r="V1170" t="s">
        <v>70</v>
      </c>
      <c r="W1170">
        <v>0</v>
      </c>
      <c r="X1170">
        <v>0</v>
      </c>
      <c r="Y1170">
        <v>29</v>
      </c>
      <c r="Z1170">
        <v>98</v>
      </c>
      <c r="AA1170">
        <v>100</v>
      </c>
      <c r="AB1170">
        <v>1000</v>
      </c>
      <c r="AC1170">
        <v>952</v>
      </c>
      <c r="AD1170">
        <v>952</v>
      </c>
      <c r="AE1170">
        <v>0</v>
      </c>
      <c r="AF1170">
        <v>0</v>
      </c>
      <c r="AG1170">
        <v>0</v>
      </c>
      <c r="AH1170">
        <v>0</v>
      </c>
      <c r="AI1170">
        <v>0</v>
      </c>
      <c r="AJ1170">
        <v>0</v>
      </c>
      <c r="AK1170">
        <v>0</v>
      </c>
      <c r="AL1170">
        <v>72</v>
      </c>
      <c r="AM1170">
        <v>0</v>
      </c>
      <c r="AN1170">
        <v>171</v>
      </c>
      <c r="AO1170">
        <v>0</v>
      </c>
      <c r="AP1170">
        <v>8</v>
      </c>
      <c r="AQ1170">
        <v>0</v>
      </c>
      <c r="AR1170">
        <v>0</v>
      </c>
      <c r="AS1170" t="s">
        <v>59</v>
      </c>
      <c r="AT1170">
        <v>1</v>
      </c>
      <c r="AU1170" t="s">
        <v>76</v>
      </c>
      <c r="AV1170" t="s">
        <v>61</v>
      </c>
      <c r="AW1170">
        <v>0</v>
      </c>
      <c r="AX1170">
        <v>3</v>
      </c>
      <c r="AY1170">
        <v>0</v>
      </c>
      <c r="AZ1170">
        <v>0</v>
      </c>
      <c r="BA1170">
        <v>100</v>
      </c>
      <c r="BB1170">
        <v>100</v>
      </c>
      <c r="BC1170">
        <v>100</v>
      </c>
      <c r="BD1170">
        <v>100</v>
      </c>
      <c r="BE1170">
        <v>1</v>
      </c>
      <c r="BF1170">
        <v>15000</v>
      </c>
      <c r="BG1170">
        <v>1000</v>
      </c>
      <c r="BH1170" s="7">
        <f>ROUND(Wapato_Inventory[[#This Row],[detatched_value]]*Lookups!$B$22*Lookups!$H$48,-2)</f>
        <v>0</v>
      </c>
      <c r="BI1170" s="7">
        <f>ROUND(((Wapato_Inventory[[#This Row],[land_extract]]*Lookups!$B$3) +(Lookups!$B$2*0.5))*Lookups!$H$48,-2)</f>
        <v>55900</v>
      </c>
      <c r="BJ1170" s="7">
        <f>IF(Wapato_Inventory[[#This Row],[bldg_style]]="",0,Lookups!$B$2*0.5)</f>
        <v>53765.27</v>
      </c>
      <c r="BK1170" s="7">
        <f>_xlfn.IFNA(VLOOKUP(Wapato_Inventory[[#This Row],[quality]],Lookups!$H$2:$J$14,3,FALSE),0)</f>
        <v>28034</v>
      </c>
      <c r="BL1170" s="7">
        <f>_xlfn.IFNA(VLOOKUP(Wapato_Inventory[[#This Row],[condition]],Lookups!$H$17:$J$24,3,FALSE),0)</f>
        <v>84338</v>
      </c>
      <c r="BM1170" s="7">
        <f>Wapato_Inventory[[#This Row],[Age]]*Lookups!$B$16</f>
        <v>-36326.2186</v>
      </c>
      <c r="BN1170" s="7">
        <f>Wapato_Inventory[[#This Row],[Main Floor]]*Lookups!$B$17</f>
        <v>39794.303527999997</v>
      </c>
      <c r="BO1170" s="7">
        <f>Wapato_Inventory[[#This Row],[Upper Floor]]*Lookups!$B$18</f>
        <v>0</v>
      </c>
      <c r="BP1170" s="7">
        <f>Wapato_Inventory[[#This Row],[Fin BSMT]]*Lookups!$B$19</f>
        <v>0</v>
      </c>
      <c r="BQ1170" s="7">
        <f>(Wapato_Inventory[[#This Row],[att_gar]]+Wapato_Inventory[[#This Row],[blt_gar]])*Lookups!$B$20</f>
        <v>0</v>
      </c>
      <c r="BR1170" s="7">
        <f>Wapato_Inventory[[#This Row],[Patio]]*Lookups!$B$21</f>
        <v>0</v>
      </c>
      <c r="BS1170" s="7">
        <f>SUM(Wapato_Inventory[[#This Row],[intercept]:[patio_value]])*Wapato_Inventory[[#This Row],[res_pct]]</f>
        <v>169605.35492799999</v>
      </c>
      <c r="BT1170" s="7">
        <f>Wapato_Inventory[[#This Row],[land_value]]</f>
        <v>55900</v>
      </c>
      <c r="BU1170" s="2">
        <f>_xlfn.IFNA(VLOOKUP(Wapato_Inventory[[#This Row],[quality]],Lookups!$A$28:$C$37,3,FALSE),1)</f>
        <v>0.96265813922927435</v>
      </c>
      <c r="BV1170" s="2">
        <f>_xlfn.IFNA(VLOOKUP(Wapato_Inventory[[#This Row],[condition]],Lookups!$A$41:$C$48,3,FALSE),1)</f>
        <v>0.99478075210508476</v>
      </c>
      <c r="BW1170" s="2">
        <f>IF(Wapato_Inventory[[#This Row],[decade]]="",1,_xlfn.IFNA(VLOOKUP(Wapato_Inventory[[#This Row],[decade]],Lookups!$F$28:$H$45,3,FALSE),1))</f>
        <v>1.0114203040664467</v>
      </c>
      <c r="BX1170" s="2">
        <f>_xlfn.IFNA(VLOOKUP(Wapato_Inventory[[#This Row],[living_area_range]],Lookups!$K$28:$M$37,3,FALSE),1)</f>
        <v>0.99022994770196116</v>
      </c>
      <c r="BY1170" s="2">
        <f>AVERAGE(Wapato_Inventory[[#This Row],[qual_adj]:[range_adj]])</f>
        <v>0.98977228577569176</v>
      </c>
      <c r="BZ1170" s="7">
        <f>(Wapato_Inventory[[#This Row],[sum_land]]-IF(Wapato_Inventory[[#This Row],[no_utilities]]=1,12000,0))/IF(Wapato_Inventory[[#This Row],[unbuildable]]=1,2,1)</f>
        <v>55900</v>
      </c>
      <c r="CA1170" s="7">
        <f>Wapato_Inventory[[#This Row],[pre_res]]*Wapato_Inventory[[#This Row],[overall_adj]]</f>
        <v>167870.67982688404</v>
      </c>
      <c r="CB1170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70" s="3">
        <f>IF(ROUND(Wapato_Inventory[[#This Row],[adj_res]]*Lookups!$H$48,-2)&lt;Wapato_Inventory[[#This Row],[min_res]],Wapato_Inventory[[#This Row],[min_res]],ROUND(Wapato_Inventory[[#This Row],[adj_res]]*Lookups!$H$48,-2))</f>
        <v>159500</v>
      </c>
      <c r="CD1170" s="3">
        <f>ROUND(Wapato_Inventory[[#This Row],[det_value]]*Lookups!$H$48,-2)</f>
        <v>0</v>
      </c>
      <c r="CE1170" s="3">
        <f>Wapato_Inventory[[#This Row],[final_res]]+Wapato_Inventory[[#This Row],[final_det]]</f>
        <v>159500</v>
      </c>
      <c r="CF1170" s="3">
        <f>Wapato_Inventory[[#This Row],[crop_value]]+Wapato_Inventory[[#This Row],[final_land]]+Wapato_Inventory[[#This Row],[final_imp]]</f>
        <v>212600</v>
      </c>
      <c r="CH1170" t="str">
        <f t="shared" si="18"/>
        <v>update valuation set market_land =53100, market_bldg=159500, market_total =212600, market_mdno =405, market_date ='9/10/2023' where link_id = (select link_id from parcel where parcel_year = '2024' and parcel_id = '19112211422');</v>
      </c>
    </row>
    <row r="1171" spans="1:86" x14ac:dyDescent="0.25">
      <c r="A1171">
        <v>19112211424</v>
      </c>
      <c r="B1171">
        <v>0.36</v>
      </c>
      <c r="C1171">
        <v>15680</v>
      </c>
      <c r="D1171" t="s">
        <v>144</v>
      </c>
      <c r="E1171" t="s">
        <v>54</v>
      </c>
      <c r="F1171" t="s">
        <v>54</v>
      </c>
      <c r="G1171">
        <v>3</v>
      </c>
      <c r="H1171" t="s">
        <v>55</v>
      </c>
      <c r="I1171">
        <v>105700</v>
      </c>
      <c r="J1171">
        <v>38700</v>
      </c>
      <c r="K1171">
        <v>0.36</v>
      </c>
      <c r="L1171">
        <f>IF(Wapato_Inventory[[#This Row],[parcel_acres]]-Wapato_Inventory[[#This Row],[non_valued_acres]] =0,0,LN(Wapato_Inventory[[#This Row],[parcel_acres]]-Wapato_Inventory[[#This Row],[non_valued_acres]]))</f>
        <v>-1.0216512475319814</v>
      </c>
      <c r="M1171">
        <v>0</v>
      </c>
      <c r="N1171">
        <v>0</v>
      </c>
      <c r="O1171">
        <v>0</v>
      </c>
      <c r="P1171">
        <v>27904.037</v>
      </c>
      <c r="Q1171">
        <v>74398</v>
      </c>
      <c r="R1171" s="3">
        <f>(Wapato_Inventory[[#This Row],[ln_acres]]*Wapato_Inventory[[#This Row],[coeff]])+Wapato_Inventory[[#This Row],[const]]</f>
        <v>45889.805787771431</v>
      </c>
      <c r="S1171" t="s">
        <v>56</v>
      </c>
      <c r="T1171">
        <v>2</v>
      </c>
      <c r="U1171" t="s">
        <v>71</v>
      </c>
      <c r="V1171" t="s">
        <v>68</v>
      </c>
      <c r="W1171">
        <v>0</v>
      </c>
      <c r="X1171">
        <v>0</v>
      </c>
      <c r="Y1171">
        <v>53</v>
      </c>
      <c r="Z1171">
        <v>93</v>
      </c>
      <c r="AA1171">
        <v>100</v>
      </c>
      <c r="AB1171">
        <v>1500</v>
      </c>
      <c r="AC1171">
        <v>1088</v>
      </c>
      <c r="AD1171">
        <v>768</v>
      </c>
      <c r="AE1171">
        <v>320</v>
      </c>
      <c r="AF1171">
        <v>0</v>
      </c>
      <c r="AG1171">
        <v>0</v>
      </c>
      <c r="AH1171">
        <v>0</v>
      </c>
      <c r="AI1171">
        <v>0</v>
      </c>
      <c r="AJ1171">
        <v>0</v>
      </c>
      <c r="AK1171">
        <v>0</v>
      </c>
      <c r="AL1171">
        <v>0</v>
      </c>
      <c r="AM1171">
        <v>0</v>
      </c>
      <c r="AN1171">
        <v>0</v>
      </c>
      <c r="AO1171">
        <v>0</v>
      </c>
      <c r="AP1171">
        <v>7</v>
      </c>
      <c r="AQ1171">
        <v>0</v>
      </c>
      <c r="AR1171">
        <v>0</v>
      </c>
      <c r="AS1171" t="s">
        <v>59</v>
      </c>
      <c r="AT1171">
        <v>1</v>
      </c>
      <c r="AU1171" t="s">
        <v>76</v>
      </c>
      <c r="AV1171" t="s">
        <v>61</v>
      </c>
      <c r="AW1171">
        <v>0</v>
      </c>
      <c r="AX1171">
        <v>3</v>
      </c>
      <c r="AY1171">
        <v>0</v>
      </c>
      <c r="AZ1171">
        <v>0</v>
      </c>
      <c r="BA1171">
        <v>100</v>
      </c>
      <c r="BB1171">
        <v>100</v>
      </c>
      <c r="BC1171">
        <v>100</v>
      </c>
      <c r="BD1171">
        <v>100</v>
      </c>
      <c r="BE1171">
        <v>1</v>
      </c>
      <c r="BF1171">
        <v>15000</v>
      </c>
      <c r="BG1171">
        <v>1000</v>
      </c>
      <c r="BH1171" s="7">
        <f>ROUND(Wapato_Inventory[[#This Row],[detatched_value]]*Lookups!$B$22*Lookups!$H$48,-2)</f>
        <v>0</v>
      </c>
      <c r="BI1171" s="7">
        <f>ROUND(((Wapato_Inventory[[#This Row],[land_extract]]*Lookups!$B$3) +(Lookups!$B$2*0.5))*Lookups!$H$48,-2)</f>
        <v>55500</v>
      </c>
      <c r="BJ1171" s="7">
        <f>IF(Wapato_Inventory[[#This Row],[bldg_style]]="",0,Lookups!$B$2*0.5)</f>
        <v>53765.27</v>
      </c>
      <c r="BK1171" s="7">
        <f>_xlfn.IFNA(VLOOKUP(Wapato_Inventory[[#This Row],[quality]],Lookups!$H$2:$J$14,3,FALSE),0)</f>
        <v>28034</v>
      </c>
      <c r="BL1171" s="7">
        <f>_xlfn.IFNA(VLOOKUP(Wapato_Inventory[[#This Row],[condition]],Lookups!$H$17:$J$24,3,FALSE),0)</f>
        <v>52231</v>
      </c>
      <c r="BM1171" s="7">
        <f>Wapato_Inventory[[#This Row],[Age]]*Lookups!$B$16</f>
        <v>-34472.840100000001</v>
      </c>
      <c r="BN1171" s="7">
        <f>Wapato_Inventory[[#This Row],[Main Floor]]*Lookups!$B$17</f>
        <v>32102.967552000002</v>
      </c>
      <c r="BO1171" s="7">
        <f>Wapato_Inventory[[#This Row],[Upper Floor]]*Lookups!$B$18</f>
        <v>15872.36448</v>
      </c>
      <c r="BP1171" s="7">
        <f>Wapato_Inventory[[#This Row],[Fin BSMT]]*Lookups!$B$19</f>
        <v>0</v>
      </c>
      <c r="BQ1171" s="7">
        <f>(Wapato_Inventory[[#This Row],[att_gar]]+Wapato_Inventory[[#This Row],[blt_gar]])*Lookups!$B$20</f>
        <v>0</v>
      </c>
      <c r="BR1171" s="7">
        <f>Wapato_Inventory[[#This Row],[Patio]]*Lookups!$B$21</f>
        <v>0</v>
      </c>
      <c r="BS1171" s="7">
        <f>SUM(Wapato_Inventory[[#This Row],[intercept]:[patio_value]])*Wapato_Inventory[[#This Row],[res_pct]]</f>
        <v>147532.76193199999</v>
      </c>
      <c r="BT1171" s="7">
        <f>Wapato_Inventory[[#This Row],[land_value]]</f>
        <v>55500</v>
      </c>
      <c r="BU1171" s="2">
        <f>_xlfn.IFNA(VLOOKUP(Wapato_Inventory[[#This Row],[quality]],Lookups!$A$28:$C$37,3,FALSE),1)</f>
        <v>0.96265813922927435</v>
      </c>
      <c r="BV1171" s="2">
        <f>_xlfn.IFNA(VLOOKUP(Wapato_Inventory[[#This Row],[condition]],Lookups!$A$41:$C$48,3,FALSE),1)</f>
        <v>0.9832333997567807</v>
      </c>
      <c r="BW1171" s="2">
        <f>IF(Wapato_Inventory[[#This Row],[decade]]="",1,_xlfn.IFNA(VLOOKUP(Wapato_Inventory[[#This Row],[decade]],Lookups!$F$28:$H$45,3,FALSE),1))</f>
        <v>1.0114203040664467</v>
      </c>
      <c r="BX1171" s="2">
        <f>_xlfn.IFNA(VLOOKUP(Wapato_Inventory[[#This Row],[living_area_range]],Lookups!$K$28:$M$37,3,FALSE),1)</f>
        <v>1.0061411172456287</v>
      </c>
      <c r="BY1171" s="2">
        <f>AVERAGE(Wapato_Inventory[[#This Row],[qual_adj]:[range_adj]])</f>
        <v>0.99086324007453253</v>
      </c>
      <c r="BZ1171" s="7">
        <f>(Wapato_Inventory[[#This Row],[sum_land]]-IF(Wapato_Inventory[[#This Row],[no_utilities]]=1,12000,0))/IF(Wapato_Inventory[[#This Row],[unbuildable]]=1,2,1)</f>
        <v>55500</v>
      </c>
      <c r="CA1171" s="7">
        <f>Wapato_Inventory[[#This Row],[pre_res]]*Wapato_Inventory[[#This Row],[overall_adj]]</f>
        <v>146184.79050508616</v>
      </c>
      <c r="CB1171" s="3">
        <f>IF(ROUND(Wapato_Inventory[[#This Row],[adj_land]]*Lookups!$H$48,-2)&lt;Wapato_Inventory[[#This Row],[min_land]],Wapato_Inventory[[#This Row],[min_land]],ROUND(Wapato_Inventory[[#This Row],[adj_land]]*Lookups!$H$48,-2))</f>
        <v>52700</v>
      </c>
      <c r="CC1171" s="3">
        <f>IF(ROUND(Wapato_Inventory[[#This Row],[adj_res]]*Lookups!$H$48,-2)&lt;Wapato_Inventory[[#This Row],[min_res]],Wapato_Inventory[[#This Row],[min_res]],ROUND(Wapato_Inventory[[#This Row],[adj_res]]*Lookups!$H$48,-2))</f>
        <v>138900</v>
      </c>
      <c r="CD1171" s="3">
        <f>ROUND(Wapato_Inventory[[#This Row],[det_value]]*Lookups!$H$48,-2)</f>
        <v>0</v>
      </c>
      <c r="CE1171" s="3">
        <f>Wapato_Inventory[[#This Row],[final_res]]+Wapato_Inventory[[#This Row],[final_det]]</f>
        <v>138900</v>
      </c>
      <c r="CF1171" s="3">
        <f>Wapato_Inventory[[#This Row],[crop_value]]+Wapato_Inventory[[#This Row],[final_land]]+Wapato_Inventory[[#This Row],[final_imp]]</f>
        <v>191600</v>
      </c>
      <c r="CH1171" t="str">
        <f t="shared" si="18"/>
        <v>update valuation set market_land =52700, market_bldg=138900, market_total =191600, market_mdno =405, market_date ='9/10/2023' where link_id = (select link_id from parcel where parcel_year = '2024' and parcel_id = '19112211424');</v>
      </c>
    </row>
    <row r="1172" spans="1:86" x14ac:dyDescent="0.25">
      <c r="A1172">
        <v>19112211425</v>
      </c>
      <c r="B1172">
        <v>0.21</v>
      </c>
      <c r="C1172">
        <v>8960</v>
      </c>
      <c r="D1172" t="s">
        <v>144</v>
      </c>
      <c r="E1172" t="s">
        <v>54</v>
      </c>
      <c r="F1172" t="s">
        <v>54</v>
      </c>
      <c r="G1172">
        <v>3</v>
      </c>
      <c r="H1172" t="s">
        <v>55</v>
      </c>
      <c r="I1172">
        <v>146100</v>
      </c>
      <c r="J1172">
        <v>34800</v>
      </c>
      <c r="K1172">
        <v>0.21</v>
      </c>
      <c r="L1172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72">
        <v>0</v>
      </c>
      <c r="N1172">
        <v>0</v>
      </c>
      <c r="O1172">
        <v>0</v>
      </c>
      <c r="P1172">
        <v>27904.037</v>
      </c>
      <c r="Q1172">
        <v>74398</v>
      </c>
      <c r="R1172" s="3">
        <f>(Wapato_Inventory[[#This Row],[ln_acres]]*Wapato_Inventory[[#This Row],[coeff]])+Wapato_Inventory[[#This Row],[const]]</f>
        <v>30849.627488456012</v>
      </c>
      <c r="S1172" t="s">
        <v>62</v>
      </c>
      <c r="T1172">
        <v>1</v>
      </c>
      <c r="U1172" t="s">
        <v>71</v>
      </c>
      <c r="V1172" t="s">
        <v>68</v>
      </c>
      <c r="W1172">
        <v>0</v>
      </c>
      <c r="X1172">
        <v>0</v>
      </c>
      <c r="Y1172">
        <v>43</v>
      </c>
      <c r="Z1172">
        <v>44</v>
      </c>
      <c r="AA1172">
        <v>50</v>
      </c>
      <c r="AB1172">
        <v>1500</v>
      </c>
      <c r="AC1172">
        <v>1314</v>
      </c>
      <c r="AD1172">
        <v>1314</v>
      </c>
      <c r="AE1172">
        <v>0</v>
      </c>
      <c r="AF1172">
        <v>0</v>
      </c>
      <c r="AG1172">
        <v>0</v>
      </c>
      <c r="AH1172">
        <v>200</v>
      </c>
      <c r="AI1172">
        <v>0</v>
      </c>
      <c r="AJ1172">
        <v>0</v>
      </c>
      <c r="AK1172">
        <v>0</v>
      </c>
      <c r="AL1172">
        <v>0</v>
      </c>
      <c r="AM1172">
        <v>0</v>
      </c>
      <c r="AN1172">
        <v>0</v>
      </c>
      <c r="AO1172">
        <v>0</v>
      </c>
      <c r="AP1172">
        <v>5</v>
      </c>
      <c r="AQ1172">
        <v>0</v>
      </c>
      <c r="AR1172">
        <v>0</v>
      </c>
      <c r="AS1172" t="s">
        <v>59</v>
      </c>
      <c r="AT1172">
        <v>0</v>
      </c>
      <c r="AU1172" t="s">
        <v>80</v>
      </c>
      <c r="AV1172" t="s">
        <v>147</v>
      </c>
      <c r="AW1172">
        <v>0</v>
      </c>
      <c r="AX1172">
        <v>3</v>
      </c>
      <c r="AY1172">
        <v>0</v>
      </c>
      <c r="AZ1172">
        <v>0</v>
      </c>
      <c r="BA1172">
        <v>100</v>
      </c>
      <c r="BB1172">
        <v>100</v>
      </c>
      <c r="BC1172">
        <v>100</v>
      </c>
      <c r="BD1172">
        <v>100</v>
      </c>
      <c r="BE1172">
        <v>1</v>
      </c>
      <c r="BF1172">
        <v>15000</v>
      </c>
      <c r="BG1172">
        <v>1000</v>
      </c>
      <c r="BH1172" s="7">
        <f>ROUND(Wapato_Inventory[[#This Row],[detatched_value]]*Lookups!$B$22*Lookups!$H$48,-2)</f>
        <v>0</v>
      </c>
      <c r="BI1172" s="7">
        <f>ROUND(((Wapato_Inventory[[#This Row],[land_extract]]*Lookups!$B$3) +(Lookups!$B$2*0.5))*Lookups!$H$48,-2)</f>
        <v>54100</v>
      </c>
      <c r="BJ1172" s="7">
        <f>IF(Wapato_Inventory[[#This Row],[bldg_style]]="",0,Lookups!$B$2*0.5)</f>
        <v>53765.27</v>
      </c>
      <c r="BK1172" s="7">
        <f>_xlfn.IFNA(VLOOKUP(Wapato_Inventory[[#This Row],[quality]],Lookups!$H$2:$J$14,3,FALSE),0)</f>
        <v>28034</v>
      </c>
      <c r="BL1172" s="7">
        <f>_xlfn.IFNA(VLOOKUP(Wapato_Inventory[[#This Row],[condition]],Lookups!$H$17:$J$24,3,FALSE),0)</f>
        <v>52231</v>
      </c>
      <c r="BM1172" s="7">
        <f>Wapato_Inventory[[#This Row],[Age]]*Lookups!$B$16</f>
        <v>-16309.730800000001</v>
      </c>
      <c r="BN1172" s="7">
        <f>Wapato_Inventory[[#This Row],[Main Floor]]*Lookups!$B$17</f>
        <v>54926.171046000003</v>
      </c>
      <c r="BO1172" s="7">
        <f>Wapato_Inventory[[#This Row],[Upper Floor]]*Lookups!$B$18</f>
        <v>0</v>
      </c>
      <c r="BP1172" s="7">
        <f>Wapato_Inventory[[#This Row],[Fin BSMT]]*Lookups!$B$19</f>
        <v>0</v>
      </c>
      <c r="BQ1172" s="7">
        <f>(Wapato_Inventory[[#This Row],[att_gar]]+Wapato_Inventory[[#This Row],[blt_gar]])*Lookups!$B$20</f>
        <v>0</v>
      </c>
      <c r="BR1172" s="7">
        <f>Wapato_Inventory[[#This Row],[Patio]]*Lookups!$B$21</f>
        <v>0</v>
      </c>
      <c r="BS1172" s="7">
        <f>SUM(Wapato_Inventory[[#This Row],[intercept]:[patio_value]])*Wapato_Inventory[[#This Row],[res_pct]]</f>
        <v>172646.71024599997</v>
      </c>
      <c r="BT1172" s="7">
        <f>Wapato_Inventory[[#This Row],[land_value]]</f>
        <v>54100</v>
      </c>
      <c r="BU1172" s="2">
        <f>_xlfn.IFNA(VLOOKUP(Wapato_Inventory[[#This Row],[quality]],Lookups!$A$28:$C$37,3,FALSE),1)</f>
        <v>0.96265813922927435</v>
      </c>
      <c r="BV1172" s="2">
        <f>_xlfn.IFNA(VLOOKUP(Wapato_Inventory[[#This Row],[condition]],Lookups!$A$41:$C$48,3,FALSE),1)</f>
        <v>0.9832333997567807</v>
      </c>
      <c r="BW1172" s="2">
        <f>IF(Wapato_Inventory[[#This Row],[decade]]="",1,_xlfn.IFNA(VLOOKUP(Wapato_Inventory[[#This Row],[decade]],Lookups!$F$28:$H$45,3,FALSE),1))</f>
        <v>0.96240333884358298</v>
      </c>
      <c r="BX1172" s="2">
        <f>_xlfn.IFNA(VLOOKUP(Wapato_Inventory[[#This Row],[living_area_range]],Lookups!$K$28:$M$37,3,FALSE),1)</f>
        <v>1.0061411172456287</v>
      </c>
      <c r="BY1172" s="2">
        <f>AVERAGE(Wapato_Inventory[[#This Row],[qual_adj]:[range_adj]])</f>
        <v>0.97860899876881668</v>
      </c>
      <c r="BZ1172" s="7">
        <f>(Wapato_Inventory[[#This Row],[sum_land]]-IF(Wapato_Inventory[[#This Row],[no_utilities]]=1,12000,0))/IF(Wapato_Inventory[[#This Row],[unbuildable]]=1,2,1)</f>
        <v>54100</v>
      </c>
      <c r="CA1172" s="7">
        <f>Wapato_Inventory[[#This Row],[pre_res]]*Wapato_Inventory[[#This Row],[overall_adj]]</f>
        <v>168953.62425456804</v>
      </c>
      <c r="CB1172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72" s="3">
        <f>IF(ROUND(Wapato_Inventory[[#This Row],[adj_res]]*Lookups!$H$48,-2)&lt;Wapato_Inventory[[#This Row],[min_res]],Wapato_Inventory[[#This Row],[min_res]],ROUND(Wapato_Inventory[[#This Row],[adj_res]]*Lookups!$H$48,-2))</f>
        <v>160500</v>
      </c>
      <c r="CD1172" s="3">
        <f>ROUND(Wapato_Inventory[[#This Row],[det_value]]*Lookups!$H$48,-2)</f>
        <v>0</v>
      </c>
      <c r="CE1172" s="3">
        <f>Wapato_Inventory[[#This Row],[final_res]]+Wapato_Inventory[[#This Row],[final_det]]</f>
        <v>160500</v>
      </c>
      <c r="CF1172" s="3">
        <f>Wapato_Inventory[[#This Row],[crop_value]]+Wapato_Inventory[[#This Row],[final_land]]+Wapato_Inventory[[#This Row],[final_imp]]</f>
        <v>211900</v>
      </c>
      <c r="CH1172" t="str">
        <f t="shared" si="18"/>
        <v>update valuation set market_land =51400, market_bldg=160500, market_total =211900, market_mdno =405, market_date ='9/10/2023' where link_id = (select link_id from parcel where parcel_year = '2024' and parcel_id = '19112211425');</v>
      </c>
    </row>
    <row r="1173" spans="1:86" x14ac:dyDescent="0.25">
      <c r="A1173">
        <v>19112211429</v>
      </c>
      <c r="B1173">
        <v>0.82</v>
      </c>
      <c r="C1173">
        <v>35839</v>
      </c>
      <c r="D1173" t="s">
        <v>144</v>
      </c>
      <c r="E1173" t="s">
        <v>54</v>
      </c>
      <c r="F1173" t="s">
        <v>54</v>
      </c>
      <c r="G1173">
        <v>3</v>
      </c>
      <c r="H1173" t="s">
        <v>55</v>
      </c>
      <c r="I1173">
        <v>105300</v>
      </c>
      <c r="J1173">
        <v>44500</v>
      </c>
      <c r="K1173">
        <v>0.82</v>
      </c>
      <c r="L1173">
        <f>IF(Wapato_Inventory[[#This Row],[parcel_acres]]-Wapato_Inventory[[#This Row],[non_valued_acres]] =0,0,LN(Wapato_Inventory[[#This Row],[parcel_acres]]-Wapato_Inventory[[#This Row],[non_valued_acres]]))</f>
        <v>-0.19845093872383832</v>
      </c>
      <c r="M1173">
        <v>0</v>
      </c>
      <c r="N1173">
        <v>0</v>
      </c>
      <c r="O1173">
        <v>0</v>
      </c>
      <c r="P1173">
        <v>27904.037</v>
      </c>
      <c r="Q1173">
        <v>74398</v>
      </c>
      <c r="R1173" s="3">
        <f>(Wapato_Inventory[[#This Row],[ln_acres]]*Wapato_Inventory[[#This Row],[coeff]])+Wapato_Inventory[[#This Row],[const]]</f>
        <v>68860.417663165281</v>
      </c>
      <c r="S1173" t="s">
        <v>66</v>
      </c>
      <c r="T1173">
        <v>1</v>
      </c>
      <c r="U1173" t="s">
        <v>71</v>
      </c>
      <c r="V1173" t="s">
        <v>68</v>
      </c>
      <c r="W1173">
        <v>0</v>
      </c>
      <c r="X1173">
        <v>0</v>
      </c>
      <c r="Y1173">
        <v>53</v>
      </c>
      <c r="Z1173">
        <v>93</v>
      </c>
      <c r="AA1173">
        <v>100</v>
      </c>
      <c r="AB1173">
        <v>1000</v>
      </c>
      <c r="AC1173">
        <v>780</v>
      </c>
      <c r="AD1173">
        <v>780</v>
      </c>
      <c r="AE1173">
        <v>0</v>
      </c>
      <c r="AF1173">
        <v>0</v>
      </c>
      <c r="AG1173">
        <v>0</v>
      </c>
      <c r="AH1173">
        <v>780</v>
      </c>
      <c r="AI1173">
        <v>0</v>
      </c>
      <c r="AJ1173">
        <v>0</v>
      </c>
      <c r="AK1173">
        <v>0</v>
      </c>
      <c r="AL1173">
        <v>240</v>
      </c>
      <c r="AM1173">
        <v>0</v>
      </c>
      <c r="AN1173">
        <v>0</v>
      </c>
      <c r="AO1173">
        <v>240</v>
      </c>
      <c r="AP1173">
        <v>5</v>
      </c>
      <c r="AQ1173">
        <v>0</v>
      </c>
      <c r="AR1173">
        <v>0</v>
      </c>
      <c r="AS1173" t="s">
        <v>59</v>
      </c>
      <c r="AT1173">
        <v>1</v>
      </c>
      <c r="AU1173" t="s">
        <v>72</v>
      </c>
      <c r="AV1173" t="s">
        <v>61</v>
      </c>
      <c r="AW1173">
        <v>0</v>
      </c>
      <c r="AX1173">
        <v>2</v>
      </c>
      <c r="AY1173">
        <v>0</v>
      </c>
      <c r="AZ1173">
        <v>0</v>
      </c>
      <c r="BA1173">
        <v>100</v>
      </c>
      <c r="BB1173">
        <v>100</v>
      </c>
      <c r="BC1173">
        <v>100</v>
      </c>
      <c r="BD1173">
        <v>100</v>
      </c>
      <c r="BE1173">
        <v>1</v>
      </c>
      <c r="BF1173">
        <v>15000</v>
      </c>
      <c r="BG1173">
        <v>1000</v>
      </c>
      <c r="BH1173" s="7">
        <f>ROUND(Wapato_Inventory[[#This Row],[detatched_value]]*Lookups!$B$22*Lookups!$H$48,-2)</f>
        <v>0</v>
      </c>
      <c r="BI1173" s="7">
        <f>ROUND(((Wapato_Inventory[[#This Row],[land_extract]]*Lookups!$B$3) +(Lookups!$B$2*0.5))*Lookups!$H$48,-2)</f>
        <v>57700</v>
      </c>
      <c r="BJ1173" s="7">
        <f>IF(Wapato_Inventory[[#This Row],[bldg_style]]="",0,Lookups!$B$2*0.5)</f>
        <v>53765.27</v>
      </c>
      <c r="BK1173" s="7">
        <f>_xlfn.IFNA(VLOOKUP(Wapato_Inventory[[#This Row],[quality]],Lookups!$H$2:$J$14,3,FALSE),0)</f>
        <v>28034</v>
      </c>
      <c r="BL1173" s="7">
        <f>_xlfn.IFNA(VLOOKUP(Wapato_Inventory[[#This Row],[condition]],Lookups!$H$17:$J$24,3,FALSE),0)</f>
        <v>52231</v>
      </c>
      <c r="BM1173" s="7">
        <f>Wapato_Inventory[[#This Row],[Age]]*Lookups!$B$16</f>
        <v>-34472.840100000001</v>
      </c>
      <c r="BN1173" s="7">
        <f>Wapato_Inventory[[#This Row],[Main Floor]]*Lookups!$B$17</f>
        <v>32604.576420000001</v>
      </c>
      <c r="BO1173" s="7">
        <f>Wapato_Inventory[[#This Row],[Upper Floor]]*Lookups!$B$18</f>
        <v>0</v>
      </c>
      <c r="BP1173" s="7">
        <f>Wapato_Inventory[[#This Row],[Fin BSMT]]*Lookups!$B$19</f>
        <v>0</v>
      </c>
      <c r="BQ1173" s="7">
        <f>(Wapato_Inventory[[#This Row],[att_gar]]+Wapato_Inventory[[#This Row],[blt_gar]])*Lookups!$B$20</f>
        <v>0</v>
      </c>
      <c r="BR1173" s="7">
        <f>Wapato_Inventory[[#This Row],[Patio]]*Lookups!$B$21</f>
        <v>0</v>
      </c>
      <c r="BS1173" s="7">
        <f>SUM(Wapato_Inventory[[#This Row],[intercept]:[patio_value]])*Wapato_Inventory[[#This Row],[res_pct]]</f>
        <v>132162.00631999999</v>
      </c>
      <c r="BT1173" s="7">
        <f>Wapato_Inventory[[#This Row],[land_value]]</f>
        <v>57700</v>
      </c>
      <c r="BU1173" s="2">
        <f>_xlfn.IFNA(VLOOKUP(Wapato_Inventory[[#This Row],[quality]],Lookups!$A$28:$C$37,3,FALSE),1)</f>
        <v>0.96265813922927435</v>
      </c>
      <c r="BV1173" s="2">
        <f>_xlfn.IFNA(VLOOKUP(Wapato_Inventory[[#This Row],[condition]],Lookups!$A$41:$C$48,3,FALSE),1)</f>
        <v>0.9832333997567807</v>
      </c>
      <c r="BW1173" s="2">
        <f>IF(Wapato_Inventory[[#This Row],[decade]]="",1,_xlfn.IFNA(VLOOKUP(Wapato_Inventory[[#This Row],[decade]],Lookups!$F$28:$H$45,3,FALSE),1))</f>
        <v>1.0114203040664467</v>
      </c>
      <c r="BX1173" s="2">
        <f>_xlfn.IFNA(VLOOKUP(Wapato_Inventory[[#This Row],[living_area_range]],Lookups!$K$28:$M$37,3,FALSE),1)</f>
        <v>0.99022994770196116</v>
      </c>
      <c r="BY1173" s="2">
        <f>AVERAGE(Wapato_Inventory[[#This Row],[qual_adj]:[range_adj]])</f>
        <v>0.98688544768861564</v>
      </c>
      <c r="BZ1173" s="7">
        <f>(Wapato_Inventory[[#This Row],[sum_land]]-IF(Wapato_Inventory[[#This Row],[no_utilities]]=1,12000,0))/IF(Wapato_Inventory[[#This Row],[unbuildable]]=1,2,1)</f>
        <v>57700</v>
      </c>
      <c r="CA1173" s="7">
        <f>Wapato_Inventory[[#This Row],[pre_res]]*Wapato_Inventory[[#This Row],[overall_adj]]</f>
        <v>130428.76077453884</v>
      </c>
      <c r="CB1173" s="3">
        <f>IF(ROUND(Wapato_Inventory[[#This Row],[adj_land]]*Lookups!$H$48,-2)&lt;Wapato_Inventory[[#This Row],[min_land]],Wapato_Inventory[[#This Row],[min_land]],ROUND(Wapato_Inventory[[#This Row],[adj_land]]*Lookups!$H$48,-2))</f>
        <v>54800</v>
      </c>
      <c r="CC1173" s="3">
        <f>IF(ROUND(Wapato_Inventory[[#This Row],[adj_res]]*Lookups!$H$48,-2)&lt;Wapato_Inventory[[#This Row],[min_res]],Wapato_Inventory[[#This Row],[min_res]],ROUND(Wapato_Inventory[[#This Row],[adj_res]]*Lookups!$H$48,-2))</f>
        <v>123900</v>
      </c>
      <c r="CD1173" s="3">
        <f>ROUND(Wapato_Inventory[[#This Row],[det_value]]*Lookups!$H$48,-2)</f>
        <v>0</v>
      </c>
      <c r="CE1173" s="3">
        <f>Wapato_Inventory[[#This Row],[final_res]]+Wapato_Inventory[[#This Row],[final_det]]</f>
        <v>123900</v>
      </c>
      <c r="CF1173" s="3">
        <f>Wapato_Inventory[[#This Row],[crop_value]]+Wapato_Inventory[[#This Row],[final_land]]+Wapato_Inventory[[#This Row],[final_imp]]</f>
        <v>178700</v>
      </c>
      <c r="CH1173" t="str">
        <f t="shared" si="18"/>
        <v>update valuation set market_land =54800, market_bldg=123900, market_total =178700, market_mdno =405, market_date ='9/10/2023' where link_id = (select link_id from parcel where parcel_year = '2024' and parcel_id = '19112211429');</v>
      </c>
    </row>
    <row r="1174" spans="1:86" x14ac:dyDescent="0.25">
      <c r="A1174">
        <v>19112211430</v>
      </c>
      <c r="B1174">
        <v>0.82</v>
      </c>
      <c r="C1174">
        <v>35835</v>
      </c>
      <c r="D1174" t="s">
        <v>144</v>
      </c>
      <c r="E1174" t="s">
        <v>54</v>
      </c>
      <c r="F1174" t="s">
        <v>54</v>
      </c>
      <c r="G1174">
        <v>3</v>
      </c>
      <c r="H1174" t="s">
        <v>55</v>
      </c>
      <c r="I1174">
        <v>108600</v>
      </c>
      <c r="J1174">
        <v>44500</v>
      </c>
      <c r="K1174">
        <v>0.82</v>
      </c>
      <c r="L1174">
        <f>IF(Wapato_Inventory[[#This Row],[parcel_acres]]-Wapato_Inventory[[#This Row],[non_valued_acres]] =0,0,LN(Wapato_Inventory[[#This Row],[parcel_acres]]-Wapato_Inventory[[#This Row],[non_valued_acres]]))</f>
        <v>-0.19845093872383832</v>
      </c>
      <c r="M1174">
        <v>0</v>
      </c>
      <c r="N1174">
        <v>0</v>
      </c>
      <c r="O1174">
        <v>0</v>
      </c>
      <c r="P1174">
        <v>27904.037</v>
      </c>
      <c r="Q1174">
        <v>74398</v>
      </c>
      <c r="R1174" s="3">
        <f>(Wapato_Inventory[[#This Row],[ln_acres]]*Wapato_Inventory[[#This Row],[coeff]])+Wapato_Inventory[[#This Row],[const]]</f>
        <v>68860.417663165281</v>
      </c>
      <c r="S1174" t="s">
        <v>66</v>
      </c>
      <c r="T1174">
        <v>1</v>
      </c>
      <c r="U1174" t="s">
        <v>71</v>
      </c>
      <c r="V1174" t="s">
        <v>68</v>
      </c>
      <c r="W1174">
        <v>0</v>
      </c>
      <c r="X1174">
        <v>0</v>
      </c>
      <c r="Y1174">
        <v>53</v>
      </c>
      <c r="Z1174">
        <v>93</v>
      </c>
      <c r="AA1174">
        <v>100</v>
      </c>
      <c r="AB1174">
        <v>1000</v>
      </c>
      <c r="AC1174">
        <v>884</v>
      </c>
      <c r="AD1174">
        <v>884</v>
      </c>
      <c r="AE1174">
        <v>0</v>
      </c>
      <c r="AF1174">
        <v>0</v>
      </c>
      <c r="AG1174">
        <v>0</v>
      </c>
      <c r="AH1174">
        <v>702</v>
      </c>
      <c r="AI1174">
        <v>0</v>
      </c>
      <c r="AJ1174">
        <v>0</v>
      </c>
      <c r="AK1174">
        <v>0</v>
      </c>
      <c r="AL1174">
        <v>0</v>
      </c>
      <c r="AM1174">
        <v>0</v>
      </c>
      <c r="AN1174">
        <v>156</v>
      </c>
      <c r="AO1174">
        <v>0</v>
      </c>
      <c r="AP1174">
        <v>5</v>
      </c>
      <c r="AQ1174">
        <v>0</v>
      </c>
      <c r="AR1174">
        <v>0</v>
      </c>
      <c r="AS1174" t="s">
        <v>59</v>
      </c>
      <c r="AT1174">
        <v>1</v>
      </c>
      <c r="AU1174" t="s">
        <v>72</v>
      </c>
      <c r="AV1174" t="s">
        <v>61</v>
      </c>
      <c r="AW1174">
        <v>0</v>
      </c>
      <c r="AX1174">
        <v>2</v>
      </c>
      <c r="AY1174">
        <v>0</v>
      </c>
      <c r="AZ1174">
        <v>3600</v>
      </c>
      <c r="BA1174">
        <v>100</v>
      </c>
      <c r="BB1174">
        <v>100</v>
      </c>
      <c r="BC1174">
        <v>100</v>
      </c>
      <c r="BD1174">
        <v>100</v>
      </c>
      <c r="BE1174">
        <v>1</v>
      </c>
      <c r="BF1174">
        <v>15000</v>
      </c>
      <c r="BG1174">
        <v>1000</v>
      </c>
      <c r="BH1174" s="7">
        <f>ROUND(Wapato_Inventory[[#This Row],[detatched_value]]*Lookups!$B$22*Lookups!$H$48,-2)</f>
        <v>3200</v>
      </c>
      <c r="BI1174" s="7">
        <f>ROUND(((Wapato_Inventory[[#This Row],[land_extract]]*Lookups!$B$3) +(Lookups!$B$2*0.5))*Lookups!$H$48,-2)</f>
        <v>57700</v>
      </c>
      <c r="BJ1174" s="7">
        <f>IF(Wapato_Inventory[[#This Row],[bldg_style]]="",0,Lookups!$B$2*0.5)</f>
        <v>53765.27</v>
      </c>
      <c r="BK1174" s="7">
        <f>_xlfn.IFNA(VLOOKUP(Wapato_Inventory[[#This Row],[quality]],Lookups!$H$2:$J$14,3,FALSE),0)</f>
        <v>28034</v>
      </c>
      <c r="BL1174" s="7">
        <f>_xlfn.IFNA(VLOOKUP(Wapato_Inventory[[#This Row],[condition]],Lookups!$H$17:$J$24,3,FALSE),0)</f>
        <v>52231</v>
      </c>
      <c r="BM1174" s="7">
        <f>Wapato_Inventory[[#This Row],[Age]]*Lookups!$B$16</f>
        <v>-34472.840100000001</v>
      </c>
      <c r="BN1174" s="7">
        <f>Wapato_Inventory[[#This Row],[Main Floor]]*Lookups!$B$17</f>
        <v>36951.853276000002</v>
      </c>
      <c r="BO1174" s="7">
        <f>Wapato_Inventory[[#This Row],[Upper Floor]]*Lookups!$B$18</f>
        <v>0</v>
      </c>
      <c r="BP1174" s="7">
        <f>Wapato_Inventory[[#This Row],[Fin BSMT]]*Lookups!$B$19</f>
        <v>0</v>
      </c>
      <c r="BQ1174" s="7">
        <f>(Wapato_Inventory[[#This Row],[att_gar]]+Wapato_Inventory[[#This Row],[blt_gar]])*Lookups!$B$20</f>
        <v>0</v>
      </c>
      <c r="BR1174" s="7">
        <f>Wapato_Inventory[[#This Row],[Patio]]*Lookups!$B$21</f>
        <v>0</v>
      </c>
      <c r="BS1174" s="7">
        <f>SUM(Wapato_Inventory[[#This Row],[intercept]:[patio_value]])*Wapato_Inventory[[#This Row],[res_pct]]</f>
        <v>136509.283176</v>
      </c>
      <c r="BT1174" s="7">
        <f>Wapato_Inventory[[#This Row],[land_value]]</f>
        <v>57700</v>
      </c>
      <c r="BU1174" s="2">
        <f>_xlfn.IFNA(VLOOKUP(Wapato_Inventory[[#This Row],[quality]],Lookups!$A$28:$C$37,3,FALSE),1)</f>
        <v>0.96265813922927435</v>
      </c>
      <c r="BV1174" s="2">
        <f>_xlfn.IFNA(VLOOKUP(Wapato_Inventory[[#This Row],[condition]],Lookups!$A$41:$C$48,3,FALSE),1)</f>
        <v>0.9832333997567807</v>
      </c>
      <c r="BW1174" s="2">
        <f>IF(Wapato_Inventory[[#This Row],[decade]]="",1,_xlfn.IFNA(VLOOKUP(Wapato_Inventory[[#This Row],[decade]],Lookups!$F$28:$H$45,3,FALSE),1))</f>
        <v>1.0114203040664467</v>
      </c>
      <c r="BX1174" s="2">
        <f>_xlfn.IFNA(VLOOKUP(Wapato_Inventory[[#This Row],[living_area_range]],Lookups!$K$28:$M$37,3,FALSE),1)</f>
        <v>0.99022994770196116</v>
      </c>
      <c r="BY1174" s="2">
        <f>AVERAGE(Wapato_Inventory[[#This Row],[qual_adj]:[range_adj]])</f>
        <v>0.98688544768861564</v>
      </c>
      <c r="BZ1174" s="7">
        <f>(Wapato_Inventory[[#This Row],[sum_land]]-IF(Wapato_Inventory[[#This Row],[no_utilities]]=1,12000,0))/IF(Wapato_Inventory[[#This Row],[unbuildable]]=1,2,1)</f>
        <v>57700</v>
      </c>
      <c r="CA1174" s="7">
        <f>Wapato_Inventory[[#This Row],[pre_res]]*Wapato_Inventory[[#This Row],[overall_adj]]</f>
        <v>134719.02504079876</v>
      </c>
      <c r="CB1174" s="3">
        <f>IF(ROUND(Wapato_Inventory[[#This Row],[adj_land]]*Lookups!$H$48,-2)&lt;Wapato_Inventory[[#This Row],[min_land]],Wapato_Inventory[[#This Row],[min_land]],ROUND(Wapato_Inventory[[#This Row],[adj_land]]*Lookups!$H$48,-2))</f>
        <v>54800</v>
      </c>
      <c r="CC1174" s="3">
        <f>IF(ROUND(Wapato_Inventory[[#This Row],[adj_res]]*Lookups!$H$48,-2)&lt;Wapato_Inventory[[#This Row],[min_res]],Wapato_Inventory[[#This Row],[min_res]],ROUND(Wapato_Inventory[[#This Row],[adj_res]]*Lookups!$H$48,-2))</f>
        <v>128000</v>
      </c>
      <c r="CD1174" s="3">
        <f>ROUND(Wapato_Inventory[[#This Row],[det_value]]*Lookups!$H$48,-2)</f>
        <v>3000</v>
      </c>
      <c r="CE1174" s="3">
        <f>Wapato_Inventory[[#This Row],[final_res]]+Wapato_Inventory[[#This Row],[final_det]]</f>
        <v>131000</v>
      </c>
      <c r="CF1174" s="3">
        <f>Wapato_Inventory[[#This Row],[crop_value]]+Wapato_Inventory[[#This Row],[final_land]]+Wapato_Inventory[[#This Row],[final_imp]]</f>
        <v>185800</v>
      </c>
      <c r="CH1174" t="str">
        <f t="shared" si="18"/>
        <v>update valuation set market_land =54800, market_bldg=131000, market_total =185800, market_mdno =405, market_date ='9/10/2023' where link_id = (select link_id from parcel where parcel_year = '2024' and parcel_id = '19112211430');</v>
      </c>
    </row>
    <row r="1175" spans="1:86" x14ac:dyDescent="0.25">
      <c r="A1175">
        <v>19112211431</v>
      </c>
      <c r="B1175">
        <v>0.41</v>
      </c>
      <c r="C1175" t="s">
        <v>144</v>
      </c>
      <c r="D1175" t="s">
        <v>144</v>
      </c>
      <c r="E1175" t="s">
        <v>54</v>
      </c>
      <c r="F1175" t="s">
        <v>54</v>
      </c>
      <c r="G1175">
        <v>3</v>
      </c>
      <c r="H1175" t="s">
        <v>55</v>
      </c>
      <c r="I1175">
        <v>129700</v>
      </c>
      <c r="J1175">
        <v>39500</v>
      </c>
      <c r="K1175">
        <v>0.41</v>
      </c>
      <c r="L1175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175">
        <v>0</v>
      </c>
      <c r="N1175">
        <v>0</v>
      </c>
      <c r="O1175">
        <v>0</v>
      </c>
      <c r="P1175">
        <v>27904.037</v>
      </c>
      <c r="Q1175">
        <v>74398</v>
      </c>
      <c r="R1175" s="3">
        <f>(Wapato_Inventory[[#This Row],[ln_acres]]*Wapato_Inventory[[#This Row],[coeff]])+Wapato_Inventory[[#This Row],[const]]</f>
        <v>49518.813090374882</v>
      </c>
      <c r="S1175" t="s">
        <v>66</v>
      </c>
      <c r="T1175">
        <v>1</v>
      </c>
      <c r="U1175" t="s">
        <v>71</v>
      </c>
      <c r="V1175" t="s">
        <v>68</v>
      </c>
      <c r="W1175">
        <v>0</v>
      </c>
      <c r="X1175">
        <v>0</v>
      </c>
      <c r="Y1175">
        <v>53</v>
      </c>
      <c r="Z1175">
        <v>93</v>
      </c>
      <c r="AA1175">
        <v>100</v>
      </c>
      <c r="AB1175">
        <v>1500</v>
      </c>
      <c r="AC1175">
        <v>1024</v>
      </c>
      <c r="AD1175">
        <v>1024</v>
      </c>
      <c r="AE1175">
        <v>0</v>
      </c>
      <c r="AF1175">
        <v>0</v>
      </c>
      <c r="AG1175">
        <v>0</v>
      </c>
      <c r="AH1175">
        <v>1024</v>
      </c>
      <c r="AI1175">
        <v>0</v>
      </c>
      <c r="AJ1175">
        <v>0</v>
      </c>
      <c r="AK1175">
        <v>0</v>
      </c>
      <c r="AL1175">
        <v>0</v>
      </c>
      <c r="AM1175">
        <v>0</v>
      </c>
      <c r="AN1175">
        <v>48</v>
      </c>
      <c r="AO1175">
        <v>0</v>
      </c>
      <c r="AP1175">
        <v>5</v>
      </c>
      <c r="AQ1175">
        <v>1</v>
      </c>
      <c r="AR1175">
        <v>0</v>
      </c>
      <c r="AS1175" t="s">
        <v>146</v>
      </c>
      <c r="AT1175">
        <v>1</v>
      </c>
      <c r="AU1175" t="s">
        <v>148</v>
      </c>
      <c r="AV1175" t="s">
        <v>61</v>
      </c>
      <c r="AW1175">
        <v>1</v>
      </c>
      <c r="AX1175">
        <v>2</v>
      </c>
      <c r="AY1175">
        <v>0</v>
      </c>
      <c r="AZ1175">
        <v>3600</v>
      </c>
      <c r="BA1175">
        <v>100</v>
      </c>
      <c r="BB1175">
        <v>100</v>
      </c>
      <c r="BC1175">
        <v>100</v>
      </c>
      <c r="BD1175">
        <v>100</v>
      </c>
      <c r="BE1175">
        <v>1</v>
      </c>
      <c r="BF1175">
        <v>15000</v>
      </c>
      <c r="BG1175">
        <v>1000</v>
      </c>
      <c r="BH1175" s="7">
        <f>ROUND(Wapato_Inventory[[#This Row],[detatched_value]]*Lookups!$B$22*Lookups!$H$48,-2)</f>
        <v>3200</v>
      </c>
      <c r="BI1175" s="7">
        <f>ROUND(((Wapato_Inventory[[#This Row],[land_extract]]*Lookups!$B$3) +(Lookups!$B$2*0.5))*Lookups!$H$48,-2)</f>
        <v>55900</v>
      </c>
      <c r="BJ1175" s="7">
        <f>IF(Wapato_Inventory[[#This Row],[bldg_style]]="",0,Lookups!$B$2*0.5)</f>
        <v>53765.27</v>
      </c>
      <c r="BK1175" s="7">
        <f>_xlfn.IFNA(VLOOKUP(Wapato_Inventory[[#This Row],[quality]],Lookups!$H$2:$J$14,3,FALSE),0)</f>
        <v>28034</v>
      </c>
      <c r="BL1175" s="7">
        <f>_xlfn.IFNA(VLOOKUP(Wapato_Inventory[[#This Row],[condition]],Lookups!$H$17:$J$24,3,FALSE),0)</f>
        <v>52231</v>
      </c>
      <c r="BM1175" s="7">
        <f>Wapato_Inventory[[#This Row],[Age]]*Lookups!$B$16</f>
        <v>-34472.840100000001</v>
      </c>
      <c r="BN1175" s="7">
        <f>Wapato_Inventory[[#This Row],[Main Floor]]*Lookups!$B$17</f>
        <v>42803.956736</v>
      </c>
      <c r="BO1175" s="7">
        <f>Wapato_Inventory[[#This Row],[Upper Floor]]*Lookups!$B$18</f>
        <v>0</v>
      </c>
      <c r="BP1175" s="7">
        <f>Wapato_Inventory[[#This Row],[Fin BSMT]]*Lookups!$B$19</f>
        <v>0</v>
      </c>
      <c r="BQ1175" s="7">
        <f>(Wapato_Inventory[[#This Row],[att_gar]]+Wapato_Inventory[[#This Row],[blt_gar]])*Lookups!$B$20</f>
        <v>0</v>
      </c>
      <c r="BR1175" s="7">
        <f>Wapato_Inventory[[#This Row],[Patio]]*Lookups!$B$21</f>
        <v>0</v>
      </c>
      <c r="BS1175" s="7">
        <f>SUM(Wapato_Inventory[[#This Row],[intercept]:[patio_value]])*Wapato_Inventory[[#This Row],[res_pct]]</f>
        <v>142361.38663599998</v>
      </c>
      <c r="BT1175" s="7">
        <f>Wapato_Inventory[[#This Row],[land_value]]</f>
        <v>55900</v>
      </c>
      <c r="BU1175" s="2">
        <f>_xlfn.IFNA(VLOOKUP(Wapato_Inventory[[#This Row],[quality]],Lookups!$A$28:$C$37,3,FALSE),1)</f>
        <v>0.96265813922927435</v>
      </c>
      <c r="BV1175" s="2">
        <f>_xlfn.IFNA(VLOOKUP(Wapato_Inventory[[#This Row],[condition]],Lookups!$A$41:$C$48,3,FALSE),1)</f>
        <v>0.9832333997567807</v>
      </c>
      <c r="BW1175" s="2">
        <f>IF(Wapato_Inventory[[#This Row],[decade]]="",1,_xlfn.IFNA(VLOOKUP(Wapato_Inventory[[#This Row],[decade]],Lookups!$F$28:$H$45,3,FALSE),1))</f>
        <v>1.0114203040664467</v>
      </c>
      <c r="BX1175" s="2">
        <f>_xlfn.IFNA(VLOOKUP(Wapato_Inventory[[#This Row],[living_area_range]],Lookups!$K$28:$M$37,3,FALSE),1)</f>
        <v>1.0061411172456287</v>
      </c>
      <c r="BY1175" s="2">
        <f>AVERAGE(Wapato_Inventory[[#This Row],[qual_adj]:[range_adj]])</f>
        <v>0.99086324007453253</v>
      </c>
      <c r="BZ1175" s="7">
        <f>(Wapato_Inventory[[#This Row],[sum_land]]-IF(Wapato_Inventory[[#This Row],[no_utilities]]=1,12000,0))/IF(Wapato_Inventory[[#This Row],[unbuildable]]=1,2,1)</f>
        <v>55900</v>
      </c>
      <c r="CA1175" s="7">
        <f>Wapato_Inventory[[#This Row],[pre_res]]*Wapato_Inventory[[#This Row],[overall_adj]]</f>
        <v>141060.66482365021</v>
      </c>
      <c r="CB1175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75" s="3">
        <f>IF(ROUND(Wapato_Inventory[[#This Row],[adj_res]]*Lookups!$H$48,-2)&lt;Wapato_Inventory[[#This Row],[min_res]],Wapato_Inventory[[#This Row],[min_res]],ROUND(Wapato_Inventory[[#This Row],[adj_res]]*Lookups!$H$48,-2))</f>
        <v>134000</v>
      </c>
      <c r="CD1175" s="3">
        <f>ROUND(Wapato_Inventory[[#This Row],[det_value]]*Lookups!$H$48,-2)</f>
        <v>3000</v>
      </c>
      <c r="CE1175" s="3">
        <f>Wapato_Inventory[[#This Row],[final_res]]+Wapato_Inventory[[#This Row],[final_det]]</f>
        <v>137000</v>
      </c>
      <c r="CF1175" s="3">
        <f>Wapato_Inventory[[#This Row],[crop_value]]+Wapato_Inventory[[#This Row],[final_land]]+Wapato_Inventory[[#This Row],[final_imp]]</f>
        <v>190100</v>
      </c>
      <c r="CH1175" t="str">
        <f t="shared" si="18"/>
        <v>update valuation set market_land =53100, market_bldg=137000, market_total =190100, market_mdno =405, market_date ='9/10/2023' where link_id = (select link_id from parcel where parcel_year = '2024' and parcel_id = '19112211431');</v>
      </c>
    </row>
    <row r="1176" spans="1:86" x14ac:dyDescent="0.25">
      <c r="A1176">
        <v>19112211432</v>
      </c>
      <c r="B1176">
        <v>0.21</v>
      </c>
      <c r="C1176">
        <v>8958</v>
      </c>
      <c r="D1176" t="s">
        <v>144</v>
      </c>
      <c r="E1176" t="s">
        <v>54</v>
      </c>
      <c r="F1176" t="s">
        <v>54</v>
      </c>
      <c r="G1176">
        <v>3</v>
      </c>
      <c r="H1176" t="s">
        <v>55</v>
      </c>
      <c r="I1176">
        <v>214400</v>
      </c>
      <c r="J1176">
        <v>34800</v>
      </c>
      <c r="K1176">
        <v>0.21</v>
      </c>
      <c r="L1176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76">
        <v>0</v>
      </c>
      <c r="N1176">
        <v>0</v>
      </c>
      <c r="O1176">
        <v>0</v>
      </c>
      <c r="P1176">
        <v>27904.037</v>
      </c>
      <c r="Q1176">
        <v>74398</v>
      </c>
      <c r="R1176" s="3">
        <f>(Wapato_Inventory[[#This Row],[ln_acres]]*Wapato_Inventory[[#This Row],[coeff]])+Wapato_Inventory[[#This Row],[const]]</f>
        <v>30849.627488456012</v>
      </c>
      <c r="S1176" t="s">
        <v>62</v>
      </c>
      <c r="T1176">
        <v>1</v>
      </c>
      <c r="U1176" t="s">
        <v>67</v>
      </c>
      <c r="V1176" t="s">
        <v>68</v>
      </c>
      <c r="W1176">
        <v>0</v>
      </c>
      <c r="X1176">
        <v>0</v>
      </c>
      <c r="Y1176">
        <v>35</v>
      </c>
      <c r="Z1176">
        <v>35</v>
      </c>
      <c r="AA1176">
        <v>40</v>
      </c>
      <c r="AB1176">
        <v>1500</v>
      </c>
      <c r="AC1176">
        <v>1404</v>
      </c>
      <c r="AD1176">
        <v>1404</v>
      </c>
      <c r="AE1176">
        <v>0</v>
      </c>
      <c r="AF1176">
        <v>0</v>
      </c>
      <c r="AG1176">
        <v>0</v>
      </c>
      <c r="AH1176">
        <v>0</v>
      </c>
      <c r="AI1176">
        <v>462</v>
      </c>
      <c r="AJ1176">
        <v>0</v>
      </c>
      <c r="AK1176">
        <v>0</v>
      </c>
      <c r="AL1176">
        <v>0</v>
      </c>
      <c r="AM1176">
        <v>0</v>
      </c>
      <c r="AN1176">
        <v>90</v>
      </c>
      <c r="AO1176">
        <v>0</v>
      </c>
      <c r="AP1176">
        <v>8</v>
      </c>
      <c r="AQ1176">
        <v>1</v>
      </c>
      <c r="AR1176">
        <v>0</v>
      </c>
      <c r="AS1176" t="s">
        <v>59</v>
      </c>
      <c r="AT1176">
        <v>1</v>
      </c>
      <c r="AU1176" t="s">
        <v>64</v>
      </c>
      <c r="AV1176" t="s">
        <v>61</v>
      </c>
      <c r="AW1176">
        <v>0</v>
      </c>
      <c r="AX1176">
        <v>3</v>
      </c>
      <c r="AY1176">
        <v>0</v>
      </c>
      <c r="AZ1176">
        <v>0</v>
      </c>
      <c r="BA1176">
        <v>100</v>
      </c>
      <c r="BB1176">
        <v>100</v>
      </c>
      <c r="BC1176">
        <v>100</v>
      </c>
      <c r="BD1176">
        <v>100</v>
      </c>
      <c r="BE1176">
        <v>1</v>
      </c>
      <c r="BF1176">
        <v>15000</v>
      </c>
      <c r="BG1176">
        <v>1000</v>
      </c>
      <c r="BH1176" s="7">
        <f>ROUND(Wapato_Inventory[[#This Row],[detatched_value]]*Lookups!$B$22*Lookups!$H$48,-2)</f>
        <v>0</v>
      </c>
      <c r="BI1176" s="7">
        <f>ROUND(((Wapato_Inventory[[#This Row],[land_extract]]*Lookups!$B$3) +(Lookups!$B$2*0.5))*Lookups!$H$48,-2)</f>
        <v>54100</v>
      </c>
      <c r="BJ1176" s="7">
        <f>IF(Wapato_Inventory[[#This Row],[bldg_style]]="",0,Lookups!$B$2*0.5)</f>
        <v>53765.27</v>
      </c>
      <c r="BK1176" s="7">
        <f>_xlfn.IFNA(VLOOKUP(Wapato_Inventory[[#This Row],[quality]],Lookups!$H$2:$J$14,3,FALSE),0)</f>
        <v>50405</v>
      </c>
      <c r="BL1176" s="7">
        <f>_xlfn.IFNA(VLOOKUP(Wapato_Inventory[[#This Row],[condition]],Lookups!$H$17:$J$24,3,FALSE),0)</f>
        <v>52231</v>
      </c>
      <c r="BM1176" s="7">
        <f>Wapato_Inventory[[#This Row],[Age]]*Lookups!$B$16</f>
        <v>-12973.6495</v>
      </c>
      <c r="BN1176" s="7">
        <f>Wapato_Inventory[[#This Row],[Main Floor]]*Lookups!$B$17</f>
        <v>58688.237556</v>
      </c>
      <c r="BO1176" s="7">
        <f>Wapato_Inventory[[#This Row],[Upper Floor]]*Lookups!$B$18</f>
        <v>0</v>
      </c>
      <c r="BP1176" s="7">
        <f>Wapato_Inventory[[#This Row],[Fin BSMT]]*Lookups!$B$19</f>
        <v>0</v>
      </c>
      <c r="BQ1176" s="7">
        <f>(Wapato_Inventory[[#This Row],[att_gar]]+Wapato_Inventory[[#This Row],[blt_gar]])*Lookups!$B$20</f>
        <v>17098.043424</v>
      </c>
      <c r="BR1176" s="7">
        <f>Wapato_Inventory[[#This Row],[Patio]]*Lookups!$B$21</f>
        <v>0</v>
      </c>
      <c r="BS1176" s="7">
        <f>SUM(Wapato_Inventory[[#This Row],[intercept]:[patio_value]])*Wapato_Inventory[[#This Row],[res_pct]]</f>
        <v>219213.90148</v>
      </c>
      <c r="BT1176" s="7">
        <f>Wapato_Inventory[[#This Row],[land_value]]</f>
        <v>54100</v>
      </c>
      <c r="BU1176" s="2">
        <f>_xlfn.IFNA(VLOOKUP(Wapato_Inventory[[#This Row],[quality]],Lookups!$A$28:$C$37,3,FALSE),1)</f>
        <v>0.97993206410140754</v>
      </c>
      <c r="BV1176" s="2">
        <f>_xlfn.IFNA(VLOOKUP(Wapato_Inventory[[#This Row],[condition]],Lookups!$A$41:$C$48,3,FALSE),1)</f>
        <v>0.9832333997567807</v>
      </c>
      <c r="BW1176" s="2">
        <f>IF(Wapato_Inventory[[#This Row],[decade]]="",1,_xlfn.IFNA(VLOOKUP(Wapato_Inventory[[#This Row],[decade]],Lookups!$F$28:$H$45,3,FALSE),1))</f>
        <v>1.0327621624630683</v>
      </c>
      <c r="BX1176" s="2">
        <f>_xlfn.IFNA(VLOOKUP(Wapato_Inventory[[#This Row],[living_area_range]],Lookups!$K$28:$M$37,3,FALSE),1)</f>
        <v>1.0061411172456287</v>
      </c>
      <c r="BY1176" s="2">
        <f>AVERAGE(Wapato_Inventory[[#This Row],[qual_adj]:[range_adj]])</f>
        <v>1.0005171858917215</v>
      </c>
      <c r="BZ1176" s="7">
        <f>(Wapato_Inventory[[#This Row],[sum_land]]-IF(Wapato_Inventory[[#This Row],[no_utilities]]=1,12000,0))/IF(Wapato_Inventory[[#This Row],[unbuildable]]=1,2,1)</f>
        <v>54100</v>
      </c>
      <c r="CA1176" s="7">
        <f>Wapato_Inventory[[#This Row],[pre_res]]*Wapato_Inventory[[#This Row],[overall_adj]]</f>
        <v>219327.27581711469</v>
      </c>
      <c r="CB1176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76" s="3">
        <f>IF(ROUND(Wapato_Inventory[[#This Row],[adj_res]]*Lookups!$H$48,-2)&lt;Wapato_Inventory[[#This Row],[min_res]],Wapato_Inventory[[#This Row],[min_res]],ROUND(Wapato_Inventory[[#This Row],[adj_res]]*Lookups!$H$48,-2))</f>
        <v>208400</v>
      </c>
      <c r="CD1176" s="3">
        <f>ROUND(Wapato_Inventory[[#This Row],[det_value]]*Lookups!$H$48,-2)</f>
        <v>0</v>
      </c>
      <c r="CE1176" s="3">
        <f>Wapato_Inventory[[#This Row],[final_res]]+Wapato_Inventory[[#This Row],[final_det]]</f>
        <v>208400</v>
      </c>
      <c r="CF1176" s="3">
        <f>Wapato_Inventory[[#This Row],[crop_value]]+Wapato_Inventory[[#This Row],[final_land]]+Wapato_Inventory[[#This Row],[final_imp]]</f>
        <v>259800</v>
      </c>
      <c r="CH1176" t="str">
        <f t="shared" si="18"/>
        <v>update valuation set market_land =51400, market_bldg=208400, market_total =259800, market_mdno =405, market_date ='9/10/2023' where link_id = (select link_id from parcel where parcel_year = '2024' and parcel_id = '19112211432');</v>
      </c>
    </row>
    <row r="1177" spans="1:86" x14ac:dyDescent="0.25">
      <c r="A1177">
        <v>19112211433</v>
      </c>
      <c r="B1177">
        <v>0.21</v>
      </c>
      <c r="C1177">
        <v>8958</v>
      </c>
      <c r="D1177" t="s">
        <v>144</v>
      </c>
      <c r="E1177" t="s">
        <v>54</v>
      </c>
      <c r="F1177" t="s">
        <v>54</v>
      </c>
      <c r="G1177">
        <v>3</v>
      </c>
      <c r="H1177" t="s">
        <v>55</v>
      </c>
      <c r="I1177">
        <v>104700</v>
      </c>
      <c r="J1177">
        <v>34800</v>
      </c>
      <c r="K1177">
        <v>0.21</v>
      </c>
      <c r="L1177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77">
        <v>0</v>
      </c>
      <c r="N1177">
        <v>0</v>
      </c>
      <c r="O1177">
        <v>0</v>
      </c>
      <c r="P1177">
        <v>27904.037</v>
      </c>
      <c r="Q1177">
        <v>74398</v>
      </c>
      <c r="R1177" s="3">
        <f>(Wapato_Inventory[[#This Row],[ln_acres]]*Wapato_Inventory[[#This Row],[coeff]])+Wapato_Inventory[[#This Row],[const]]</f>
        <v>30849.627488456012</v>
      </c>
      <c r="S1177" t="s">
        <v>66</v>
      </c>
      <c r="T1177">
        <v>1</v>
      </c>
      <c r="U1177" t="s">
        <v>71</v>
      </c>
      <c r="V1177" t="s">
        <v>68</v>
      </c>
      <c r="W1177">
        <v>0</v>
      </c>
      <c r="X1177">
        <v>0</v>
      </c>
      <c r="Y1177">
        <v>51</v>
      </c>
      <c r="Z1177">
        <v>83</v>
      </c>
      <c r="AA1177">
        <v>90</v>
      </c>
      <c r="AB1177">
        <v>1000</v>
      </c>
      <c r="AC1177">
        <v>883</v>
      </c>
      <c r="AD1177">
        <v>883</v>
      </c>
      <c r="AE1177">
        <v>0</v>
      </c>
      <c r="AF1177">
        <v>0</v>
      </c>
      <c r="AG1177">
        <v>0</v>
      </c>
      <c r="AH1177">
        <v>0</v>
      </c>
      <c r="AI1177">
        <v>0</v>
      </c>
      <c r="AJ1177">
        <v>0</v>
      </c>
      <c r="AK1177">
        <v>0</v>
      </c>
      <c r="AL1177">
        <v>0</v>
      </c>
      <c r="AM1177">
        <v>0</v>
      </c>
      <c r="AN1177">
        <v>0</v>
      </c>
      <c r="AO1177">
        <v>0</v>
      </c>
      <c r="AP1177">
        <v>5</v>
      </c>
      <c r="AQ1177">
        <v>0</v>
      </c>
      <c r="AR1177">
        <v>0</v>
      </c>
      <c r="AS1177" t="s">
        <v>59</v>
      </c>
      <c r="AT1177">
        <v>0</v>
      </c>
      <c r="AU1177" t="s">
        <v>80</v>
      </c>
      <c r="AV1177" t="s">
        <v>147</v>
      </c>
      <c r="AW1177">
        <v>0</v>
      </c>
      <c r="AX1177">
        <v>2</v>
      </c>
      <c r="AY1177">
        <v>0</v>
      </c>
      <c r="AZ1177">
        <v>0</v>
      </c>
      <c r="BA1177">
        <v>100</v>
      </c>
      <c r="BB1177">
        <v>100</v>
      </c>
      <c r="BC1177">
        <v>100</v>
      </c>
      <c r="BD1177">
        <v>100</v>
      </c>
      <c r="BE1177">
        <v>1</v>
      </c>
      <c r="BF1177">
        <v>15000</v>
      </c>
      <c r="BG1177">
        <v>1000</v>
      </c>
      <c r="BH1177" s="7">
        <f>ROUND(Wapato_Inventory[[#This Row],[detatched_value]]*Lookups!$B$22*Lookups!$H$48,-2)</f>
        <v>0</v>
      </c>
      <c r="BI1177" s="7">
        <f>ROUND(((Wapato_Inventory[[#This Row],[land_extract]]*Lookups!$B$3) +(Lookups!$B$2*0.5))*Lookups!$H$48,-2)</f>
        <v>54100</v>
      </c>
      <c r="BJ1177" s="7">
        <f>IF(Wapato_Inventory[[#This Row],[bldg_style]]="",0,Lookups!$B$2*0.5)</f>
        <v>53765.27</v>
      </c>
      <c r="BK1177" s="7">
        <f>_xlfn.IFNA(VLOOKUP(Wapato_Inventory[[#This Row],[quality]],Lookups!$H$2:$J$14,3,FALSE),0)</f>
        <v>28034</v>
      </c>
      <c r="BL1177" s="7">
        <f>_xlfn.IFNA(VLOOKUP(Wapato_Inventory[[#This Row],[condition]],Lookups!$H$17:$J$24,3,FALSE),0)</f>
        <v>52231</v>
      </c>
      <c r="BM1177" s="7">
        <f>Wapato_Inventory[[#This Row],[Age]]*Lookups!$B$16</f>
        <v>-30766.0831</v>
      </c>
      <c r="BN1177" s="7">
        <f>Wapato_Inventory[[#This Row],[Main Floor]]*Lookups!$B$17</f>
        <v>36910.052537000003</v>
      </c>
      <c r="BO1177" s="7">
        <f>Wapato_Inventory[[#This Row],[Upper Floor]]*Lookups!$B$18</f>
        <v>0</v>
      </c>
      <c r="BP1177" s="7">
        <f>Wapato_Inventory[[#This Row],[Fin BSMT]]*Lookups!$B$19</f>
        <v>0</v>
      </c>
      <c r="BQ1177" s="7">
        <f>(Wapato_Inventory[[#This Row],[att_gar]]+Wapato_Inventory[[#This Row],[blt_gar]])*Lookups!$B$20</f>
        <v>0</v>
      </c>
      <c r="BR1177" s="7">
        <f>Wapato_Inventory[[#This Row],[Patio]]*Lookups!$B$21</f>
        <v>0</v>
      </c>
      <c r="BS1177" s="7">
        <f>SUM(Wapato_Inventory[[#This Row],[intercept]:[patio_value]])*Wapato_Inventory[[#This Row],[res_pct]]</f>
        <v>140174.23943699998</v>
      </c>
      <c r="BT1177" s="7">
        <f>Wapato_Inventory[[#This Row],[land_value]]</f>
        <v>54100</v>
      </c>
      <c r="BU1177" s="2">
        <f>_xlfn.IFNA(VLOOKUP(Wapato_Inventory[[#This Row],[quality]],Lookups!$A$28:$C$37,3,FALSE),1)</f>
        <v>0.96265813922927435</v>
      </c>
      <c r="BV1177" s="2">
        <f>_xlfn.IFNA(VLOOKUP(Wapato_Inventory[[#This Row],[condition]],Lookups!$A$41:$C$48,3,FALSE),1)</f>
        <v>0.9832333997567807</v>
      </c>
      <c r="BW1177" s="2">
        <f>IF(Wapato_Inventory[[#This Row],[decade]]="",1,_xlfn.IFNA(VLOOKUP(Wapato_Inventory[[#This Row],[decade]],Lookups!$F$28:$H$45,3,FALSE),1))</f>
        <v>0.94742695999815718</v>
      </c>
      <c r="BX1177" s="2">
        <f>_xlfn.IFNA(VLOOKUP(Wapato_Inventory[[#This Row],[living_area_range]],Lookups!$K$28:$M$37,3,FALSE),1)</f>
        <v>0.99022994770196116</v>
      </c>
      <c r="BY1177" s="2">
        <f>AVERAGE(Wapato_Inventory[[#This Row],[qual_adj]:[range_adj]])</f>
        <v>0.97088711167154329</v>
      </c>
      <c r="BZ1177" s="7">
        <f>(Wapato_Inventory[[#This Row],[sum_land]]-IF(Wapato_Inventory[[#This Row],[no_utilities]]=1,12000,0))/IF(Wapato_Inventory[[#This Row],[unbuildable]]=1,2,1)</f>
        <v>54100</v>
      </c>
      <c r="CA1177" s="7">
        <f>Wapato_Inventory[[#This Row],[pre_res]]*Wapato_Inventory[[#This Row],[overall_adj]]</f>
        <v>136093.36245774425</v>
      </c>
      <c r="CB1177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77" s="3">
        <f>IF(ROUND(Wapato_Inventory[[#This Row],[adj_res]]*Lookups!$H$48,-2)&lt;Wapato_Inventory[[#This Row],[min_res]],Wapato_Inventory[[#This Row],[min_res]],ROUND(Wapato_Inventory[[#This Row],[adj_res]]*Lookups!$H$48,-2))</f>
        <v>129300</v>
      </c>
      <c r="CD1177" s="3">
        <f>ROUND(Wapato_Inventory[[#This Row],[det_value]]*Lookups!$H$48,-2)</f>
        <v>0</v>
      </c>
      <c r="CE1177" s="3">
        <f>Wapato_Inventory[[#This Row],[final_res]]+Wapato_Inventory[[#This Row],[final_det]]</f>
        <v>129300</v>
      </c>
      <c r="CF1177" s="3">
        <f>Wapato_Inventory[[#This Row],[crop_value]]+Wapato_Inventory[[#This Row],[final_land]]+Wapato_Inventory[[#This Row],[final_imp]]</f>
        <v>180700</v>
      </c>
      <c r="CH1177" t="str">
        <f t="shared" si="18"/>
        <v>update valuation set market_land =51400, market_bldg=129300, market_total =180700, market_mdno =405, market_date ='9/10/2023' where link_id = (select link_id from parcel where parcel_year = '2024' and parcel_id = '19112211433');</v>
      </c>
    </row>
    <row r="1178" spans="1:86" x14ac:dyDescent="0.25">
      <c r="A1178">
        <v>19112211434</v>
      </c>
      <c r="B1178">
        <v>0.41</v>
      </c>
      <c r="C1178">
        <v>17919</v>
      </c>
      <c r="D1178" t="s">
        <v>144</v>
      </c>
      <c r="E1178" t="s">
        <v>54</v>
      </c>
      <c r="F1178" t="s">
        <v>54</v>
      </c>
      <c r="G1178">
        <v>3</v>
      </c>
      <c r="H1178" t="s">
        <v>55</v>
      </c>
      <c r="I1178">
        <v>81400</v>
      </c>
      <c r="J1178">
        <v>39500</v>
      </c>
      <c r="K1178">
        <v>0.41</v>
      </c>
      <c r="L1178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178">
        <v>0</v>
      </c>
      <c r="N1178">
        <v>0</v>
      </c>
      <c r="O1178">
        <v>0</v>
      </c>
      <c r="P1178">
        <v>27904.037</v>
      </c>
      <c r="Q1178">
        <v>74398</v>
      </c>
      <c r="R1178" s="3">
        <f>(Wapato_Inventory[[#This Row],[ln_acres]]*Wapato_Inventory[[#This Row],[coeff]])+Wapato_Inventory[[#This Row],[const]]</f>
        <v>49518.813090374882</v>
      </c>
      <c r="S1178" t="s">
        <v>66</v>
      </c>
      <c r="T1178">
        <v>1</v>
      </c>
      <c r="U1178" t="s">
        <v>71</v>
      </c>
      <c r="V1178" t="s">
        <v>73</v>
      </c>
      <c r="W1178">
        <v>0</v>
      </c>
      <c r="X1178">
        <v>0</v>
      </c>
      <c r="Y1178">
        <v>52</v>
      </c>
      <c r="Z1178">
        <v>88</v>
      </c>
      <c r="AA1178">
        <v>90</v>
      </c>
      <c r="AB1178">
        <v>1000</v>
      </c>
      <c r="AC1178">
        <v>826</v>
      </c>
      <c r="AD1178">
        <v>826</v>
      </c>
      <c r="AE1178">
        <v>0</v>
      </c>
      <c r="AF1178">
        <v>0</v>
      </c>
      <c r="AG1178">
        <v>0</v>
      </c>
      <c r="AH1178">
        <v>826</v>
      </c>
      <c r="AI1178">
        <v>0</v>
      </c>
      <c r="AJ1178">
        <v>0</v>
      </c>
      <c r="AK1178">
        <v>0</v>
      </c>
      <c r="AL1178">
        <v>0</v>
      </c>
      <c r="AM1178">
        <v>0</v>
      </c>
      <c r="AN1178">
        <v>0</v>
      </c>
      <c r="AO1178">
        <v>0</v>
      </c>
      <c r="AP1178">
        <v>5</v>
      </c>
      <c r="AQ1178">
        <v>0</v>
      </c>
      <c r="AR1178">
        <v>0</v>
      </c>
      <c r="AS1178" t="s">
        <v>59</v>
      </c>
      <c r="AT1178">
        <v>1</v>
      </c>
      <c r="AU1178" t="s">
        <v>64</v>
      </c>
      <c r="AV1178" t="s">
        <v>61</v>
      </c>
      <c r="AW1178">
        <v>0</v>
      </c>
      <c r="AX1178">
        <v>3</v>
      </c>
      <c r="AY1178">
        <v>0</v>
      </c>
      <c r="AZ1178">
        <v>0</v>
      </c>
      <c r="BA1178">
        <v>100</v>
      </c>
      <c r="BB1178">
        <v>100</v>
      </c>
      <c r="BC1178">
        <v>100</v>
      </c>
      <c r="BD1178">
        <v>100</v>
      </c>
      <c r="BE1178">
        <v>1</v>
      </c>
      <c r="BF1178">
        <v>15000</v>
      </c>
      <c r="BG1178">
        <v>1000</v>
      </c>
      <c r="BH1178" s="7">
        <f>ROUND(Wapato_Inventory[[#This Row],[detatched_value]]*Lookups!$B$22*Lookups!$H$48,-2)</f>
        <v>0</v>
      </c>
      <c r="BI1178" s="7">
        <f>ROUND(((Wapato_Inventory[[#This Row],[land_extract]]*Lookups!$B$3) +(Lookups!$B$2*0.5))*Lookups!$H$48,-2)</f>
        <v>55900</v>
      </c>
      <c r="BJ1178" s="7">
        <f>IF(Wapato_Inventory[[#This Row],[bldg_style]]="",0,Lookups!$B$2*0.5)</f>
        <v>53765.27</v>
      </c>
      <c r="BK1178" s="7">
        <f>_xlfn.IFNA(VLOOKUP(Wapato_Inventory[[#This Row],[quality]],Lookups!$H$2:$J$14,3,FALSE),0)</f>
        <v>28034</v>
      </c>
      <c r="BL1178" s="7">
        <f>_xlfn.IFNA(VLOOKUP(Wapato_Inventory[[#This Row],[condition]],Lookups!$H$17:$J$24,3,FALSE),0)</f>
        <v>16276</v>
      </c>
      <c r="BM1178" s="7">
        <f>Wapato_Inventory[[#This Row],[Age]]*Lookups!$B$16</f>
        <v>-32619.461600000002</v>
      </c>
      <c r="BN1178" s="7">
        <f>Wapato_Inventory[[#This Row],[Main Floor]]*Lookups!$B$17</f>
        <v>34527.410413999998</v>
      </c>
      <c r="BO1178" s="7">
        <f>Wapato_Inventory[[#This Row],[Upper Floor]]*Lookups!$B$18</f>
        <v>0</v>
      </c>
      <c r="BP1178" s="7">
        <f>Wapato_Inventory[[#This Row],[Fin BSMT]]*Lookups!$B$19</f>
        <v>0</v>
      </c>
      <c r="BQ1178" s="7">
        <f>(Wapato_Inventory[[#This Row],[att_gar]]+Wapato_Inventory[[#This Row],[blt_gar]])*Lookups!$B$20</f>
        <v>0</v>
      </c>
      <c r="BR1178" s="7">
        <f>Wapato_Inventory[[#This Row],[Patio]]*Lookups!$B$21</f>
        <v>0</v>
      </c>
      <c r="BS1178" s="7">
        <f>SUM(Wapato_Inventory[[#This Row],[intercept]:[patio_value]])*Wapato_Inventory[[#This Row],[res_pct]]</f>
        <v>99983.218813999993</v>
      </c>
      <c r="BT1178" s="7">
        <f>Wapato_Inventory[[#This Row],[land_value]]</f>
        <v>55900</v>
      </c>
      <c r="BU1178" s="2">
        <f>_xlfn.IFNA(VLOOKUP(Wapato_Inventory[[#This Row],[quality]],Lookups!$A$28:$C$37,3,FALSE),1)</f>
        <v>0.96265813922927435</v>
      </c>
      <c r="BV1178" s="2">
        <f>_xlfn.IFNA(VLOOKUP(Wapato_Inventory[[#This Row],[condition]],Lookups!$A$41:$C$48,3,FALSE),1)</f>
        <v>0.93399385491337139</v>
      </c>
      <c r="BW1178" s="2">
        <f>IF(Wapato_Inventory[[#This Row],[decade]]="",1,_xlfn.IFNA(VLOOKUP(Wapato_Inventory[[#This Row],[decade]],Lookups!$F$28:$H$45,3,FALSE),1))</f>
        <v>0.94742695999815718</v>
      </c>
      <c r="BX1178" s="2">
        <f>_xlfn.IFNA(VLOOKUP(Wapato_Inventory[[#This Row],[living_area_range]],Lookups!$K$28:$M$37,3,FALSE),1)</f>
        <v>0.99022994770196116</v>
      </c>
      <c r="BY1178" s="2">
        <f>AVERAGE(Wapato_Inventory[[#This Row],[qual_adj]:[range_adj]])</f>
        <v>0.95857722546069102</v>
      </c>
      <c r="BZ1178" s="7">
        <f>(Wapato_Inventory[[#This Row],[sum_land]]-IF(Wapato_Inventory[[#This Row],[no_utilities]]=1,12000,0))/IF(Wapato_Inventory[[#This Row],[unbuildable]]=1,2,1)</f>
        <v>55900</v>
      </c>
      <c r="CA1178" s="7">
        <f>Wapato_Inventory[[#This Row],[pre_res]]*Wapato_Inventory[[#This Row],[overall_adj]]</f>
        <v>95841.636483353272</v>
      </c>
      <c r="CB1178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78" s="3">
        <f>IF(ROUND(Wapato_Inventory[[#This Row],[adj_res]]*Lookups!$H$48,-2)&lt;Wapato_Inventory[[#This Row],[min_res]],Wapato_Inventory[[#This Row],[min_res]],ROUND(Wapato_Inventory[[#This Row],[adj_res]]*Lookups!$H$48,-2))</f>
        <v>91000</v>
      </c>
      <c r="CD1178" s="3">
        <f>ROUND(Wapato_Inventory[[#This Row],[det_value]]*Lookups!$H$48,-2)</f>
        <v>0</v>
      </c>
      <c r="CE1178" s="3">
        <f>Wapato_Inventory[[#This Row],[final_res]]+Wapato_Inventory[[#This Row],[final_det]]</f>
        <v>91000</v>
      </c>
      <c r="CF1178" s="3">
        <f>Wapato_Inventory[[#This Row],[crop_value]]+Wapato_Inventory[[#This Row],[final_land]]+Wapato_Inventory[[#This Row],[final_imp]]</f>
        <v>144100</v>
      </c>
      <c r="CH1178" t="str">
        <f t="shared" si="18"/>
        <v>update valuation set market_land =53100, market_bldg=91000, market_total =144100, market_mdno =405, market_date ='9/10/2023' where link_id = (select link_id from parcel where parcel_year = '2024' and parcel_id = '19112211434');</v>
      </c>
    </row>
    <row r="1179" spans="1:86" x14ac:dyDescent="0.25">
      <c r="A1179">
        <v>19112211435</v>
      </c>
      <c r="B1179">
        <v>0.21</v>
      </c>
      <c r="C1179">
        <v>8960</v>
      </c>
      <c r="D1179" t="s">
        <v>144</v>
      </c>
      <c r="E1179" t="s">
        <v>54</v>
      </c>
      <c r="F1179" t="s">
        <v>54</v>
      </c>
      <c r="G1179">
        <v>3</v>
      </c>
      <c r="H1179" t="s">
        <v>55</v>
      </c>
      <c r="I1179">
        <v>61900</v>
      </c>
      <c r="J1179">
        <v>34800</v>
      </c>
      <c r="K1179">
        <v>0.21</v>
      </c>
      <c r="L1179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79">
        <v>0</v>
      </c>
      <c r="N1179">
        <v>0</v>
      </c>
      <c r="O1179">
        <v>0</v>
      </c>
      <c r="P1179">
        <v>27904.037</v>
      </c>
      <c r="Q1179">
        <v>74398</v>
      </c>
      <c r="R1179" s="3">
        <f>(Wapato_Inventory[[#This Row],[ln_acres]]*Wapato_Inventory[[#This Row],[coeff]])+Wapato_Inventory[[#This Row],[const]]</f>
        <v>30849.627488456012</v>
      </c>
      <c r="S1179" t="s">
        <v>66</v>
      </c>
      <c r="T1179">
        <v>1</v>
      </c>
      <c r="U1179" t="s">
        <v>71</v>
      </c>
      <c r="V1179" t="s">
        <v>73</v>
      </c>
      <c r="W1179">
        <v>0</v>
      </c>
      <c r="X1179">
        <v>0</v>
      </c>
      <c r="Y1179">
        <v>51</v>
      </c>
      <c r="Z1179">
        <v>83</v>
      </c>
      <c r="AA1179">
        <v>90</v>
      </c>
      <c r="AB1179">
        <v>1000</v>
      </c>
      <c r="AC1179">
        <v>708</v>
      </c>
      <c r="AD1179">
        <v>708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24</v>
      </c>
      <c r="AO1179">
        <v>0</v>
      </c>
      <c r="AP1179">
        <v>5</v>
      </c>
      <c r="AQ1179">
        <v>0</v>
      </c>
      <c r="AR1179">
        <v>0</v>
      </c>
      <c r="AS1179" t="s">
        <v>59</v>
      </c>
      <c r="AT1179">
        <v>0</v>
      </c>
      <c r="AU1179" t="s">
        <v>80</v>
      </c>
      <c r="AV1179" t="s">
        <v>77</v>
      </c>
      <c r="AW1179">
        <v>0</v>
      </c>
      <c r="AX1179">
        <v>2</v>
      </c>
      <c r="AY1179">
        <v>0</v>
      </c>
      <c r="AZ1179">
        <v>0</v>
      </c>
      <c r="BA1179">
        <v>100</v>
      </c>
      <c r="BB1179">
        <v>100</v>
      </c>
      <c r="BC1179">
        <v>100</v>
      </c>
      <c r="BD1179">
        <v>100</v>
      </c>
      <c r="BE1179">
        <v>1</v>
      </c>
      <c r="BF1179">
        <v>15000</v>
      </c>
      <c r="BG1179">
        <v>1000</v>
      </c>
      <c r="BH1179" s="7">
        <f>ROUND(Wapato_Inventory[[#This Row],[detatched_value]]*Lookups!$B$22*Lookups!$H$48,-2)</f>
        <v>0</v>
      </c>
      <c r="BI1179" s="7">
        <f>ROUND(((Wapato_Inventory[[#This Row],[land_extract]]*Lookups!$B$3) +(Lookups!$B$2*0.5))*Lookups!$H$48,-2)</f>
        <v>54100</v>
      </c>
      <c r="BJ1179" s="7">
        <f>IF(Wapato_Inventory[[#This Row],[bldg_style]]="",0,Lookups!$B$2*0.5)</f>
        <v>53765.27</v>
      </c>
      <c r="BK1179" s="7">
        <f>_xlfn.IFNA(VLOOKUP(Wapato_Inventory[[#This Row],[quality]],Lookups!$H$2:$J$14,3,FALSE),0)</f>
        <v>28034</v>
      </c>
      <c r="BL1179" s="7">
        <f>_xlfn.IFNA(VLOOKUP(Wapato_Inventory[[#This Row],[condition]],Lookups!$H$17:$J$24,3,FALSE),0)</f>
        <v>16276</v>
      </c>
      <c r="BM1179" s="7">
        <f>Wapato_Inventory[[#This Row],[Age]]*Lookups!$B$16</f>
        <v>-30766.0831</v>
      </c>
      <c r="BN1179" s="7">
        <f>Wapato_Inventory[[#This Row],[Main Floor]]*Lookups!$B$17</f>
        <v>29594.923212000002</v>
      </c>
      <c r="BO1179" s="7">
        <f>Wapato_Inventory[[#This Row],[Upper Floor]]*Lookups!$B$18</f>
        <v>0</v>
      </c>
      <c r="BP1179" s="7">
        <f>Wapato_Inventory[[#This Row],[Fin BSMT]]*Lookups!$B$19</f>
        <v>0</v>
      </c>
      <c r="BQ1179" s="7">
        <f>(Wapato_Inventory[[#This Row],[att_gar]]+Wapato_Inventory[[#This Row],[blt_gar]])*Lookups!$B$20</f>
        <v>0</v>
      </c>
      <c r="BR1179" s="7">
        <f>Wapato_Inventory[[#This Row],[Patio]]*Lookups!$B$21</f>
        <v>0</v>
      </c>
      <c r="BS1179" s="7">
        <f>SUM(Wapato_Inventory[[#This Row],[intercept]:[patio_value]])*Wapato_Inventory[[#This Row],[res_pct]]</f>
        <v>96904.110111999995</v>
      </c>
      <c r="BT1179" s="7">
        <f>Wapato_Inventory[[#This Row],[land_value]]</f>
        <v>54100</v>
      </c>
      <c r="BU1179" s="2">
        <f>_xlfn.IFNA(VLOOKUP(Wapato_Inventory[[#This Row],[quality]],Lookups!$A$28:$C$37,3,FALSE),1)</f>
        <v>0.96265813922927435</v>
      </c>
      <c r="BV1179" s="2">
        <f>_xlfn.IFNA(VLOOKUP(Wapato_Inventory[[#This Row],[condition]],Lookups!$A$41:$C$48,3,FALSE),1)</f>
        <v>0.93399385491337139</v>
      </c>
      <c r="BW1179" s="2">
        <f>IF(Wapato_Inventory[[#This Row],[decade]]="",1,_xlfn.IFNA(VLOOKUP(Wapato_Inventory[[#This Row],[decade]],Lookups!$F$28:$H$45,3,FALSE),1))</f>
        <v>0.94742695999815718</v>
      </c>
      <c r="BX1179" s="2">
        <f>_xlfn.IFNA(VLOOKUP(Wapato_Inventory[[#This Row],[living_area_range]],Lookups!$K$28:$M$37,3,FALSE),1)</f>
        <v>0.99022994770196116</v>
      </c>
      <c r="BY1179" s="2">
        <f>AVERAGE(Wapato_Inventory[[#This Row],[qual_adj]:[range_adj]])</f>
        <v>0.95857722546069102</v>
      </c>
      <c r="BZ1179" s="7">
        <f>(Wapato_Inventory[[#This Row],[sum_land]]-IF(Wapato_Inventory[[#This Row],[no_utilities]]=1,12000,0))/IF(Wapato_Inventory[[#This Row],[unbuildable]]=1,2,1)</f>
        <v>54100</v>
      </c>
      <c r="CA1179" s="7">
        <f>Wapato_Inventory[[#This Row],[pre_res]]*Wapato_Inventory[[#This Row],[overall_adj]]</f>
        <v>92890.073006898252</v>
      </c>
      <c r="CB1179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79" s="3">
        <f>IF(ROUND(Wapato_Inventory[[#This Row],[adj_res]]*Lookups!$H$48,-2)&lt;Wapato_Inventory[[#This Row],[min_res]],Wapato_Inventory[[#This Row],[min_res]],ROUND(Wapato_Inventory[[#This Row],[adj_res]]*Lookups!$H$48,-2))</f>
        <v>88200</v>
      </c>
      <c r="CD1179" s="3">
        <f>ROUND(Wapato_Inventory[[#This Row],[det_value]]*Lookups!$H$48,-2)</f>
        <v>0</v>
      </c>
      <c r="CE1179" s="3">
        <f>Wapato_Inventory[[#This Row],[final_res]]+Wapato_Inventory[[#This Row],[final_det]]</f>
        <v>88200</v>
      </c>
      <c r="CF1179" s="3">
        <f>Wapato_Inventory[[#This Row],[crop_value]]+Wapato_Inventory[[#This Row],[final_land]]+Wapato_Inventory[[#This Row],[final_imp]]</f>
        <v>139600</v>
      </c>
      <c r="CH1179" t="str">
        <f t="shared" si="18"/>
        <v>update valuation set market_land =51400, market_bldg=88200, market_total =139600, market_mdno =405, market_date ='9/10/2023' where link_id = (select link_id from parcel where parcel_year = '2024' and parcel_id = '19112211435');</v>
      </c>
    </row>
    <row r="1180" spans="1:86" x14ac:dyDescent="0.25">
      <c r="A1180">
        <v>19112211437</v>
      </c>
      <c r="B1180">
        <v>0.21</v>
      </c>
      <c r="C1180">
        <v>8960</v>
      </c>
      <c r="D1180" t="s">
        <v>144</v>
      </c>
      <c r="E1180" t="s">
        <v>54</v>
      </c>
      <c r="F1180" t="s">
        <v>54</v>
      </c>
      <c r="G1180">
        <v>3</v>
      </c>
      <c r="H1180" t="s">
        <v>55</v>
      </c>
      <c r="I1180">
        <v>95600</v>
      </c>
      <c r="J1180">
        <v>34800</v>
      </c>
      <c r="K1180">
        <v>0.21</v>
      </c>
      <c r="L1180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80">
        <v>0</v>
      </c>
      <c r="N1180">
        <v>0</v>
      </c>
      <c r="O1180">
        <v>0</v>
      </c>
      <c r="P1180">
        <v>27904.037</v>
      </c>
      <c r="Q1180">
        <v>74398</v>
      </c>
      <c r="R1180" s="3">
        <f>(Wapato_Inventory[[#This Row],[ln_acres]]*Wapato_Inventory[[#This Row],[coeff]])+Wapato_Inventory[[#This Row],[const]]</f>
        <v>30849.627488456012</v>
      </c>
      <c r="S1180" t="s">
        <v>66</v>
      </c>
      <c r="T1180">
        <v>1</v>
      </c>
      <c r="U1180" t="s">
        <v>71</v>
      </c>
      <c r="V1180" t="s">
        <v>68</v>
      </c>
      <c r="W1180">
        <v>0</v>
      </c>
      <c r="X1180">
        <v>0</v>
      </c>
      <c r="Y1180">
        <v>52</v>
      </c>
      <c r="Z1180">
        <v>88</v>
      </c>
      <c r="AA1180">
        <v>90</v>
      </c>
      <c r="AB1180">
        <v>1000</v>
      </c>
      <c r="AC1180">
        <v>708</v>
      </c>
      <c r="AD1180">
        <v>708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5</v>
      </c>
      <c r="AQ1180">
        <v>0</v>
      </c>
      <c r="AR1180">
        <v>0</v>
      </c>
      <c r="AS1180" t="s">
        <v>59</v>
      </c>
      <c r="AT1180">
        <v>1</v>
      </c>
      <c r="AU1180" t="s">
        <v>72</v>
      </c>
      <c r="AV1180" t="s">
        <v>61</v>
      </c>
      <c r="AW1180">
        <v>0</v>
      </c>
      <c r="AX1180">
        <v>2</v>
      </c>
      <c r="AY1180">
        <v>0</v>
      </c>
      <c r="AZ1180">
        <v>800</v>
      </c>
      <c r="BA1180">
        <v>100</v>
      </c>
      <c r="BB1180">
        <v>100</v>
      </c>
      <c r="BC1180">
        <v>100</v>
      </c>
      <c r="BD1180">
        <v>100</v>
      </c>
      <c r="BE1180">
        <v>1</v>
      </c>
      <c r="BF1180">
        <v>15000</v>
      </c>
      <c r="BG1180">
        <v>1000</v>
      </c>
      <c r="BH1180" s="7">
        <f>ROUND(Wapato_Inventory[[#This Row],[detatched_value]]*Lookups!$B$22*Lookups!$H$48,-2)</f>
        <v>700</v>
      </c>
      <c r="BI1180" s="7">
        <f>ROUND(((Wapato_Inventory[[#This Row],[land_extract]]*Lookups!$B$3) +(Lookups!$B$2*0.5))*Lookups!$H$48,-2)</f>
        <v>54100</v>
      </c>
      <c r="BJ1180" s="7">
        <f>IF(Wapato_Inventory[[#This Row],[bldg_style]]="",0,Lookups!$B$2*0.5)</f>
        <v>53765.27</v>
      </c>
      <c r="BK1180" s="7">
        <f>_xlfn.IFNA(VLOOKUP(Wapato_Inventory[[#This Row],[quality]],Lookups!$H$2:$J$14,3,FALSE),0)</f>
        <v>28034</v>
      </c>
      <c r="BL1180" s="7">
        <f>_xlfn.IFNA(VLOOKUP(Wapato_Inventory[[#This Row],[condition]],Lookups!$H$17:$J$24,3,FALSE),0)</f>
        <v>52231</v>
      </c>
      <c r="BM1180" s="7">
        <f>Wapato_Inventory[[#This Row],[Age]]*Lookups!$B$16</f>
        <v>-32619.461600000002</v>
      </c>
      <c r="BN1180" s="7">
        <f>Wapato_Inventory[[#This Row],[Main Floor]]*Lookups!$B$17</f>
        <v>29594.923212000002</v>
      </c>
      <c r="BO1180" s="7">
        <f>Wapato_Inventory[[#This Row],[Upper Floor]]*Lookups!$B$18</f>
        <v>0</v>
      </c>
      <c r="BP1180" s="7">
        <f>Wapato_Inventory[[#This Row],[Fin BSMT]]*Lookups!$B$19</f>
        <v>0</v>
      </c>
      <c r="BQ1180" s="7">
        <f>(Wapato_Inventory[[#This Row],[att_gar]]+Wapato_Inventory[[#This Row],[blt_gar]])*Lookups!$B$20</f>
        <v>0</v>
      </c>
      <c r="BR1180" s="7">
        <f>Wapato_Inventory[[#This Row],[Patio]]*Lookups!$B$21</f>
        <v>0</v>
      </c>
      <c r="BS1180" s="7">
        <f>SUM(Wapato_Inventory[[#This Row],[intercept]:[patio_value]])*Wapato_Inventory[[#This Row],[res_pct]]</f>
        <v>131005.73161199997</v>
      </c>
      <c r="BT1180" s="7">
        <f>Wapato_Inventory[[#This Row],[land_value]]</f>
        <v>54100</v>
      </c>
      <c r="BU1180" s="2">
        <f>_xlfn.IFNA(VLOOKUP(Wapato_Inventory[[#This Row],[quality]],Lookups!$A$28:$C$37,3,FALSE),1)</f>
        <v>0.96265813922927435</v>
      </c>
      <c r="BV1180" s="2">
        <f>_xlfn.IFNA(VLOOKUP(Wapato_Inventory[[#This Row],[condition]],Lookups!$A$41:$C$48,3,FALSE),1)</f>
        <v>0.9832333997567807</v>
      </c>
      <c r="BW1180" s="2">
        <f>IF(Wapato_Inventory[[#This Row],[decade]]="",1,_xlfn.IFNA(VLOOKUP(Wapato_Inventory[[#This Row],[decade]],Lookups!$F$28:$H$45,3,FALSE),1))</f>
        <v>0.94742695999815718</v>
      </c>
      <c r="BX1180" s="2">
        <f>_xlfn.IFNA(VLOOKUP(Wapato_Inventory[[#This Row],[living_area_range]],Lookups!$K$28:$M$37,3,FALSE),1)</f>
        <v>0.99022994770196116</v>
      </c>
      <c r="BY1180" s="2">
        <f>AVERAGE(Wapato_Inventory[[#This Row],[qual_adj]:[range_adj]])</f>
        <v>0.97088711167154329</v>
      </c>
      <c r="BZ1180" s="7">
        <f>(Wapato_Inventory[[#This Row],[sum_land]]-IF(Wapato_Inventory[[#This Row],[no_utilities]]=1,12000,0))/IF(Wapato_Inventory[[#This Row],[unbuildable]]=1,2,1)</f>
        <v>54100</v>
      </c>
      <c r="CA1180" s="7">
        <f>Wapato_Inventory[[#This Row],[pre_res]]*Wapato_Inventory[[#This Row],[overall_adj]]</f>
        <v>127191.77637719204</v>
      </c>
      <c r="CB1180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80" s="3">
        <f>IF(ROUND(Wapato_Inventory[[#This Row],[adj_res]]*Lookups!$H$48,-2)&lt;Wapato_Inventory[[#This Row],[min_res]],Wapato_Inventory[[#This Row],[min_res]],ROUND(Wapato_Inventory[[#This Row],[adj_res]]*Lookups!$H$48,-2))</f>
        <v>120800</v>
      </c>
      <c r="CD1180" s="3">
        <f>ROUND(Wapato_Inventory[[#This Row],[det_value]]*Lookups!$H$48,-2)</f>
        <v>700</v>
      </c>
      <c r="CE1180" s="3">
        <f>Wapato_Inventory[[#This Row],[final_res]]+Wapato_Inventory[[#This Row],[final_det]]</f>
        <v>121500</v>
      </c>
      <c r="CF1180" s="3">
        <f>Wapato_Inventory[[#This Row],[crop_value]]+Wapato_Inventory[[#This Row],[final_land]]+Wapato_Inventory[[#This Row],[final_imp]]</f>
        <v>172900</v>
      </c>
      <c r="CH1180" t="str">
        <f t="shared" si="18"/>
        <v>update valuation set market_land =51400, market_bldg=121500, market_total =172900, market_mdno =405, market_date ='9/10/2023' where link_id = (select link_id from parcel where parcel_year = '2024' and parcel_id = '19112211437');</v>
      </c>
    </row>
    <row r="1181" spans="1:86" x14ac:dyDescent="0.25">
      <c r="A1181">
        <v>19112211438</v>
      </c>
      <c r="B1181">
        <v>0.21</v>
      </c>
      <c r="C1181">
        <v>8959</v>
      </c>
      <c r="D1181" t="s">
        <v>144</v>
      </c>
      <c r="E1181" t="s">
        <v>54</v>
      </c>
      <c r="F1181" t="s">
        <v>54</v>
      </c>
      <c r="G1181">
        <v>3</v>
      </c>
      <c r="H1181" t="s">
        <v>55</v>
      </c>
      <c r="I1181">
        <v>88700</v>
      </c>
      <c r="J1181">
        <v>34800</v>
      </c>
      <c r="K1181">
        <v>0.21</v>
      </c>
      <c r="L1181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81">
        <v>0</v>
      </c>
      <c r="N1181">
        <v>0</v>
      </c>
      <c r="O1181">
        <v>0</v>
      </c>
      <c r="P1181">
        <v>27904.037</v>
      </c>
      <c r="Q1181">
        <v>74398</v>
      </c>
      <c r="R1181" s="3">
        <f>(Wapato_Inventory[[#This Row],[ln_acres]]*Wapato_Inventory[[#This Row],[coeff]])+Wapato_Inventory[[#This Row],[const]]</f>
        <v>30849.627488456012</v>
      </c>
      <c r="S1181" t="s">
        <v>66</v>
      </c>
      <c r="T1181">
        <v>1</v>
      </c>
      <c r="U1181" t="s">
        <v>71</v>
      </c>
      <c r="V1181" t="s">
        <v>73</v>
      </c>
      <c r="W1181">
        <v>0</v>
      </c>
      <c r="X1181">
        <v>0</v>
      </c>
      <c r="Y1181">
        <v>51</v>
      </c>
      <c r="Z1181">
        <v>83</v>
      </c>
      <c r="AA1181">
        <v>90</v>
      </c>
      <c r="AB1181">
        <v>1000</v>
      </c>
      <c r="AC1181">
        <v>920</v>
      </c>
      <c r="AD1181">
        <v>920</v>
      </c>
      <c r="AE1181">
        <v>0</v>
      </c>
      <c r="AF1181">
        <v>0</v>
      </c>
      <c r="AG1181">
        <v>0</v>
      </c>
      <c r="AH1181">
        <v>0</v>
      </c>
      <c r="AI1181">
        <v>306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5</v>
      </c>
      <c r="AQ1181">
        <v>0</v>
      </c>
      <c r="AR1181">
        <v>0</v>
      </c>
      <c r="AS1181" t="s">
        <v>59</v>
      </c>
      <c r="AT1181">
        <v>0</v>
      </c>
      <c r="AU1181" t="s">
        <v>80</v>
      </c>
      <c r="AV1181" t="s">
        <v>77</v>
      </c>
      <c r="AW1181">
        <v>0</v>
      </c>
      <c r="AX1181">
        <v>2</v>
      </c>
      <c r="AY1181">
        <v>0</v>
      </c>
      <c r="AZ1181">
        <v>0</v>
      </c>
      <c r="BA1181">
        <v>100</v>
      </c>
      <c r="BB1181">
        <v>100</v>
      </c>
      <c r="BC1181">
        <v>100</v>
      </c>
      <c r="BD1181">
        <v>100</v>
      </c>
      <c r="BE1181">
        <v>1</v>
      </c>
      <c r="BF1181">
        <v>15000</v>
      </c>
      <c r="BG1181">
        <v>1000</v>
      </c>
      <c r="BH1181" s="7">
        <f>ROUND(Wapato_Inventory[[#This Row],[detatched_value]]*Lookups!$B$22*Lookups!$H$48,-2)</f>
        <v>0</v>
      </c>
      <c r="BI1181" s="7">
        <f>ROUND(((Wapato_Inventory[[#This Row],[land_extract]]*Lookups!$B$3) +(Lookups!$B$2*0.5))*Lookups!$H$48,-2)</f>
        <v>54100</v>
      </c>
      <c r="BJ1181" s="7">
        <f>IF(Wapato_Inventory[[#This Row],[bldg_style]]="",0,Lookups!$B$2*0.5)</f>
        <v>53765.27</v>
      </c>
      <c r="BK1181" s="7">
        <f>_xlfn.IFNA(VLOOKUP(Wapato_Inventory[[#This Row],[quality]],Lookups!$H$2:$J$14,3,FALSE),0)</f>
        <v>28034</v>
      </c>
      <c r="BL1181" s="7">
        <f>_xlfn.IFNA(VLOOKUP(Wapato_Inventory[[#This Row],[condition]],Lookups!$H$17:$J$24,3,FALSE),0)</f>
        <v>16276</v>
      </c>
      <c r="BM1181" s="7">
        <f>Wapato_Inventory[[#This Row],[Age]]*Lookups!$B$16</f>
        <v>-30766.0831</v>
      </c>
      <c r="BN1181" s="7">
        <f>Wapato_Inventory[[#This Row],[Main Floor]]*Lookups!$B$17</f>
        <v>38456.679880000003</v>
      </c>
      <c r="BO1181" s="7">
        <f>Wapato_Inventory[[#This Row],[Upper Floor]]*Lookups!$B$18</f>
        <v>0</v>
      </c>
      <c r="BP1181" s="7">
        <f>Wapato_Inventory[[#This Row],[Fin BSMT]]*Lookups!$B$19</f>
        <v>0</v>
      </c>
      <c r="BQ1181" s="7">
        <f>(Wapato_Inventory[[#This Row],[att_gar]]+Wapato_Inventory[[#This Row],[blt_gar]])*Lookups!$B$20</f>
        <v>11324.678112</v>
      </c>
      <c r="BR1181" s="7">
        <f>Wapato_Inventory[[#This Row],[Patio]]*Lookups!$B$21</f>
        <v>0</v>
      </c>
      <c r="BS1181" s="7">
        <f>SUM(Wapato_Inventory[[#This Row],[intercept]:[patio_value]])*Wapato_Inventory[[#This Row],[res_pct]]</f>
        <v>117090.54489199998</v>
      </c>
      <c r="BT1181" s="7">
        <f>Wapato_Inventory[[#This Row],[land_value]]</f>
        <v>54100</v>
      </c>
      <c r="BU1181" s="2">
        <f>_xlfn.IFNA(VLOOKUP(Wapato_Inventory[[#This Row],[quality]],Lookups!$A$28:$C$37,3,FALSE),1)</f>
        <v>0.96265813922927435</v>
      </c>
      <c r="BV1181" s="2">
        <f>_xlfn.IFNA(VLOOKUP(Wapato_Inventory[[#This Row],[condition]],Lookups!$A$41:$C$48,3,FALSE),1)</f>
        <v>0.93399385491337139</v>
      </c>
      <c r="BW1181" s="2">
        <f>IF(Wapato_Inventory[[#This Row],[decade]]="",1,_xlfn.IFNA(VLOOKUP(Wapato_Inventory[[#This Row],[decade]],Lookups!$F$28:$H$45,3,FALSE),1))</f>
        <v>0.94742695999815718</v>
      </c>
      <c r="BX1181" s="2">
        <f>_xlfn.IFNA(VLOOKUP(Wapato_Inventory[[#This Row],[living_area_range]],Lookups!$K$28:$M$37,3,FALSE),1)</f>
        <v>0.99022994770196116</v>
      </c>
      <c r="BY1181" s="2">
        <f>AVERAGE(Wapato_Inventory[[#This Row],[qual_adj]:[range_adj]])</f>
        <v>0.95857722546069102</v>
      </c>
      <c r="BZ1181" s="7">
        <f>(Wapato_Inventory[[#This Row],[sum_land]]-IF(Wapato_Inventory[[#This Row],[no_utilities]]=1,12000,0))/IF(Wapato_Inventory[[#This Row],[unbuildable]]=1,2,1)</f>
        <v>54100</v>
      </c>
      <c r="CA1181" s="7">
        <f>Wapato_Inventory[[#This Row],[pre_res]]*Wapato_Inventory[[#This Row],[overall_adj]]</f>
        <v>112240.32965025383</v>
      </c>
      <c r="CB1181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81" s="3">
        <f>IF(ROUND(Wapato_Inventory[[#This Row],[adj_res]]*Lookups!$H$48,-2)&lt;Wapato_Inventory[[#This Row],[min_res]],Wapato_Inventory[[#This Row],[min_res]],ROUND(Wapato_Inventory[[#This Row],[adj_res]]*Lookups!$H$48,-2))</f>
        <v>106600</v>
      </c>
      <c r="CD1181" s="3">
        <f>ROUND(Wapato_Inventory[[#This Row],[det_value]]*Lookups!$H$48,-2)</f>
        <v>0</v>
      </c>
      <c r="CE1181" s="3">
        <f>Wapato_Inventory[[#This Row],[final_res]]+Wapato_Inventory[[#This Row],[final_det]]</f>
        <v>106600</v>
      </c>
      <c r="CF1181" s="3">
        <f>Wapato_Inventory[[#This Row],[crop_value]]+Wapato_Inventory[[#This Row],[final_land]]+Wapato_Inventory[[#This Row],[final_imp]]</f>
        <v>158000</v>
      </c>
      <c r="CH1181" t="str">
        <f t="shared" si="18"/>
        <v>update valuation set market_land =51400, market_bldg=106600, market_total =158000, market_mdno =405, market_date ='9/10/2023' where link_id = (select link_id from parcel where parcel_year = '2024' and parcel_id = '19112211438');</v>
      </c>
    </row>
    <row r="1182" spans="1:86" x14ac:dyDescent="0.25">
      <c r="A1182">
        <v>19112211439</v>
      </c>
      <c r="B1182">
        <v>0.21</v>
      </c>
      <c r="C1182">
        <v>8958</v>
      </c>
      <c r="D1182" t="s">
        <v>144</v>
      </c>
      <c r="E1182" t="s">
        <v>54</v>
      </c>
      <c r="F1182" t="s">
        <v>54</v>
      </c>
      <c r="G1182">
        <v>3</v>
      </c>
      <c r="H1182" t="s">
        <v>55</v>
      </c>
      <c r="I1182">
        <v>0</v>
      </c>
      <c r="J1182">
        <v>34800</v>
      </c>
      <c r="K1182">
        <v>0.21</v>
      </c>
      <c r="L1182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82">
        <v>0</v>
      </c>
      <c r="N1182">
        <v>0</v>
      </c>
      <c r="O1182">
        <v>0</v>
      </c>
      <c r="P1182">
        <v>27904.037</v>
      </c>
      <c r="Q1182">
        <v>74398</v>
      </c>
      <c r="R1182" s="3">
        <f>(Wapato_Inventory[[#This Row],[ln_acres]]*Wapato_Inventory[[#This Row],[coeff]])+Wapato_Inventory[[#This Row],[const]]</f>
        <v>30849.627488456012</v>
      </c>
      <c r="S1182" t="s">
        <v>66</v>
      </c>
      <c r="T1182">
        <v>1</v>
      </c>
      <c r="U1182" t="s">
        <v>71</v>
      </c>
      <c r="V1182" t="s">
        <v>110</v>
      </c>
      <c r="W1182">
        <v>0</v>
      </c>
      <c r="X1182">
        <v>0</v>
      </c>
      <c r="Y1182">
        <v>50</v>
      </c>
      <c r="Z1182">
        <v>73</v>
      </c>
      <c r="AA1182">
        <v>80</v>
      </c>
      <c r="AB1182">
        <v>1500</v>
      </c>
      <c r="AC1182">
        <v>1144</v>
      </c>
      <c r="AD1182">
        <v>1144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5</v>
      </c>
      <c r="AQ1182">
        <v>0</v>
      </c>
      <c r="AR1182">
        <v>0</v>
      </c>
      <c r="AS1182" t="s">
        <v>59</v>
      </c>
      <c r="AT1182">
        <v>0</v>
      </c>
      <c r="AU1182" t="s">
        <v>80</v>
      </c>
      <c r="AV1182" t="s">
        <v>77</v>
      </c>
      <c r="AW1182">
        <v>0</v>
      </c>
      <c r="AX1182">
        <v>2</v>
      </c>
      <c r="AY1182">
        <v>0</v>
      </c>
      <c r="AZ1182">
        <v>0</v>
      </c>
      <c r="BA1182">
        <v>100</v>
      </c>
      <c r="BB1182">
        <v>100</v>
      </c>
      <c r="BC1182">
        <v>100</v>
      </c>
      <c r="BD1182">
        <v>100</v>
      </c>
      <c r="BE1182">
        <v>0</v>
      </c>
      <c r="BF1182">
        <v>15000</v>
      </c>
      <c r="BG1182">
        <v>0</v>
      </c>
      <c r="BH1182" s="7">
        <f>ROUND(Wapato_Inventory[[#This Row],[detatched_value]]*Lookups!$B$22*Lookups!$H$48,-2)</f>
        <v>0</v>
      </c>
      <c r="BI1182" s="7">
        <f>ROUND(((Wapato_Inventory[[#This Row],[land_extract]]*Lookups!$B$3) +(Lookups!$B$2*0.5))*Lookups!$H$48,-2)</f>
        <v>54100</v>
      </c>
      <c r="BJ1182" s="7">
        <f>IF(Wapato_Inventory[[#This Row],[bldg_style]]="",0,Lookups!$B$2*0.5)</f>
        <v>53765.27</v>
      </c>
      <c r="BK1182" s="7">
        <f>_xlfn.IFNA(VLOOKUP(Wapato_Inventory[[#This Row],[quality]],Lookups!$H$2:$J$14,3,FALSE),0)</f>
        <v>28034</v>
      </c>
      <c r="BL1182" s="7">
        <f>_xlfn.IFNA(VLOOKUP(Wapato_Inventory[[#This Row],[condition]],Lookups!$H$17:$J$24,3,FALSE),0)</f>
        <v>-49363</v>
      </c>
      <c r="BM1182" s="7">
        <f>Wapato_Inventory[[#This Row],[Age]]*Lookups!$B$16</f>
        <v>-27059.326100000002</v>
      </c>
      <c r="BN1182" s="7">
        <f>Wapato_Inventory[[#This Row],[Main Floor]]*Lookups!$B$17</f>
        <v>47820.045416000001</v>
      </c>
      <c r="BO1182" s="7">
        <f>Wapato_Inventory[[#This Row],[Upper Floor]]*Lookups!$B$18</f>
        <v>0</v>
      </c>
      <c r="BP1182" s="7">
        <f>Wapato_Inventory[[#This Row],[Fin BSMT]]*Lookups!$B$19</f>
        <v>0</v>
      </c>
      <c r="BQ1182" s="7">
        <f>(Wapato_Inventory[[#This Row],[att_gar]]+Wapato_Inventory[[#This Row],[blt_gar]])*Lookups!$B$20</f>
        <v>0</v>
      </c>
      <c r="BR1182" s="7">
        <f>Wapato_Inventory[[#This Row],[Patio]]*Lookups!$B$21</f>
        <v>0</v>
      </c>
      <c r="BS1182" s="7">
        <f>SUM(Wapato_Inventory[[#This Row],[intercept]:[patio_value]])*Wapato_Inventory[[#This Row],[res_pct]]</f>
        <v>0</v>
      </c>
      <c r="BT1182" s="7">
        <f>Wapato_Inventory[[#This Row],[land_value]]</f>
        <v>54100</v>
      </c>
      <c r="BU1182" s="2">
        <f>_xlfn.IFNA(VLOOKUP(Wapato_Inventory[[#This Row],[quality]],Lookups!$A$28:$C$37,3,FALSE),1)</f>
        <v>0.96265813922927435</v>
      </c>
      <c r="BV1182" s="2">
        <f>_xlfn.IFNA(VLOOKUP(Wapato_Inventory[[#This Row],[condition]],Lookups!$A$41:$C$48,3,FALSE),1)</f>
        <v>0</v>
      </c>
      <c r="BW1182" s="2">
        <f>IF(Wapato_Inventory[[#This Row],[decade]]="",1,_xlfn.IFNA(VLOOKUP(Wapato_Inventory[[#This Row],[decade]],Lookups!$F$28:$H$45,3,FALSE),1))</f>
        <v>0.8438929209510081</v>
      </c>
      <c r="BX1182" s="2">
        <f>_xlfn.IFNA(VLOOKUP(Wapato_Inventory[[#This Row],[living_area_range]],Lookups!$K$28:$M$37,3,FALSE),1)</f>
        <v>1.0061411172456287</v>
      </c>
      <c r="BY1182" s="2">
        <f>AVERAGE(Wapato_Inventory[[#This Row],[qual_adj]:[range_adj]])</f>
        <v>0.70317304435647776</v>
      </c>
      <c r="BZ1182" s="7">
        <f>(Wapato_Inventory[[#This Row],[sum_land]]-IF(Wapato_Inventory[[#This Row],[no_utilities]]=1,12000,0))/IF(Wapato_Inventory[[#This Row],[unbuildable]]=1,2,1)</f>
        <v>54100</v>
      </c>
      <c r="CA1182" s="7">
        <f>Wapato_Inventory[[#This Row],[pre_res]]*Wapato_Inventory[[#This Row],[overall_adj]]</f>
        <v>0</v>
      </c>
      <c r="CB1182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8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182" s="3">
        <f>ROUND(Wapato_Inventory[[#This Row],[det_value]]*Lookups!$H$48,-2)</f>
        <v>0</v>
      </c>
      <c r="CE1182" s="3">
        <f>Wapato_Inventory[[#This Row],[final_res]]+Wapato_Inventory[[#This Row],[final_det]]</f>
        <v>0</v>
      </c>
      <c r="CF1182" s="3">
        <f>Wapato_Inventory[[#This Row],[crop_value]]+Wapato_Inventory[[#This Row],[final_land]]+Wapato_Inventory[[#This Row],[final_imp]]</f>
        <v>51400</v>
      </c>
      <c r="CH1182" t="str">
        <f t="shared" si="18"/>
        <v>update valuation set market_land =51400, market_bldg=0, market_total =51400, market_mdno =405, market_date ='9/10/2023' where link_id = (select link_id from parcel where parcel_year = '2024' and parcel_id = '19112211439');</v>
      </c>
    </row>
    <row r="1183" spans="1:86" x14ac:dyDescent="0.25">
      <c r="A1183">
        <v>19112211441</v>
      </c>
      <c r="B1183">
        <v>0.21</v>
      </c>
      <c r="C1183">
        <v>8959</v>
      </c>
      <c r="D1183" t="s">
        <v>144</v>
      </c>
      <c r="E1183" t="s">
        <v>54</v>
      </c>
      <c r="F1183" t="s">
        <v>54</v>
      </c>
      <c r="G1183">
        <v>3</v>
      </c>
      <c r="H1183" t="s">
        <v>55</v>
      </c>
      <c r="I1183">
        <v>72800</v>
      </c>
      <c r="J1183">
        <v>34800</v>
      </c>
      <c r="K1183">
        <v>0.21</v>
      </c>
      <c r="L1183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83">
        <v>0</v>
      </c>
      <c r="N1183">
        <v>0</v>
      </c>
      <c r="O1183">
        <v>0</v>
      </c>
      <c r="P1183">
        <v>27904.037</v>
      </c>
      <c r="Q1183">
        <v>74398</v>
      </c>
      <c r="R1183" s="3">
        <f>(Wapato_Inventory[[#This Row],[ln_acres]]*Wapato_Inventory[[#This Row],[coeff]])+Wapato_Inventory[[#This Row],[const]]</f>
        <v>30849.627488456012</v>
      </c>
      <c r="S1183" t="s">
        <v>66</v>
      </c>
      <c r="T1183">
        <v>1</v>
      </c>
      <c r="U1183" t="s">
        <v>86</v>
      </c>
      <c r="V1183" t="s">
        <v>73</v>
      </c>
      <c r="W1183">
        <v>0</v>
      </c>
      <c r="X1183">
        <v>0</v>
      </c>
      <c r="Y1183">
        <v>53</v>
      </c>
      <c r="Z1183">
        <v>93</v>
      </c>
      <c r="AA1183">
        <v>100</v>
      </c>
      <c r="AB1183">
        <v>1500</v>
      </c>
      <c r="AC1183">
        <v>1324</v>
      </c>
      <c r="AD1183">
        <v>1324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5</v>
      </c>
      <c r="AQ1183">
        <v>0</v>
      </c>
      <c r="AR1183">
        <v>0</v>
      </c>
      <c r="AS1183" t="s">
        <v>59</v>
      </c>
      <c r="AT1183">
        <v>0</v>
      </c>
      <c r="AU1183" t="s">
        <v>80</v>
      </c>
      <c r="AV1183" t="s">
        <v>77</v>
      </c>
      <c r="AW1183">
        <v>0</v>
      </c>
      <c r="AX1183">
        <v>3</v>
      </c>
      <c r="AY1183">
        <v>0</v>
      </c>
      <c r="AZ1183">
        <v>5600</v>
      </c>
      <c r="BA1183">
        <v>100</v>
      </c>
      <c r="BB1183">
        <v>100</v>
      </c>
      <c r="BC1183">
        <v>100</v>
      </c>
      <c r="BD1183">
        <v>100</v>
      </c>
      <c r="BE1183">
        <v>1</v>
      </c>
      <c r="BF1183">
        <v>15000</v>
      </c>
      <c r="BG1183">
        <v>1000</v>
      </c>
      <c r="BH1183" s="7">
        <f>ROUND(Wapato_Inventory[[#This Row],[detatched_value]]*Lookups!$B$22*Lookups!$H$48,-2)</f>
        <v>5000</v>
      </c>
      <c r="BI1183" s="7">
        <f>ROUND(((Wapato_Inventory[[#This Row],[land_extract]]*Lookups!$B$3) +(Lookups!$B$2*0.5))*Lookups!$H$48,-2)</f>
        <v>54100</v>
      </c>
      <c r="BJ1183" s="7">
        <f>IF(Wapato_Inventory[[#This Row],[bldg_style]]="",0,Lookups!$B$2*0.5)</f>
        <v>53765.27</v>
      </c>
      <c r="BK1183" s="7">
        <f>_xlfn.IFNA(VLOOKUP(Wapato_Inventory[[#This Row],[quality]],Lookups!$H$2:$J$14,3,FALSE),0)</f>
        <v>0</v>
      </c>
      <c r="BL1183" s="7">
        <f>_xlfn.IFNA(VLOOKUP(Wapato_Inventory[[#This Row],[condition]],Lookups!$H$17:$J$24,3,FALSE),0)</f>
        <v>16276</v>
      </c>
      <c r="BM1183" s="7">
        <f>Wapato_Inventory[[#This Row],[Age]]*Lookups!$B$16</f>
        <v>-34472.840100000001</v>
      </c>
      <c r="BN1183" s="7">
        <f>Wapato_Inventory[[#This Row],[Main Floor]]*Lookups!$B$17</f>
        <v>55344.178436000002</v>
      </c>
      <c r="BO1183" s="7">
        <f>Wapato_Inventory[[#This Row],[Upper Floor]]*Lookups!$B$18</f>
        <v>0</v>
      </c>
      <c r="BP1183" s="7">
        <f>Wapato_Inventory[[#This Row],[Fin BSMT]]*Lookups!$B$19</f>
        <v>0</v>
      </c>
      <c r="BQ1183" s="7">
        <f>(Wapato_Inventory[[#This Row],[att_gar]]+Wapato_Inventory[[#This Row],[blt_gar]])*Lookups!$B$20</f>
        <v>0</v>
      </c>
      <c r="BR1183" s="7">
        <f>Wapato_Inventory[[#This Row],[Patio]]*Lookups!$B$21</f>
        <v>0</v>
      </c>
      <c r="BS1183" s="7">
        <f>SUM(Wapato_Inventory[[#This Row],[intercept]:[patio_value]])*Wapato_Inventory[[#This Row],[res_pct]]</f>
        <v>90912.60833599999</v>
      </c>
      <c r="BT1183" s="7">
        <f>Wapato_Inventory[[#This Row],[land_value]]</f>
        <v>54100</v>
      </c>
      <c r="BU1183" s="2">
        <f>_xlfn.IFNA(VLOOKUP(Wapato_Inventory[[#This Row],[quality]],Lookups!$A$28:$C$37,3,FALSE),1)</f>
        <v>1.0000010866511106</v>
      </c>
      <c r="BV1183" s="2">
        <f>_xlfn.IFNA(VLOOKUP(Wapato_Inventory[[#This Row],[condition]],Lookups!$A$41:$C$48,3,FALSE),1)</f>
        <v>0.93399385491337139</v>
      </c>
      <c r="BW1183" s="2">
        <f>IF(Wapato_Inventory[[#This Row],[decade]]="",1,_xlfn.IFNA(VLOOKUP(Wapato_Inventory[[#This Row],[decade]],Lookups!$F$28:$H$45,3,FALSE),1))</f>
        <v>1.0114203040664467</v>
      </c>
      <c r="BX1183" s="2">
        <f>_xlfn.IFNA(VLOOKUP(Wapato_Inventory[[#This Row],[living_area_range]],Lookups!$K$28:$M$37,3,FALSE),1)</f>
        <v>1.0061411172456287</v>
      </c>
      <c r="BY1183" s="2">
        <f>AVERAGE(Wapato_Inventory[[#This Row],[qual_adj]:[range_adj]])</f>
        <v>0.98788909071913933</v>
      </c>
      <c r="BZ1183" s="7">
        <f>(Wapato_Inventory[[#This Row],[sum_land]]-IF(Wapato_Inventory[[#This Row],[no_utilities]]=1,12000,0))/IF(Wapato_Inventory[[#This Row],[unbuildable]]=1,2,1)</f>
        <v>54100</v>
      </c>
      <c r="CA1183" s="7">
        <f>Wapato_Inventory[[#This Row],[pre_res]]*Wapato_Inventory[[#This Row],[overall_adj]]</f>
        <v>89811.573983956274</v>
      </c>
      <c r="CB1183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83" s="3">
        <f>IF(ROUND(Wapato_Inventory[[#This Row],[adj_res]]*Lookups!$H$48,-2)&lt;Wapato_Inventory[[#This Row],[min_res]],Wapato_Inventory[[#This Row],[min_res]],ROUND(Wapato_Inventory[[#This Row],[adj_res]]*Lookups!$H$48,-2))</f>
        <v>85300</v>
      </c>
      <c r="CD1183" s="3">
        <f>ROUND(Wapato_Inventory[[#This Row],[det_value]]*Lookups!$H$48,-2)</f>
        <v>4800</v>
      </c>
      <c r="CE1183" s="3">
        <f>Wapato_Inventory[[#This Row],[final_res]]+Wapato_Inventory[[#This Row],[final_det]]</f>
        <v>90100</v>
      </c>
      <c r="CF1183" s="3">
        <f>Wapato_Inventory[[#This Row],[crop_value]]+Wapato_Inventory[[#This Row],[final_land]]+Wapato_Inventory[[#This Row],[final_imp]]</f>
        <v>141500</v>
      </c>
      <c r="CH1183" t="str">
        <f t="shared" si="18"/>
        <v>update valuation set market_land =51400, market_bldg=90100, market_total =141500, market_mdno =405, market_date ='9/10/2023' where link_id = (select link_id from parcel where parcel_year = '2024' and parcel_id = '19112211441');</v>
      </c>
    </row>
    <row r="1184" spans="1:86" x14ac:dyDescent="0.25">
      <c r="A1184">
        <v>19112211443</v>
      </c>
      <c r="B1184">
        <v>0.41</v>
      </c>
      <c r="C1184">
        <v>17919</v>
      </c>
      <c r="D1184" t="s">
        <v>144</v>
      </c>
      <c r="E1184" t="s">
        <v>54</v>
      </c>
      <c r="F1184" t="s">
        <v>54</v>
      </c>
      <c r="G1184">
        <v>3</v>
      </c>
      <c r="H1184" t="s">
        <v>55</v>
      </c>
      <c r="I1184">
        <v>75300</v>
      </c>
      <c r="J1184">
        <v>39500</v>
      </c>
      <c r="K1184">
        <v>0.41</v>
      </c>
      <c r="L1184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184">
        <v>0</v>
      </c>
      <c r="N1184">
        <v>0</v>
      </c>
      <c r="O1184">
        <v>0</v>
      </c>
      <c r="P1184">
        <v>27904.037</v>
      </c>
      <c r="Q1184">
        <v>74398</v>
      </c>
      <c r="R1184" s="3">
        <f>(Wapato_Inventory[[#This Row],[ln_acres]]*Wapato_Inventory[[#This Row],[coeff]])+Wapato_Inventory[[#This Row],[const]]</f>
        <v>49518.813090374882</v>
      </c>
      <c r="S1184" t="s">
        <v>66</v>
      </c>
      <c r="T1184">
        <v>1</v>
      </c>
      <c r="U1184" t="s">
        <v>71</v>
      </c>
      <c r="V1184" t="s">
        <v>73</v>
      </c>
      <c r="W1184">
        <v>0</v>
      </c>
      <c r="X1184">
        <v>0</v>
      </c>
      <c r="Y1184">
        <v>53</v>
      </c>
      <c r="Z1184">
        <v>93</v>
      </c>
      <c r="AA1184">
        <v>100</v>
      </c>
      <c r="AB1184">
        <v>1500</v>
      </c>
      <c r="AC1184">
        <v>1008</v>
      </c>
      <c r="AD1184">
        <v>1008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240</v>
      </c>
      <c r="AL1184">
        <v>0</v>
      </c>
      <c r="AM1184">
        <v>348</v>
      </c>
      <c r="AN1184">
        <v>0</v>
      </c>
      <c r="AO1184">
        <v>348</v>
      </c>
      <c r="AP1184">
        <v>5</v>
      </c>
      <c r="AQ1184">
        <v>0</v>
      </c>
      <c r="AR1184">
        <v>0</v>
      </c>
      <c r="AS1184" t="s">
        <v>59</v>
      </c>
      <c r="AT1184">
        <v>0</v>
      </c>
      <c r="AU1184" t="s">
        <v>80</v>
      </c>
      <c r="AV1184" t="s">
        <v>77</v>
      </c>
      <c r="AW1184">
        <v>0</v>
      </c>
      <c r="AX1184">
        <v>2</v>
      </c>
      <c r="AY1184">
        <v>0</v>
      </c>
      <c r="AZ1184">
        <v>0</v>
      </c>
      <c r="BA1184">
        <v>100</v>
      </c>
      <c r="BB1184">
        <v>100</v>
      </c>
      <c r="BC1184">
        <v>100</v>
      </c>
      <c r="BD1184">
        <v>100</v>
      </c>
      <c r="BE1184">
        <v>1</v>
      </c>
      <c r="BF1184">
        <v>15000</v>
      </c>
      <c r="BG1184">
        <v>1000</v>
      </c>
      <c r="BH1184" s="7">
        <f>ROUND(Wapato_Inventory[[#This Row],[detatched_value]]*Lookups!$B$22*Lookups!$H$48,-2)</f>
        <v>0</v>
      </c>
      <c r="BI1184" s="7">
        <f>ROUND(((Wapato_Inventory[[#This Row],[land_extract]]*Lookups!$B$3) +(Lookups!$B$2*0.5))*Lookups!$H$48,-2)</f>
        <v>55900</v>
      </c>
      <c r="BJ1184" s="7">
        <f>IF(Wapato_Inventory[[#This Row],[bldg_style]]="",0,Lookups!$B$2*0.5)</f>
        <v>53765.27</v>
      </c>
      <c r="BK1184" s="7">
        <f>_xlfn.IFNA(VLOOKUP(Wapato_Inventory[[#This Row],[quality]],Lookups!$H$2:$J$14,3,FALSE),0)</f>
        <v>28034</v>
      </c>
      <c r="BL1184" s="7">
        <f>_xlfn.IFNA(VLOOKUP(Wapato_Inventory[[#This Row],[condition]],Lookups!$H$17:$J$24,3,FALSE),0)</f>
        <v>16276</v>
      </c>
      <c r="BM1184" s="7">
        <f>Wapato_Inventory[[#This Row],[Age]]*Lookups!$B$16</f>
        <v>-34472.840100000001</v>
      </c>
      <c r="BN1184" s="7">
        <f>Wapato_Inventory[[#This Row],[Main Floor]]*Lookups!$B$17</f>
        <v>42135.144912000003</v>
      </c>
      <c r="BO1184" s="7">
        <f>Wapato_Inventory[[#This Row],[Upper Floor]]*Lookups!$B$18</f>
        <v>0</v>
      </c>
      <c r="BP1184" s="7">
        <f>Wapato_Inventory[[#This Row],[Fin BSMT]]*Lookups!$B$19</f>
        <v>0</v>
      </c>
      <c r="BQ1184" s="7">
        <f>(Wapato_Inventory[[#This Row],[att_gar]]+Wapato_Inventory[[#This Row],[blt_gar]])*Lookups!$B$20</f>
        <v>0</v>
      </c>
      <c r="BR1184" s="7">
        <f>Wapato_Inventory[[#This Row],[Patio]]*Lookups!$B$21</f>
        <v>15076.744692</v>
      </c>
      <c r="BS1184" s="7">
        <f>SUM(Wapato_Inventory[[#This Row],[intercept]:[patio_value]])*Wapato_Inventory[[#This Row],[res_pct]]</f>
        <v>120814.31950399998</v>
      </c>
      <c r="BT1184" s="7">
        <f>Wapato_Inventory[[#This Row],[land_value]]</f>
        <v>55900</v>
      </c>
      <c r="BU1184" s="2">
        <f>_xlfn.IFNA(VLOOKUP(Wapato_Inventory[[#This Row],[quality]],Lookups!$A$28:$C$37,3,FALSE),1)</f>
        <v>0.96265813922927435</v>
      </c>
      <c r="BV1184" s="2">
        <f>_xlfn.IFNA(VLOOKUP(Wapato_Inventory[[#This Row],[condition]],Lookups!$A$41:$C$48,3,FALSE),1)</f>
        <v>0.93399385491337139</v>
      </c>
      <c r="BW1184" s="2">
        <f>IF(Wapato_Inventory[[#This Row],[decade]]="",1,_xlfn.IFNA(VLOOKUP(Wapato_Inventory[[#This Row],[decade]],Lookups!$F$28:$H$45,3,FALSE),1))</f>
        <v>1.0114203040664467</v>
      </c>
      <c r="BX1184" s="2">
        <f>_xlfn.IFNA(VLOOKUP(Wapato_Inventory[[#This Row],[living_area_range]],Lookups!$K$28:$M$37,3,FALSE),1)</f>
        <v>1.0061411172456287</v>
      </c>
      <c r="BY1184" s="2">
        <f>AVERAGE(Wapato_Inventory[[#This Row],[qual_adj]:[range_adj]])</f>
        <v>0.97855335386368036</v>
      </c>
      <c r="BZ1184" s="7">
        <f>(Wapato_Inventory[[#This Row],[sum_land]]-IF(Wapato_Inventory[[#This Row],[no_utilities]]=1,12000,0))/IF(Wapato_Inventory[[#This Row],[unbuildable]]=1,2,1)</f>
        <v>55900</v>
      </c>
      <c r="CA1184" s="7">
        <f>Wapato_Inventory[[#This Row],[pre_res]]*Wapato_Inventory[[#This Row],[overall_adj]]</f>
        <v>118223.25754539744</v>
      </c>
      <c r="CB1184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84" s="3">
        <f>IF(ROUND(Wapato_Inventory[[#This Row],[adj_res]]*Lookups!$H$48,-2)&lt;Wapato_Inventory[[#This Row],[min_res]],Wapato_Inventory[[#This Row],[min_res]],ROUND(Wapato_Inventory[[#This Row],[adj_res]]*Lookups!$H$48,-2))</f>
        <v>112300</v>
      </c>
      <c r="CD1184" s="3">
        <f>ROUND(Wapato_Inventory[[#This Row],[det_value]]*Lookups!$H$48,-2)</f>
        <v>0</v>
      </c>
      <c r="CE1184" s="3">
        <f>Wapato_Inventory[[#This Row],[final_res]]+Wapato_Inventory[[#This Row],[final_det]]</f>
        <v>112300</v>
      </c>
      <c r="CF1184" s="3">
        <f>Wapato_Inventory[[#This Row],[crop_value]]+Wapato_Inventory[[#This Row],[final_land]]+Wapato_Inventory[[#This Row],[final_imp]]</f>
        <v>165400</v>
      </c>
      <c r="CH1184" t="str">
        <f t="shared" si="18"/>
        <v>update valuation set market_land =53100, market_bldg=112300, market_total =165400, market_mdno =405, market_date ='9/10/2023' where link_id = (select link_id from parcel where parcel_year = '2024' and parcel_id = '19112211443');</v>
      </c>
    </row>
    <row r="1185" spans="1:86" x14ac:dyDescent="0.25">
      <c r="A1185">
        <v>19112211444</v>
      </c>
      <c r="B1185">
        <v>0.21</v>
      </c>
      <c r="C1185">
        <v>8959</v>
      </c>
      <c r="D1185" t="s">
        <v>144</v>
      </c>
      <c r="E1185" t="s">
        <v>54</v>
      </c>
      <c r="F1185" t="s">
        <v>54</v>
      </c>
      <c r="G1185">
        <v>3</v>
      </c>
      <c r="H1185" t="s">
        <v>55</v>
      </c>
      <c r="I1185">
        <v>61300</v>
      </c>
      <c r="J1185">
        <v>34800</v>
      </c>
      <c r="K1185">
        <v>0.21</v>
      </c>
      <c r="L1185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85">
        <v>0</v>
      </c>
      <c r="N1185">
        <v>0</v>
      </c>
      <c r="O1185">
        <v>0</v>
      </c>
      <c r="P1185">
        <v>27904.037</v>
      </c>
      <c r="Q1185">
        <v>74398</v>
      </c>
      <c r="R1185" s="3">
        <f>(Wapato_Inventory[[#This Row],[ln_acres]]*Wapato_Inventory[[#This Row],[coeff]])+Wapato_Inventory[[#This Row],[const]]</f>
        <v>30849.627488456012</v>
      </c>
      <c r="S1185" t="s">
        <v>66</v>
      </c>
      <c r="T1185">
        <v>1</v>
      </c>
      <c r="U1185" t="s">
        <v>86</v>
      </c>
      <c r="V1185" t="s">
        <v>84</v>
      </c>
      <c r="W1185">
        <v>0</v>
      </c>
      <c r="X1185">
        <v>0</v>
      </c>
      <c r="Y1185">
        <v>53</v>
      </c>
      <c r="Z1185">
        <v>93</v>
      </c>
      <c r="AA1185">
        <v>100</v>
      </c>
      <c r="AB1185">
        <v>1500</v>
      </c>
      <c r="AC1185">
        <v>1472</v>
      </c>
      <c r="AD1185">
        <v>1472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128</v>
      </c>
      <c r="AO1185">
        <v>0</v>
      </c>
      <c r="AP1185">
        <v>5</v>
      </c>
      <c r="AQ1185">
        <v>0</v>
      </c>
      <c r="AR1185">
        <v>0</v>
      </c>
      <c r="AS1185" t="s">
        <v>59</v>
      </c>
      <c r="AT1185">
        <v>0</v>
      </c>
      <c r="AU1185" t="s">
        <v>80</v>
      </c>
      <c r="AV1185" t="s">
        <v>77</v>
      </c>
      <c r="AW1185">
        <v>0</v>
      </c>
      <c r="AX1185">
        <v>3</v>
      </c>
      <c r="AY1185">
        <v>0</v>
      </c>
      <c r="AZ1185">
        <v>0</v>
      </c>
      <c r="BA1185">
        <v>100</v>
      </c>
      <c r="BB1185">
        <v>100</v>
      </c>
      <c r="BC1185">
        <v>100</v>
      </c>
      <c r="BD1185">
        <v>100</v>
      </c>
      <c r="BE1185">
        <v>1</v>
      </c>
      <c r="BF1185">
        <v>15000</v>
      </c>
      <c r="BG1185">
        <v>1000</v>
      </c>
      <c r="BH1185" s="7">
        <f>ROUND(Wapato_Inventory[[#This Row],[detatched_value]]*Lookups!$B$22*Lookups!$H$48,-2)</f>
        <v>0</v>
      </c>
      <c r="BI1185" s="7">
        <f>ROUND(((Wapato_Inventory[[#This Row],[land_extract]]*Lookups!$B$3) +(Lookups!$B$2*0.5))*Lookups!$H$48,-2)</f>
        <v>54100</v>
      </c>
      <c r="BJ1185" s="7">
        <f>IF(Wapato_Inventory[[#This Row],[bldg_style]]="",0,Lookups!$B$2*0.5)</f>
        <v>53765.27</v>
      </c>
      <c r="BK1185" s="7">
        <f>_xlfn.IFNA(VLOOKUP(Wapato_Inventory[[#This Row],[quality]],Lookups!$H$2:$J$14,3,FALSE),0)</f>
        <v>0</v>
      </c>
      <c r="BL1185" s="7">
        <f>_xlfn.IFNA(VLOOKUP(Wapato_Inventory[[#This Row],[condition]],Lookups!$H$17:$J$24,3,FALSE),0)</f>
        <v>0</v>
      </c>
      <c r="BM1185" s="7">
        <f>Wapato_Inventory[[#This Row],[Age]]*Lookups!$B$16</f>
        <v>-34472.840100000001</v>
      </c>
      <c r="BN1185" s="7">
        <f>Wapato_Inventory[[#This Row],[Main Floor]]*Lookups!$B$17</f>
        <v>61530.687808000002</v>
      </c>
      <c r="BO1185" s="7">
        <f>Wapato_Inventory[[#This Row],[Upper Floor]]*Lookups!$B$18</f>
        <v>0</v>
      </c>
      <c r="BP1185" s="7">
        <f>Wapato_Inventory[[#This Row],[Fin BSMT]]*Lookups!$B$19</f>
        <v>0</v>
      </c>
      <c r="BQ1185" s="7">
        <f>(Wapato_Inventory[[#This Row],[att_gar]]+Wapato_Inventory[[#This Row],[blt_gar]])*Lookups!$B$20</f>
        <v>0</v>
      </c>
      <c r="BR1185" s="7">
        <f>Wapato_Inventory[[#This Row],[Patio]]*Lookups!$B$21</f>
        <v>0</v>
      </c>
      <c r="BS1185" s="7">
        <f>SUM(Wapato_Inventory[[#This Row],[intercept]:[patio_value]])*Wapato_Inventory[[#This Row],[res_pct]]</f>
        <v>80823.117708000005</v>
      </c>
      <c r="BT1185" s="7">
        <f>Wapato_Inventory[[#This Row],[land_value]]</f>
        <v>54100</v>
      </c>
      <c r="BU1185" s="2">
        <f>_xlfn.IFNA(VLOOKUP(Wapato_Inventory[[#This Row],[quality]],Lookups!$A$28:$C$37,3,FALSE),1)</f>
        <v>1.0000010866511106</v>
      </c>
      <c r="BV1185" s="2">
        <f>_xlfn.IFNA(VLOOKUP(Wapato_Inventory[[#This Row],[condition]],Lookups!$A$41:$C$48,3,FALSE),1)</f>
        <v>1.0000035546274355</v>
      </c>
      <c r="BW1185" s="2">
        <f>IF(Wapato_Inventory[[#This Row],[decade]]="",1,_xlfn.IFNA(VLOOKUP(Wapato_Inventory[[#This Row],[decade]],Lookups!$F$28:$H$45,3,FALSE),1))</f>
        <v>1.0114203040664467</v>
      </c>
      <c r="BX1185" s="2">
        <f>_xlfn.IFNA(VLOOKUP(Wapato_Inventory[[#This Row],[living_area_range]],Lookups!$K$28:$M$37,3,FALSE),1)</f>
        <v>1.0061411172456287</v>
      </c>
      <c r="BY1185" s="2">
        <f>AVERAGE(Wapato_Inventory[[#This Row],[qual_adj]:[range_adj]])</f>
        <v>1.0043915156476555</v>
      </c>
      <c r="BZ1185" s="7">
        <f>(Wapato_Inventory[[#This Row],[sum_land]]-IF(Wapato_Inventory[[#This Row],[no_utilities]]=1,12000,0))/IF(Wapato_Inventory[[#This Row],[unbuildable]]=1,2,1)</f>
        <v>54100</v>
      </c>
      <c r="CA1185" s="7">
        <f>Wapato_Inventory[[#This Row],[pre_res]]*Wapato_Inventory[[#This Row],[overall_adj]]</f>
        <v>81178.053694106988</v>
      </c>
      <c r="CB1185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85" s="3">
        <f>IF(ROUND(Wapato_Inventory[[#This Row],[adj_res]]*Lookups!$H$48,-2)&lt;Wapato_Inventory[[#This Row],[min_res]],Wapato_Inventory[[#This Row],[min_res]],ROUND(Wapato_Inventory[[#This Row],[adj_res]]*Lookups!$H$48,-2))</f>
        <v>77100</v>
      </c>
      <c r="CD1185" s="3">
        <f>ROUND(Wapato_Inventory[[#This Row],[det_value]]*Lookups!$H$48,-2)</f>
        <v>0</v>
      </c>
      <c r="CE1185" s="3">
        <f>Wapato_Inventory[[#This Row],[final_res]]+Wapato_Inventory[[#This Row],[final_det]]</f>
        <v>77100</v>
      </c>
      <c r="CF1185" s="3">
        <f>Wapato_Inventory[[#This Row],[crop_value]]+Wapato_Inventory[[#This Row],[final_land]]+Wapato_Inventory[[#This Row],[final_imp]]</f>
        <v>128500</v>
      </c>
      <c r="CH1185" t="str">
        <f t="shared" si="18"/>
        <v>update valuation set market_land =51400, market_bldg=77100, market_total =128500, market_mdno =405, market_date ='9/10/2023' where link_id = (select link_id from parcel where parcel_year = '2024' and parcel_id = '19112211444');</v>
      </c>
    </row>
    <row r="1186" spans="1:86" x14ac:dyDescent="0.25">
      <c r="A1186">
        <v>19112211445</v>
      </c>
      <c r="B1186">
        <v>0.21</v>
      </c>
      <c r="C1186">
        <v>8959</v>
      </c>
      <c r="D1186" t="s">
        <v>144</v>
      </c>
      <c r="E1186" t="s">
        <v>54</v>
      </c>
      <c r="F1186" t="s">
        <v>54</v>
      </c>
      <c r="G1186">
        <v>3</v>
      </c>
      <c r="H1186" t="s">
        <v>55</v>
      </c>
      <c r="I1186">
        <v>69800</v>
      </c>
      <c r="J1186">
        <v>34800</v>
      </c>
      <c r="K1186">
        <v>0.21</v>
      </c>
      <c r="L1186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86">
        <v>0</v>
      </c>
      <c r="N1186">
        <v>0</v>
      </c>
      <c r="O1186">
        <v>0</v>
      </c>
      <c r="P1186">
        <v>27904.037</v>
      </c>
      <c r="Q1186">
        <v>74398</v>
      </c>
      <c r="R1186" s="3">
        <f>(Wapato_Inventory[[#This Row],[ln_acres]]*Wapato_Inventory[[#This Row],[coeff]])+Wapato_Inventory[[#This Row],[const]]</f>
        <v>30849.627488456012</v>
      </c>
      <c r="S1186" t="s">
        <v>66</v>
      </c>
      <c r="T1186">
        <v>1</v>
      </c>
      <c r="U1186" t="s">
        <v>78</v>
      </c>
      <c r="V1186" t="s">
        <v>73</v>
      </c>
      <c r="W1186">
        <v>0</v>
      </c>
      <c r="X1186">
        <v>0</v>
      </c>
      <c r="Y1186">
        <v>51</v>
      </c>
      <c r="Z1186">
        <v>83</v>
      </c>
      <c r="AA1186">
        <v>90</v>
      </c>
      <c r="AB1186">
        <v>1000</v>
      </c>
      <c r="AC1186">
        <v>718</v>
      </c>
      <c r="AD1186">
        <v>718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5</v>
      </c>
      <c r="AQ1186">
        <v>0</v>
      </c>
      <c r="AR1186">
        <v>0</v>
      </c>
      <c r="AS1186" t="s">
        <v>59</v>
      </c>
      <c r="AT1186">
        <v>0</v>
      </c>
      <c r="AU1186" t="s">
        <v>80</v>
      </c>
      <c r="AV1186" t="s">
        <v>77</v>
      </c>
      <c r="AW1186">
        <v>0</v>
      </c>
      <c r="AX1186">
        <v>2</v>
      </c>
      <c r="AY1186">
        <v>0</v>
      </c>
      <c r="AZ1186">
        <v>500</v>
      </c>
      <c r="BA1186">
        <v>100</v>
      </c>
      <c r="BB1186">
        <v>100</v>
      </c>
      <c r="BC1186">
        <v>100</v>
      </c>
      <c r="BD1186">
        <v>100</v>
      </c>
      <c r="BE1186">
        <v>1</v>
      </c>
      <c r="BF1186">
        <v>15000</v>
      </c>
      <c r="BG1186">
        <v>1000</v>
      </c>
      <c r="BH1186" s="7">
        <f>ROUND(Wapato_Inventory[[#This Row],[detatched_value]]*Lookups!$B$22*Lookups!$H$48,-2)</f>
        <v>400</v>
      </c>
      <c r="BI1186" s="7">
        <f>ROUND(((Wapato_Inventory[[#This Row],[land_extract]]*Lookups!$B$3) +(Lookups!$B$2*0.5))*Lookups!$H$48,-2)</f>
        <v>54100</v>
      </c>
      <c r="BJ1186" s="7">
        <f>IF(Wapato_Inventory[[#This Row],[bldg_style]]="",0,Lookups!$B$2*0.5)</f>
        <v>53765.27</v>
      </c>
      <c r="BK1186" s="7">
        <f>_xlfn.IFNA(VLOOKUP(Wapato_Inventory[[#This Row],[quality]],Lookups!$H$2:$J$14,3,FALSE),0)</f>
        <v>23424</v>
      </c>
      <c r="BL1186" s="7">
        <f>_xlfn.IFNA(VLOOKUP(Wapato_Inventory[[#This Row],[condition]],Lookups!$H$17:$J$24,3,FALSE),0)</f>
        <v>16276</v>
      </c>
      <c r="BM1186" s="7">
        <f>Wapato_Inventory[[#This Row],[Age]]*Lookups!$B$16</f>
        <v>-30766.0831</v>
      </c>
      <c r="BN1186" s="7">
        <f>Wapato_Inventory[[#This Row],[Main Floor]]*Lookups!$B$17</f>
        <v>30012.930602</v>
      </c>
      <c r="BO1186" s="7">
        <f>Wapato_Inventory[[#This Row],[Upper Floor]]*Lookups!$B$18</f>
        <v>0</v>
      </c>
      <c r="BP1186" s="7">
        <f>Wapato_Inventory[[#This Row],[Fin BSMT]]*Lookups!$B$19</f>
        <v>0</v>
      </c>
      <c r="BQ1186" s="7">
        <f>(Wapato_Inventory[[#This Row],[att_gar]]+Wapato_Inventory[[#This Row],[blt_gar]])*Lookups!$B$20</f>
        <v>0</v>
      </c>
      <c r="BR1186" s="7">
        <f>Wapato_Inventory[[#This Row],[Patio]]*Lookups!$B$21</f>
        <v>0</v>
      </c>
      <c r="BS1186" s="7">
        <f>SUM(Wapato_Inventory[[#This Row],[intercept]:[patio_value]])*Wapato_Inventory[[#This Row],[res_pct]]</f>
        <v>92712.117501999979</v>
      </c>
      <c r="BT1186" s="7">
        <f>Wapato_Inventory[[#This Row],[land_value]]</f>
        <v>54100</v>
      </c>
      <c r="BU1186" s="2">
        <f>_xlfn.IFNA(VLOOKUP(Wapato_Inventory[[#This Row],[quality]],Lookups!$A$28:$C$37,3,FALSE),1)</f>
        <v>1.0091195562373767</v>
      </c>
      <c r="BV1186" s="2">
        <f>_xlfn.IFNA(VLOOKUP(Wapato_Inventory[[#This Row],[condition]],Lookups!$A$41:$C$48,3,FALSE),1)</f>
        <v>0.93399385491337139</v>
      </c>
      <c r="BW1186" s="2">
        <f>IF(Wapato_Inventory[[#This Row],[decade]]="",1,_xlfn.IFNA(VLOOKUP(Wapato_Inventory[[#This Row],[decade]],Lookups!$F$28:$H$45,3,FALSE),1))</f>
        <v>0.94742695999815718</v>
      </c>
      <c r="BX1186" s="2">
        <f>_xlfn.IFNA(VLOOKUP(Wapato_Inventory[[#This Row],[living_area_range]],Lookups!$K$28:$M$37,3,FALSE),1)</f>
        <v>0.99022994770196116</v>
      </c>
      <c r="BY1186" s="2">
        <f>AVERAGE(Wapato_Inventory[[#This Row],[qual_adj]:[range_adj]])</f>
        <v>0.97019257971271655</v>
      </c>
      <c r="BZ1186" s="7">
        <f>(Wapato_Inventory[[#This Row],[sum_land]]-IF(Wapato_Inventory[[#This Row],[no_utilities]]=1,12000,0))/IF(Wapato_Inventory[[#This Row],[unbuildable]]=1,2,1)</f>
        <v>54100</v>
      </c>
      <c r="CA1186" s="7">
        <f>Wapato_Inventory[[#This Row],[pre_res]]*Wapato_Inventory[[#This Row],[overall_adj]]</f>
        <v>89948.608449893858</v>
      </c>
      <c r="CB1186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86" s="3">
        <f>IF(ROUND(Wapato_Inventory[[#This Row],[adj_res]]*Lookups!$H$48,-2)&lt;Wapato_Inventory[[#This Row],[min_res]],Wapato_Inventory[[#This Row],[min_res]],ROUND(Wapato_Inventory[[#This Row],[adj_res]]*Lookups!$H$48,-2))</f>
        <v>85500</v>
      </c>
      <c r="CD1186" s="3">
        <f>ROUND(Wapato_Inventory[[#This Row],[det_value]]*Lookups!$H$48,-2)</f>
        <v>400</v>
      </c>
      <c r="CE1186" s="3">
        <f>Wapato_Inventory[[#This Row],[final_res]]+Wapato_Inventory[[#This Row],[final_det]]</f>
        <v>85900</v>
      </c>
      <c r="CF1186" s="3">
        <f>Wapato_Inventory[[#This Row],[crop_value]]+Wapato_Inventory[[#This Row],[final_land]]+Wapato_Inventory[[#This Row],[final_imp]]</f>
        <v>137300</v>
      </c>
      <c r="CH1186" t="str">
        <f t="shared" si="18"/>
        <v>update valuation set market_land =51400, market_bldg=85900, market_total =137300, market_mdno =405, market_date ='9/10/2023' where link_id = (select link_id from parcel where parcel_year = '2024' and parcel_id = '19112211445');</v>
      </c>
    </row>
    <row r="1187" spans="1:86" x14ac:dyDescent="0.25">
      <c r="A1187">
        <v>19112211446</v>
      </c>
      <c r="B1187">
        <v>0.41</v>
      </c>
      <c r="C1187">
        <v>17919</v>
      </c>
      <c r="D1187" t="s">
        <v>144</v>
      </c>
      <c r="E1187" t="s">
        <v>54</v>
      </c>
      <c r="F1187" t="s">
        <v>54</v>
      </c>
      <c r="G1187">
        <v>3</v>
      </c>
      <c r="H1187" t="s">
        <v>55</v>
      </c>
      <c r="I1187">
        <v>219300</v>
      </c>
      <c r="J1187">
        <v>39500</v>
      </c>
      <c r="K1187">
        <v>0.41</v>
      </c>
      <c r="L1187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187">
        <v>0</v>
      </c>
      <c r="N1187">
        <v>0</v>
      </c>
      <c r="O1187">
        <v>0</v>
      </c>
      <c r="P1187">
        <v>27904.037</v>
      </c>
      <c r="Q1187">
        <v>74398</v>
      </c>
      <c r="R1187" s="3">
        <f>(Wapato_Inventory[[#This Row],[ln_acres]]*Wapato_Inventory[[#This Row],[coeff]])+Wapato_Inventory[[#This Row],[const]]</f>
        <v>49518.813090374882</v>
      </c>
      <c r="S1187" t="s">
        <v>66</v>
      </c>
      <c r="T1187">
        <v>1</v>
      </c>
      <c r="U1187" t="s">
        <v>71</v>
      </c>
      <c r="V1187" t="s">
        <v>68</v>
      </c>
      <c r="W1187">
        <v>0</v>
      </c>
      <c r="X1187">
        <v>0</v>
      </c>
      <c r="Y1187">
        <v>52</v>
      </c>
      <c r="Z1187">
        <v>88</v>
      </c>
      <c r="AA1187">
        <v>90</v>
      </c>
      <c r="AB1187">
        <v>1500</v>
      </c>
      <c r="AC1187">
        <v>1276</v>
      </c>
      <c r="AD1187">
        <v>1276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278</v>
      </c>
      <c r="AP1187">
        <v>8</v>
      </c>
      <c r="AQ1187">
        <v>1</v>
      </c>
      <c r="AR1187">
        <v>0</v>
      </c>
      <c r="AS1187" t="s">
        <v>59</v>
      </c>
      <c r="AT1187">
        <v>1</v>
      </c>
      <c r="AU1187" t="s">
        <v>72</v>
      </c>
      <c r="AV1187" t="s">
        <v>61</v>
      </c>
      <c r="AW1187">
        <v>0</v>
      </c>
      <c r="AX1187">
        <v>3</v>
      </c>
      <c r="AY1187">
        <v>0</v>
      </c>
      <c r="AZ1187">
        <v>63600</v>
      </c>
      <c r="BA1187">
        <v>100</v>
      </c>
      <c r="BB1187">
        <v>100</v>
      </c>
      <c r="BC1187">
        <v>100</v>
      </c>
      <c r="BD1187">
        <v>100</v>
      </c>
      <c r="BE1187">
        <v>1</v>
      </c>
      <c r="BF1187">
        <v>15000</v>
      </c>
      <c r="BG1187">
        <v>1000</v>
      </c>
      <c r="BH1187" s="7">
        <f>ROUND(Wapato_Inventory[[#This Row],[detatched_value]]*Lookups!$B$22*Lookups!$H$48,-2)</f>
        <v>56800</v>
      </c>
      <c r="BI1187" s="7">
        <f>ROUND(((Wapato_Inventory[[#This Row],[land_extract]]*Lookups!$B$3) +(Lookups!$B$2*0.5))*Lookups!$H$48,-2)</f>
        <v>55900</v>
      </c>
      <c r="BJ1187" s="7">
        <f>IF(Wapato_Inventory[[#This Row],[bldg_style]]="",0,Lookups!$B$2*0.5)</f>
        <v>53765.27</v>
      </c>
      <c r="BK1187" s="7">
        <f>_xlfn.IFNA(VLOOKUP(Wapato_Inventory[[#This Row],[quality]],Lookups!$H$2:$J$14,3,FALSE),0)</f>
        <v>28034</v>
      </c>
      <c r="BL1187" s="7">
        <f>_xlfn.IFNA(VLOOKUP(Wapato_Inventory[[#This Row],[condition]],Lookups!$H$17:$J$24,3,FALSE),0)</f>
        <v>52231</v>
      </c>
      <c r="BM1187" s="7">
        <f>Wapato_Inventory[[#This Row],[Age]]*Lookups!$B$16</f>
        <v>-32619.461600000002</v>
      </c>
      <c r="BN1187" s="7">
        <f>Wapato_Inventory[[#This Row],[Main Floor]]*Lookups!$B$17</f>
        <v>53337.742963999997</v>
      </c>
      <c r="BO1187" s="7">
        <f>Wapato_Inventory[[#This Row],[Upper Floor]]*Lookups!$B$18</f>
        <v>0</v>
      </c>
      <c r="BP1187" s="7">
        <f>Wapato_Inventory[[#This Row],[Fin BSMT]]*Lookups!$B$19</f>
        <v>0</v>
      </c>
      <c r="BQ1187" s="7">
        <f>(Wapato_Inventory[[#This Row],[att_gar]]+Wapato_Inventory[[#This Row],[blt_gar]])*Lookups!$B$20</f>
        <v>0</v>
      </c>
      <c r="BR1187" s="7">
        <f>Wapato_Inventory[[#This Row],[Patio]]*Lookups!$B$21</f>
        <v>0</v>
      </c>
      <c r="BS1187" s="7">
        <f>SUM(Wapato_Inventory[[#This Row],[intercept]:[patio_value]])*Wapato_Inventory[[#This Row],[res_pct]]</f>
        <v>154748.55136399998</v>
      </c>
      <c r="BT1187" s="7">
        <f>Wapato_Inventory[[#This Row],[land_value]]</f>
        <v>55900</v>
      </c>
      <c r="BU1187" s="2">
        <f>_xlfn.IFNA(VLOOKUP(Wapato_Inventory[[#This Row],[quality]],Lookups!$A$28:$C$37,3,FALSE),1)</f>
        <v>0.96265813922927435</v>
      </c>
      <c r="BV1187" s="2">
        <f>_xlfn.IFNA(VLOOKUP(Wapato_Inventory[[#This Row],[condition]],Lookups!$A$41:$C$48,3,FALSE),1)</f>
        <v>0.9832333997567807</v>
      </c>
      <c r="BW1187" s="2">
        <f>IF(Wapato_Inventory[[#This Row],[decade]]="",1,_xlfn.IFNA(VLOOKUP(Wapato_Inventory[[#This Row],[decade]],Lookups!$F$28:$H$45,3,FALSE),1))</f>
        <v>0.94742695999815718</v>
      </c>
      <c r="BX1187" s="2">
        <f>_xlfn.IFNA(VLOOKUP(Wapato_Inventory[[#This Row],[living_area_range]],Lookups!$K$28:$M$37,3,FALSE),1)</f>
        <v>1.0061411172456287</v>
      </c>
      <c r="BY1187" s="2">
        <f>AVERAGE(Wapato_Inventory[[#This Row],[qual_adj]:[range_adj]])</f>
        <v>0.97486490405746018</v>
      </c>
      <c r="BZ1187" s="7">
        <f>(Wapato_Inventory[[#This Row],[sum_land]]-IF(Wapato_Inventory[[#This Row],[no_utilities]]=1,12000,0))/IF(Wapato_Inventory[[#This Row],[unbuildable]]=1,2,1)</f>
        <v>55900</v>
      </c>
      <c r="CA1187" s="7">
        <f>Wapato_Inventory[[#This Row],[pre_res]]*Wapato_Inventory[[#This Row],[overall_adj]]</f>
        <v>150858.9316784968</v>
      </c>
      <c r="CB1187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87" s="3">
        <f>IF(ROUND(Wapato_Inventory[[#This Row],[adj_res]]*Lookups!$H$48,-2)&lt;Wapato_Inventory[[#This Row],[min_res]],Wapato_Inventory[[#This Row],[min_res]],ROUND(Wapato_Inventory[[#This Row],[adj_res]]*Lookups!$H$48,-2))</f>
        <v>143300</v>
      </c>
      <c r="CD1187" s="3">
        <f>ROUND(Wapato_Inventory[[#This Row],[det_value]]*Lookups!$H$48,-2)</f>
        <v>54000</v>
      </c>
      <c r="CE1187" s="3">
        <f>Wapato_Inventory[[#This Row],[final_res]]+Wapato_Inventory[[#This Row],[final_det]]</f>
        <v>197300</v>
      </c>
      <c r="CF1187" s="3">
        <f>Wapato_Inventory[[#This Row],[crop_value]]+Wapato_Inventory[[#This Row],[final_land]]+Wapato_Inventory[[#This Row],[final_imp]]</f>
        <v>250400</v>
      </c>
      <c r="CH1187" t="str">
        <f t="shared" si="18"/>
        <v>update valuation set market_land =53100, market_bldg=197300, market_total =250400, market_mdno =405, market_date ='9/10/2023' where link_id = (select link_id from parcel where parcel_year = '2024' and parcel_id = '19112211446');</v>
      </c>
    </row>
    <row r="1188" spans="1:86" x14ac:dyDescent="0.25">
      <c r="A1188">
        <v>19112211448</v>
      </c>
      <c r="B1188">
        <v>0.16</v>
      </c>
      <c r="C1188" t="s">
        <v>144</v>
      </c>
      <c r="D1188" t="s">
        <v>144</v>
      </c>
      <c r="E1188" t="s">
        <v>54</v>
      </c>
      <c r="F1188" t="s">
        <v>54</v>
      </c>
      <c r="G1188">
        <v>3</v>
      </c>
      <c r="H1188" t="s">
        <v>55</v>
      </c>
      <c r="I1188">
        <v>231200</v>
      </c>
      <c r="J1188">
        <v>32800</v>
      </c>
      <c r="K1188">
        <v>0.16</v>
      </c>
      <c r="L1188">
        <f>IF(Wapato_Inventory[[#This Row],[parcel_acres]]-Wapato_Inventory[[#This Row],[non_valued_acres]] =0,0,LN(Wapato_Inventory[[#This Row],[parcel_acres]]-Wapato_Inventory[[#This Row],[non_valued_acres]]))</f>
        <v>-1.8325814637483102</v>
      </c>
      <c r="M1188">
        <v>0</v>
      </c>
      <c r="N1188">
        <v>0</v>
      </c>
      <c r="O1188">
        <v>0</v>
      </c>
      <c r="P1188">
        <v>27904.037</v>
      </c>
      <c r="Q1188">
        <v>74398</v>
      </c>
      <c r="R1188" s="3">
        <f>(Wapato_Inventory[[#This Row],[ln_acres]]*Wapato_Inventory[[#This Row],[coeff]])+Wapato_Inventory[[#This Row],[const]]</f>
        <v>23261.579030052992</v>
      </c>
      <c r="S1188" t="s">
        <v>56</v>
      </c>
      <c r="T1188">
        <v>2</v>
      </c>
      <c r="U1188" t="s">
        <v>71</v>
      </c>
      <c r="V1188" t="s">
        <v>69</v>
      </c>
      <c r="W1188">
        <v>0</v>
      </c>
      <c r="X1188">
        <v>0</v>
      </c>
      <c r="Y1188">
        <v>53</v>
      </c>
      <c r="Z1188">
        <v>93</v>
      </c>
      <c r="AA1188">
        <v>100</v>
      </c>
      <c r="AB1188">
        <v>2000</v>
      </c>
      <c r="AC1188">
        <v>1691</v>
      </c>
      <c r="AD1188">
        <v>1368</v>
      </c>
      <c r="AE1188">
        <v>323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152</v>
      </c>
      <c r="AP1188">
        <v>5</v>
      </c>
      <c r="AQ1188">
        <v>0</v>
      </c>
      <c r="AR1188">
        <v>0</v>
      </c>
      <c r="AS1188" t="s">
        <v>59</v>
      </c>
      <c r="AT1188">
        <v>1</v>
      </c>
      <c r="AU1188" t="s">
        <v>64</v>
      </c>
      <c r="AV1188" t="s">
        <v>65</v>
      </c>
      <c r="AW1188">
        <v>0</v>
      </c>
      <c r="AX1188">
        <v>3</v>
      </c>
      <c r="AY1188">
        <v>0</v>
      </c>
      <c r="AZ1188">
        <v>16800</v>
      </c>
      <c r="BA1188">
        <v>100</v>
      </c>
      <c r="BB1188">
        <v>100</v>
      </c>
      <c r="BC1188">
        <v>100</v>
      </c>
      <c r="BD1188">
        <v>100</v>
      </c>
      <c r="BE1188">
        <v>1</v>
      </c>
      <c r="BF1188">
        <v>15000</v>
      </c>
      <c r="BG1188">
        <v>1000</v>
      </c>
      <c r="BH1188" s="7">
        <f>ROUND(Wapato_Inventory[[#This Row],[detatched_value]]*Lookups!$B$22*Lookups!$H$48,-2)</f>
        <v>15000</v>
      </c>
      <c r="BI1188" s="7">
        <f>ROUND(((Wapato_Inventory[[#This Row],[land_extract]]*Lookups!$B$3) +(Lookups!$B$2*0.5))*Lookups!$H$48,-2)</f>
        <v>53300</v>
      </c>
      <c r="BJ1188" s="7">
        <f>IF(Wapato_Inventory[[#This Row],[bldg_style]]="",0,Lookups!$B$2*0.5)</f>
        <v>53765.27</v>
      </c>
      <c r="BK1188" s="7">
        <f>_xlfn.IFNA(VLOOKUP(Wapato_Inventory[[#This Row],[quality]],Lookups!$H$2:$J$14,3,FALSE),0)</f>
        <v>28034</v>
      </c>
      <c r="BL1188" s="7">
        <f>_xlfn.IFNA(VLOOKUP(Wapato_Inventory[[#This Row],[condition]],Lookups!$H$17:$J$24,3,FALSE),0)</f>
        <v>74543</v>
      </c>
      <c r="BM1188" s="7">
        <f>Wapato_Inventory[[#This Row],[Age]]*Lookups!$B$16</f>
        <v>-34472.840100000001</v>
      </c>
      <c r="BN1188" s="7">
        <f>Wapato_Inventory[[#This Row],[Main Floor]]*Lookups!$B$17</f>
        <v>57183.410951999998</v>
      </c>
      <c r="BO1188" s="7">
        <f>Wapato_Inventory[[#This Row],[Upper Floor]]*Lookups!$B$18</f>
        <v>16021.167897000001</v>
      </c>
      <c r="BP1188" s="7">
        <f>Wapato_Inventory[[#This Row],[Fin BSMT]]*Lookups!$B$19</f>
        <v>0</v>
      </c>
      <c r="BQ1188" s="7">
        <f>(Wapato_Inventory[[#This Row],[att_gar]]+Wapato_Inventory[[#This Row],[blt_gar]])*Lookups!$B$20</f>
        <v>0</v>
      </c>
      <c r="BR1188" s="7">
        <f>Wapato_Inventory[[#This Row],[Patio]]*Lookups!$B$21</f>
        <v>0</v>
      </c>
      <c r="BS1188" s="7">
        <f>SUM(Wapato_Inventory[[#This Row],[intercept]:[patio_value]])*Wapato_Inventory[[#This Row],[res_pct]]</f>
        <v>195074.008749</v>
      </c>
      <c r="BT1188" s="7">
        <f>Wapato_Inventory[[#This Row],[land_value]]</f>
        <v>53300</v>
      </c>
      <c r="BU1188" s="2">
        <f>_xlfn.IFNA(VLOOKUP(Wapato_Inventory[[#This Row],[quality]],Lookups!$A$28:$C$37,3,FALSE),1)</f>
        <v>0.96265813922927435</v>
      </c>
      <c r="BV1188" s="2">
        <f>_xlfn.IFNA(VLOOKUP(Wapato_Inventory[[#This Row],[condition]],Lookups!$A$41:$C$48,3,FALSE),1)</f>
        <v>0.98442438223270734</v>
      </c>
      <c r="BW1188" s="2">
        <f>IF(Wapato_Inventory[[#This Row],[decade]]="",1,_xlfn.IFNA(VLOOKUP(Wapato_Inventory[[#This Row],[decade]],Lookups!$F$28:$H$45,3,FALSE),1))</f>
        <v>1.0114203040664467</v>
      </c>
      <c r="BX1188" s="2">
        <f>_xlfn.IFNA(VLOOKUP(Wapato_Inventory[[#This Row],[living_area_range]],Lookups!$K$28:$M$37,3,FALSE),1)</f>
        <v>0.99330894324714125</v>
      </c>
      <c r="BY1188" s="2">
        <f>AVERAGE(Wapato_Inventory[[#This Row],[qual_adj]:[range_adj]])</f>
        <v>0.98795294219389229</v>
      </c>
      <c r="BZ1188" s="7">
        <f>(Wapato_Inventory[[#This Row],[sum_land]]-IF(Wapato_Inventory[[#This Row],[no_utilities]]=1,12000,0))/IF(Wapato_Inventory[[#This Row],[unbuildable]]=1,2,1)</f>
        <v>53300</v>
      </c>
      <c r="CA1188" s="7">
        <f>Wapato_Inventory[[#This Row],[pre_res]]*Wapato_Inventory[[#This Row],[overall_adj]]</f>
        <v>192723.94088913163</v>
      </c>
      <c r="CB1188" s="3">
        <f>IF(ROUND(Wapato_Inventory[[#This Row],[adj_land]]*Lookups!$H$48,-2)&lt;Wapato_Inventory[[#This Row],[min_land]],Wapato_Inventory[[#This Row],[min_land]],ROUND(Wapato_Inventory[[#This Row],[adj_land]]*Lookups!$H$48,-2))</f>
        <v>50600</v>
      </c>
      <c r="CC1188" s="3">
        <f>IF(ROUND(Wapato_Inventory[[#This Row],[adj_res]]*Lookups!$H$48,-2)&lt;Wapato_Inventory[[#This Row],[min_res]],Wapato_Inventory[[#This Row],[min_res]],ROUND(Wapato_Inventory[[#This Row],[adj_res]]*Lookups!$H$48,-2))</f>
        <v>183100</v>
      </c>
      <c r="CD1188" s="3">
        <f>ROUND(Wapato_Inventory[[#This Row],[det_value]]*Lookups!$H$48,-2)</f>
        <v>14300</v>
      </c>
      <c r="CE1188" s="3">
        <f>Wapato_Inventory[[#This Row],[final_res]]+Wapato_Inventory[[#This Row],[final_det]]</f>
        <v>197400</v>
      </c>
      <c r="CF1188" s="3">
        <f>Wapato_Inventory[[#This Row],[crop_value]]+Wapato_Inventory[[#This Row],[final_land]]+Wapato_Inventory[[#This Row],[final_imp]]</f>
        <v>248000</v>
      </c>
      <c r="CH1188" t="str">
        <f t="shared" si="18"/>
        <v>update valuation set market_land =50600, market_bldg=197400, market_total =248000, market_mdno =405, market_date ='9/10/2023' where link_id = (select link_id from parcel where parcel_year = '2024' and parcel_id = '19112211448');</v>
      </c>
    </row>
    <row r="1189" spans="1:86" x14ac:dyDescent="0.25">
      <c r="A1189">
        <v>19112211449</v>
      </c>
      <c r="B1189">
        <v>0.21</v>
      </c>
      <c r="C1189">
        <v>8960</v>
      </c>
      <c r="D1189" t="s">
        <v>144</v>
      </c>
      <c r="E1189" t="s">
        <v>54</v>
      </c>
      <c r="F1189" t="s">
        <v>54</v>
      </c>
      <c r="G1189">
        <v>3</v>
      </c>
      <c r="H1189" t="s">
        <v>55</v>
      </c>
      <c r="I1189">
        <v>142600</v>
      </c>
      <c r="J1189">
        <v>34800</v>
      </c>
      <c r="K1189">
        <v>0.21</v>
      </c>
      <c r="L1189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89">
        <v>0</v>
      </c>
      <c r="N1189">
        <v>0</v>
      </c>
      <c r="O1189">
        <v>0</v>
      </c>
      <c r="P1189">
        <v>27904.037</v>
      </c>
      <c r="Q1189">
        <v>74398</v>
      </c>
      <c r="R1189" s="3">
        <f>(Wapato_Inventory[[#This Row],[ln_acres]]*Wapato_Inventory[[#This Row],[coeff]])+Wapato_Inventory[[#This Row],[const]]</f>
        <v>30849.627488456012</v>
      </c>
      <c r="S1189" t="s">
        <v>66</v>
      </c>
      <c r="T1189">
        <v>1</v>
      </c>
      <c r="U1189" t="s">
        <v>71</v>
      </c>
      <c r="V1189" t="s">
        <v>68</v>
      </c>
      <c r="W1189">
        <v>0</v>
      </c>
      <c r="X1189">
        <v>0</v>
      </c>
      <c r="Y1189">
        <v>51</v>
      </c>
      <c r="Z1189">
        <v>83</v>
      </c>
      <c r="AA1189">
        <v>90</v>
      </c>
      <c r="AB1189">
        <v>2000</v>
      </c>
      <c r="AC1189">
        <v>1536</v>
      </c>
      <c r="AD1189">
        <v>1536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5</v>
      </c>
      <c r="AQ1189">
        <v>0</v>
      </c>
      <c r="AR1189">
        <v>0</v>
      </c>
      <c r="AS1189" t="s">
        <v>59</v>
      </c>
      <c r="AT1189">
        <v>0</v>
      </c>
      <c r="AU1189" t="s">
        <v>80</v>
      </c>
      <c r="AV1189" t="s">
        <v>77</v>
      </c>
      <c r="AW1189">
        <v>0</v>
      </c>
      <c r="AX1189">
        <v>3</v>
      </c>
      <c r="AY1189">
        <v>0</v>
      </c>
      <c r="AZ1189">
        <v>0</v>
      </c>
      <c r="BA1189">
        <v>100</v>
      </c>
      <c r="BB1189">
        <v>100</v>
      </c>
      <c r="BC1189">
        <v>100</v>
      </c>
      <c r="BD1189">
        <v>100</v>
      </c>
      <c r="BE1189">
        <v>1</v>
      </c>
      <c r="BF1189">
        <v>15000</v>
      </c>
      <c r="BG1189">
        <v>1000</v>
      </c>
      <c r="BH1189" s="7">
        <f>ROUND(Wapato_Inventory[[#This Row],[detatched_value]]*Lookups!$B$22*Lookups!$H$48,-2)</f>
        <v>0</v>
      </c>
      <c r="BI1189" s="7">
        <f>ROUND(((Wapato_Inventory[[#This Row],[land_extract]]*Lookups!$B$3) +(Lookups!$B$2*0.5))*Lookups!$H$48,-2)</f>
        <v>54100</v>
      </c>
      <c r="BJ1189" s="7">
        <f>IF(Wapato_Inventory[[#This Row],[bldg_style]]="",0,Lookups!$B$2*0.5)</f>
        <v>53765.27</v>
      </c>
      <c r="BK1189" s="7">
        <f>_xlfn.IFNA(VLOOKUP(Wapato_Inventory[[#This Row],[quality]],Lookups!$H$2:$J$14,3,FALSE),0)</f>
        <v>28034</v>
      </c>
      <c r="BL1189" s="7">
        <f>_xlfn.IFNA(VLOOKUP(Wapato_Inventory[[#This Row],[condition]],Lookups!$H$17:$J$24,3,FALSE),0)</f>
        <v>52231</v>
      </c>
      <c r="BM1189" s="7">
        <f>Wapato_Inventory[[#This Row],[Age]]*Lookups!$B$16</f>
        <v>-30766.0831</v>
      </c>
      <c r="BN1189" s="7">
        <f>Wapato_Inventory[[#This Row],[Main Floor]]*Lookups!$B$17</f>
        <v>64205.935104000004</v>
      </c>
      <c r="BO1189" s="7">
        <f>Wapato_Inventory[[#This Row],[Upper Floor]]*Lookups!$B$18</f>
        <v>0</v>
      </c>
      <c r="BP1189" s="7">
        <f>Wapato_Inventory[[#This Row],[Fin BSMT]]*Lookups!$B$19</f>
        <v>0</v>
      </c>
      <c r="BQ1189" s="7">
        <f>(Wapato_Inventory[[#This Row],[att_gar]]+Wapato_Inventory[[#This Row],[blt_gar]])*Lookups!$B$20</f>
        <v>0</v>
      </c>
      <c r="BR1189" s="7">
        <f>Wapato_Inventory[[#This Row],[Patio]]*Lookups!$B$21</f>
        <v>0</v>
      </c>
      <c r="BS1189" s="7">
        <f>SUM(Wapato_Inventory[[#This Row],[intercept]:[patio_value]])*Wapato_Inventory[[#This Row],[res_pct]]</f>
        <v>167470.122004</v>
      </c>
      <c r="BT1189" s="7">
        <f>Wapato_Inventory[[#This Row],[land_value]]</f>
        <v>54100</v>
      </c>
      <c r="BU1189" s="2">
        <f>_xlfn.IFNA(VLOOKUP(Wapato_Inventory[[#This Row],[quality]],Lookups!$A$28:$C$37,3,FALSE),1)</f>
        <v>0.96265813922927435</v>
      </c>
      <c r="BV1189" s="2">
        <f>_xlfn.IFNA(VLOOKUP(Wapato_Inventory[[#This Row],[condition]],Lookups!$A$41:$C$48,3,FALSE),1)</f>
        <v>0.9832333997567807</v>
      </c>
      <c r="BW1189" s="2">
        <f>IF(Wapato_Inventory[[#This Row],[decade]]="",1,_xlfn.IFNA(VLOOKUP(Wapato_Inventory[[#This Row],[decade]],Lookups!$F$28:$H$45,3,FALSE),1))</f>
        <v>0.94742695999815718</v>
      </c>
      <c r="BX1189" s="2">
        <f>_xlfn.IFNA(VLOOKUP(Wapato_Inventory[[#This Row],[living_area_range]],Lookups!$K$28:$M$37,3,FALSE),1)</f>
        <v>0.99330894324714125</v>
      </c>
      <c r="BY1189" s="2">
        <f>AVERAGE(Wapato_Inventory[[#This Row],[qual_adj]:[range_adj]])</f>
        <v>0.97165686055783829</v>
      </c>
      <c r="BZ1189" s="7">
        <f>(Wapato_Inventory[[#This Row],[sum_land]]-IF(Wapato_Inventory[[#This Row],[no_utilities]]=1,12000,0))/IF(Wapato_Inventory[[#This Row],[unbuildable]]=1,2,1)</f>
        <v>54100</v>
      </c>
      <c r="CA1189" s="7">
        <f>Wapato_Inventory[[#This Row],[pre_res]]*Wapato_Inventory[[#This Row],[overall_adj]]</f>
        <v>162723.4929836448</v>
      </c>
      <c r="CB1189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89" s="3">
        <f>IF(ROUND(Wapato_Inventory[[#This Row],[adj_res]]*Lookups!$H$48,-2)&lt;Wapato_Inventory[[#This Row],[min_res]],Wapato_Inventory[[#This Row],[min_res]],ROUND(Wapato_Inventory[[#This Row],[adj_res]]*Lookups!$H$48,-2))</f>
        <v>154600</v>
      </c>
      <c r="CD1189" s="3">
        <f>ROUND(Wapato_Inventory[[#This Row],[det_value]]*Lookups!$H$48,-2)</f>
        <v>0</v>
      </c>
      <c r="CE1189" s="3">
        <f>Wapato_Inventory[[#This Row],[final_res]]+Wapato_Inventory[[#This Row],[final_det]]</f>
        <v>154600</v>
      </c>
      <c r="CF1189" s="3">
        <f>Wapato_Inventory[[#This Row],[crop_value]]+Wapato_Inventory[[#This Row],[final_land]]+Wapato_Inventory[[#This Row],[final_imp]]</f>
        <v>206000</v>
      </c>
      <c r="CH1189" t="str">
        <f t="shared" si="18"/>
        <v>update valuation set market_land =51400, market_bldg=154600, market_total =206000, market_mdno =405, market_date ='9/10/2023' where link_id = (select link_id from parcel where parcel_year = '2024' and parcel_id = '19112211449');</v>
      </c>
    </row>
    <row r="1190" spans="1:86" x14ac:dyDescent="0.25">
      <c r="A1190">
        <v>19112211450</v>
      </c>
      <c r="B1190">
        <v>0.21</v>
      </c>
      <c r="C1190">
        <v>8960</v>
      </c>
      <c r="D1190" t="s">
        <v>144</v>
      </c>
      <c r="E1190" t="s">
        <v>54</v>
      </c>
      <c r="F1190" t="s">
        <v>54</v>
      </c>
      <c r="G1190">
        <v>3</v>
      </c>
      <c r="H1190" t="s">
        <v>55</v>
      </c>
      <c r="I1190">
        <v>174000</v>
      </c>
      <c r="J1190">
        <v>34800</v>
      </c>
      <c r="K1190">
        <v>0.21</v>
      </c>
      <c r="L1190">
        <f>IF(Wapato_Inventory[[#This Row],[parcel_acres]]-Wapato_Inventory[[#This Row],[non_valued_acres]] =0,0,LN(Wapato_Inventory[[#This Row],[parcel_acres]]-Wapato_Inventory[[#This Row],[non_valued_acres]]))</f>
        <v>-1.5606477482646683</v>
      </c>
      <c r="M1190">
        <v>0</v>
      </c>
      <c r="N1190">
        <v>0</v>
      </c>
      <c r="O1190">
        <v>0</v>
      </c>
      <c r="P1190">
        <v>27904.037</v>
      </c>
      <c r="Q1190">
        <v>74398</v>
      </c>
      <c r="R1190" s="3">
        <f>(Wapato_Inventory[[#This Row],[ln_acres]]*Wapato_Inventory[[#This Row],[coeff]])+Wapato_Inventory[[#This Row],[const]]</f>
        <v>30849.627488456012</v>
      </c>
      <c r="S1190" t="s">
        <v>66</v>
      </c>
      <c r="T1190">
        <v>1</v>
      </c>
      <c r="U1190" t="s">
        <v>78</v>
      </c>
      <c r="V1190" t="s">
        <v>73</v>
      </c>
      <c r="W1190">
        <v>0</v>
      </c>
      <c r="X1190">
        <v>0</v>
      </c>
      <c r="Y1190">
        <v>53</v>
      </c>
      <c r="Z1190">
        <v>93</v>
      </c>
      <c r="AA1190">
        <v>100</v>
      </c>
      <c r="AB1190">
        <v>2500</v>
      </c>
      <c r="AC1190">
        <v>2430</v>
      </c>
      <c r="AD1190">
        <v>2430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108</v>
      </c>
      <c r="AO1190">
        <v>0</v>
      </c>
      <c r="AP1190">
        <v>8</v>
      </c>
      <c r="AQ1190">
        <v>0</v>
      </c>
      <c r="AR1190">
        <v>0</v>
      </c>
      <c r="AS1190" t="s">
        <v>59</v>
      </c>
      <c r="AT1190">
        <v>0</v>
      </c>
      <c r="AU1190" t="s">
        <v>80</v>
      </c>
      <c r="AV1190" t="s">
        <v>77</v>
      </c>
      <c r="AW1190">
        <v>0</v>
      </c>
      <c r="AX1190">
        <v>3</v>
      </c>
      <c r="AY1190">
        <v>0</v>
      </c>
      <c r="AZ1190">
        <v>4100</v>
      </c>
      <c r="BA1190">
        <v>100</v>
      </c>
      <c r="BB1190">
        <v>100</v>
      </c>
      <c r="BC1190">
        <v>100</v>
      </c>
      <c r="BD1190">
        <v>100</v>
      </c>
      <c r="BE1190">
        <v>1</v>
      </c>
      <c r="BF1190">
        <v>15000</v>
      </c>
      <c r="BG1190">
        <v>1000</v>
      </c>
      <c r="BH1190" s="7">
        <f>ROUND(Wapato_Inventory[[#This Row],[detatched_value]]*Lookups!$B$22*Lookups!$H$48,-2)</f>
        <v>3700</v>
      </c>
      <c r="BI1190" s="7">
        <f>ROUND(((Wapato_Inventory[[#This Row],[land_extract]]*Lookups!$B$3) +(Lookups!$B$2*0.5))*Lookups!$H$48,-2)</f>
        <v>54100</v>
      </c>
      <c r="BJ1190" s="7">
        <f>IF(Wapato_Inventory[[#This Row],[bldg_style]]="",0,Lookups!$B$2*0.5)</f>
        <v>53765.27</v>
      </c>
      <c r="BK1190" s="7">
        <f>_xlfn.IFNA(VLOOKUP(Wapato_Inventory[[#This Row],[quality]],Lookups!$H$2:$J$14,3,FALSE),0)</f>
        <v>23424</v>
      </c>
      <c r="BL1190" s="7">
        <f>_xlfn.IFNA(VLOOKUP(Wapato_Inventory[[#This Row],[condition]],Lookups!$H$17:$J$24,3,FALSE),0)</f>
        <v>16276</v>
      </c>
      <c r="BM1190" s="7">
        <f>Wapato_Inventory[[#This Row],[Age]]*Lookups!$B$16</f>
        <v>-34472.840100000001</v>
      </c>
      <c r="BN1190" s="7">
        <f>Wapato_Inventory[[#This Row],[Main Floor]]*Lookups!$B$17</f>
        <v>101575.79577</v>
      </c>
      <c r="BO1190" s="7">
        <f>Wapato_Inventory[[#This Row],[Upper Floor]]*Lookups!$B$18</f>
        <v>0</v>
      </c>
      <c r="BP1190" s="7">
        <f>Wapato_Inventory[[#This Row],[Fin BSMT]]*Lookups!$B$19</f>
        <v>0</v>
      </c>
      <c r="BQ1190" s="7">
        <f>(Wapato_Inventory[[#This Row],[att_gar]]+Wapato_Inventory[[#This Row],[blt_gar]])*Lookups!$B$20</f>
        <v>0</v>
      </c>
      <c r="BR1190" s="7">
        <f>Wapato_Inventory[[#This Row],[Patio]]*Lookups!$B$21</f>
        <v>0</v>
      </c>
      <c r="BS1190" s="7">
        <f>SUM(Wapato_Inventory[[#This Row],[intercept]:[patio_value]])*Wapato_Inventory[[#This Row],[res_pct]]</f>
        <v>160568.22566999999</v>
      </c>
      <c r="BT1190" s="7">
        <f>Wapato_Inventory[[#This Row],[land_value]]</f>
        <v>54100</v>
      </c>
      <c r="BU1190" s="2">
        <f>_xlfn.IFNA(VLOOKUP(Wapato_Inventory[[#This Row],[quality]],Lookups!$A$28:$C$37,3,FALSE),1)</f>
        <v>1.0091195562373767</v>
      </c>
      <c r="BV1190" s="2">
        <f>_xlfn.IFNA(VLOOKUP(Wapato_Inventory[[#This Row],[condition]],Lookups!$A$41:$C$48,3,FALSE),1)</f>
        <v>0.93399385491337139</v>
      </c>
      <c r="BW1190" s="2">
        <f>IF(Wapato_Inventory[[#This Row],[decade]]="",1,_xlfn.IFNA(VLOOKUP(Wapato_Inventory[[#This Row],[decade]],Lookups!$F$28:$H$45,3,FALSE),1))</f>
        <v>1.0114203040664467</v>
      </c>
      <c r="BX1190" s="2">
        <f>_xlfn.IFNA(VLOOKUP(Wapato_Inventory[[#This Row],[living_area_range]],Lookups!$K$28:$M$37,3,FALSE),1)</f>
        <v>0.90813907160181651</v>
      </c>
      <c r="BY1190" s="2">
        <f>AVERAGE(Wapato_Inventory[[#This Row],[qual_adj]:[range_adj]])</f>
        <v>0.96566819670475268</v>
      </c>
      <c r="BZ1190" s="7">
        <f>(Wapato_Inventory[[#This Row],[sum_land]]-IF(Wapato_Inventory[[#This Row],[no_utilities]]=1,12000,0))/IF(Wapato_Inventory[[#This Row],[unbuildable]]=1,2,1)</f>
        <v>54100</v>
      </c>
      <c r="CA1190" s="7">
        <f>Wapato_Inventory[[#This Row],[pre_res]]*Wapato_Inventory[[#This Row],[overall_adj]]</f>
        <v>155055.62893083066</v>
      </c>
      <c r="CB1190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190" s="3">
        <f>IF(ROUND(Wapato_Inventory[[#This Row],[adj_res]]*Lookups!$H$48,-2)&lt;Wapato_Inventory[[#This Row],[min_res]],Wapato_Inventory[[#This Row],[min_res]],ROUND(Wapato_Inventory[[#This Row],[adj_res]]*Lookups!$H$48,-2))</f>
        <v>147300</v>
      </c>
      <c r="CD1190" s="3">
        <f>ROUND(Wapato_Inventory[[#This Row],[det_value]]*Lookups!$H$48,-2)</f>
        <v>3500</v>
      </c>
      <c r="CE1190" s="3">
        <f>Wapato_Inventory[[#This Row],[final_res]]+Wapato_Inventory[[#This Row],[final_det]]</f>
        <v>150800</v>
      </c>
      <c r="CF1190" s="3">
        <f>Wapato_Inventory[[#This Row],[crop_value]]+Wapato_Inventory[[#This Row],[final_land]]+Wapato_Inventory[[#This Row],[final_imp]]</f>
        <v>202200</v>
      </c>
      <c r="CH1190" t="str">
        <f t="shared" si="18"/>
        <v>update valuation set market_land =51400, market_bldg=150800, market_total =202200, market_mdno =405, market_date ='9/10/2023' where link_id = (select link_id from parcel where parcel_year = '2024' and parcel_id = '19112211450');</v>
      </c>
    </row>
    <row r="1191" spans="1:86" x14ac:dyDescent="0.25">
      <c r="A1191">
        <v>19112211451</v>
      </c>
      <c r="B1191">
        <v>0.31</v>
      </c>
      <c r="C1191">
        <v>13439</v>
      </c>
      <c r="D1191" t="s">
        <v>144</v>
      </c>
      <c r="E1191" t="s">
        <v>54</v>
      </c>
      <c r="F1191" t="s">
        <v>54</v>
      </c>
      <c r="G1191">
        <v>3</v>
      </c>
      <c r="H1191" t="s">
        <v>55</v>
      </c>
      <c r="I1191">
        <v>102900</v>
      </c>
      <c r="J1191">
        <v>37600</v>
      </c>
      <c r="K1191">
        <v>0.31</v>
      </c>
      <c r="L1191">
        <f>IF(Wapato_Inventory[[#This Row],[parcel_acres]]-Wapato_Inventory[[#This Row],[non_valued_acres]] =0,0,LN(Wapato_Inventory[[#This Row],[parcel_acres]]-Wapato_Inventory[[#This Row],[non_valued_acres]]))</f>
        <v>-1.1711829815029451</v>
      </c>
      <c r="M1191">
        <v>0</v>
      </c>
      <c r="N1191">
        <v>0</v>
      </c>
      <c r="O1191">
        <v>0</v>
      </c>
      <c r="P1191">
        <v>27904.037</v>
      </c>
      <c r="Q1191">
        <v>74398</v>
      </c>
      <c r="R1191" s="3">
        <f>(Wapato_Inventory[[#This Row],[ln_acres]]*Wapato_Inventory[[#This Row],[coeff]])+Wapato_Inventory[[#This Row],[const]]</f>
        <v>41717.266750371506</v>
      </c>
      <c r="S1191" t="s">
        <v>83</v>
      </c>
      <c r="T1191">
        <v>1</v>
      </c>
      <c r="U1191" t="s">
        <v>78</v>
      </c>
      <c r="V1191" t="s">
        <v>73</v>
      </c>
      <c r="W1191">
        <v>0</v>
      </c>
      <c r="X1191">
        <v>0</v>
      </c>
      <c r="Y1191">
        <v>93</v>
      </c>
      <c r="Z1191">
        <v>93</v>
      </c>
      <c r="AA1191">
        <v>100</v>
      </c>
      <c r="AB1191">
        <v>1500</v>
      </c>
      <c r="AC1191">
        <v>1362</v>
      </c>
      <c r="AD1191">
        <v>1362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5</v>
      </c>
      <c r="AQ1191">
        <v>0</v>
      </c>
      <c r="AR1191">
        <v>0</v>
      </c>
      <c r="AS1191" t="s">
        <v>59</v>
      </c>
      <c r="AT1191">
        <v>1</v>
      </c>
      <c r="AU1191" t="s">
        <v>76</v>
      </c>
      <c r="AV1191" t="s">
        <v>61</v>
      </c>
      <c r="AW1191">
        <v>0</v>
      </c>
      <c r="AX1191">
        <v>3</v>
      </c>
      <c r="AY1191">
        <v>0</v>
      </c>
      <c r="AZ1191">
        <v>800</v>
      </c>
      <c r="BA1191">
        <v>100</v>
      </c>
      <c r="BB1191">
        <v>100</v>
      </c>
      <c r="BC1191">
        <v>100</v>
      </c>
      <c r="BD1191">
        <v>100</v>
      </c>
      <c r="BE1191">
        <v>1</v>
      </c>
      <c r="BF1191">
        <v>15000</v>
      </c>
      <c r="BG1191">
        <v>1000</v>
      </c>
      <c r="BH1191" s="7">
        <f>ROUND(Wapato_Inventory[[#This Row],[detatched_value]]*Lookups!$B$22*Lookups!$H$48,-2)</f>
        <v>700</v>
      </c>
      <c r="BI1191" s="7">
        <f>ROUND(((Wapato_Inventory[[#This Row],[land_extract]]*Lookups!$B$3) +(Lookups!$B$2*0.5))*Lookups!$H$48,-2)</f>
        <v>55100</v>
      </c>
      <c r="BJ1191" s="7">
        <f>IF(Wapato_Inventory[[#This Row],[bldg_style]]="",0,Lookups!$B$2*0.5)</f>
        <v>53765.27</v>
      </c>
      <c r="BK1191" s="7">
        <f>_xlfn.IFNA(VLOOKUP(Wapato_Inventory[[#This Row],[quality]],Lookups!$H$2:$J$14,3,FALSE),0)</f>
        <v>23424</v>
      </c>
      <c r="BL1191" s="7">
        <f>_xlfn.IFNA(VLOOKUP(Wapato_Inventory[[#This Row],[condition]],Lookups!$H$17:$J$24,3,FALSE),0)</f>
        <v>16276</v>
      </c>
      <c r="BM1191" s="7">
        <f>Wapato_Inventory[[#This Row],[Age]]*Lookups!$B$16</f>
        <v>-34472.840100000001</v>
      </c>
      <c r="BN1191" s="7">
        <f>Wapato_Inventory[[#This Row],[Main Floor]]*Lookups!$B$17</f>
        <v>56932.606518000001</v>
      </c>
      <c r="BO1191" s="7">
        <f>Wapato_Inventory[[#This Row],[Upper Floor]]*Lookups!$B$18</f>
        <v>0</v>
      </c>
      <c r="BP1191" s="7">
        <f>Wapato_Inventory[[#This Row],[Fin BSMT]]*Lookups!$B$19</f>
        <v>0</v>
      </c>
      <c r="BQ1191" s="7">
        <f>(Wapato_Inventory[[#This Row],[att_gar]]+Wapato_Inventory[[#This Row],[blt_gar]])*Lookups!$B$20</f>
        <v>0</v>
      </c>
      <c r="BR1191" s="7">
        <f>Wapato_Inventory[[#This Row],[Patio]]*Lookups!$B$21</f>
        <v>0</v>
      </c>
      <c r="BS1191" s="7">
        <f>SUM(Wapato_Inventory[[#This Row],[intercept]:[patio_value]])*Wapato_Inventory[[#This Row],[res_pct]]</f>
        <v>115925.03641799999</v>
      </c>
      <c r="BT1191" s="7">
        <f>Wapato_Inventory[[#This Row],[land_value]]</f>
        <v>55100</v>
      </c>
      <c r="BU1191" s="2">
        <f>_xlfn.IFNA(VLOOKUP(Wapato_Inventory[[#This Row],[quality]],Lookups!$A$28:$C$37,3,FALSE),1)</f>
        <v>1.0091195562373767</v>
      </c>
      <c r="BV1191" s="2">
        <f>_xlfn.IFNA(VLOOKUP(Wapato_Inventory[[#This Row],[condition]],Lookups!$A$41:$C$48,3,FALSE),1)</f>
        <v>0.93399385491337139</v>
      </c>
      <c r="BW1191" s="2">
        <f>IF(Wapato_Inventory[[#This Row],[decade]]="",1,_xlfn.IFNA(VLOOKUP(Wapato_Inventory[[#This Row],[decade]],Lookups!$F$28:$H$45,3,FALSE),1))</f>
        <v>1.0114203040664467</v>
      </c>
      <c r="BX1191" s="2">
        <f>_xlfn.IFNA(VLOOKUP(Wapato_Inventory[[#This Row],[living_area_range]],Lookups!$K$28:$M$37,3,FALSE),1)</f>
        <v>1.0061411172456287</v>
      </c>
      <c r="BY1191" s="2">
        <f>AVERAGE(Wapato_Inventory[[#This Row],[qual_adj]:[range_adj]])</f>
        <v>0.99016870811570579</v>
      </c>
      <c r="BZ1191" s="7">
        <f>(Wapato_Inventory[[#This Row],[sum_land]]-IF(Wapato_Inventory[[#This Row],[no_utilities]]=1,12000,0))/IF(Wapato_Inventory[[#This Row],[unbuildable]]=1,2,1)</f>
        <v>55100</v>
      </c>
      <c r="CA1191" s="7">
        <f>Wapato_Inventory[[#This Row],[pre_res]]*Wapato_Inventory[[#This Row],[overall_adj]]</f>
        <v>114785.34354827719</v>
      </c>
      <c r="CB1191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1191" s="3">
        <f>IF(ROUND(Wapato_Inventory[[#This Row],[adj_res]]*Lookups!$H$48,-2)&lt;Wapato_Inventory[[#This Row],[min_res]],Wapato_Inventory[[#This Row],[min_res]],ROUND(Wapato_Inventory[[#This Row],[adj_res]]*Lookups!$H$48,-2))</f>
        <v>109000</v>
      </c>
      <c r="CD1191" s="3">
        <f>ROUND(Wapato_Inventory[[#This Row],[det_value]]*Lookups!$H$48,-2)</f>
        <v>700</v>
      </c>
      <c r="CE1191" s="3">
        <f>Wapato_Inventory[[#This Row],[final_res]]+Wapato_Inventory[[#This Row],[final_det]]</f>
        <v>109700</v>
      </c>
      <c r="CF1191" s="3">
        <f>Wapato_Inventory[[#This Row],[crop_value]]+Wapato_Inventory[[#This Row],[final_land]]+Wapato_Inventory[[#This Row],[final_imp]]</f>
        <v>162000</v>
      </c>
      <c r="CH1191" t="str">
        <f t="shared" si="18"/>
        <v>update valuation set market_land =52300, market_bldg=109700, market_total =162000, market_mdno =405, market_date ='9/10/2023' where link_id = (select link_id from parcel where parcel_year = '2024' and parcel_id = '19112211451');</v>
      </c>
    </row>
    <row r="1192" spans="1:86" x14ac:dyDescent="0.25">
      <c r="A1192">
        <v>19112211452</v>
      </c>
      <c r="B1192">
        <v>0.41</v>
      </c>
      <c r="C1192">
        <v>17919</v>
      </c>
      <c r="D1192" t="s">
        <v>144</v>
      </c>
      <c r="E1192" t="s">
        <v>54</v>
      </c>
      <c r="F1192" t="s">
        <v>54</v>
      </c>
      <c r="G1192">
        <v>3</v>
      </c>
      <c r="H1192" t="s">
        <v>55</v>
      </c>
      <c r="I1192">
        <v>110000</v>
      </c>
      <c r="J1192">
        <v>39500</v>
      </c>
      <c r="K1192">
        <v>0.41</v>
      </c>
      <c r="L1192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192">
        <v>0</v>
      </c>
      <c r="N1192">
        <v>0</v>
      </c>
      <c r="O1192">
        <v>0</v>
      </c>
      <c r="P1192">
        <v>27904.037</v>
      </c>
      <c r="Q1192">
        <v>74398</v>
      </c>
      <c r="R1192" s="3">
        <f>(Wapato_Inventory[[#This Row],[ln_acres]]*Wapato_Inventory[[#This Row],[coeff]])+Wapato_Inventory[[#This Row],[const]]</f>
        <v>49518.813090374882</v>
      </c>
      <c r="S1192" t="s">
        <v>66</v>
      </c>
      <c r="T1192">
        <v>1</v>
      </c>
      <c r="U1192" t="s">
        <v>71</v>
      </c>
      <c r="V1192" t="s">
        <v>73</v>
      </c>
      <c r="W1192">
        <v>0</v>
      </c>
      <c r="X1192">
        <v>0</v>
      </c>
      <c r="Y1192">
        <v>52</v>
      </c>
      <c r="Z1192">
        <v>88</v>
      </c>
      <c r="AA1192">
        <v>90</v>
      </c>
      <c r="AB1192">
        <v>2000</v>
      </c>
      <c r="AC1192">
        <v>1608</v>
      </c>
      <c r="AD1192">
        <v>1608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192</v>
      </c>
      <c r="AN1192">
        <v>0</v>
      </c>
      <c r="AO1192">
        <v>192</v>
      </c>
      <c r="AP1192">
        <v>5</v>
      </c>
      <c r="AQ1192">
        <v>0</v>
      </c>
      <c r="AR1192">
        <v>0</v>
      </c>
      <c r="AS1192" t="s">
        <v>59</v>
      </c>
      <c r="AT1192">
        <v>1</v>
      </c>
      <c r="AU1192" t="s">
        <v>76</v>
      </c>
      <c r="AV1192" t="s">
        <v>61</v>
      </c>
      <c r="AW1192">
        <v>0</v>
      </c>
      <c r="AX1192">
        <v>1</v>
      </c>
      <c r="AY1192">
        <v>0</v>
      </c>
      <c r="AZ1192">
        <v>0</v>
      </c>
      <c r="BA1192">
        <v>100</v>
      </c>
      <c r="BB1192">
        <v>100</v>
      </c>
      <c r="BC1192">
        <v>100</v>
      </c>
      <c r="BD1192">
        <v>100</v>
      </c>
      <c r="BE1192">
        <v>1</v>
      </c>
      <c r="BF1192">
        <v>15000</v>
      </c>
      <c r="BG1192">
        <v>1000</v>
      </c>
      <c r="BH1192" s="7">
        <f>ROUND(Wapato_Inventory[[#This Row],[detatched_value]]*Lookups!$B$22*Lookups!$H$48,-2)</f>
        <v>0</v>
      </c>
      <c r="BI1192" s="7">
        <f>ROUND(((Wapato_Inventory[[#This Row],[land_extract]]*Lookups!$B$3) +(Lookups!$B$2*0.5))*Lookups!$H$48,-2)</f>
        <v>55900</v>
      </c>
      <c r="BJ1192" s="7">
        <f>IF(Wapato_Inventory[[#This Row],[bldg_style]]="",0,Lookups!$B$2*0.5)</f>
        <v>53765.27</v>
      </c>
      <c r="BK1192" s="7">
        <f>_xlfn.IFNA(VLOOKUP(Wapato_Inventory[[#This Row],[quality]],Lookups!$H$2:$J$14,3,FALSE),0)</f>
        <v>28034</v>
      </c>
      <c r="BL1192" s="7">
        <f>_xlfn.IFNA(VLOOKUP(Wapato_Inventory[[#This Row],[condition]],Lookups!$H$17:$J$24,3,FALSE),0)</f>
        <v>16276</v>
      </c>
      <c r="BM1192" s="7">
        <f>Wapato_Inventory[[#This Row],[Age]]*Lookups!$B$16</f>
        <v>-32619.461600000002</v>
      </c>
      <c r="BN1192" s="7">
        <f>Wapato_Inventory[[#This Row],[Main Floor]]*Lookups!$B$17</f>
        <v>67215.588312000007</v>
      </c>
      <c r="BO1192" s="7">
        <f>Wapato_Inventory[[#This Row],[Upper Floor]]*Lookups!$B$18</f>
        <v>0</v>
      </c>
      <c r="BP1192" s="7">
        <f>Wapato_Inventory[[#This Row],[Fin BSMT]]*Lookups!$B$19</f>
        <v>0</v>
      </c>
      <c r="BQ1192" s="7">
        <f>(Wapato_Inventory[[#This Row],[att_gar]]+Wapato_Inventory[[#This Row],[blt_gar]])*Lookups!$B$20</f>
        <v>0</v>
      </c>
      <c r="BR1192" s="7">
        <f>Wapato_Inventory[[#This Row],[Patio]]*Lookups!$B$21</f>
        <v>8318.2039679999998</v>
      </c>
      <c r="BS1192" s="7">
        <f>SUM(Wapato_Inventory[[#This Row],[intercept]:[patio_value]])*Wapato_Inventory[[#This Row],[res_pct]]</f>
        <v>140989.60067999997</v>
      </c>
      <c r="BT1192" s="7">
        <f>Wapato_Inventory[[#This Row],[land_value]]</f>
        <v>55900</v>
      </c>
      <c r="BU1192" s="2">
        <f>_xlfn.IFNA(VLOOKUP(Wapato_Inventory[[#This Row],[quality]],Lookups!$A$28:$C$37,3,FALSE),1)</f>
        <v>0.96265813922927435</v>
      </c>
      <c r="BV1192" s="2">
        <f>_xlfn.IFNA(VLOOKUP(Wapato_Inventory[[#This Row],[condition]],Lookups!$A$41:$C$48,3,FALSE),1)</f>
        <v>0.93399385491337139</v>
      </c>
      <c r="BW1192" s="2">
        <f>IF(Wapato_Inventory[[#This Row],[decade]]="",1,_xlfn.IFNA(VLOOKUP(Wapato_Inventory[[#This Row],[decade]],Lookups!$F$28:$H$45,3,FALSE),1))</f>
        <v>0.94742695999815718</v>
      </c>
      <c r="BX1192" s="2">
        <f>_xlfn.IFNA(VLOOKUP(Wapato_Inventory[[#This Row],[living_area_range]],Lookups!$K$28:$M$37,3,FALSE),1)</f>
        <v>0.99330894324714125</v>
      </c>
      <c r="BY1192" s="2">
        <f>AVERAGE(Wapato_Inventory[[#This Row],[qual_adj]:[range_adj]])</f>
        <v>0.95934697434698601</v>
      </c>
      <c r="BZ1192" s="7">
        <f>(Wapato_Inventory[[#This Row],[sum_land]]-IF(Wapato_Inventory[[#This Row],[no_utilities]]=1,12000,0))/IF(Wapato_Inventory[[#This Row],[unbuildable]]=1,2,1)</f>
        <v>55900</v>
      </c>
      <c r="CA1192" s="7">
        <f>Wapato_Inventory[[#This Row],[pre_res]]*Wapato_Inventory[[#This Row],[overall_adj]]</f>
        <v>135257.94682674774</v>
      </c>
      <c r="CB1192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92" s="3">
        <f>IF(ROUND(Wapato_Inventory[[#This Row],[adj_res]]*Lookups!$H$48,-2)&lt;Wapato_Inventory[[#This Row],[min_res]],Wapato_Inventory[[#This Row],[min_res]],ROUND(Wapato_Inventory[[#This Row],[adj_res]]*Lookups!$H$48,-2))</f>
        <v>128500</v>
      </c>
      <c r="CD1192" s="3">
        <f>ROUND(Wapato_Inventory[[#This Row],[det_value]]*Lookups!$H$48,-2)</f>
        <v>0</v>
      </c>
      <c r="CE1192" s="3">
        <f>Wapato_Inventory[[#This Row],[final_res]]+Wapato_Inventory[[#This Row],[final_det]]</f>
        <v>128500</v>
      </c>
      <c r="CF1192" s="3">
        <f>Wapato_Inventory[[#This Row],[crop_value]]+Wapato_Inventory[[#This Row],[final_land]]+Wapato_Inventory[[#This Row],[final_imp]]</f>
        <v>181600</v>
      </c>
      <c r="CH1192" t="str">
        <f t="shared" si="18"/>
        <v>update valuation set market_land =53100, market_bldg=128500, market_total =181600, market_mdno =405, market_date ='9/10/2023' where link_id = (select link_id from parcel where parcel_year = '2024' and parcel_id = '19112211452');</v>
      </c>
    </row>
    <row r="1193" spans="1:86" x14ac:dyDescent="0.25">
      <c r="A1193">
        <v>19112211454</v>
      </c>
      <c r="B1193">
        <v>0.41</v>
      </c>
      <c r="C1193">
        <v>17919</v>
      </c>
      <c r="D1193" t="s">
        <v>144</v>
      </c>
      <c r="E1193" t="s">
        <v>54</v>
      </c>
      <c r="F1193" t="s">
        <v>54</v>
      </c>
      <c r="G1193">
        <v>3</v>
      </c>
      <c r="H1193" t="s">
        <v>55</v>
      </c>
      <c r="I1193">
        <v>95200</v>
      </c>
      <c r="J1193">
        <v>39500</v>
      </c>
      <c r="K1193">
        <v>0.41</v>
      </c>
      <c r="L1193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193">
        <v>0</v>
      </c>
      <c r="N1193">
        <v>0</v>
      </c>
      <c r="O1193">
        <v>0</v>
      </c>
      <c r="P1193">
        <v>27904.037</v>
      </c>
      <c r="Q1193">
        <v>74398</v>
      </c>
      <c r="R1193" s="3">
        <f>(Wapato_Inventory[[#This Row],[ln_acres]]*Wapato_Inventory[[#This Row],[coeff]])+Wapato_Inventory[[#This Row],[const]]</f>
        <v>49518.813090374882</v>
      </c>
      <c r="S1193" t="s">
        <v>66</v>
      </c>
      <c r="T1193">
        <v>1</v>
      </c>
      <c r="U1193" t="s">
        <v>71</v>
      </c>
      <c r="V1193" t="s">
        <v>73</v>
      </c>
      <c r="W1193">
        <v>0</v>
      </c>
      <c r="X1193">
        <v>0</v>
      </c>
      <c r="Y1193">
        <v>52</v>
      </c>
      <c r="Z1193">
        <v>88</v>
      </c>
      <c r="AA1193">
        <v>90</v>
      </c>
      <c r="AB1193">
        <v>1000</v>
      </c>
      <c r="AC1193">
        <v>868</v>
      </c>
      <c r="AD1193">
        <v>868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5</v>
      </c>
      <c r="AQ1193">
        <v>1</v>
      </c>
      <c r="AR1193">
        <v>0</v>
      </c>
      <c r="AS1193" t="s">
        <v>59</v>
      </c>
      <c r="AT1193">
        <v>0</v>
      </c>
      <c r="AU1193" t="s">
        <v>80</v>
      </c>
      <c r="AV1193" t="s">
        <v>61</v>
      </c>
      <c r="AW1193">
        <v>0</v>
      </c>
      <c r="AX1193">
        <v>3</v>
      </c>
      <c r="AY1193">
        <v>0</v>
      </c>
      <c r="AZ1193">
        <v>10200</v>
      </c>
      <c r="BA1193">
        <v>100</v>
      </c>
      <c r="BB1193">
        <v>100</v>
      </c>
      <c r="BC1193">
        <v>100</v>
      </c>
      <c r="BD1193">
        <v>100</v>
      </c>
      <c r="BE1193">
        <v>1</v>
      </c>
      <c r="BF1193">
        <v>15000</v>
      </c>
      <c r="BG1193">
        <v>1000</v>
      </c>
      <c r="BH1193" s="7">
        <f>ROUND(Wapato_Inventory[[#This Row],[detatched_value]]*Lookups!$B$22*Lookups!$H$48,-2)</f>
        <v>9100</v>
      </c>
      <c r="BI1193" s="7">
        <f>ROUND(((Wapato_Inventory[[#This Row],[land_extract]]*Lookups!$B$3) +(Lookups!$B$2*0.5))*Lookups!$H$48,-2)</f>
        <v>55900</v>
      </c>
      <c r="BJ1193" s="7">
        <f>IF(Wapato_Inventory[[#This Row],[bldg_style]]="",0,Lookups!$B$2*0.5)</f>
        <v>53765.27</v>
      </c>
      <c r="BK1193" s="7">
        <f>_xlfn.IFNA(VLOOKUP(Wapato_Inventory[[#This Row],[quality]],Lookups!$H$2:$J$14,3,FALSE),0)</f>
        <v>28034</v>
      </c>
      <c r="BL1193" s="7">
        <f>_xlfn.IFNA(VLOOKUP(Wapato_Inventory[[#This Row],[condition]],Lookups!$H$17:$J$24,3,FALSE),0)</f>
        <v>16276</v>
      </c>
      <c r="BM1193" s="7">
        <f>Wapato_Inventory[[#This Row],[Age]]*Lookups!$B$16</f>
        <v>-32619.461600000002</v>
      </c>
      <c r="BN1193" s="7">
        <f>Wapato_Inventory[[#This Row],[Main Floor]]*Lookups!$B$17</f>
        <v>36283.041451999998</v>
      </c>
      <c r="BO1193" s="7">
        <f>Wapato_Inventory[[#This Row],[Upper Floor]]*Lookups!$B$18</f>
        <v>0</v>
      </c>
      <c r="BP1193" s="7">
        <f>Wapato_Inventory[[#This Row],[Fin BSMT]]*Lookups!$B$19</f>
        <v>0</v>
      </c>
      <c r="BQ1193" s="7">
        <f>(Wapato_Inventory[[#This Row],[att_gar]]+Wapato_Inventory[[#This Row],[blt_gar]])*Lookups!$B$20</f>
        <v>0</v>
      </c>
      <c r="BR1193" s="7">
        <f>Wapato_Inventory[[#This Row],[Patio]]*Lookups!$B$21</f>
        <v>0</v>
      </c>
      <c r="BS1193" s="7">
        <f>SUM(Wapato_Inventory[[#This Row],[intercept]:[patio_value]])*Wapato_Inventory[[#This Row],[res_pct]]</f>
        <v>101738.84985199998</v>
      </c>
      <c r="BT1193" s="7">
        <f>Wapato_Inventory[[#This Row],[land_value]]</f>
        <v>55900</v>
      </c>
      <c r="BU1193" s="2">
        <f>_xlfn.IFNA(VLOOKUP(Wapato_Inventory[[#This Row],[quality]],Lookups!$A$28:$C$37,3,FALSE),1)</f>
        <v>0.96265813922927435</v>
      </c>
      <c r="BV1193" s="2">
        <f>_xlfn.IFNA(VLOOKUP(Wapato_Inventory[[#This Row],[condition]],Lookups!$A$41:$C$48,3,FALSE),1)</f>
        <v>0.93399385491337139</v>
      </c>
      <c r="BW1193" s="2">
        <f>IF(Wapato_Inventory[[#This Row],[decade]]="",1,_xlfn.IFNA(VLOOKUP(Wapato_Inventory[[#This Row],[decade]],Lookups!$F$28:$H$45,3,FALSE),1))</f>
        <v>0.94742695999815718</v>
      </c>
      <c r="BX1193" s="2">
        <f>_xlfn.IFNA(VLOOKUP(Wapato_Inventory[[#This Row],[living_area_range]],Lookups!$K$28:$M$37,3,FALSE),1)</f>
        <v>0.99022994770196116</v>
      </c>
      <c r="BY1193" s="2">
        <f>AVERAGE(Wapato_Inventory[[#This Row],[qual_adj]:[range_adj]])</f>
        <v>0.95857722546069102</v>
      </c>
      <c r="BZ1193" s="7">
        <f>(Wapato_Inventory[[#This Row],[sum_land]]-IF(Wapato_Inventory[[#This Row],[no_utilities]]=1,12000,0))/IF(Wapato_Inventory[[#This Row],[unbuildable]]=1,2,1)</f>
        <v>55900</v>
      </c>
      <c r="CA1193" s="7">
        <f>Wapato_Inventory[[#This Row],[pre_res]]*Wapato_Inventory[[#This Row],[overall_adj]]</f>
        <v>97524.544412691976</v>
      </c>
      <c r="CB1193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93" s="3">
        <f>IF(ROUND(Wapato_Inventory[[#This Row],[adj_res]]*Lookups!$H$48,-2)&lt;Wapato_Inventory[[#This Row],[min_res]],Wapato_Inventory[[#This Row],[min_res]],ROUND(Wapato_Inventory[[#This Row],[adj_res]]*Lookups!$H$48,-2))</f>
        <v>92600</v>
      </c>
      <c r="CD1193" s="3">
        <f>ROUND(Wapato_Inventory[[#This Row],[det_value]]*Lookups!$H$48,-2)</f>
        <v>8600</v>
      </c>
      <c r="CE1193" s="3">
        <f>Wapato_Inventory[[#This Row],[final_res]]+Wapato_Inventory[[#This Row],[final_det]]</f>
        <v>101200</v>
      </c>
      <c r="CF1193" s="3">
        <f>Wapato_Inventory[[#This Row],[crop_value]]+Wapato_Inventory[[#This Row],[final_land]]+Wapato_Inventory[[#This Row],[final_imp]]</f>
        <v>154300</v>
      </c>
      <c r="CH1193" t="str">
        <f t="shared" si="18"/>
        <v>update valuation set market_land =53100, market_bldg=101200, market_total =154300, market_mdno =405, market_date ='9/10/2023' where link_id = (select link_id from parcel where parcel_year = '2024' and parcel_id = '19112211454');</v>
      </c>
    </row>
    <row r="1194" spans="1:86" x14ac:dyDescent="0.25">
      <c r="A1194">
        <v>19112211455</v>
      </c>
      <c r="B1194">
        <v>0.39</v>
      </c>
      <c r="C1194">
        <v>16959</v>
      </c>
      <c r="D1194" t="s">
        <v>144</v>
      </c>
      <c r="E1194" t="s">
        <v>54</v>
      </c>
      <c r="F1194" t="s">
        <v>54</v>
      </c>
      <c r="G1194">
        <v>3</v>
      </c>
      <c r="H1194" t="s">
        <v>55</v>
      </c>
      <c r="I1194">
        <v>87200</v>
      </c>
      <c r="J1194">
        <v>39100</v>
      </c>
      <c r="K1194">
        <v>0.39</v>
      </c>
      <c r="L1194">
        <f>IF(Wapato_Inventory[[#This Row],[parcel_acres]]-Wapato_Inventory[[#This Row],[non_valued_acres]] =0,0,LN(Wapato_Inventory[[#This Row],[parcel_acres]]-Wapato_Inventory[[#This Row],[non_valued_acres]]))</f>
        <v>-0.94160853985844495</v>
      </c>
      <c r="M1194">
        <v>0</v>
      </c>
      <c r="N1194">
        <v>0</v>
      </c>
      <c r="O1194">
        <v>0</v>
      </c>
      <c r="P1194">
        <v>27904.037</v>
      </c>
      <c r="Q1194">
        <v>74398</v>
      </c>
      <c r="R1194" s="3">
        <f>(Wapato_Inventory[[#This Row],[ln_acres]]*Wapato_Inventory[[#This Row],[coeff]])+Wapato_Inventory[[#This Row],[const]]</f>
        <v>48123.320464273973</v>
      </c>
      <c r="S1194" t="s">
        <v>66</v>
      </c>
      <c r="T1194">
        <v>1</v>
      </c>
      <c r="U1194" t="s">
        <v>78</v>
      </c>
      <c r="V1194" t="s">
        <v>73</v>
      </c>
      <c r="W1194">
        <v>0</v>
      </c>
      <c r="X1194">
        <v>0</v>
      </c>
      <c r="Y1194">
        <v>52</v>
      </c>
      <c r="Z1194">
        <v>88</v>
      </c>
      <c r="AA1194">
        <v>90</v>
      </c>
      <c r="AB1194">
        <v>1000</v>
      </c>
      <c r="AC1194">
        <v>700</v>
      </c>
      <c r="AD1194">
        <v>700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70</v>
      </c>
      <c r="AO1194">
        <v>0</v>
      </c>
      <c r="AP1194">
        <v>5</v>
      </c>
      <c r="AQ1194">
        <v>0</v>
      </c>
      <c r="AR1194">
        <v>0</v>
      </c>
      <c r="AS1194" t="s">
        <v>59</v>
      </c>
      <c r="AT1194">
        <v>0</v>
      </c>
      <c r="AU1194" t="s">
        <v>80</v>
      </c>
      <c r="AV1194" t="s">
        <v>77</v>
      </c>
      <c r="AW1194">
        <v>0</v>
      </c>
      <c r="AX1194">
        <v>2</v>
      </c>
      <c r="AY1194">
        <v>0</v>
      </c>
      <c r="AZ1194">
        <v>22200</v>
      </c>
      <c r="BA1194">
        <v>100</v>
      </c>
      <c r="BB1194">
        <v>100</v>
      </c>
      <c r="BC1194">
        <v>100</v>
      </c>
      <c r="BD1194">
        <v>100</v>
      </c>
      <c r="BE1194">
        <v>1</v>
      </c>
      <c r="BF1194">
        <v>15000</v>
      </c>
      <c r="BG1194">
        <v>1000</v>
      </c>
      <c r="BH1194" s="7">
        <f>ROUND(Wapato_Inventory[[#This Row],[detatched_value]]*Lookups!$B$22*Lookups!$H$48,-2)</f>
        <v>19800</v>
      </c>
      <c r="BI1194" s="7">
        <f>ROUND(((Wapato_Inventory[[#This Row],[land_extract]]*Lookups!$B$3) +(Lookups!$B$2*0.5))*Lookups!$H$48,-2)</f>
        <v>55700</v>
      </c>
      <c r="BJ1194" s="7">
        <f>IF(Wapato_Inventory[[#This Row],[bldg_style]]="",0,Lookups!$B$2*0.5)</f>
        <v>53765.27</v>
      </c>
      <c r="BK1194" s="7">
        <f>_xlfn.IFNA(VLOOKUP(Wapato_Inventory[[#This Row],[quality]],Lookups!$H$2:$J$14,3,FALSE),0)</f>
        <v>23424</v>
      </c>
      <c r="BL1194" s="7">
        <f>_xlfn.IFNA(VLOOKUP(Wapato_Inventory[[#This Row],[condition]],Lookups!$H$17:$J$24,3,FALSE),0)</f>
        <v>16276</v>
      </c>
      <c r="BM1194" s="7">
        <f>Wapato_Inventory[[#This Row],[Age]]*Lookups!$B$16</f>
        <v>-32619.461600000002</v>
      </c>
      <c r="BN1194" s="7">
        <f>Wapato_Inventory[[#This Row],[Main Floor]]*Lookups!$B$17</f>
        <v>29260.5173</v>
      </c>
      <c r="BO1194" s="7">
        <f>Wapato_Inventory[[#This Row],[Upper Floor]]*Lookups!$B$18</f>
        <v>0</v>
      </c>
      <c r="BP1194" s="7">
        <f>Wapato_Inventory[[#This Row],[Fin BSMT]]*Lookups!$B$19</f>
        <v>0</v>
      </c>
      <c r="BQ1194" s="7">
        <f>(Wapato_Inventory[[#This Row],[att_gar]]+Wapato_Inventory[[#This Row],[blt_gar]])*Lookups!$B$20</f>
        <v>0</v>
      </c>
      <c r="BR1194" s="7">
        <f>Wapato_Inventory[[#This Row],[Patio]]*Lookups!$B$21</f>
        <v>0</v>
      </c>
      <c r="BS1194" s="7">
        <f>SUM(Wapato_Inventory[[#This Row],[intercept]:[patio_value]])*Wapato_Inventory[[#This Row],[res_pct]]</f>
        <v>90106.325699999987</v>
      </c>
      <c r="BT1194" s="7">
        <f>Wapato_Inventory[[#This Row],[land_value]]</f>
        <v>55700</v>
      </c>
      <c r="BU1194" s="2">
        <f>_xlfn.IFNA(VLOOKUP(Wapato_Inventory[[#This Row],[quality]],Lookups!$A$28:$C$37,3,FALSE),1)</f>
        <v>1.0091195562373767</v>
      </c>
      <c r="BV1194" s="2">
        <f>_xlfn.IFNA(VLOOKUP(Wapato_Inventory[[#This Row],[condition]],Lookups!$A$41:$C$48,3,FALSE),1)</f>
        <v>0.93399385491337139</v>
      </c>
      <c r="BW1194" s="2">
        <f>IF(Wapato_Inventory[[#This Row],[decade]]="",1,_xlfn.IFNA(VLOOKUP(Wapato_Inventory[[#This Row],[decade]],Lookups!$F$28:$H$45,3,FALSE),1))</f>
        <v>0.94742695999815718</v>
      </c>
      <c r="BX1194" s="2">
        <f>_xlfn.IFNA(VLOOKUP(Wapato_Inventory[[#This Row],[living_area_range]],Lookups!$K$28:$M$37,3,FALSE),1)</f>
        <v>0.99022994770196116</v>
      </c>
      <c r="BY1194" s="2">
        <f>AVERAGE(Wapato_Inventory[[#This Row],[qual_adj]:[range_adj]])</f>
        <v>0.97019257971271655</v>
      </c>
      <c r="BZ1194" s="7">
        <f>(Wapato_Inventory[[#This Row],[sum_land]]-IF(Wapato_Inventory[[#This Row],[no_utilities]]=1,12000,0))/IF(Wapato_Inventory[[#This Row],[unbuildable]]=1,2,1)</f>
        <v>55700</v>
      </c>
      <c r="CA1194" s="7">
        <f>Wapato_Inventory[[#This Row],[pre_res]]*Wapato_Inventory[[#This Row],[overall_adj]]</f>
        <v>87420.488579317243</v>
      </c>
      <c r="CB1194" s="3">
        <f>IF(ROUND(Wapato_Inventory[[#This Row],[adj_land]]*Lookups!$H$48,-2)&lt;Wapato_Inventory[[#This Row],[min_land]],Wapato_Inventory[[#This Row],[min_land]],ROUND(Wapato_Inventory[[#This Row],[adj_land]]*Lookups!$H$48,-2))</f>
        <v>52900</v>
      </c>
      <c r="CC1194" s="3">
        <f>IF(ROUND(Wapato_Inventory[[#This Row],[adj_res]]*Lookups!$H$48,-2)&lt;Wapato_Inventory[[#This Row],[min_res]],Wapato_Inventory[[#This Row],[min_res]],ROUND(Wapato_Inventory[[#This Row],[adj_res]]*Lookups!$H$48,-2))</f>
        <v>83000</v>
      </c>
      <c r="CD1194" s="3">
        <f>ROUND(Wapato_Inventory[[#This Row],[det_value]]*Lookups!$H$48,-2)</f>
        <v>18800</v>
      </c>
      <c r="CE1194" s="3">
        <f>Wapato_Inventory[[#This Row],[final_res]]+Wapato_Inventory[[#This Row],[final_det]]</f>
        <v>101800</v>
      </c>
      <c r="CF1194" s="3">
        <f>Wapato_Inventory[[#This Row],[crop_value]]+Wapato_Inventory[[#This Row],[final_land]]+Wapato_Inventory[[#This Row],[final_imp]]</f>
        <v>154700</v>
      </c>
      <c r="CH1194" t="str">
        <f t="shared" si="18"/>
        <v>update valuation set market_land =52900, market_bldg=101800, market_total =154700, market_mdno =405, market_date ='9/10/2023' where link_id = (select link_id from parcel where parcel_year = '2024' and parcel_id = '19112211455');</v>
      </c>
    </row>
    <row r="1195" spans="1:86" x14ac:dyDescent="0.25">
      <c r="A1195">
        <v>19112211457</v>
      </c>
      <c r="B1195">
        <v>0.41</v>
      </c>
      <c r="C1195">
        <v>17919</v>
      </c>
      <c r="D1195" t="s">
        <v>144</v>
      </c>
      <c r="E1195" t="s">
        <v>54</v>
      </c>
      <c r="F1195" t="s">
        <v>54</v>
      </c>
      <c r="G1195">
        <v>3</v>
      </c>
      <c r="H1195" t="s">
        <v>55</v>
      </c>
      <c r="I1195">
        <v>245800</v>
      </c>
      <c r="J1195">
        <v>39500</v>
      </c>
      <c r="K1195">
        <v>0.41</v>
      </c>
      <c r="L1195">
        <f>IF(Wapato_Inventory[[#This Row],[parcel_acres]]-Wapato_Inventory[[#This Row],[non_valued_acres]] =0,0,LN(Wapato_Inventory[[#This Row],[parcel_acres]]-Wapato_Inventory[[#This Row],[non_valued_acres]]))</f>
        <v>-0.89159811928378363</v>
      </c>
      <c r="M1195">
        <v>0</v>
      </c>
      <c r="N1195">
        <v>0</v>
      </c>
      <c r="O1195">
        <v>0</v>
      </c>
      <c r="P1195">
        <v>27904.037</v>
      </c>
      <c r="Q1195">
        <v>74398</v>
      </c>
      <c r="R1195" s="3">
        <f>(Wapato_Inventory[[#This Row],[ln_acres]]*Wapato_Inventory[[#This Row],[coeff]])+Wapato_Inventory[[#This Row],[const]]</f>
        <v>49518.813090374882</v>
      </c>
      <c r="S1195" t="s">
        <v>62</v>
      </c>
      <c r="T1195">
        <v>1</v>
      </c>
      <c r="U1195" t="s">
        <v>75</v>
      </c>
      <c r="V1195" t="s">
        <v>68</v>
      </c>
      <c r="W1195">
        <v>0</v>
      </c>
      <c r="X1195">
        <v>0</v>
      </c>
      <c r="Y1195">
        <v>47</v>
      </c>
      <c r="Z1195">
        <v>56</v>
      </c>
      <c r="AA1195">
        <v>60</v>
      </c>
      <c r="AB1195">
        <v>2500</v>
      </c>
      <c r="AC1195">
        <v>2272</v>
      </c>
      <c r="AD1195">
        <v>2272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312</v>
      </c>
      <c r="AM1195">
        <v>0</v>
      </c>
      <c r="AN1195">
        <v>360</v>
      </c>
      <c r="AO1195">
        <v>312</v>
      </c>
      <c r="AP1195">
        <v>8</v>
      </c>
      <c r="AQ1195">
        <v>1</v>
      </c>
      <c r="AR1195">
        <v>0</v>
      </c>
      <c r="AS1195" t="s">
        <v>59</v>
      </c>
      <c r="AT1195">
        <v>1</v>
      </c>
      <c r="AU1195" t="s">
        <v>64</v>
      </c>
      <c r="AV1195" t="s">
        <v>61</v>
      </c>
      <c r="AW1195">
        <v>1</v>
      </c>
      <c r="AX1195">
        <v>3</v>
      </c>
      <c r="AY1195">
        <v>0</v>
      </c>
      <c r="AZ1195">
        <v>38300</v>
      </c>
      <c r="BA1195">
        <v>100</v>
      </c>
      <c r="BB1195">
        <v>100</v>
      </c>
      <c r="BC1195">
        <v>100</v>
      </c>
      <c r="BD1195">
        <v>100</v>
      </c>
      <c r="BE1195">
        <v>1</v>
      </c>
      <c r="BF1195">
        <v>15000</v>
      </c>
      <c r="BG1195">
        <v>1000</v>
      </c>
      <c r="BH1195" s="7">
        <f>ROUND(Wapato_Inventory[[#This Row],[detatched_value]]*Lookups!$B$22*Lookups!$H$48,-2)</f>
        <v>34200</v>
      </c>
      <c r="BI1195" s="7">
        <f>ROUND(((Wapato_Inventory[[#This Row],[land_extract]]*Lookups!$B$3) +(Lookups!$B$2*0.5))*Lookups!$H$48,-2)</f>
        <v>55900</v>
      </c>
      <c r="BJ1195" s="7">
        <f>IF(Wapato_Inventory[[#This Row],[bldg_style]]="",0,Lookups!$B$2*0.5)</f>
        <v>53765.27</v>
      </c>
      <c r="BK1195" s="7">
        <f>_xlfn.IFNA(VLOOKUP(Wapato_Inventory[[#This Row],[quality]],Lookups!$H$2:$J$14,3,FALSE),0)</f>
        <v>48043</v>
      </c>
      <c r="BL1195" s="7">
        <f>_xlfn.IFNA(VLOOKUP(Wapato_Inventory[[#This Row],[condition]],Lookups!$H$17:$J$24,3,FALSE),0)</f>
        <v>52231</v>
      </c>
      <c r="BM1195" s="7">
        <f>Wapato_Inventory[[#This Row],[Age]]*Lookups!$B$16</f>
        <v>-20757.839200000002</v>
      </c>
      <c r="BN1195" s="7">
        <f>Wapato_Inventory[[#This Row],[Main Floor]]*Lookups!$B$17</f>
        <v>94971.279007999998</v>
      </c>
      <c r="BO1195" s="7">
        <f>Wapato_Inventory[[#This Row],[Upper Floor]]*Lookups!$B$18</f>
        <v>0</v>
      </c>
      <c r="BP1195" s="7">
        <f>Wapato_Inventory[[#This Row],[Fin BSMT]]*Lookups!$B$19</f>
        <v>0</v>
      </c>
      <c r="BQ1195" s="7">
        <f>(Wapato_Inventory[[#This Row],[att_gar]]+Wapato_Inventory[[#This Row],[blt_gar]])*Lookups!$B$20</f>
        <v>0</v>
      </c>
      <c r="BR1195" s="7">
        <f>Wapato_Inventory[[#This Row],[Patio]]*Lookups!$B$21</f>
        <v>0</v>
      </c>
      <c r="BS1195" s="7">
        <f>SUM(Wapato_Inventory[[#This Row],[intercept]:[patio_value]])*Wapato_Inventory[[#This Row],[res_pct]]</f>
        <v>228252.70980799996</v>
      </c>
      <c r="BT1195" s="7">
        <f>Wapato_Inventory[[#This Row],[land_value]]</f>
        <v>55900</v>
      </c>
      <c r="BU1195" s="2">
        <f>_xlfn.IFNA(VLOOKUP(Wapato_Inventory[[#This Row],[quality]],Lookups!$A$28:$C$37,3,FALSE),1)</f>
        <v>0.98196844879778955</v>
      </c>
      <c r="BV1195" s="2">
        <f>_xlfn.IFNA(VLOOKUP(Wapato_Inventory[[#This Row],[condition]],Lookups!$A$41:$C$48,3,FALSE),1)</f>
        <v>0.9832333997567807</v>
      </c>
      <c r="BW1195" s="2">
        <f>IF(Wapato_Inventory[[#This Row],[decade]]="",1,_xlfn.IFNA(VLOOKUP(Wapato_Inventory[[#This Row],[decade]],Lookups!$F$28:$H$45,3,FALSE),1))</f>
        <v>1.035341704162583</v>
      </c>
      <c r="BX1195" s="2">
        <f>_xlfn.IFNA(VLOOKUP(Wapato_Inventory[[#This Row],[living_area_range]],Lookups!$K$28:$M$37,3,FALSE),1)</f>
        <v>0.90813907160181651</v>
      </c>
      <c r="BY1195" s="2">
        <f>AVERAGE(Wapato_Inventory[[#This Row],[qual_adj]:[range_adj]])</f>
        <v>0.97717065607974241</v>
      </c>
      <c r="BZ1195" s="7">
        <f>(Wapato_Inventory[[#This Row],[sum_land]]-IF(Wapato_Inventory[[#This Row],[no_utilities]]=1,12000,0))/IF(Wapato_Inventory[[#This Row],[unbuildable]]=1,2,1)</f>
        <v>55900</v>
      </c>
      <c r="CA1195" s="7">
        <f>Wapato_Inventory[[#This Row],[pre_res]]*Wapato_Inventory[[#This Row],[overall_adj]]</f>
        <v>223041.85019506238</v>
      </c>
      <c r="CB1195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195" s="3">
        <f>IF(ROUND(Wapato_Inventory[[#This Row],[adj_res]]*Lookups!$H$48,-2)&lt;Wapato_Inventory[[#This Row],[min_res]],Wapato_Inventory[[#This Row],[min_res]],ROUND(Wapato_Inventory[[#This Row],[adj_res]]*Lookups!$H$48,-2))</f>
        <v>211900</v>
      </c>
      <c r="CD1195" s="3">
        <f>ROUND(Wapato_Inventory[[#This Row],[det_value]]*Lookups!$H$48,-2)</f>
        <v>32500</v>
      </c>
      <c r="CE1195" s="3">
        <f>Wapato_Inventory[[#This Row],[final_res]]+Wapato_Inventory[[#This Row],[final_det]]</f>
        <v>244400</v>
      </c>
      <c r="CF1195" s="3">
        <f>Wapato_Inventory[[#This Row],[crop_value]]+Wapato_Inventory[[#This Row],[final_land]]+Wapato_Inventory[[#This Row],[final_imp]]</f>
        <v>297500</v>
      </c>
      <c r="CH1195" t="str">
        <f t="shared" si="18"/>
        <v>update valuation set market_land =53100, market_bldg=244400, market_total =297500, market_mdno =405, market_date ='9/10/2023' where link_id = (select link_id from parcel where parcel_year = '2024' and parcel_id = '19112211457');</v>
      </c>
    </row>
    <row r="1196" spans="1:86" x14ac:dyDescent="0.25">
      <c r="A1196">
        <v>19112211458</v>
      </c>
      <c r="B1196">
        <v>0.62</v>
      </c>
      <c r="C1196">
        <v>26879</v>
      </c>
      <c r="D1196" t="s">
        <v>144</v>
      </c>
      <c r="E1196" t="s">
        <v>54</v>
      </c>
      <c r="F1196" t="s">
        <v>54</v>
      </c>
      <c r="G1196">
        <v>3</v>
      </c>
      <c r="H1196" t="s">
        <v>55</v>
      </c>
      <c r="I1196">
        <v>146500</v>
      </c>
      <c r="J1196">
        <v>42500</v>
      </c>
      <c r="K1196">
        <v>0.62</v>
      </c>
      <c r="L1196">
        <f>IF(Wapato_Inventory[[#This Row],[parcel_acres]]-Wapato_Inventory[[#This Row],[non_valued_acres]] =0,0,LN(Wapato_Inventory[[#This Row],[parcel_acres]]-Wapato_Inventory[[#This Row],[non_valued_acres]]))</f>
        <v>-0.4780358009429998</v>
      </c>
      <c r="M1196">
        <v>0</v>
      </c>
      <c r="N1196">
        <v>0</v>
      </c>
      <c r="O1196">
        <v>0</v>
      </c>
      <c r="P1196">
        <v>27904.037</v>
      </c>
      <c r="Q1196">
        <v>74398</v>
      </c>
      <c r="R1196" s="3">
        <f>(Wapato_Inventory[[#This Row],[ln_acres]]*Wapato_Inventory[[#This Row],[coeff]])+Wapato_Inventory[[#This Row],[const]]</f>
        <v>61058.871323161897</v>
      </c>
      <c r="S1196" t="s">
        <v>66</v>
      </c>
      <c r="T1196">
        <v>2</v>
      </c>
      <c r="U1196" t="s">
        <v>71</v>
      </c>
      <c r="V1196" t="s">
        <v>73</v>
      </c>
      <c r="W1196">
        <v>0</v>
      </c>
      <c r="X1196">
        <v>0</v>
      </c>
      <c r="Y1196">
        <v>52</v>
      </c>
      <c r="Z1196">
        <v>88</v>
      </c>
      <c r="AA1196">
        <v>90</v>
      </c>
      <c r="AB1196">
        <v>3000</v>
      </c>
      <c r="AC1196">
        <v>2861</v>
      </c>
      <c r="AD1196">
        <v>1817</v>
      </c>
      <c r="AE1196">
        <v>400</v>
      </c>
      <c r="AF1196">
        <v>0</v>
      </c>
      <c r="AG1196">
        <v>644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154</v>
      </c>
      <c r="AN1196">
        <v>0</v>
      </c>
      <c r="AO1196">
        <v>490</v>
      </c>
      <c r="AP1196">
        <v>9</v>
      </c>
      <c r="AQ1196">
        <v>0</v>
      </c>
      <c r="AR1196">
        <v>0</v>
      </c>
      <c r="AS1196" t="s">
        <v>59</v>
      </c>
      <c r="AT1196">
        <v>1</v>
      </c>
      <c r="AU1196" t="s">
        <v>76</v>
      </c>
      <c r="AV1196" t="s">
        <v>61</v>
      </c>
      <c r="AW1196">
        <v>0</v>
      </c>
      <c r="AX1196">
        <v>4</v>
      </c>
      <c r="AY1196">
        <v>0</v>
      </c>
      <c r="AZ1196">
        <v>400</v>
      </c>
      <c r="BA1196">
        <v>100</v>
      </c>
      <c r="BB1196">
        <v>100</v>
      </c>
      <c r="BC1196">
        <v>100</v>
      </c>
      <c r="BD1196">
        <v>100</v>
      </c>
      <c r="BE1196">
        <v>1</v>
      </c>
      <c r="BF1196">
        <v>15000</v>
      </c>
      <c r="BG1196">
        <v>1000</v>
      </c>
      <c r="BH1196" s="7">
        <f>ROUND(Wapato_Inventory[[#This Row],[detatched_value]]*Lookups!$B$22*Lookups!$H$48,-2)</f>
        <v>400</v>
      </c>
      <c r="BI1196" s="7">
        <f>ROUND(((Wapato_Inventory[[#This Row],[land_extract]]*Lookups!$B$3) +(Lookups!$B$2*0.5))*Lookups!$H$48,-2)</f>
        <v>57000</v>
      </c>
      <c r="BJ1196" s="7">
        <f>IF(Wapato_Inventory[[#This Row],[bldg_style]]="",0,Lookups!$B$2*0.5)</f>
        <v>53765.27</v>
      </c>
      <c r="BK1196" s="7">
        <f>_xlfn.IFNA(VLOOKUP(Wapato_Inventory[[#This Row],[quality]],Lookups!$H$2:$J$14,3,FALSE),0)</f>
        <v>28034</v>
      </c>
      <c r="BL1196" s="7">
        <f>_xlfn.IFNA(VLOOKUP(Wapato_Inventory[[#This Row],[condition]],Lookups!$H$17:$J$24,3,FALSE),0)</f>
        <v>16276</v>
      </c>
      <c r="BM1196" s="7">
        <f>Wapato_Inventory[[#This Row],[Age]]*Lookups!$B$16</f>
        <v>-32619.461600000002</v>
      </c>
      <c r="BN1196" s="7">
        <f>Wapato_Inventory[[#This Row],[Main Floor]]*Lookups!$B$17</f>
        <v>75951.942762999999</v>
      </c>
      <c r="BO1196" s="7">
        <f>Wapato_Inventory[[#This Row],[Upper Floor]]*Lookups!$B$18</f>
        <v>19840.455600000001</v>
      </c>
      <c r="BP1196" s="7">
        <f>Wapato_Inventory[[#This Row],[Fin BSMT]]*Lookups!$B$19</f>
        <v>15692.180560000001</v>
      </c>
      <c r="BQ1196" s="7">
        <f>(Wapato_Inventory[[#This Row],[att_gar]]+Wapato_Inventory[[#This Row],[blt_gar]])*Lookups!$B$20</f>
        <v>0</v>
      </c>
      <c r="BR1196" s="7">
        <f>Wapato_Inventory[[#This Row],[Patio]]*Lookups!$B$21</f>
        <v>6671.8927659999999</v>
      </c>
      <c r="BS1196" s="7">
        <f>SUM(Wapato_Inventory[[#This Row],[intercept]:[patio_value]])*Wapato_Inventory[[#This Row],[res_pct]]</f>
        <v>183612.28008900001</v>
      </c>
      <c r="BT1196" s="7">
        <f>Wapato_Inventory[[#This Row],[land_value]]</f>
        <v>57000</v>
      </c>
      <c r="BU1196" s="2">
        <f>_xlfn.IFNA(VLOOKUP(Wapato_Inventory[[#This Row],[quality]],Lookups!$A$28:$C$37,3,FALSE),1)</f>
        <v>0.96265813922927435</v>
      </c>
      <c r="BV1196" s="2">
        <f>_xlfn.IFNA(VLOOKUP(Wapato_Inventory[[#This Row],[condition]],Lookups!$A$41:$C$48,3,FALSE),1)</f>
        <v>0.93399385491337139</v>
      </c>
      <c r="BW1196" s="2">
        <f>IF(Wapato_Inventory[[#This Row],[decade]]="",1,_xlfn.IFNA(VLOOKUP(Wapato_Inventory[[#This Row],[decade]],Lookups!$F$28:$H$45,3,FALSE),1))</f>
        <v>0.94742695999815718</v>
      </c>
      <c r="BX1196" s="2">
        <f>_xlfn.IFNA(VLOOKUP(Wapato_Inventory[[#This Row],[living_area_range]],Lookups!$K$28:$M$37,3,FALSE),1)</f>
        <v>1.0155869662067822</v>
      </c>
      <c r="BY1196" s="2">
        <f>AVERAGE(Wapato_Inventory[[#This Row],[qual_adj]:[range_adj]])</f>
        <v>0.96491648008689634</v>
      </c>
      <c r="BZ1196" s="7">
        <f>(Wapato_Inventory[[#This Row],[sum_land]]-IF(Wapato_Inventory[[#This Row],[no_utilities]]=1,12000,0))/IF(Wapato_Inventory[[#This Row],[unbuildable]]=1,2,1)</f>
        <v>57000</v>
      </c>
      <c r="CA1196" s="7">
        <f>Wapato_Inventory[[#This Row],[pre_res]]*Wapato_Inventory[[#This Row],[overall_adj]]</f>
        <v>177170.51500420721</v>
      </c>
      <c r="CB1196" s="3">
        <f>IF(ROUND(Wapato_Inventory[[#This Row],[adj_land]]*Lookups!$H$48,-2)&lt;Wapato_Inventory[[#This Row],[min_land]],Wapato_Inventory[[#This Row],[min_land]],ROUND(Wapato_Inventory[[#This Row],[adj_land]]*Lookups!$H$48,-2))</f>
        <v>54200</v>
      </c>
      <c r="CC1196" s="3">
        <f>IF(ROUND(Wapato_Inventory[[#This Row],[adj_res]]*Lookups!$H$48,-2)&lt;Wapato_Inventory[[#This Row],[min_res]],Wapato_Inventory[[#This Row],[min_res]],ROUND(Wapato_Inventory[[#This Row],[adj_res]]*Lookups!$H$48,-2))</f>
        <v>168300</v>
      </c>
      <c r="CD1196" s="3">
        <f>ROUND(Wapato_Inventory[[#This Row],[det_value]]*Lookups!$H$48,-2)</f>
        <v>400</v>
      </c>
      <c r="CE1196" s="3">
        <f>Wapato_Inventory[[#This Row],[final_res]]+Wapato_Inventory[[#This Row],[final_det]]</f>
        <v>168700</v>
      </c>
      <c r="CF1196" s="3">
        <f>Wapato_Inventory[[#This Row],[crop_value]]+Wapato_Inventory[[#This Row],[final_land]]+Wapato_Inventory[[#This Row],[final_imp]]</f>
        <v>222900</v>
      </c>
      <c r="CH1196" t="str">
        <f t="shared" si="18"/>
        <v>update valuation set market_land =54200, market_bldg=168700, market_total =222900, market_mdno =405, market_date ='9/10/2023' where link_id = (select link_id from parcel where parcel_year = '2024' and parcel_id = '19112211458');</v>
      </c>
    </row>
    <row r="1197" spans="1:86" x14ac:dyDescent="0.25">
      <c r="A1197">
        <v>19112214004</v>
      </c>
      <c r="B1197">
        <v>1.93</v>
      </c>
      <c r="C1197">
        <v>80518</v>
      </c>
      <c r="D1197" t="s">
        <v>144</v>
      </c>
      <c r="E1197" t="s">
        <v>54</v>
      </c>
      <c r="F1197" t="s">
        <v>54</v>
      </c>
      <c r="G1197">
        <v>3</v>
      </c>
      <c r="H1197" t="s">
        <v>55</v>
      </c>
      <c r="I1197">
        <v>78600</v>
      </c>
      <c r="J1197">
        <v>50600</v>
      </c>
      <c r="K1197">
        <v>1.93</v>
      </c>
      <c r="L1197">
        <f>IF(Wapato_Inventory[[#This Row],[parcel_acres]]-Wapato_Inventory[[#This Row],[non_valued_acres]] =0,0,LN(Wapato_Inventory[[#This Row],[parcel_acres]]-Wapato_Inventory[[#This Row],[non_valued_acres]]))</f>
        <v>0.65752000291679413</v>
      </c>
      <c r="M1197">
        <v>0</v>
      </c>
      <c r="N1197">
        <v>0</v>
      </c>
      <c r="O1197">
        <v>0</v>
      </c>
      <c r="P1197">
        <v>27904.037</v>
      </c>
      <c r="Q1197">
        <v>74398</v>
      </c>
      <c r="R1197" s="3">
        <f>(Wapato_Inventory[[#This Row],[ln_acres]]*Wapato_Inventory[[#This Row],[coeff]])+Wapato_Inventory[[#This Row],[const]]</f>
        <v>92745.462489630328</v>
      </c>
      <c r="S1197" t="s">
        <v>145</v>
      </c>
      <c r="T1197">
        <v>1</v>
      </c>
      <c r="U1197" t="s">
        <v>78</v>
      </c>
      <c r="V1197" t="s">
        <v>73</v>
      </c>
      <c r="W1197">
        <v>0</v>
      </c>
      <c r="X1197">
        <v>0</v>
      </c>
      <c r="Y1197">
        <v>53</v>
      </c>
      <c r="Z1197">
        <v>93</v>
      </c>
      <c r="AA1197">
        <v>100</v>
      </c>
      <c r="AB1197">
        <v>1000</v>
      </c>
      <c r="AC1197">
        <v>998</v>
      </c>
      <c r="AD1197">
        <v>998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440</v>
      </c>
      <c r="AN1197">
        <v>0</v>
      </c>
      <c r="AO1197">
        <v>0</v>
      </c>
      <c r="AP1197">
        <v>5</v>
      </c>
      <c r="AQ1197">
        <v>0</v>
      </c>
      <c r="AR1197">
        <v>0</v>
      </c>
      <c r="AS1197" t="s">
        <v>157</v>
      </c>
      <c r="AT1197">
        <v>1</v>
      </c>
      <c r="AU1197" t="s">
        <v>64</v>
      </c>
      <c r="AV1197" t="s">
        <v>158</v>
      </c>
      <c r="AW1197">
        <v>0</v>
      </c>
      <c r="AX1197">
        <v>3</v>
      </c>
      <c r="AY1197">
        <v>0</v>
      </c>
      <c r="AZ1197">
        <v>0</v>
      </c>
      <c r="BA1197">
        <v>100</v>
      </c>
      <c r="BB1197">
        <v>100</v>
      </c>
      <c r="BC1197">
        <v>100</v>
      </c>
      <c r="BD1197">
        <v>100</v>
      </c>
      <c r="BE1197">
        <v>1</v>
      </c>
      <c r="BF1197">
        <v>15000</v>
      </c>
      <c r="BG1197">
        <v>1000</v>
      </c>
      <c r="BH1197" s="7">
        <f>ROUND(Wapato_Inventory[[#This Row],[detatched_value]]*Lookups!$B$22*Lookups!$H$48,-2)</f>
        <v>0</v>
      </c>
      <c r="BI1197" s="7">
        <f>ROUND(((Wapato_Inventory[[#This Row],[land_extract]]*Lookups!$B$3) +(Lookups!$B$2*0.5))*Lookups!$H$48,-2)</f>
        <v>60000</v>
      </c>
      <c r="BJ1197" s="7">
        <f>IF(Wapato_Inventory[[#This Row],[bldg_style]]="",0,Lookups!$B$2*0.5)</f>
        <v>53765.27</v>
      </c>
      <c r="BK1197" s="7">
        <f>_xlfn.IFNA(VLOOKUP(Wapato_Inventory[[#This Row],[quality]],Lookups!$H$2:$J$14,3,FALSE),0)</f>
        <v>23424</v>
      </c>
      <c r="BL1197" s="7">
        <f>_xlfn.IFNA(VLOOKUP(Wapato_Inventory[[#This Row],[condition]],Lookups!$H$17:$J$24,3,FALSE),0)</f>
        <v>16276</v>
      </c>
      <c r="BM1197" s="7">
        <f>Wapato_Inventory[[#This Row],[Age]]*Lookups!$B$16</f>
        <v>-34472.840100000001</v>
      </c>
      <c r="BN1197" s="7">
        <f>Wapato_Inventory[[#This Row],[Main Floor]]*Lookups!$B$17</f>
        <v>41717.137521999997</v>
      </c>
      <c r="BO1197" s="7">
        <f>Wapato_Inventory[[#This Row],[Upper Floor]]*Lookups!$B$18</f>
        <v>0</v>
      </c>
      <c r="BP1197" s="7">
        <f>Wapato_Inventory[[#This Row],[Fin BSMT]]*Lookups!$B$19</f>
        <v>0</v>
      </c>
      <c r="BQ1197" s="7">
        <f>(Wapato_Inventory[[#This Row],[att_gar]]+Wapato_Inventory[[#This Row],[blt_gar]])*Lookups!$B$20</f>
        <v>0</v>
      </c>
      <c r="BR1197" s="7">
        <f>Wapato_Inventory[[#This Row],[Patio]]*Lookups!$B$21</f>
        <v>19062.550760000002</v>
      </c>
      <c r="BS1197" s="7">
        <f>SUM(Wapato_Inventory[[#This Row],[intercept]:[patio_value]])*Wapato_Inventory[[#This Row],[res_pct]]</f>
        <v>119772.11818199999</v>
      </c>
      <c r="BT1197" s="7">
        <f>Wapato_Inventory[[#This Row],[land_value]]</f>
        <v>60000</v>
      </c>
      <c r="BU1197" s="2">
        <f>_xlfn.IFNA(VLOOKUP(Wapato_Inventory[[#This Row],[quality]],Lookups!$A$28:$C$37,3,FALSE),1)</f>
        <v>1.0091195562373767</v>
      </c>
      <c r="BV1197" s="2">
        <f>_xlfn.IFNA(VLOOKUP(Wapato_Inventory[[#This Row],[condition]],Lookups!$A$41:$C$48,3,FALSE),1)</f>
        <v>0.93399385491337139</v>
      </c>
      <c r="BW1197" s="2">
        <f>IF(Wapato_Inventory[[#This Row],[decade]]="",1,_xlfn.IFNA(VLOOKUP(Wapato_Inventory[[#This Row],[decade]],Lookups!$F$28:$H$45,3,FALSE),1))</f>
        <v>1.0114203040664467</v>
      </c>
      <c r="BX1197" s="2">
        <f>_xlfn.IFNA(VLOOKUP(Wapato_Inventory[[#This Row],[living_area_range]],Lookups!$K$28:$M$37,3,FALSE),1)</f>
        <v>0.99022994770196116</v>
      </c>
      <c r="BY1197" s="2">
        <f>AVERAGE(Wapato_Inventory[[#This Row],[qual_adj]:[range_adj]])</f>
        <v>0.9861909157297889</v>
      </c>
      <c r="BZ1197" s="7">
        <f>(Wapato_Inventory[[#This Row],[sum_land]]-IF(Wapato_Inventory[[#This Row],[no_utilities]]=1,12000,0))/IF(Wapato_Inventory[[#This Row],[unbuildable]]=1,2,1)</f>
        <v>60000</v>
      </c>
      <c r="CA1197" s="7">
        <f>Wapato_Inventory[[#This Row],[pre_res]]*Wapato_Inventory[[#This Row],[overall_adj]]</f>
        <v>118118.17490880306</v>
      </c>
      <c r="CB1197" s="3">
        <f>IF(ROUND(Wapato_Inventory[[#This Row],[adj_land]]*Lookups!$H$48,-2)&lt;Wapato_Inventory[[#This Row],[min_land]],Wapato_Inventory[[#This Row],[min_land]],ROUND(Wapato_Inventory[[#This Row],[adj_land]]*Lookups!$H$48,-2))</f>
        <v>57000</v>
      </c>
      <c r="CC1197" s="3">
        <f>IF(ROUND(Wapato_Inventory[[#This Row],[adj_res]]*Lookups!$H$48,-2)&lt;Wapato_Inventory[[#This Row],[min_res]],Wapato_Inventory[[#This Row],[min_res]],ROUND(Wapato_Inventory[[#This Row],[adj_res]]*Lookups!$H$48,-2))</f>
        <v>112200</v>
      </c>
      <c r="CD1197" s="3">
        <f>ROUND(Wapato_Inventory[[#This Row],[det_value]]*Lookups!$H$48,-2)</f>
        <v>0</v>
      </c>
      <c r="CE1197" s="3">
        <f>Wapato_Inventory[[#This Row],[final_res]]+Wapato_Inventory[[#This Row],[final_det]]</f>
        <v>112200</v>
      </c>
      <c r="CF1197" s="3">
        <f>Wapato_Inventory[[#This Row],[crop_value]]+Wapato_Inventory[[#This Row],[final_land]]+Wapato_Inventory[[#This Row],[final_imp]]</f>
        <v>169200</v>
      </c>
      <c r="CH1197" t="str">
        <f t="shared" si="18"/>
        <v>update valuation set market_land =57000, market_bldg=112200, market_total =169200, market_mdno =405, market_date ='9/10/2023' where link_id = (select link_id from parcel where parcel_year = '2024' and parcel_id = '19112214004');</v>
      </c>
    </row>
    <row r="1198" spans="1:86" x14ac:dyDescent="0.25">
      <c r="A1198">
        <v>19112214006</v>
      </c>
      <c r="B1198">
        <v>0.81</v>
      </c>
      <c r="C1198">
        <v>35109</v>
      </c>
      <c r="D1198" t="s">
        <v>144</v>
      </c>
      <c r="E1198" t="s">
        <v>54</v>
      </c>
      <c r="F1198" t="s">
        <v>54</v>
      </c>
      <c r="G1198">
        <v>3</v>
      </c>
      <c r="H1198" t="s">
        <v>55</v>
      </c>
      <c r="I1198">
        <v>135400</v>
      </c>
      <c r="J1198">
        <v>44400</v>
      </c>
      <c r="K1198">
        <v>0.81</v>
      </c>
      <c r="L1198">
        <f>IF(Wapato_Inventory[[#This Row],[parcel_acres]]-Wapato_Inventory[[#This Row],[non_valued_acres]] =0,0,LN(Wapato_Inventory[[#This Row],[parcel_acres]]-Wapato_Inventory[[#This Row],[non_valued_acres]]))</f>
        <v>-0.21072103131565253</v>
      </c>
      <c r="M1198">
        <v>0</v>
      </c>
      <c r="N1198">
        <v>0</v>
      </c>
      <c r="O1198">
        <v>0</v>
      </c>
      <c r="P1198">
        <v>27904.037</v>
      </c>
      <c r="Q1198">
        <v>74398</v>
      </c>
      <c r="R1198" s="3">
        <f>(Wapato_Inventory[[#This Row],[ln_acres]]*Wapato_Inventory[[#This Row],[coeff]])+Wapato_Inventory[[#This Row],[const]]</f>
        <v>68518.03254548987</v>
      </c>
      <c r="S1198" t="s">
        <v>56</v>
      </c>
      <c r="T1198">
        <v>2</v>
      </c>
      <c r="U1198" t="s">
        <v>78</v>
      </c>
      <c r="V1198" t="s">
        <v>73</v>
      </c>
      <c r="W1198">
        <v>0</v>
      </c>
      <c r="X1198">
        <v>0</v>
      </c>
      <c r="Y1198">
        <v>53</v>
      </c>
      <c r="Z1198">
        <v>93</v>
      </c>
      <c r="AA1198">
        <v>100</v>
      </c>
      <c r="AB1198">
        <v>2000</v>
      </c>
      <c r="AC1198">
        <v>1832</v>
      </c>
      <c r="AD1198">
        <v>1332</v>
      </c>
      <c r="AE1198">
        <v>500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480</v>
      </c>
      <c r="AL1198">
        <v>0</v>
      </c>
      <c r="AM1198">
        <v>54</v>
      </c>
      <c r="AN1198">
        <v>0</v>
      </c>
      <c r="AO1198">
        <v>54</v>
      </c>
      <c r="AP1198">
        <v>5</v>
      </c>
      <c r="AQ1198">
        <v>0</v>
      </c>
      <c r="AR1198">
        <v>0</v>
      </c>
      <c r="AS1198" t="s">
        <v>146</v>
      </c>
      <c r="AT1198">
        <v>0</v>
      </c>
      <c r="AU1198" t="s">
        <v>80</v>
      </c>
      <c r="AV1198" t="s">
        <v>61</v>
      </c>
      <c r="AW1198">
        <v>0</v>
      </c>
      <c r="AX1198">
        <v>4</v>
      </c>
      <c r="AY1198">
        <v>0</v>
      </c>
      <c r="AZ1198">
        <v>0</v>
      </c>
      <c r="BA1198">
        <v>100</v>
      </c>
      <c r="BB1198">
        <v>100</v>
      </c>
      <c r="BC1198">
        <v>100</v>
      </c>
      <c r="BD1198">
        <v>100</v>
      </c>
      <c r="BE1198">
        <v>1</v>
      </c>
      <c r="BF1198">
        <v>15000</v>
      </c>
      <c r="BG1198">
        <v>1000</v>
      </c>
      <c r="BH1198" s="7">
        <f>ROUND(Wapato_Inventory[[#This Row],[detatched_value]]*Lookups!$B$22*Lookups!$H$48,-2)</f>
        <v>0</v>
      </c>
      <c r="BI1198" s="7">
        <f>ROUND(((Wapato_Inventory[[#This Row],[land_extract]]*Lookups!$B$3) +(Lookups!$B$2*0.5))*Lookups!$H$48,-2)</f>
        <v>57700</v>
      </c>
      <c r="BJ1198" s="7">
        <f>IF(Wapato_Inventory[[#This Row],[bldg_style]]="",0,Lookups!$B$2*0.5)</f>
        <v>53765.27</v>
      </c>
      <c r="BK1198" s="7">
        <f>_xlfn.IFNA(VLOOKUP(Wapato_Inventory[[#This Row],[quality]],Lookups!$H$2:$J$14,3,FALSE),0)</f>
        <v>23424</v>
      </c>
      <c r="BL1198" s="7">
        <f>_xlfn.IFNA(VLOOKUP(Wapato_Inventory[[#This Row],[condition]],Lookups!$H$17:$J$24,3,FALSE),0)</f>
        <v>16276</v>
      </c>
      <c r="BM1198" s="7">
        <f>Wapato_Inventory[[#This Row],[Age]]*Lookups!$B$16</f>
        <v>-34472.840100000001</v>
      </c>
      <c r="BN1198" s="7">
        <f>Wapato_Inventory[[#This Row],[Main Floor]]*Lookups!$B$17</f>
        <v>55678.584347999997</v>
      </c>
      <c r="BO1198" s="7">
        <f>Wapato_Inventory[[#This Row],[Upper Floor]]*Lookups!$B$18</f>
        <v>24800.569500000001</v>
      </c>
      <c r="BP1198" s="7">
        <f>Wapato_Inventory[[#This Row],[Fin BSMT]]*Lookups!$B$19</f>
        <v>0</v>
      </c>
      <c r="BQ1198" s="7">
        <f>(Wapato_Inventory[[#This Row],[att_gar]]+Wapato_Inventory[[#This Row],[blt_gar]])*Lookups!$B$20</f>
        <v>0</v>
      </c>
      <c r="BR1198" s="7">
        <f>Wapato_Inventory[[#This Row],[Patio]]*Lookups!$B$21</f>
        <v>2339.494866</v>
      </c>
      <c r="BS1198" s="7">
        <f>SUM(Wapato_Inventory[[#This Row],[intercept]:[patio_value]])*Wapato_Inventory[[#This Row],[res_pct]]</f>
        <v>141811.078614</v>
      </c>
      <c r="BT1198" s="7">
        <f>Wapato_Inventory[[#This Row],[land_value]]</f>
        <v>57700</v>
      </c>
      <c r="BU1198" s="2">
        <f>_xlfn.IFNA(VLOOKUP(Wapato_Inventory[[#This Row],[quality]],Lookups!$A$28:$C$37,3,FALSE),1)</f>
        <v>1.0091195562373767</v>
      </c>
      <c r="BV1198" s="2">
        <f>_xlfn.IFNA(VLOOKUP(Wapato_Inventory[[#This Row],[condition]],Lookups!$A$41:$C$48,3,FALSE),1)</f>
        <v>0.93399385491337139</v>
      </c>
      <c r="BW1198" s="2">
        <f>IF(Wapato_Inventory[[#This Row],[decade]]="",1,_xlfn.IFNA(VLOOKUP(Wapato_Inventory[[#This Row],[decade]],Lookups!$F$28:$H$45,3,FALSE),1))</f>
        <v>1.0114203040664467</v>
      </c>
      <c r="BX1198" s="2">
        <f>_xlfn.IFNA(VLOOKUP(Wapato_Inventory[[#This Row],[living_area_range]],Lookups!$K$28:$M$37,3,FALSE),1)</f>
        <v>0.99330894324714125</v>
      </c>
      <c r="BY1198" s="2">
        <f>AVERAGE(Wapato_Inventory[[#This Row],[qual_adj]:[range_adj]])</f>
        <v>0.98696066461608389</v>
      </c>
      <c r="BZ1198" s="7">
        <f>(Wapato_Inventory[[#This Row],[sum_land]]-IF(Wapato_Inventory[[#This Row],[no_utilities]]=1,12000,0))/IF(Wapato_Inventory[[#This Row],[unbuildable]]=1,2,1)</f>
        <v>57700</v>
      </c>
      <c r="CA1198" s="7">
        <f>Wapato_Inventory[[#This Row],[pre_res]]*Wapato_Inventory[[#This Row],[overall_adj]]</f>
        <v>139961.95639879716</v>
      </c>
      <c r="CB1198" s="3">
        <f>IF(ROUND(Wapato_Inventory[[#This Row],[adj_land]]*Lookups!$H$48,-2)&lt;Wapato_Inventory[[#This Row],[min_land]],Wapato_Inventory[[#This Row],[min_land]],ROUND(Wapato_Inventory[[#This Row],[adj_land]]*Lookups!$H$48,-2))</f>
        <v>54800</v>
      </c>
      <c r="CC1198" s="3">
        <f>IF(ROUND(Wapato_Inventory[[#This Row],[adj_res]]*Lookups!$H$48,-2)&lt;Wapato_Inventory[[#This Row],[min_res]],Wapato_Inventory[[#This Row],[min_res]],ROUND(Wapato_Inventory[[#This Row],[adj_res]]*Lookups!$H$48,-2))</f>
        <v>133000</v>
      </c>
      <c r="CD1198" s="3">
        <f>ROUND(Wapato_Inventory[[#This Row],[det_value]]*Lookups!$H$48,-2)</f>
        <v>0</v>
      </c>
      <c r="CE1198" s="3">
        <f>Wapato_Inventory[[#This Row],[final_res]]+Wapato_Inventory[[#This Row],[final_det]]</f>
        <v>133000</v>
      </c>
      <c r="CF1198" s="3">
        <f>Wapato_Inventory[[#This Row],[crop_value]]+Wapato_Inventory[[#This Row],[final_land]]+Wapato_Inventory[[#This Row],[final_imp]]</f>
        <v>187800</v>
      </c>
      <c r="CH1198" t="str">
        <f t="shared" si="18"/>
        <v>update valuation set market_land =54800, market_bldg=133000, market_total =187800, market_mdno =405, market_date ='9/10/2023' where link_id = (select link_id from parcel where parcel_year = '2024' and parcel_id = '19112214006');</v>
      </c>
    </row>
    <row r="1199" spans="1:86" x14ac:dyDescent="0.25">
      <c r="A1199">
        <v>19112214008</v>
      </c>
      <c r="B1199">
        <v>7.31</v>
      </c>
      <c r="C1199">
        <v>318427</v>
      </c>
      <c r="D1199" t="s">
        <v>144</v>
      </c>
      <c r="E1199" t="s">
        <v>54</v>
      </c>
      <c r="F1199" t="s">
        <v>54</v>
      </c>
      <c r="G1199">
        <v>3</v>
      </c>
      <c r="H1199" t="s">
        <v>55</v>
      </c>
      <c r="I1199">
        <v>146000</v>
      </c>
      <c r="J1199">
        <v>60100</v>
      </c>
      <c r="K1199">
        <v>7.31</v>
      </c>
      <c r="L1199">
        <f>IF(Wapato_Inventory[[#This Row],[parcel_acres]]-Wapato_Inventory[[#This Row],[non_valued_acres]] =0,0,LN(Wapato_Inventory[[#This Row],[parcel_acres]]-Wapato_Inventory[[#This Row],[non_valued_acres]]))</f>
        <v>1.9892432737616872</v>
      </c>
      <c r="M1199">
        <v>0</v>
      </c>
      <c r="N1199">
        <v>0</v>
      </c>
      <c r="O1199">
        <v>0</v>
      </c>
      <c r="P1199">
        <v>27904.037</v>
      </c>
      <c r="Q1199">
        <v>74398</v>
      </c>
      <c r="R1199" s="3">
        <f>(Wapato_Inventory[[#This Row],[ln_acres]]*Wapato_Inventory[[#This Row],[coeff]])+Wapato_Inventory[[#This Row],[const]]</f>
        <v>129905.91791304725</v>
      </c>
      <c r="S1199" t="s">
        <v>56</v>
      </c>
      <c r="T1199">
        <v>2</v>
      </c>
      <c r="U1199" t="s">
        <v>71</v>
      </c>
      <c r="V1199" t="s">
        <v>68</v>
      </c>
      <c r="W1199">
        <v>0</v>
      </c>
      <c r="X1199">
        <v>0</v>
      </c>
      <c r="Y1199">
        <v>53</v>
      </c>
      <c r="Z1199">
        <v>92</v>
      </c>
      <c r="AA1199">
        <v>100</v>
      </c>
      <c r="AB1199">
        <v>2000</v>
      </c>
      <c r="AC1199">
        <v>1903</v>
      </c>
      <c r="AD1199">
        <v>830</v>
      </c>
      <c r="AE1199">
        <v>450</v>
      </c>
      <c r="AF1199">
        <v>0</v>
      </c>
      <c r="AG1199">
        <v>623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7</v>
      </c>
      <c r="AQ1199">
        <v>0</v>
      </c>
      <c r="AR1199">
        <v>0</v>
      </c>
      <c r="AS1199" t="s">
        <v>82</v>
      </c>
      <c r="AT1199">
        <v>0</v>
      </c>
      <c r="AU1199" t="s">
        <v>80</v>
      </c>
      <c r="AV1199" t="s">
        <v>77</v>
      </c>
      <c r="AW1199">
        <v>0</v>
      </c>
      <c r="AX1199">
        <v>4</v>
      </c>
      <c r="AY1199">
        <v>0</v>
      </c>
      <c r="AZ1199">
        <v>20300</v>
      </c>
      <c r="BA1199">
        <v>100</v>
      </c>
      <c r="BB1199">
        <v>100</v>
      </c>
      <c r="BC1199">
        <v>100</v>
      </c>
      <c r="BD1199">
        <v>100</v>
      </c>
      <c r="BE1199">
        <v>1</v>
      </c>
      <c r="BF1199">
        <v>15000</v>
      </c>
      <c r="BG1199">
        <v>1000</v>
      </c>
      <c r="BH1199" s="7">
        <f>ROUND(Wapato_Inventory[[#This Row],[detatched_value]]*Lookups!$B$22*Lookups!$H$48,-2)</f>
        <v>18100</v>
      </c>
      <c r="BI1199" s="7">
        <f>ROUND(((Wapato_Inventory[[#This Row],[land_extract]]*Lookups!$B$3) +(Lookups!$B$2*0.5))*Lookups!$H$48,-2)</f>
        <v>63600</v>
      </c>
      <c r="BJ1199" s="7">
        <f>IF(Wapato_Inventory[[#This Row],[bldg_style]]="",0,Lookups!$B$2*0.5)</f>
        <v>53765.27</v>
      </c>
      <c r="BK1199" s="7">
        <f>_xlfn.IFNA(VLOOKUP(Wapato_Inventory[[#This Row],[quality]],Lookups!$H$2:$J$14,3,FALSE),0)</f>
        <v>28034</v>
      </c>
      <c r="BL1199" s="7">
        <f>_xlfn.IFNA(VLOOKUP(Wapato_Inventory[[#This Row],[condition]],Lookups!$H$17:$J$24,3,FALSE),0)</f>
        <v>52231</v>
      </c>
      <c r="BM1199" s="7">
        <f>Wapato_Inventory[[#This Row],[Age]]*Lookups!$B$16</f>
        <v>-34102.164400000001</v>
      </c>
      <c r="BN1199" s="7">
        <f>Wapato_Inventory[[#This Row],[Main Floor]]*Lookups!$B$17</f>
        <v>34694.613369999999</v>
      </c>
      <c r="BO1199" s="7">
        <f>Wapato_Inventory[[#This Row],[Upper Floor]]*Lookups!$B$18</f>
        <v>22320.512550000003</v>
      </c>
      <c r="BP1199" s="7">
        <f>Wapato_Inventory[[#This Row],[Fin BSMT]]*Lookups!$B$19</f>
        <v>15180.479020000001</v>
      </c>
      <c r="BQ1199" s="7">
        <f>(Wapato_Inventory[[#This Row],[att_gar]]+Wapato_Inventory[[#This Row],[blt_gar]])*Lookups!$B$20</f>
        <v>0</v>
      </c>
      <c r="BR1199" s="7">
        <f>Wapato_Inventory[[#This Row],[Patio]]*Lookups!$B$21</f>
        <v>0</v>
      </c>
      <c r="BS1199" s="7">
        <f>SUM(Wapato_Inventory[[#This Row],[intercept]:[patio_value]])*Wapato_Inventory[[#This Row],[res_pct]]</f>
        <v>172123.71054</v>
      </c>
      <c r="BT1199" s="7">
        <f>Wapato_Inventory[[#This Row],[land_value]]</f>
        <v>63600</v>
      </c>
      <c r="BU1199" s="2">
        <f>_xlfn.IFNA(VLOOKUP(Wapato_Inventory[[#This Row],[quality]],Lookups!$A$28:$C$37,3,FALSE),1)</f>
        <v>0.96265813922927435</v>
      </c>
      <c r="BV1199" s="2">
        <f>_xlfn.IFNA(VLOOKUP(Wapato_Inventory[[#This Row],[condition]],Lookups!$A$41:$C$48,3,FALSE),1)</f>
        <v>0.9832333997567807</v>
      </c>
      <c r="BW1199" s="2">
        <f>IF(Wapato_Inventory[[#This Row],[decade]]="",1,_xlfn.IFNA(VLOOKUP(Wapato_Inventory[[#This Row],[decade]],Lookups!$F$28:$H$45,3,FALSE),1))</f>
        <v>1.0114203040664467</v>
      </c>
      <c r="BX1199" s="2">
        <f>_xlfn.IFNA(VLOOKUP(Wapato_Inventory[[#This Row],[living_area_range]],Lookups!$K$28:$M$37,3,FALSE),1)</f>
        <v>0.99330894324714125</v>
      </c>
      <c r="BY1199" s="2">
        <f>AVERAGE(Wapato_Inventory[[#This Row],[qual_adj]:[range_adj]])</f>
        <v>0.98765519657491063</v>
      </c>
      <c r="BZ1199" s="7">
        <f>(Wapato_Inventory[[#This Row],[sum_land]]-IF(Wapato_Inventory[[#This Row],[no_utilities]]=1,12000,0))/IF(Wapato_Inventory[[#This Row],[unbuildable]]=1,2,1)</f>
        <v>63600</v>
      </c>
      <c r="CA1199" s="7">
        <f>Wapato_Inventory[[#This Row],[pre_res]]*Wapato_Inventory[[#This Row],[overall_adj]]</f>
        <v>169998.87716858671</v>
      </c>
      <c r="CB1199" s="3">
        <f>IF(ROUND(Wapato_Inventory[[#This Row],[adj_land]]*Lookups!$H$48,-2)&lt;Wapato_Inventory[[#This Row],[min_land]],Wapato_Inventory[[#This Row],[min_land]],ROUND(Wapato_Inventory[[#This Row],[adj_land]]*Lookups!$H$48,-2))</f>
        <v>60400</v>
      </c>
      <c r="CC1199" s="3">
        <f>IF(ROUND(Wapato_Inventory[[#This Row],[adj_res]]*Lookups!$H$48,-2)&lt;Wapato_Inventory[[#This Row],[min_res]],Wapato_Inventory[[#This Row],[min_res]],ROUND(Wapato_Inventory[[#This Row],[adj_res]]*Lookups!$H$48,-2))</f>
        <v>161500</v>
      </c>
      <c r="CD1199" s="3">
        <f>ROUND(Wapato_Inventory[[#This Row],[det_value]]*Lookups!$H$48,-2)</f>
        <v>17200</v>
      </c>
      <c r="CE1199" s="3">
        <f>Wapato_Inventory[[#This Row],[final_res]]+Wapato_Inventory[[#This Row],[final_det]]</f>
        <v>178700</v>
      </c>
      <c r="CF1199" s="3">
        <f>Wapato_Inventory[[#This Row],[crop_value]]+Wapato_Inventory[[#This Row],[final_land]]+Wapato_Inventory[[#This Row],[final_imp]]</f>
        <v>239100</v>
      </c>
      <c r="CH1199" t="str">
        <f t="shared" si="18"/>
        <v>update valuation set market_land =60400, market_bldg=178700, market_total =239100, market_mdno =405, market_date ='9/10/2023' where link_id = (select link_id from parcel where parcel_year = '2024' and parcel_id = '19112214008');</v>
      </c>
    </row>
    <row r="1200" spans="1:86" x14ac:dyDescent="0.25">
      <c r="A1200">
        <v>19112214400</v>
      </c>
      <c r="B1200">
        <v>0.42</v>
      </c>
      <c r="C1200">
        <v>18479</v>
      </c>
      <c r="D1200" t="s">
        <v>144</v>
      </c>
      <c r="E1200" t="s">
        <v>54</v>
      </c>
      <c r="F1200" t="s">
        <v>54</v>
      </c>
      <c r="G1200">
        <v>3</v>
      </c>
      <c r="H1200" t="s">
        <v>55</v>
      </c>
      <c r="I1200">
        <v>0</v>
      </c>
      <c r="J1200">
        <v>39700</v>
      </c>
      <c r="K1200">
        <v>0.42</v>
      </c>
      <c r="L1200">
        <f>IF(Wapato_Inventory[[#This Row],[parcel_acres]]-Wapato_Inventory[[#This Row],[non_valued_acres]] =0,0,LN(Wapato_Inventory[[#This Row],[parcel_acres]]-Wapato_Inventory[[#This Row],[non_valued_acres]]))</f>
        <v>-0.86750056770472306</v>
      </c>
      <c r="M1200">
        <v>0</v>
      </c>
      <c r="N1200">
        <v>0</v>
      </c>
      <c r="O1200">
        <v>0</v>
      </c>
      <c r="P1200">
        <v>27904.037</v>
      </c>
      <c r="Q1200">
        <v>74398</v>
      </c>
      <c r="R1200" s="3">
        <f>(Wapato_Inventory[[#This Row],[ln_acres]]*Wapato_Inventory[[#This Row],[coeff]])+Wapato_Inventory[[#This Row],[const]]</f>
        <v>50191.232061246403</v>
      </c>
      <c r="S1200" t="s">
        <v>66</v>
      </c>
      <c r="T1200">
        <v>1</v>
      </c>
      <c r="U1200" t="s">
        <v>75</v>
      </c>
      <c r="V1200" t="s">
        <v>110</v>
      </c>
      <c r="W1200">
        <v>0</v>
      </c>
      <c r="X1200">
        <v>0</v>
      </c>
      <c r="Y1200">
        <v>55</v>
      </c>
      <c r="Z1200">
        <v>98</v>
      </c>
      <c r="AA1200">
        <v>100</v>
      </c>
      <c r="AB1200">
        <v>1500</v>
      </c>
      <c r="AC1200">
        <v>1349</v>
      </c>
      <c r="AD1200">
        <v>1349</v>
      </c>
      <c r="AE1200">
        <v>0</v>
      </c>
      <c r="AF1200">
        <v>0</v>
      </c>
      <c r="AG1200">
        <v>0</v>
      </c>
      <c r="AH1200">
        <v>0</v>
      </c>
      <c r="AI1200">
        <v>624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8</v>
      </c>
      <c r="AQ1200">
        <v>0</v>
      </c>
      <c r="AR1200">
        <v>1</v>
      </c>
      <c r="AS1200" t="s">
        <v>82</v>
      </c>
      <c r="AT1200">
        <v>0</v>
      </c>
      <c r="AU1200" t="s">
        <v>153</v>
      </c>
      <c r="AV1200" t="s">
        <v>158</v>
      </c>
      <c r="AW1200">
        <v>0</v>
      </c>
      <c r="AX1200">
        <v>3</v>
      </c>
      <c r="AY1200">
        <v>0</v>
      </c>
      <c r="AZ1200">
        <v>0</v>
      </c>
      <c r="BA1200">
        <v>100</v>
      </c>
      <c r="BB1200">
        <v>100</v>
      </c>
      <c r="BC1200">
        <v>100</v>
      </c>
      <c r="BD1200">
        <v>100</v>
      </c>
      <c r="BE1200">
        <v>0</v>
      </c>
      <c r="BF1200">
        <v>15000</v>
      </c>
      <c r="BG1200">
        <v>0</v>
      </c>
      <c r="BH1200" s="7">
        <f>ROUND(Wapato_Inventory[[#This Row],[detatched_value]]*Lookups!$B$22*Lookups!$H$48,-2)</f>
        <v>0</v>
      </c>
      <c r="BI1200" s="7">
        <f>ROUND(((Wapato_Inventory[[#This Row],[land_extract]]*Lookups!$B$3) +(Lookups!$B$2*0.5))*Lookups!$H$48,-2)</f>
        <v>55900</v>
      </c>
      <c r="BJ1200" s="7">
        <f>IF(Wapato_Inventory[[#This Row],[bldg_style]]="",0,Lookups!$B$2*0.5)</f>
        <v>53765.27</v>
      </c>
      <c r="BK1200" s="7">
        <f>_xlfn.IFNA(VLOOKUP(Wapato_Inventory[[#This Row],[quality]],Lookups!$H$2:$J$14,3,FALSE),0)</f>
        <v>48043</v>
      </c>
      <c r="BL1200" s="7">
        <f>_xlfn.IFNA(VLOOKUP(Wapato_Inventory[[#This Row],[condition]],Lookups!$H$17:$J$24,3,FALSE),0)</f>
        <v>-49363</v>
      </c>
      <c r="BM1200" s="7">
        <f>Wapato_Inventory[[#This Row],[Age]]*Lookups!$B$16</f>
        <v>-36326.2186</v>
      </c>
      <c r="BN1200" s="7">
        <f>Wapato_Inventory[[#This Row],[Main Floor]]*Lookups!$B$17</f>
        <v>56389.196910999999</v>
      </c>
      <c r="BO1200" s="7">
        <f>Wapato_Inventory[[#This Row],[Upper Floor]]*Lookups!$B$18</f>
        <v>0</v>
      </c>
      <c r="BP1200" s="7">
        <f>Wapato_Inventory[[#This Row],[Fin BSMT]]*Lookups!$B$19</f>
        <v>0</v>
      </c>
      <c r="BQ1200" s="7">
        <f>(Wapato_Inventory[[#This Row],[att_gar]]+Wapato_Inventory[[#This Row],[blt_gar]])*Lookups!$B$20</f>
        <v>23093.461248</v>
      </c>
      <c r="BR1200" s="7">
        <f>Wapato_Inventory[[#This Row],[Patio]]*Lookups!$B$21</f>
        <v>0</v>
      </c>
      <c r="BS1200" s="7">
        <f>SUM(Wapato_Inventory[[#This Row],[intercept]:[patio_value]])*Wapato_Inventory[[#This Row],[res_pct]]</f>
        <v>0</v>
      </c>
      <c r="BT1200" s="7">
        <f>Wapato_Inventory[[#This Row],[land_value]]</f>
        <v>55900</v>
      </c>
      <c r="BU1200" s="2">
        <f>_xlfn.IFNA(VLOOKUP(Wapato_Inventory[[#This Row],[quality]],Lookups!$A$28:$C$37,3,FALSE),1)</f>
        <v>0.98196844879778955</v>
      </c>
      <c r="BV1200" s="2">
        <f>_xlfn.IFNA(VLOOKUP(Wapato_Inventory[[#This Row],[condition]],Lookups!$A$41:$C$48,3,FALSE),1)</f>
        <v>0</v>
      </c>
      <c r="BW1200" s="2">
        <f>IF(Wapato_Inventory[[#This Row],[decade]]="",1,_xlfn.IFNA(VLOOKUP(Wapato_Inventory[[#This Row],[decade]],Lookups!$F$28:$H$45,3,FALSE),1))</f>
        <v>1.0114203040664467</v>
      </c>
      <c r="BX1200" s="2">
        <f>_xlfn.IFNA(VLOOKUP(Wapato_Inventory[[#This Row],[living_area_range]],Lookups!$K$28:$M$37,3,FALSE),1)</f>
        <v>1.0061411172456287</v>
      </c>
      <c r="BY1200" s="2">
        <f>AVERAGE(Wapato_Inventory[[#This Row],[qual_adj]:[range_adj]])</f>
        <v>0.74988246752746623</v>
      </c>
      <c r="BZ1200" s="7">
        <f>(Wapato_Inventory[[#This Row],[sum_land]]-IF(Wapato_Inventory[[#This Row],[no_utilities]]=1,12000,0))/IF(Wapato_Inventory[[#This Row],[unbuildable]]=1,2,1)</f>
        <v>55900</v>
      </c>
      <c r="CA1200" s="7">
        <f>Wapato_Inventory[[#This Row],[pre_res]]*Wapato_Inventory[[#This Row],[overall_adj]]</f>
        <v>0</v>
      </c>
      <c r="CB1200" s="3">
        <f>IF(ROUND(Wapato_Inventory[[#This Row],[adj_land]]*Lookups!$H$48,-2)&lt;Wapato_Inventory[[#This Row],[min_land]],Wapato_Inventory[[#This Row],[min_land]],ROUND(Wapato_Inventory[[#This Row],[adj_land]]*Lookups!$H$48,-2))</f>
        <v>53100</v>
      </c>
      <c r="CC120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00" s="3">
        <f>ROUND(Wapato_Inventory[[#This Row],[det_value]]*Lookups!$H$48,-2)</f>
        <v>0</v>
      </c>
      <c r="CE1200" s="3">
        <f>Wapato_Inventory[[#This Row],[final_res]]+Wapato_Inventory[[#This Row],[final_det]]</f>
        <v>0</v>
      </c>
      <c r="CF1200" s="3">
        <f>Wapato_Inventory[[#This Row],[crop_value]]+Wapato_Inventory[[#This Row],[final_land]]+Wapato_Inventory[[#This Row],[final_imp]]</f>
        <v>53100</v>
      </c>
      <c r="CH1200" t="str">
        <f t="shared" si="18"/>
        <v>update valuation set market_land =53100, market_bldg=0, market_total =53100, market_mdno =405, market_date ='9/10/2023' where link_id = (select link_id from parcel where parcel_year = '2024' and parcel_id = '19112214400');</v>
      </c>
    </row>
    <row r="1201" spans="1:86" x14ac:dyDescent="0.25">
      <c r="A1201">
        <v>19112214401</v>
      </c>
      <c r="B1201">
        <v>0.21</v>
      </c>
      <c r="C1201">
        <v>9260</v>
      </c>
      <c r="D1201" t="s">
        <v>144</v>
      </c>
      <c r="E1201" t="s">
        <v>54</v>
      </c>
      <c r="F1201" t="s">
        <v>54</v>
      </c>
      <c r="G1201">
        <v>3</v>
      </c>
      <c r="H1201" t="s">
        <v>55</v>
      </c>
      <c r="I1201">
        <v>0</v>
      </c>
      <c r="J1201">
        <v>34800</v>
      </c>
      <c r="K1201">
        <v>0.21</v>
      </c>
      <c r="L1201">
        <f>IF(Wapato_Inventory[[#This Row],[parcel_acres]]-Wapato_Inventory[[#This Row],[non_valued_acres]] =0,0,LN(Wapato_Inventory[[#This Row],[parcel_acres]]-Wapato_Inventory[[#This Row],[non_valued_acres]]))</f>
        <v>-1.5606477482646683</v>
      </c>
      <c r="M1201">
        <v>0</v>
      </c>
      <c r="N1201">
        <v>0</v>
      </c>
      <c r="O1201">
        <v>0</v>
      </c>
      <c r="P1201">
        <v>27904.037</v>
      </c>
      <c r="Q1201">
        <v>74398</v>
      </c>
      <c r="R1201" s="3">
        <f>(Wapato_Inventory[[#This Row],[ln_acres]]*Wapato_Inventory[[#This Row],[coeff]])+Wapato_Inventory[[#This Row],[const]]</f>
        <v>30849.627488456012</v>
      </c>
      <c r="S1201" t="s">
        <v>83</v>
      </c>
      <c r="T1201">
        <v>1</v>
      </c>
      <c r="U1201" t="s">
        <v>86</v>
      </c>
      <c r="V1201" t="s">
        <v>110</v>
      </c>
      <c r="W1201">
        <v>0</v>
      </c>
      <c r="X1201">
        <v>0</v>
      </c>
      <c r="Y1201">
        <v>83</v>
      </c>
      <c r="Z1201">
        <v>83</v>
      </c>
      <c r="AA1201">
        <v>90</v>
      </c>
      <c r="AB1201">
        <v>500</v>
      </c>
      <c r="AC1201">
        <v>216</v>
      </c>
      <c r="AD1201">
        <v>216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3</v>
      </c>
      <c r="AQ1201">
        <v>0</v>
      </c>
      <c r="AR1201">
        <v>0</v>
      </c>
      <c r="AS1201" t="s">
        <v>59</v>
      </c>
      <c r="AT1201">
        <v>0</v>
      </c>
      <c r="AU1201" t="s">
        <v>153</v>
      </c>
      <c r="AV1201" t="s">
        <v>158</v>
      </c>
      <c r="AW1201">
        <v>0</v>
      </c>
      <c r="AX1201">
        <v>1</v>
      </c>
      <c r="AY1201">
        <v>0</v>
      </c>
      <c r="AZ1201">
        <v>0</v>
      </c>
      <c r="BA1201">
        <v>100</v>
      </c>
      <c r="BB1201">
        <v>100</v>
      </c>
      <c r="BC1201">
        <v>100</v>
      </c>
      <c r="BD1201">
        <v>100</v>
      </c>
      <c r="BE1201">
        <v>0</v>
      </c>
      <c r="BF1201">
        <v>15000</v>
      </c>
      <c r="BG1201">
        <v>0</v>
      </c>
      <c r="BH1201" s="7">
        <f>ROUND(Wapato_Inventory[[#This Row],[detatched_value]]*Lookups!$B$22*Lookups!$H$48,-2)</f>
        <v>0</v>
      </c>
      <c r="BI1201" s="7">
        <f>ROUND(((Wapato_Inventory[[#This Row],[land_extract]]*Lookups!$B$3) +(Lookups!$B$2*0.5))*Lookups!$H$48,-2)</f>
        <v>54100</v>
      </c>
      <c r="BJ1201" s="7">
        <f>IF(Wapato_Inventory[[#This Row],[bldg_style]]="",0,Lookups!$B$2*0.5)</f>
        <v>53765.27</v>
      </c>
      <c r="BK1201" s="7">
        <f>_xlfn.IFNA(VLOOKUP(Wapato_Inventory[[#This Row],[quality]],Lookups!$H$2:$J$14,3,FALSE),0)</f>
        <v>0</v>
      </c>
      <c r="BL1201" s="7">
        <f>_xlfn.IFNA(VLOOKUP(Wapato_Inventory[[#This Row],[condition]],Lookups!$H$17:$J$24,3,FALSE),0)</f>
        <v>-49363</v>
      </c>
      <c r="BM1201" s="7">
        <f>Wapato_Inventory[[#This Row],[Age]]*Lookups!$B$16</f>
        <v>-30766.0831</v>
      </c>
      <c r="BN1201" s="7">
        <f>Wapato_Inventory[[#This Row],[Main Floor]]*Lookups!$B$17</f>
        <v>9028.9596239999992</v>
      </c>
      <c r="BO1201" s="7">
        <f>Wapato_Inventory[[#This Row],[Upper Floor]]*Lookups!$B$18</f>
        <v>0</v>
      </c>
      <c r="BP1201" s="7">
        <f>Wapato_Inventory[[#This Row],[Fin BSMT]]*Lookups!$B$19</f>
        <v>0</v>
      </c>
      <c r="BQ1201" s="7">
        <f>(Wapato_Inventory[[#This Row],[att_gar]]+Wapato_Inventory[[#This Row],[blt_gar]])*Lookups!$B$20</f>
        <v>0</v>
      </c>
      <c r="BR1201" s="7">
        <f>Wapato_Inventory[[#This Row],[Patio]]*Lookups!$B$21</f>
        <v>0</v>
      </c>
      <c r="BS1201" s="7">
        <f>SUM(Wapato_Inventory[[#This Row],[intercept]:[patio_value]])*Wapato_Inventory[[#This Row],[res_pct]]</f>
        <v>0</v>
      </c>
      <c r="BT1201" s="7">
        <f>Wapato_Inventory[[#This Row],[land_value]]</f>
        <v>54100</v>
      </c>
      <c r="BU1201" s="2">
        <f>_xlfn.IFNA(VLOOKUP(Wapato_Inventory[[#This Row],[quality]],Lookups!$A$28:$C$37,3,FALSE),1)</f>
        <v>1.0000010866511106</v>
      </c>
      <c r="BV1201" s="2">
        <f>_xlfn.IFNA(VLOOKUP(Wapato_Inventory[[#This Row],[condition]],Lookups!$A$41:$C$48,3,FALSE),1)</f>
        <v>0</v>
      </c>
      <c r="BW1201" s="2">
        <f>IF(Wapato_Inventory[[#This Row],[decade]]="",1,_xlfn.IFNA(VLOOKUP(Wapato_Inventory[[#This Row],[decade]],Lookups!$F$28:$H$45,3,FALSE),1))</f>
        <v>0.94742695999815718</v>
      </c>
      <c r="BX1201" s="2">
        <f>_xlfn.IFNA(VLOOKUP(Wapato_Inventory[[#This Row],[living_area_range]],Lookups!$K$28:$M$37,3,FALSE),1)</f>
        <v>0.62984720518148585</v>
      </c>
      <c r="BY1201" s="2">
        <f>AVERAGE(Wapato_Inventory[[#This Row],[qual_adj]:[range_adj]])</f>
        <v>0.64431881295768845</v>
      </c>
      <c r="BZ1201" s="7">
        <f>(Wapato_Inventory[[#This Row],[sum_land]]-IF(Wapato_Inventory[[#This Row],[no_utilities]]=1,12000,0))/IF(Wapato_Inventory[[#This Row],[unbuildable]]=1,2,1)</f>
        <v>54100</v>
      </c>
      <c r="CA1201" s="7">
        <f>Wapato_Inventory[[#This Row],[pre_res]]*Wapato_Inventory[[#This Row],[overall_adj]]</f>
        <v>0</v>
      </c>
      <c r="CB1201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20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01" s="3">
        <f>ROUND(Wapato_Inventory[[#This Row],[det_value]]*Lookups!$H$48,-2)</f>
        <v>0</v>
      </c>
      <c r="CE1201" s="3">
        <f>Wapato_Inventory[[#This Row],[final_res]]+Wapato_Inventory[[#This Row],[final_det]]</f>
        <v>0</v>
      </c>
      <c r="CF1201" s="3">
        <f>Wapato_Inventory[[#This Row],[crop_value]]+Wapato_Inventory[[#This Row],[final_land]]+Wapato_Inventory[[#This Row],[final_imp]]</f>
        <v>51400</v>
      </c>
      <c r="CH1201" t="str">
        <f t="shared" si="18"/>
        <v>update valuation set market_land =51400, market_bldg=0, market_total =51400, market_mdno =405, market_date ='9/10/2023' where link_id = (select link_id from parcel where parcel_year = '2024' and parcel_id = '19112214401');</v>
      </c>
    </row>
    <row r="1202" spans="1:86" x14ac:dyDescent="0.25">
      <c r="A1202">
        <v>19112214403</v>
      </c>
      <c r="B1202">
        <v>0.18</v>
      </c>
      <c r="C1202" t="s">
        <v>144</v>
      </c>
      <c r="D1202" t="s">
        <v>144</v>
      </c>
      <c r="E1202" t="s">
        <v>54</v>
      </c>
      <c r="F1202" t="s">
        <v>54</v>
      </c>
      <c r="G1202">
        <v>3</v>
      </c>
      <c r="H1202" t="s">
        <v>55</v>
      </c>
      <c r="I1202">
        <v>152100</v>
      </c>
      <c r="J1202">
        <v>33700</v>
      </c>
      <c r="K1202">
        <v>0.18</v>
      </c>
      <c r="L1202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02">
        <v>0</v>
      </c>
      <c r="N1202">
        <v>0</v>
      </c>
      <c r="O1202">
        <v>0</v>
      </c>
      <c r="P1202">
        <v>27904.037</v>
      </c>
      <c r="Q1202">
        <v>74398</v>
      </c>
      <c r="R1202" s="3">
        <f>(Wapato_Inventory[[#This Row],[ln_acres]]*Wapato_Inventory[[#This Row],[coeff]])+Wapato_Inventory[[#This Row],[const]]</f>
        <v>26548.20121498104</v>
      </c>
      <c r="S1202" t="s">
        <v>62</v>
      </c>
      <c r="T1202">
        <v>1</v>
      </c>
      <c r="U1202" t="s">
        <v>71</v>
      </c>
      <c r="V1202" t="s">
        <v>68</v>
      </c>
      <c r="W1202">
        <v>0</v>
      </c>
      <c r="X1202">
        <v>0</v>
      </c>
      <c r="Y1202">
        <v>43</v>
      </c>
      <c r="Z1202">
        <v>44</v>
      </c>
      <c r="AA1202">
        <v>50</v>
      </c>
      <c r="AB1202">
        <v>1500</v>
      </c>
      <c r="AC1202">
        <v>1086</v>
      </c>
      <c r="AD1202">
        <v>1086</v>
      </c>
      <c r="AE1202">
        <v>0</v>
      </c>
      <c r="AF1202">
        <v>0</v>
      </c>
      <c r="AG1202">
        <v>0</v>
      </c>
      <c r="AH1202">
        <v>0</v>
      </c>
      <c r="AI1202">
        <v>308</v>
      </c>
      <c r="AJ1202">
        <v>0</v>
      </c>
      <c r="AK1202">
        <v>360</v>
      </c>
      <c r="AL1202">
        <v>0</v>
      </c>
      <c r="AM1202">
        <v>0</v>
      </c>
      <c r="AN1202">
        <v>0</v>
      </c>
      <c r="AO1202">
        <v>0</v>
      </c>
      <c r="AP1202">
        <v>5</v>
      </c>
      <c r="AQ1202">
        <v>0</v>
      </c>
      <c r="AR1202">
        <v>1</v>
      </c>
      <c r="AS1202" t="s">
        <v>59</v>
      </c>
      <c r="AT1202">
        <v>1</v>
      </c>
      <c r="AU1202" t="s">
        <v>76</v>
      </c>
      <c r="AV1202" t="s">
        <v>61</v>
      </c>
      <c r="AW1202">
        <v>0</v>
      </c>
      <c r="AX1202">
        <v>2</v>
      </c>
      <c r="AY1202">
        <v>0</v>
      </c>
      <c r="AZ1202">
        <v>0</v>
      </c>
      <c r="BA1202">
        <v>100</v>
      </c>
      <c r="BB1202">
        <v>100</v>
      </c>
      <c r="BC1202">
        <v>100</v>
      </c>
      <c r="BD1202">
        <v>100</v>
      </c>
      <c r="BE1202">
        <v>1</v>
      </c>
      <c r="BF1202">
        <v>15000</v>
      </c>
      <c r="BG1202">
        <v>1000</v>
      </c>
      <c r="BH1202" s="7">
        <f>ROUND(Wapato_Inventory[[#This Row],[detatched_value]]*Lookups!$B$22*Lookups!$H$48,-2)</f>
        <v>0</v>
      </c>
      <c r="BI1202" s="7">
        <f>ROUND(((Wapato_Inventory[[#This Row],[land_extract]]*Lookups!$B$3) +(Lookups!$B$2*0.5))*Lookups!$H$48,-2)</f>
        <v>53600</v>
      </c>
      <c r="BJ1202" s="7">
        <f>IF(Wapato_Inventory[[#This Row],[bldg_style]]="",0,Lookups!$B$2*0.5)</f>
        <v>53765.27</v>
      </c>
      <c r="BK1202" s="7">
        <f>_xlfn.IFNA(VLOOKUP(Wapato_Inventory[[#This Row],[quality]],Lookups!$H$2:$J$14,3,FALSE),0)</f>
        <v>28034</v>
      </c>
      <c r="BL1202" s="7">
        <f>_xlfn.IFNA(VLOOKUP(Wapato_Inventory[[#This Row],[condition]],Lookups!$H$17:$J$24,3,FALSE),0)</f>
        <v>52231</v>
      </c>
      <c r="BM1202" s="7">
        <f>Wapato_Inventory[[#This Row],[Age]]*Lookups!$B$16</f>
        <v>-16309.730800000001</v>
      </c>
      <c r="BN1202" s="7">
        <f>Wapato_Inventory[[#This Row],[Main Floor]]*Lookups!$B$17</f>
        <v>45395.602553999997</v>
      </c>
      <c r="BO1202" s="7">
        <f>Wapato_Inventory[[#This Row],[Upper Floor]]*Lookups!$B$18</f>
        <v>0</v>
      </c>
      <c r="BP1202" s="7">
        <f>Wapato_Inventory[[#This Row],[Fin BSMT]]*Lookups!$B$19</f>
        <v>0</v>
      </c>
      <c r="BQ1202" s="7">
        <f>(Wapato_Inventory[[#This Row],[att_gar]]+Wapato_Inventory[[#This Row],[blt_gar]])*Lookups!$B$20</f>
        <v>11398.695616000001</v>
      </c>
      <c r="BR1202" s="7">
        <f>Wapato_Inventory[[#This Row],[Patio]]*Lookups!$B$21</f>
        <v>0</v>
      </c>
      <c r="BS1202" s="7">
        <f>SUM(Wapato_Inventory[[#This Row],[intercept]:[patio_value]])*Wapato_Inventory[[#This Row],[res_pct]]</f>
        <v>174514.83736999999</v>
      </c>
      <c r="BT1202" s="7">
        <f>Wapato_Inventory[[#This Row],[land_value]]</f>
        <v>53600</v>
      </c>
      <c r="BU1202" s="2">
        <f>_xlfn.IFNA(VLOOKUP(Wapato_Inventory[[#This Row],[quality]],Lookups!$A$28:$C$37,3,FALSE),1)</f>
        <v>0.96265813922927435</v>
      </c>
      <c r="BV1202" s="2">
        <f>_xlfn.IFNA(VLOOKUP(Wapato_Inventory[[#This Row],[condition]],Lookups!$A$41:$C$48,3,FALSE),1)</f>
        <v>0.9832333997567807</v>
      </c>
      <c r="BW1202" s="2">
        <f>IF(Wapato_Inventory[[#This Row],[decade]]="",1,_xlfn.IFNA(VLOOKUP(Wapato_Inventory[[#This Row],[decade]],Lookups!$F$28:$H$45,3,FALSE),1))</f>
        <v>0.96240333884358298</v>
      </c>
      <c r="BX1202" s="2">
        <f>_xlfn.IFNA(VLOOKUP(Wapato_Inventory[[#This Row],[living_area_range]],Lookups!$K$28:$M$37,3,FALSE),1)</f>
        <v>1.0061411172456287</v>
      </c>
      <c r="BY1202" s="2">
        <f>AVERAGE(Wapato_Inventory[[#This Row],[qual_adj]:[range_adj]])</f>
        <v>0.97860899876881668</v>
      </c>
      <c r="BZ1202" s="7">
        <f>(Wapato_Inventory[[#This Row],[sum_land]]-IF(Wapato_Inventory[[#This Row],[no_utilities]]=1,12000,0))/IF(Wapato_Inventory[[#This Row],[unbuildable]]=1,2,1)</f>
        <v>53600</v>
      </c>
      <c r="CA1202" s="7">
        <f>Wapato_Inventory[[#This Row],[pre_res]]*Wapato_Inventory[[#This Row],[overall_adj]]</f>
        <v>170781.79026895858</v>
      </c>
      <c r="CB1202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02" s="3">
        <f>IF(ROUND(Wapato_Inventory[[#This Row],[adj_res]]*Lookups!$H$48,-2)&lt;Wapato_Inventory[[#This Row],[min_res]],Wapato_Inventory[[#This Row],[min_res]],ROUND(Wapato_Inventory[[#This Row],[adj_res]]*Lookups!$H$48,-2))</f>
        <v>162200</v>
      </c>
      <c r="CD1202" s="3">
        <f>ROUND(Wapato_Inventory[[#This Row],[det_value]]*Lookups!$H$48,-2)</f>
        <v>0</v>
      </c>
      <c r="CE1202" s="3">
        <f>Wapato_Inventory[[#This Row],[final_res]]+Wapato_Inventory[[#This Row],[final_det]]</f>
        <v>162200</v>
      </c>
      <c r="CF1202" s="3">
        <f>Wapato_Inventory[[#This Row],[crop_value]]+Wapato_Inventory[[#This Row],[final_land]]+Wapato_Inventory[[#This Row],[final_imp]]</f>
        <v>213100</v>
      </c>
      <c r="CH1202" t="str">
        <f t="shared" si="18"/>
        <v>update valuation set market_land =50900, market_bldg=162200, market_total =213100, market_mdno =405, market_date ='9/10/2023' where link_id = (select link_id from parcel where parcel_year = '2024' and parcel_id = '19112214403');</v>
      </c>
    </row>
    <row r="1203" spans="1:86" x14ac:dyDescent="0.25">
      <c r="A1203">
        <v>19112214404</v>
      </c>
      <c r="B1203">
        <v>0.18</v>
      </c>
      <c r="C1203" t="s">
        <v>144</v>
      </c>
      <c r="D1203" t="s">
        <v>144</v>
      </c>
      <c r="E1203" t="s">
        <v>54</v>
      </c>
      <c r="F1203" t="s">
        <v>54</v>
      </c>
      <c r="G1203">
        <v>3</v>
      </c>
      <c r="H1203" t="s">
        <v>55</v>
      </c>
      <c r="I1203">
        <v>134600</v>
      </c>
      <c r="J1203">
        <v>33700</v>
      </c>
      <c r="K1203">
        <v>0.18</v>
      </c>
      <c r="L1203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03">
        <v>0</v>
      </c>
      <c r="N1203">
        <v>0</v>
      </c>
      <c r="O1203">
        <v>0</v>
      </c>
      <c r="P1203">
        <v>27904.037</v>
      </c>
      <c r="Q1203">
        <v>74398</v>
      </c>
      <c r="R1203" s="3">
        <f>(Wapato_Inventory[[#This Row],[ln_acres]]*Wapato_Inventory[[#This Row],[coeff]])+Wapato_Inventory[[#This Row],[const]]</f>
        <v>26548.20121498104</v>
      </c>
      <c r="S1203" t="s">
        <v>66</v>
      </c>
      <c r="T1203">
        <v>1</v>
      </c>
      <c r="U1203" t="s">
        <v>71</v>
      </c>
      <c r="V1203" t="s">
        <v>68</v>
      </c>
      <c r="W1203">
        <v>0</v>
      </c>
      <c r="X1203">
        <v>0</v>
      </c>
      <c r="Y1203">
        <v>49</v>
      </c>
      <c r="Z1203">
        <v>64</v>
      </c>
      <c r="AA1203">
        <v>70</v>
      </c>
      <c r="AB1203">
        <v>1500</v>
      </c>
      <c r="AC1203">
        <v>1128</v>
      </c>
      <c r="AD1203">
        <v>1128</v>
      </c>
      <c r="AE1203">
        <v>0</v>
      </c>
      <c r="AF1203">
        <v>0</v>
      </c>
      <c r="AG1203">
        <v>0</v>
      </c>
      <c r="AH1203">
        <v>180</v>
      </c>
      <c r="AI1203">
        <v>0</v>
      </c>
      <c r="AJ1203">
        <v>0</v>
      </c>
      <c r="AK1203">
        <v>720</v>
      </c>
      <c r="AL1203">
        <v>0</v>
      </c>
      <c r="AM1203">
        <v>309</v>
      </c>
      <c r="AN1203">
        <v>0</v>
      </c>
      <c r="AO1203">
        <v>42</v>
      </c>
      <c r="AP1203">
        <v>5</v>
      </c>
      <c r="AQ1203">
        <v>0</v>
      </c>
      <c r="AR1203">
        <v>1</v>
      </c>
      <c r="AS1203" t="s">
        <v>59</v>
      </c>
      <c r="AT1203">
        <v>1</v>
      </c>
      <c r="AU1203" t="s">
        <v>64</v>
      </c>
      <c r="AV1203" t="s">
        <v>77</v>
      </c>
      <c r="AW1203">
        <v>0</v>
      </c>
      <c r="AX1203">
        <v>3</v>
      </c>
      <c r="AY1203">
        <v>0</v>
      </c>
      <c r="AZ1203">
        <v>0</v>
      </c>
      <c r="BA1203">
        <v>100</v>
      </c>
      <c r="BB1203">
        <v>100</v>
      </c>
      <c r="BC1203">
        <v>100</v>
      </c>
      <c r="BD1203">
        <v>100</v>
      </c>
      <c r="BE1203">
        <v>1</v>
      </c>
      <c r="BF1203">
        <v>15000</v>
      </c>
      <c r="BG1203">
        <v>1000</v>
      </c>
      <c r="BH1203" s="7">
        <f>ROUND(Wapato_Inventory[[#This Row],[detatched_value]]*Lookups!$B$22*Lookups!$H$48,-2)</f>
        <v>0</v>
      </c>
      <c r="BI1203" s="7">
        <f>ROUND(((Wapato_Inventory[[#This Row],[land_extract]]*Lookups!$B$3) +(Lookups!$B$2*0.5))*Lookups!$H$48,-2)</f>
        <v>53600</v>
      </c>
      <c r="BJ1203" s="7">
        <f>IF(Wapato_Inventory[[#This Row],[bldg_style]]="",0,Lookups!$B$2*0.5)</f>
        <v>53765.27</v>
      </c>
      <c r="BK1203" s="7">
        <f>_xlfn.IFNA(VLOOKUP(Wapato_Inventory[[#This Row],[quality]],Lookups!$H$2:$J$14,3,FALSE),0)</f>
        <v>28034</v>
      </c>
      <c r="BL1203" s="7">
        <f>_xlfn.IFNA(VLOOKUP(Wapato_Inventory[[#This Row],[condition]],Lookups!$H$17:$J$24,3,FALSE),0)</f>
        <v>52231</v>
      </c>
      <c r="BM1203" s="7">
        <f>Wapato_Inventory[[#This Row],[Age]]*Lookups!$B$16</f>
        <v>-23723.2448</v>
      </c>
      <c r="BN1203" s="7">
        <f>Wapato_Inventory[[#This Row],[Main Floor]]*Lookups!$B$17</f>
        <v>47151.233591999997</v>
      </c>
      <c r="BO1203" s="7">
        <f>Wapato_Inventory[[#This Row],[Upper Floor]]*Lookups!$B$18</f>
        <v>0</v>
      </c>
      <c r="BP1203" s="7">
        <f>Wapato_Inventory[[#This Row],[Fin BSMT]]*Lookups!$B$19</f>
        <v>0</v>
      </c>
      <c r="BQ1203" s="7">
        <f>(Wapato_Inventory[[#This Row],[att_gar]]+Wapato_Inventory[[#This Row],[blt_gar]])*Lookups!$B$20</f>
        <v>0</v>
      </c>
      <c r="BR1203" s="7">
        <f>Wapato_Inventory[[#This Row],[Patio]]*Lookups!$B$21</f>
        <v>13387.109511000001</v>
      </c>
      <c r="BS1203" s="7">
        <f>SUM(Wapato_Inventory[[#This Row],[intercept]:[patio_value]])*Wapato_Inventory[[#This Row],[res_pct]]</f>
        <v>170845.36830299997</v>
      </c>
      <c r="BT1203" s="7">
        <f>Wapato_Inventory[[#This Row],[land_value]]</f>
        <v>53600</v>
      </c>
      <c r="BU1203" s="2">
        <f>_xlfn.IFNA(VLOOKUP(Wapato_Inventory[[#This Row],[quality]],Lookups!$A$28:$C$37,3,FALSE),1)</f>
        <v>0.96265813922927435</v>
      </c>
      <c r="BV1203" s="2">
        <f>_xlfn.IFNA(VLOOKUP(Wapato_Inventory[[#This Row],[condition]],Lookups!$A$41:$C$48,3,FALSE),1)</f>
        <v>0.9832333997567807</v>
      </c>
      <c r="BW1203" s="2">
        <f>IF(Wapato_Inventory[[#This Row],[decade]]="",1,_xlfn.IFNA(VLOOKUP(Wapato_Inventory[[#This Row],[decade]],Lookups!$F$28:$H$45,3,FALSE),1))</f>
        <v>1.0012715221492001</v>
      </c>
      <c r="BX1203" s="2">
        <f>_xlfn.IFNA(VLOOKUP(Wapato_Inventory[[#This Row],[living_area_range]],Lookups!$K$28:$M$37,3,FALSE),1)</f>
        <v>1.0061411172456287</v>
      </c>
      <c r="BY1203" s="2">
        <f>AVERAGE(Wapato_Inventory[[#This Row],[qual_adj]:[range_adj]])</f>
        <v>0.98832604459522089</v>
      </c>
      <c r="BZ1203" s="7">
        <f>(Wapato_Inventory[[#This Row],[sum_land]]-IF(Wapato_Inventory[[#This Row],[no_utilities]]=1,12000,0))/IF(Wapato_Inventory[[#This Row],[unbuildable]]=1,2,1)</f>
        <v>53600</v>
      </c>
      <c r="CA1203" s="7">
        <f>Wapato_Inventory[[#This Row],[pre_res]]*Wapato_Inventory[[#This Row],[overall_adj]]</f>
        <v>168850.9270923177</v>
      </c>
      <c r="CB1203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03" s="3">
        <f>IF(ROUND(Wapato_Inventory[[#This Row],[adj_res]]*Lookups!$H$48,-2)&lt;Wapato_Inventory[[#This Row],[min_res]],Wapato_Inventory[[#This Row],[min_res]],ROUND(Wapato_Inventory[[#This Row],[adj_res]]*Lookups!$H$48,-2))</f>
        <v>160400</v>
      </c>
      <c r="CD1203" s="3">
        <f>ROUND(Wapato_Inventory[[#This Row],[det_value]]*Lookups!$H$48,-2)</f>
        <v>0</v>
      </c>
      <c r="CE1203" s="3">
        <f>Wapato_Inventory[[#This Row],[final_res]]+Wapato_Inventory[[#This Row],[final_det]]</f>
        <v>160400</v>
      </c>
      <c r="CF1203" s="3">
        <f>Wapato_Inventory[[#This Row],[crop_value]]+Wapato_Inventory[[#This Row],[final_land]]+Wapato_Inventory[[#This Row],[final_imp]]</f>
        <v>211300</v>
      </c>
      <c r="CH1203" t="str">
        <f t="shared" si="18"/>
        <v>update valuation set market_land =50900, market_bldg=160400, market_total =211300, market_mdno =405, market_date ='9/10/2023' where link_id = (select link_id from parcel where parcel_year = '2024' and parcel_id = '19112214404');</v>
      </c>
    </row>
    <row r="1204" spans="1:86" x14ac:dyDescent="0.25">
      <c r="A1204">
        <v>19112214405</v>
      </c>
      <c r="B1204">
        <v>0.18</v>
      </c>
      <c r="C1204" t="s">
        <v>144</v>
      </c>
      <c r="D1204" t="s">
        <v>144</v>
      </c>
      <c r="E1204" t="s">
        <v>54</v>
      </c>
      <c r="F1204" t="s">
        <v>54</v>
      </c>
      <c r="G1204">
        <v>3</v>
      </c>
      <c r="H1204" t="s">
        <v>55</v>
      </c>
      <c r="I1204">
        <v>150200</v>
      </c>
      <c r="J1204">
        <v>33700</v>
      </c>
      <c r="K1204">
        <v>0.18</v>
      </c>
      <c r="L1204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04">
        <v>0</v>
      </c>
      <c r="N1204">
        <v>0</v>
      </c>
      <c r="O1204">
        <v>0</v>
      </c>
      <c r="P1204">
        <v>27904.037</v>
      </c>
      <c r="Q1204">
        <v>74398</v>
      </c>
      <c r="R1204" s="3">
        <f>(Wapato_Inventory[[#This Row],[ln_acres]]*Wapato_Inventory[[#This Row],[coeff]])+Wapato_Inventory[[#This Row],[const]]</f>
        <v>26548.20121498104</v>
      </c>
      <c r="S1204" t="s">
        <v>66</v>
      </c>
      <c r="T1204">
        <v>1</v>
      </c>
      <c r="U1204" t="s">
        <v>78</v>
      </c>
      <c r="V1204" t="s">
        <v>68</v>
      </c>
      <c r="W1204">
        <v>0</v>
      </c>
      <c r="X1204">
        <v>0</v>
      </c>
      <c r="Y1204">
        <v>51</v>
      </c>
      <c r="Z1204">
        <v>83</v>
      </c>
      <c r="AA1204">
        <v>90</v>
      </c>
      <c r="AB1204">
        <v>1500</v>
      </c>
      <c r="AC1204">
        <v>1460</v>
      </c>
      <c r="AD1204">
        <v>1460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48</v>
      </c>
      <c r="AM1204">
        <v>70</v>
      </c>
      <c r="AN1204">
        <v>0</v>
      </c>
      <c r="AO1204">
        <v>70</v>
      </c>
      <c r="AP1204">
        <v>5</v>
      </c>
      <c r="AQ1204">
        <v>0</v>
      </c>
      <c r="AR1204">
        <v>0</v>
      </c>
      <c r="AS1204" t="s">
        <v>59</v>
      </c>
      <c r="AT1204">
        <v>0</v>
      </c>
      <c r="AU1204" t="s">
        <v>80</v>
      </c>
      <c r="AV1204" t="s">
        <v>77</v>
      </c>
      <c r="AW1204">
        <v>0</v>
      </c>
      <c r="AX1204">
        <v>5</v>
      </c>
      <c r="AY1204">
        <v>0</v>
      </c>
      <c r="AZ1204">
        <v>0</v>
      </c>
      <c r="BA1204">
        <v>100</v>
      </c>
      <c r="BB1204">
        <v>100</v>
      </c>
      <c r="BC1204">
        <v>100</v>
      </c>
      <c r="BD1204">
        <v>100</v>
      </c>
      <c r="BE1204">
        <v>1</v>
      </c>
      <c r="BF1204">
        <v>15000</v>
      </c>
      <c r="BG1204">
        <v>1000</v>
      </c>
      <c r="BH1204" s="7">
        <f>ROUND(Wapato_Inventory[[#This Row],[detatched_value]]*Lookups!$B$22*Lookups!$H$48,-2)</f>
        <v>0</v>
      </c>
      <c r="BI1204" s="7">
        <f>ROUND(((Wapato_Inventory[[#This Row],[land_extract]]*Lookups!$B$3) +(Lookups!$B$2*0.5))*Lookups!$H$48,-2)</f>
        <v>53600</v>
      </c>
      <c r="BJ1204" s="7">
        <f>IF(Wapato_Inventory[[#This Row],[bldg_style]]="",0,Lookups!$B$2*0.5)</f>
        <v>53765.27</v>
      </c>
      <c r="BK1204" s="7">
        <f>_xlfn.IFNA(VLOOKUP(Wapato_Inventory[[#This Row],[quality]],Lookups!$H$2:$J$14,3,FALSE),0)</f>
        <v>23424</v>
      </c>
      <c r="BL1204" s="7">
        <f>_xlfn.IFNA(VLOOKUP(Wapato_Inventory[[#This Row],[condition]],Lookups!$H$17:$J$24,3,FALSE),0)</f>
        <v>52231</v>
      </c>
      <c r="BM1204" s="7">
        <f>Wapato_Inventory[[#This Row],[Age]]*Lookups!$B$16</f>
        <v>-30766.0831</v>
      </c>
      <c r="BN1204" s="7">
        <f>Wapato_Inventory[[#This Row],[Main Floor]]*Lookups!$B$17</f>
        <v>61029.078939999999</v>
      </c>
      <c r="BO1204" s="7">
        <f>Wapato_Inventory[[#This Row],[Upper Floor]]*Lookups!$B$18</f>
        <v>0</v>
      </c>
      <c r="BP1204" s="7">
        <f>Wapato_Inventory[[#This Row],[Fin BSMT]]*Lookups!$B$19</f>
        <v>0</v>
      </c>
      <c r="BQ1204" s="7">
        <f>(Wapato_Inventory[[#This Row],[att_gar]]+Wapato_Inventory[[#This Row],[blt_gar]])*Lookups!$B$20</f>
        <v>0</v>
      </c>
      <c r="BR1204" s="7">
        <f>Wapato_Inventory[[#This Row],[Patio]]*Lookups!$B$21</f>
        <v>3032.6785300000001</v>
      </c>
      <c r="BS1204" s="7">
        <f>SUM(Wapato_Inventory[[#This Row],[intercept]:[patio_value]])*Wapato_Inventory[[#This Row],[res_pct]]</f>
        <v>162715.94436999998</v>
      </c>
      <c r="BT1204" s="7">
        <f>Wapato_Inventory[[#This Row],[land_value]]</f>
        <v>53600</v>
      </c>
      <c r="BU1204" s="2">
        <f>_xlfn.IFNA(VLOOKUP(Wapato_Inventory[[#This Row],[quality]],Lookups!$A$28:$C$37,3,FALSE),1)</f>
        <v>1.0091195562373767</v>
      </c>
      <c r="BV1204" s="2">
        <f>_xlfn.IFNA(VLOOKUP(Wapato_Inventory[[#This Row],[condition]],Lookups!$A$41:$C$48,3,FALSE),1)</f>
        <v>0.9832333997567807</v>
      </c>
      <c r="BW1204" s="2">
        <f>IF(Wapato_Inventory[[#This Row],[decade]]="",1,_xlfn.IFNA(VLOOKUP(Wapato_Inventory[[#This Row],[decade]],Lookups!$F$28:$H$45,3,FALSE),1))</f>
        <v>0.94742695999815718</v>
      </c>
      <c r="BX1204" s="2">
        <f>_xlfn.IFNA(VLOOKUP(Wapato_Inventory[[#This Row],[living_area_range]],Lookups!$K$28:$M$37,3,FALSE),1)</f>
        <v>1.0061411172456287</v>
      </c>
      <c r="BY1204" s="2">
        <f>AVERAGE(Wapato_Inventory[[#This Row],[qual_adj]:[range_adj]])</f>
        <v>0.98648025830948582</v>
      </c>
      <c r="BZ1204" s="7">
        <f>(Wapato_Inventory[[#This Row],[sum_land]]-IF(Wapato_Inventory[[#This Row],[no_utilities]]=1,12000,0))/IF(Wapato_Inventory[[#This Row],[unbuildable]]=1,2,1)</f>
        <v>53600</v>
      </c>
      <c r="CA1204" s="7">
        <f>Wapato_Inventory[[#This Row],[pre_res]]*Wapato_Inventory[[#This Row],[overall_adj]]</f>
        <v>160516.06683318951</v>
      </c>
      <c r="CB1204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04" s="3">
        <f>IF(ROUND(Wapato_Inventory[[#This Row],[adj_res]]*Lookups!$H$48,-2)&lt;Wapato_Inventory[[#This Row],[min_res]],Wapato_Inventory[[#This Row],[min_res]],ROUND(Wapato_Inventory[[#This Row],[adj_res]]*Lookups!$H$48,-2))</f>
        <v>152500</v>
      </c>
      <c r="CD1204" s="3">
        <f>ROUND(Wapato_Inventory[[#This Row],[det_value]]*Lookups!$H$48,-2)</f>
        <v>0</v>
      </c>
      <c r="CE1204" s="3">
        <f>Wapato_Inventory[[#This Row],[final_res]]+Wapato_Inventory[[#This Row],[final_det]]</f>
        <v>152500</v>
      </c>
      <c r="CF1204" s="3">
        <f>Wapato_Inventory[[#This Row],[crop_value]]+Wapato_Inventory[[#This Row],[final_land]]+Wapato_Inventory[[#This Row],[final_imp]]</f>
        <v>203400</v>
      </c>
      <c r="CH1204" t="str">
        <f t="shared" si="18"/>
        <v>update valuation set market_land =50900, market_bldg=152500, market_total =203400, market_mdno =405, market_date ='9/10/2023' where link_id = (select link_id from parcel where parcel_year = '2024' and parcel_id = '19112214405');</v>
      </c>
    </row>
    <row r="1205" spans="1:86" x14ac:dyDescent="0.25">
      <c r="A1205">
        <v>19112214407</v>
      </c>
      <c r="B1205">
        <v>0.18</v>
      </c>
      <c r="C1205" t="s">
        <v>144</v>
      </c>
      <c r="D1205" t="s">
        <v>144</v>
      </c>
      <c r="E1205" t="s">
        <v>54</v>
      </c>
      <c r="F1205" t="s">
        <v>54</v>
      </c>
      <c r="G1205">
        <v>3</v>
      </c>
      <c r="H1205" t="s">
        <v>55</v>
      </c>
      <c r="I1205">
        <v>103500</v>
      </c>
      <c r="J1205">
        <v>33700</v>
      </c>
      <c r="K1205">
        <v>0.18</v>
      </c>
      <c r="L1205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05">
        <v>0</v>
      </c>
      <c r="N1205">
        <v>0</v>
      </c>
      <c r="O1205">
        <v>0</v>
      </c>
      <c r="P1205">
        <v>27904.037</v>
      </c>
      <c r="Q1205">
        <v>74398</v>
      </c>
      <c r="R1205" s="3">
        <f>(Wapato_Inventory[[#This Row],[ln_acres]]*Wapato_Inventory[[#This Row],[coeff]])+Wapato_Inventory[[#This Row],[const]]</f>
        <v>26548.20121498104</v>
      </c>
      <c r="S1205" t="s">
        <v>66</v>
      </c>
      <c r="T1205">
        <v>1</v>
      </c>
      <c r="U1205" t="s">
        <v>78</v>
      </c>
      <c r="V1205" t="s">
        <v>68</v>
      </c>
      <c r="W1205">
        <v>0</v>
      </c>
      <c r="X1205">
        <v>0</v>
      </c>
      <c r="Y1205">
        <v>51</v>
      </c>
      <c r="Z1205">
        <v>78</v>
      </c>
      <c r="AA1205">
        <v>80</v>
      </c>
      <c r="AB1205">
        <v>1000</v>
      </c>
      <c r="AC1205">
        <v>640</v>
      </c>
      <c r="AD1205">
        <v>640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5</v>
      </c>
      <c r="AQ1205">
        <v>0</v>
      </c>
      <c r="AR1205">
        <v>0</v>
      </c>
      <c r="AS1205" t="s">
        <v>59</v>
      </c>
      <c r="AT1205">
        <v>1</v>
      </c>
      <c r="AU1205" t="s">
        <v>72</v>
      </c>
      <c r="AV1205" t="s">
        <v>61</v>
      </c>
      <c r="AW1205">
        <v>0</v>
      </c>
      <c r="AX1205">
        <v>2</v>
      </c>
      <c r="AY1205">
        <v>0</v>
      </c>
      <c r="AZ1205">
        <v>0</v>
      </c>
      <c r="BA1205">
        <v>100</v>
      </c>
      <c r="BB1205">
        <v>100</v>
      </c>
      <c r="BC1205">
        <v>100</v>
      </c>
      <c r="BD1205">
        <v>100</v>
      </c>
      <c r="BE1205">
        <v>1</v>
      </c>
      <c r="BF1205">
        <v>15000</v>
      </c>
      <c r="BG1205">
        <v>1000</v>
      </c>
      <c r="BH1205" s="7">
        <f>ROUND(Wapato_Inventory[[#This Row],[detatched_value]]*Lookups!$B$22*Lookups!$H$48,-2)</f>
        <v>0</v>
      </c>
      <c r="BI1205" s="7">
        <f>ROUND(((Wapato_Inventory[[#This Row],[land_extract]]*Lookups!$B$3) +(Lookups!$B$2*0.5))*Lookups!$H$48,-2)</f>
        <v>53600</v>
      </c>
      <c r="BJ1205" s="7">
        <f>IF(Wapato_Inventory[[#This Row],[bldg_style]]="",0,Lookups!$B$2*0.5)</f>
        <v>53765.27</v>
      </c>
      <c r="BK1205" s="7">
        <f>_xlfn.IFNA(VLOOKUP(Wapato_Inventory[[#This Row],[quality]],Lookups!$H$2:$J$14,3,FALSE),0)</f>
        <v>23424</v>
      </c>
      <c r="BL1205" s="7">
        <f>_xlfn.IFNA(VLOOKUP(Wapato_Inventory[[#This Row],[condition]],Lookups!$H$17:$J$24,3,FALSE),0)</f>
        <v>52231</v>
      </c>
      <c r="BM1205" s="7">
        <f>Wapato_Inventory[[#This Row],[Age]]*Lookups!$B$16</f>
        <v>-28912.704600000001</v>
      </c>
      <c r="BN1205" s="7">
        <f>Wapato_Inventory[[#This Row],[Main Floor]]*Lookups!$B$17</f>
        <v>26752.472959999999</v>
      </c>
      <c r="BO1205" s="7">
        <f>Wapato_Inventory[[#This Row],[Upper Floor]]*Lookups!$B$18</f>
        <v>0</v>
      </c>
      <c r="BP1205" s="7">
        <f>Wapato_Inventory[[#This Row],[Fin BSMT]]*Lookups!$B$19</f>
        <v>0</v>
      </c>
      <c r="BQ1205" s="7">
        <f>(Wapato_Inventory[[#This Row],[att_gar]]+Wapato_Inventory[[#This Row],[blt_gar]])*Lookups!$B$20</f>
        <v>0</v>
      </c>
      <c r="BR1205" s="7">
        <f>Wapato_Inventory[[#This Row],[Patio]]*Lookups!$B$21</f>
        <v>0</v>
      </c>
      <c r="BS1205" s="7">
        <f>SUM(Wapato_Inventory[[#This Row],[intercept]:[patio_value]])*Wapato_Inventory[[#This Row],[res_pct]]</f>
        <v>127260.03835999999</v>
      </c>
      <c r="BT1205" s="7">
        <f>Wapato_Inventory[[#This Row],[land_value]]</f>
        <v>53600</v>
      </c>
      <c r="BU1205" s="2">
        <f>_xlfn.IFNA(VLOOKUP(Wapato_Inventory[[#This Row],[quality]],Lookups!$A$28:$C$37,3,FALSE),1)</f>
        <v>1.0091195562373767</v>
      </c>
      <c r="BV1205" s="2">
        <f>_xlfn.IFNA(VLOOKUP(Wapato_Inventory[[#This Row],[condition]],Lookups!$A$41:$C$48,3,FALSE),1)</f>
        <v>0.9832333997567807</v>
      </c>
      <c r="BW1205" s="2">
        <f>IF(Wapato_Inventory[[#This Row],[decade]]="",1,_xlfn.IFNA(VLOOKUP(Wapato_Inventory[[#This Row],[decade]],Lookups!$F$28:$H$45,3,FALSE),1))</f>
        <v>0.8438929209510081</v>
      </c>
      <c r="BX1205" s="2">
        <f>_xlfn.IFNA(VLOOKUP(Wapato_Inventory[[#This Row],[living_area_range]],Lookups!$K$28:$M$37,3,FALSE),1)</f>
        <v>0.99022994770196116</v>
      </c>
      <c r="BY1205" s="2">
        <f>AVERAGE(Wapato_Inventory[[#This Row],[qual_adj]:[range_adj]])</f>
        <v>0.95661895616178172</v>
      </c>
      <c r="BZ1205" s="7">
        <f>(Wapato_Inventory[[#This Row],[sum_land]]-IF(Wapato_Inventory[[#This Row],[no_utilities]]=1,12000,0))/IF(Wapato_Inventory[[#This Row],[unbuildable]]=1,2,1)</f>
        <v>53600</v>
      </c>
      <c r="CA1205" s="7">
        <f>Wapato_Inventory[[#This Row],[pre_res]]*Wapato_Inventory[[#This Row],[overall_adj]]</f>
        <v>121739.36505705149</v>
      </c>
      <c r="CB1205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05" s="3">
        <f>IF(ROUND(Wapato_Inventory[[#This Row],[adj_res]]*Lookups!$H$48,-2)&lt;Wapato_Inventory[[#This Row],[min_res]],Wapato_Inventory[[#This Row],[min_res]],ROUND(Wapato_Inventory[[#This Row],[adj_res]]*Lookups!$H$48,-2))</f>
        <v>115700</v>
      </c>
      <c r="CD1205" s="3">
        <f>ROUND(Wapato_Inventory[[#This Row],[det_value]]*Lookups!$H$48,-2)</f>
        <v>0</v>
      </c>
      <c r="CE1205" s="3">
        <f>Wapato_Inventory[[#This Row],[final_res]]+Wapato_Inventory[[#This Row],[final_det]]</f>
        <v>115700</v>
      </c>
      <c r="CF1205" s="3">
        <f>Wapato_Inventory[[#This Row],[crop_value]]+Wapato_Inventory[[#This Row],[final_land]]+Wapato_Inventory[[#This Row],[final_imp]]</f>
        <v>166600</v>
      </c>
      <c r="CH1205" t="str">
        <f t="shared" si="18"/>
        <v>update valuation set market_land =50900, market_bldg=115700, market_total =166600, market_mdno =405, market_date ='9/10/2023' where link_id = (select link_id from parcel where parcel_year = '2024' and parcel_id = '19112214407');</v>
      </c>
    </row>
    <row r="1206" spans="1:86" x14ac:dyDescent="0.25">
      <c r="A1206">
        <v>19112214411</v>
      </c>
      <c r="B1206">
        <v>0.18</v>
      </c>
      <c r="C1206" t="s">
        <v>144</v>
      </c>
      <c r="D1206" t="s">
        <v>144</v>
      </c>
      <c r="E1206" t="s">
        <v>54</v>
      </c>
      <c r="F1206" t="s">
        <v>54</v>
      </c>
      <c r="G1206">
        <v>3</v>
      </c>
      <c r="H1206" t="s">
        <v>55</v>
      </c>
      <c r="I1206">
        <v>139900</v>
      </c>
      <c r="J1206">
        <v>33700</v>
      </c>
      <c r="K1206">
        <v>0.18</v>
      </c>
      <c r="L1206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06">
        <v>0</v>
      </c>
      <c r="N1206">
        <v>0</v>
      </c>
      <c r="O1206">
        <v>0</v>
      </c>
      <c r="P1206">
        <v>27904.037</v>
      </c>
      <c r="Q1206">
        <v>74398</v>
      </c>
      <c r="R1206" s="3">
        <f>(Wapato_Inventory[[#This Row],[ln_acres]]*Wapato_Inventory[[#This Row],[coeff]])+Wapato_Inventory[[#This Row],[const]]</f>
        <v>26548.20121498104</v>
      </c>
      <c r="S1206" t="s">
        <v>66</v>
      </c>
      <c r="T1206">
        <v>1</v>
      </c>
      <c r="U1206" t="s">
        <v>71</v>
      </c>
      <c r="V1206" t="s">
        <v>68</v>
      </c>
      <c r="W1206">
        <v>0</v>
      </c>
      <c r="X1206">
        <v>0</v>
      </c>
      <c r="Y1206">
        <v>53</v>
      </c>
      <c r="Z1206">
        <v>93</v>
      </c>
      <c r="AA1206">
        <v>100</v>
      </c>
      <c r="AB1206">
        <v>1500</v>
      </c>
      <c r="AC1206">
        <v>1380</v>
      </c>
      <c r="AD1206">
        <v>1380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576</v>
      </c>
      <c r="AL1206">
        <v>0</v>
      </c>
      <c r="AM1206">
        <v>0</v>
      </c>
      <c r="AN1206">
        <v>144</v>
      </c>
      <c r="AO1206">
        <v>0</v>
      </c>
      <c r="AP1206">
        <v>5</v>
      </c>
      <c r="AQ1206">
        <v>1</v>
      </c>
      <c r="AR1206">
        <v>0</v>
      </c>
      <c r="AS1206" t="s">
        <v>59</v>
      </c>
      <c r="AT1206">
        <v>0</v>
      </c>
      <c r="AU1206" t="s">
        <v>80</v>
      </c>
      <c r="AV1206" t="s">
        <v>149</v>
      </c>
      <c r="AW1206">
        <v>0</v>
      </c>
      <c r="AX1206">
        <v>3</v>
      </c>
      <c r="AY1206">
        <v>0</v>
      </c>
      <c r="AZ1206">
        <v>6100</v>
      </c>
      <c r="BA1206">
        <v>100</v>
      </c>
      <c r="BB1206">
        <v>100</v>
      </c>
      <c r="BC1206">
        <v>100</v>
      </c>
      <c r="BD1206">
        <v>100</v>
      </c>
      <c r="BE1206">
        <v>1</v>
      </c>
      <c r="BF1206">
        <v>15000</v>
      </c>
      <c r="BG1206">
        <v>1000</v>
      </c>
      <c r="BH1206" s="7">
        <f>ROUND(Wapato_Inventory[[#This Row],[detatched_value]]*Lookups!$B$22*Lookups!$H$48,-2)</f>
        <v>5400</v>
      </c>
      <c r="BI1206" s="7">
        <f>ROUND(((Wapato_Inventory[[#This Row],[land_extract]]*Lookups!$B$3) +(Lookups!$B$2*0.5))*Lookups!$H$48,-2)</f>
        <v>53600</v>
      </c>
      <c r="BJ1206" s="7">
        <f>IF(Wapato_Inventory[[#This Row],[bldg_style]]="",0,Lookups!$B$2*0.5)</f>
        <v>53765.27</v>
      </c>
      <c r="BK1206" s="7">
        <f>_xlfn.IFNA(VLOOKUP(Wapato_Inventory[[#This Row],[quality]],Lookups!$H$2:$J$14,3,FALSE),0)</f>
        <v>28034</v>
      </c>
      <c r="BL1206" s="7">
        <f>_xlfn.IFNA(VLOOKUP(Wapato_Inventory[[#This Row],[condition]],Lookups!$H$17:$J$24,3,FALSE),0)</f>
        <v>52231</v>
      </c>
      <c r="BM1206" s="7">
        <f>Wapato_Inventory[[#This Row],[Age]]*Lookups!$B$16</f>
        <v>-34472.840100000001</v>
      </c>
      <c r="BN1206" s="7">
        <f>Wapato_Inventory[[#This Row],[Main Floor]]*Lookups!$B$17</f>
        <v>57685.019820000001</v>
      </c>
      <c r="BO1206" s="7">
        <f>Wapato_Inventory[[#This Row],[Upper Floor]]*Lookups!$B$18</f>
        <v>0</v>
      </c>
      <c r="BP1206" s="7">
        <f>Wapato_Inventory[[#This Row],[Fin BSMT]]*Lookups!$B$19</f>
        <v>0</v>
      </c>
      <c r="BQ1206" s="7">
        <f>(Wapato_Inventory[[#This Row],[att_gar]]+Wapato_Inventory[[#This Row],[blt_gar]])*Lookups!$B$20</f>
        <v>0</v>
      </c>
      <c r="BR1206" s="7">
        <f>Wapato_Inventory[[#This Row],[Patio]]*Lookups!$B$21</f>
        <v>0</v>
      </c>
      <c r="BS1206" s="7">
        <f>SUM(Wapato_Inventory[[#This Row],[intercept]:[patio_value]])*Wapato_Inventory[[#This Row],[res_pct]]</f>
        <v>157242.44971999998</v>
      </c>
      <c r="BT1206" s="7">
        <f>Wapato_Inventory[[#This Row],[land_value]]</f>
        <v>53600</v>
      </c>
      <c r="BU1206" s="2">
        <f>_xlfn.IFNA(VLOOKUP(Wapato_Inventory[[#This Row],[quality]],Lookups!$A$28:$C$37,3,FALSE),1)</f>
        <v>0.96265813922927435</v>
      </c>
      <c r="BV1206" s="2">
        <f>_xlfn.IFNA(VLOOKUP(Wapato_Inventory[[#This Row],[condition]],Lookups!$A$41:$C$48,3,FALSE),1)</f>
        <v>0.9832333997567807</v>
      </c>
      <c r="BW1206" s="2">
        <f>IF(Wapato_Inventory[[#This Row],[decade]]="",1,_xlfn.IFNA(VLOOKUP(Wapato_Inventory[[#This Row],[decade]],Lookups!$F$28:$H$45,3,FALSE),1))</f>
        <v>1.0114203040664467</v>
      </c>
      <c r="BX1206" s="2">
        <f>_xlfn.IFNA(VLOOKUP(Wapato_Inventory[[#This Row],[living_area_range]],Lookups!$K$28:$M$37,3,FALSE),1)</f>
        <v>1.0061411172456287</v>
      </c>
      <c r="BY1206" s="2">
        <f>AVERAGE(Wapato_Inventory[[#This Row],[qual_adj]:[range_adj]])</f>
        <v>0.99086324007453253</v>
      </c>
      <c r="BZ1206" s="7">
        <f>(Wapato_Inventory[[#This Row],[sum_land]]-IF(Wapato_Inventory[[#This Row],[no_utilities]]=1,12000,0))/IF(Wapato_Inventory[[#This Row],[unbuildable]]=1,2,1)</f>
        <v>53600</v>
      </c>
      <c r="CA1206" s="7">
        <f>Wapato_Inventory[[#This Row],[pre_res]]*Wapato_Inventory[[#This Row],[overall_adj]]</f>
        <v>155805.76320681596</v>
      </c>
      <c r="CB1206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06" s="3">
        <f>IF(ROUND(Wapato_Inventory[[#This Row],[adj_res]]*Lookups!$H$48,-2)&lt;Wapato_Inventory[[#This Row],[min_res]],Wapato_Inventory[[#This Row],[min_res]],ROUND(Wapato_Inventory[[#This Row],[adj_res]]*Lookups!$H$48,-2))</f>
        <v>148000</v>
      </c>
      <c r="CD1206" s="3">
        <f>ROUND(Wapato_Inventory[[#This Row],[det_value]]*Lookups!$H$48,-2)</f>
        <v>5100</v>
      </c>
      <c r="CE1206" s="3">
        <f>Wapato_Inventory[[#This Row],[final_res]]+Wapato_Inventory[[#This Row],[final_det]]</f>
        <v>153100</v>
      </c>
      <c r="CF1206" s="3">
        <f>Wapato_Inventory[[#This Row],[crop_value]]+Wapato_Inventory[[#This Row],[final_land]]+Wapato_Inventory[[#This Row],[final_imp]]</f>
        <v>204000</v>
      </c>
      <c r="CH1206" t="str">
        <f t="shared" si="18"/>
        <v>update valuation set market_land =50900, market_bldg=153100, market_total =204000, market_mdno =405, market_date ='9/10/2023' where link_id = (select link_id from parcel where parcel_year = '2024' and parcel_id = '19112214411');</v>
      </c>
    </row>
    <row r="1207" spans="1:86" x14ac:dyDescent="0.25">
      <c r="A1207">
        <v>19112214417</v>
      </c>
      <c r="B1207">
        <v>0.18</v>
      </c>
      <c r="C1207" t="s">
        <v>144</v>
      </c>
      <c r="D1207" t="s">
        <v>144</v>
      </c>
      <c r="E1207" t="s">
        <v>54</v>
      </c>
      <c r="F1207" t="s">
        <v>54</v>
      </c>
      <c r="G1207">
        <v>3</v>
      </c>
      <c r="H1207" t="s">
        <v>55</v>
      </c>
      <c r="I1207">
        <v>135600</v>
      </c>
      <c r="J1207">
        <v>33700</v>
      </c>
      <c r="K1207">
        <v>0.18</v>
      </c>
      <c r="L1207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07">
        <v>0</v>
      </c>
      <c r="N1207">
        <v>0</v>
      </c>
      <c r="O1207">
        <v>0</v>
      </c>
      <c r="P1207">
        <v>27904.037</v>
      </c>
      <c r="Q1207">
        <v>74398</v>
      </c>
      <c r="R1207" s="3">
        <f>(Wapato_Inventory[[#This Row],[ln_acres]]*Wapato_Inventory[[#This Row],[coeff]])+Wapato_Inventory[[#This Row],[const]]</f>
        <v>26548.20121498104</v>
      </c>
      <c r="S1207" t="s">
        <v>66</v>
      </c>
      <c r="T1207">
        <v>1</v>
      </c>
      <c r="U1207" t="s">
        <v>71</v>
      </c>
      <c r="V1207" t="s">
        <v>69</v>
      </c>
      <c r="W1207">
        <v>0</v>
      </c>
      <c r="X1207">
        <v>0</v>
      </c>
      <c r="Y1207">
        <v>56</v>
      </c>
      <c r="Z1207">
        <v>100</v>
      </c>
      <c r="AA1207">
        <v>100</v>
      </c>
      <c r="AB1207">
        <v>1000</v>
      </c>
      <c r="AC1207">
        <v>720</v>
      </c>
      <c r="AD1207">
        <v>720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5</v>
      </c>
      <c r="AQ1207">
        <v>0</v>
      </c>
      <c r="AR1207">
        <v>0</v>
      </c>
      <c r="AS1207" t="s">
        <v>59</v>
      </c>
      <c r="AT1207">
        <v>0</v>
      </c>
      <c r="AU1207" t="s">
        <v>80</v>
      </c>
      <c r="AV1207" t="s">
        <v>61</v>
      </c>
      <c r="AW1207">
        <v>0</v>
      </c>
      <c r="AX1207">
        <v>2</v>
      </c>
      <c r="AY1207">
        <v>0</v>
      </c>
      <c r="AZ1207">
        <v>0</v>
      </c>
      <c r="BA1207">
        <v>100</v>
      </c>
      <c r="BB1207">
        <v>100</v>
      </c>
      <c r="BC1207">
        <v>100</v>
      </c>
      <c r="BD1207">
        <v>100</v>
      </c>
      <c r="BE1207">
        <v>1</v>
      </c>
      <c r="BF1207">
        <v>15000</v>
      </c>
      <c r="BG1207">
        <v>1000</v>
      </c>
      <c r="BH1207" s="7">
        <f>ROUND(Wapato_Inventory[[#This Row],[detatched_value]]*Lookups!$B$22*Lookups!$H$48,-2)</f>
        <v>0</v>
      </c>
      <c r="BI1207" s="7">
        <f>ROUND(((Wapato_Inventory[[#This Row],[land_extract]]*Lookups!$B$3) +(Lookups!$B$2*0.5))*Lookups!$H$48,-2)</f>
        <v>53600</v>
      </c>
      <c r="BJ1207" s="7">
        <f>IF(Wapato_Inventory[[#This Row],[bldg_style]]="",0,Lookups!$B$2*0.5)</f>
        <v>53765.27</v>
      </c>
      <c r="BK1207" s="7">
        <f>_xlfn.IFNA(VLOOKUP(Wapato_Inventory[[#This Row],[quality]],Lookups!$H$2:$J$14,3,FALSE),0)</f>
        <v>28034</v>
      </c>
      <c r="BL1207" s="7">
        <f>_xlfn.IFNA(VLOOKUP(Wapato_Inventory[[#This Row],[condition]],Lookups!$H$17:$J$24,3,FALSE),0)</f>
        <v>74543</v>
      </c>
      <c r="BM1207" s="7">
        <f>Wapato_Inventory[[#This Row],[Age]]*Lookups!$B$16</f>
        <v>-37067.57</v>
      </c>
      <c r="BN1207" s="7">
        <f>Wapato_Inventory[[#This Row],[Main Floor]]*Lookups!$B$17</f>
        <v>30096.532080000001</v>
      </c>
      <c r="BO1207" s="7">
        <f>Wapato_Inventory[[#This Row],[Upper Floor]]*Lookups!$B$18</f>
        <v>0</v>
      </c>
      <c r="BP1207" s="7">
        <f>Wapato_Inventory[[#This Row],[Fin BSMT]]*Lookups!$B$19</f>
        <v>0</v>
      </c>
      <c r="BQ1207" s="7">
        <f>(Wapato_Inventory[[#This Row],[att_gar]]+Wapato_Inventory[[#This Row],[blt_gar]])*Lookups!$B$20</f>
        <v>0</v>
      </c>
      <c r="BR1207" s="7">
        <f>Wapato_Inventory[[#This Row],[Patio]]*Lookups!$B$21</f>
        <v>0</v>
      </c>
      <c r="BS1207" s="7">
        <f>SUM(Wapato_Inventory[[#This Row],[intercept]:[patio_value]])*Wapato_Inventory[[#This Row],[res_pct]]</f>
        <v>149371.23207999999</v>
      </c>
      <c r="BT1207" s="7">
        <f>Wapato_Inventory[[#This Row],[land_value]]</f>
        <v>53600</v>
      </c>
      <c r="BU1207" s="2">
        <f>_xlfn.IFNA(VLOOKUP(Wapato_Inventory[[#This Row],[quality]],Lookups!$A$28:$C$37,3,FALSE),1)</f>
        <v>0.96265813922927435</v>
      </c>
      <c r="BV1207" s="2">
        <f>_xlfn.IFNA(VLOOKUP(Wapato_Inventory[[#This Row],[condition]],Lookups!$A$41:$C$48,3,FALSE),1)</f>
        <v>0.98442438223270734</v>
      </c>
      <c r="BW1207" s="2">
        <f>IF(Wapato_Inventory[[#This Row],[decade]]="",1,_xlfn.IFNA(VLOOKUP(Wapato_Inventory[[#This Row],[decade]],Lookups!$F$28:$H$45,3,FALSE),1))</f>
        <v>1.0114203040664467</v>
      </c>
      <c r="BX1207" s="2">
        <f>_xlfn.IFNA(VLOOKUP(Wapato_Inventory[[#This Row],[living_area_range]],Lookups!$K$28:$M$37,3,FALSE),1)</f>
        <v>0.99022994770196116</v>
      </c>
      <c r="BY1207" s="2">
        <f>AVERAGE(Wapato_Inventory[[#This Row],[qual_adj]:[range_adj]])</f>
        <v>0.9871831933075973</v>
      </c>
      <c r="BZ1207" s="7">
        <f>(Wapato_Inventory[[#This Row],[sum_land]]-IF(Wapato_Inventory[[#This Row],[no_utilities]]=1,12000,0))/IF(Wapato_Inventory[[#This Row],[unbuildable]]=1,2,1)</f>
        <v>53600</v>
      </c>
      <c r="CA1207" s="7">
        <f>Wapato_Inventory[[#This Row],[pre_res]]*Wapato_Inventory[[#This Row],[overall_adj]]</f>
        <v>147456.7698730246</v>
      </c>
      <c r="CB1207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07" s="3">
        <f>IF(ROUND(Wapato_Inventory[[#This Row],[adj_res]]*Lookups!$H$48,-2)&lt;Wapato_Inventory[[#This Row],[min_res]],Wapato_Inventory[[#This Row],[min_res]],ROUND(Wapato_Inventory[[#This Row],[adj_res]]*Lookups!$H$48,-2))</f>
        <v>140100</v>
      </c>
      <c r="CD1207" s="3">
        <f>ROUND(Wapato_Inventory[[#This Row],[det_value]]*Lookups!$H$48,-2)</f>
        <v>0</v>
      </c>
      <c r="CE1207" s="3">
        <f>Wapato_Inventory[[#This Row],[final_res]]+Wapato_Inventory[[#This Row],[final_det]]</f>
        <v>140100</v>
      </c>
      <c r="CF1207" s="3">
        <f>Wapato_Inventory[[#This Row],[crop_value]]+Wapato_Inventory[[#This Row],[final_land]]+Wapato_Inventory[[#This Row],[final_imp]]</f>
        <v>191000</v>
      </c>
      <c r="CH1207" t="str">
        <f t="shared" si="18"/>
        <v>update valuation set market_land =50900, market_bldg=140100, market_total =191000, market_mdno =405, market_date ='9/10/2023' where link_id = (select link_id from parcel where parcel_year = '2024' and parcel_id = '19112214417');</v>
      </c>
    </row>
    <row r="1208" spans="1:86" x14ac:dyDescent="0.25">
      <c r="A1208">
        <v>19112214418</v>
      </c>
      <c r="B1208">
        <v>0.18</v>
      </c>
      <c r="C1208" t="s">
        <v>144</v>
      </c>
      <c r="D1208" t="s">
        <v>144</v>
      </c>
      <c r="E1208" t="s">
        <v>54</v>
      </c>
      <c r="F1208" t="s">
        <v>54</v>
      </c>
      <c r="G1208">
        <v>3</v>
      </c>
      <c r="H1208" t="s">
        <v>55</v>
      </c>
      <c r="I1208">
        <v>88500</v>
      </c>
      <c r="J1208">
        <v>33700</v>
      </c>
      <c r="K1208">
        <v>0.18</v>
      </c>
      <c r="L1208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08">
        <v>0</v>
      </c>
      <c r="N1208">
        <v>0</v>
      </c>
      <c r="O1208">
        <v>0</v>
      </c>
      <c r="P1208">
        <v>27904.037</v>
      </c>
      <c r="Q1208">
        <v>74398</v>
      </c>
      <c r="R1208" s="3">
        <f>(Wapato_Inventory[[#This Row],[ln_acres]]*Wapato_Inventory[[#This Row],[coeff]])+Wapato_Inventory[[#This Row],[const]]</f>
        <v>26548.20121498104</v>
      </c>
      <c r="S1208" t="s">
        <v>66</v>
      </c>
      <c r="T1208">
        <v>1</v>
      </c>
      <c r="U1208" t="s">
        <v>71</v>
      </c>
      <c r="V1208" t="s">
        <v>73</v>
      </c>
      <c r="W1208">
        <v>0</v>
      </c>
      <c r="X1208">
        <v>0</v>
      </c>
      <c r="Y1208">
        <v>53</v>
      </c>
      <c r="Z1208">
        <v>92</v>
      </c>
      <c r="AA1208">
        <v>100</v>
      </c>
      <c r="AB1208">
        <v>1500</v>
      </c>
      <c r="AC1208">
        <v>1136</v>
      </c>
      <c r="AD1208">
        <v>1136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418</v>
      </c>
      <c r="AL1208">
        <v>0</v>
      </c>
      <c r="AM1208">
        <v>0</v>
      </c>
      <c r="AN1208">
        <v>0</v>
      </c>
      <c r="AO1208">
        <v>0</v>
      </c>
      <c r="AP1208">
        <v>5</v>
      </c>
      <c r="AQ1208">
        <v>1</v>
      </c>
      <c r="AR1208">
        <v>0</v>
      </c>
      <c r="AS1208" t="s">
        <v>59</v>
      </c>
      <c r="AT1208">
        <v>0</v>
      </c>
      <c r="AU1208" t="s">
        <v>80</v>
      </c>
      <c r="AV1208" t="s">
        <v>77</v>
      </c>
      <c r="AW1208">
        <v>0</v>
      </c>
      <c r="AX1208">
        <v>4</v>
      </c>
      <c r="AY1208">
        <v>0</v>
      </c>
      <c r="AZ1208">
        <v>0</v>
      </c>
      <c r="BA1208">
        <v>100</v>
      </c>
      <c r="BB1208">
        <v>100</v>
      </c>
      <c r="BC1208">
        <v>100</v>
      </c>
      <c r="BD1208">
        <v>100</v>
      </c>
      <c r="BE1208">
        <v>1</v>
      </c>
      <c r="BF1208">
        <v>15000</v>
      </c>
      <c r="BG1208">
        <v>1000</v>
      </c>
      <c r="BH1208" s="7">
        <f>ROUND(Wapato_Inventory[[#This Row],[detatched_value]]*Lookups!$B$22*Lookups!$H$48,-2)</f>
        <v>0</v>
      </c>
      <c r="BI1208" s="7">
        <f>ROUND(((Wapato_Inventory[[#This Row],[land_extract]]*Lookups!$B$3) +(Lookups!$B$2*0.5))*Lookups!$H$48,-2)</f>
        <v>53600</v>
      </c>
      <c r="BJ1208" s="7">
        <f>IF(Wapato_Inventory[[#This Row],[bldg_style]]="",0,Lookups!$B$2*0.5)</f>
        <v>53765.27</v>
      </c>
      <c r="BK1208" s="7">
        <f>_xlfn.IFNA(VLOOKUP(Wapato_Inventory[[#This Row],[quality]],Lookups!$H$2:$J$14,3,FALSE),0)</f>
        <v>28034</v>
      </c>
      <c r="BL1208" s="7">
        <f>_xlfn.IFNA(VLOOKUP(Wapato_Inventory[[#This Row],[condition]],Lookups!$H$17:$J$24,3,FALSE),0)</f>
        <v>16276</v>
      </c>
      <c r="BM1208" s="7">
        <f>Wapato_Inventory[[#This Row],[Age]]*Lookups!$B$16</f>
        <v>-34102.164400000001</v>
      </c>
      <c r="BN1208" s="7">
        <f>Wapato_Inventory[[#This Row],[Main Floor]]*Lookups!$B$17</f>
        <v>47485.639503999999</v>
      </c>
      <c r="BO1208" s="7">
        <f>Wapato_Inventory[[#This Row],[Upper Floor]]*Lookups!$B$18</f>
        <v>0</v>
      </c>
      <c r="BP1208" s="7">
        <f>Wapato_Inventory[[#This Row],[Fin BSMT]]*Lookups!$B$19</f>
        <v>0</v>
      </c>
      <c r="BQ1208" s="7">
        <f>(Wapato_Inventory[[#This Row],[att_gar]]+Wapato_Inventory[[#This Row],[blt_gar]])*Lookups!$B$20</f>
        <v>0</v>
      </c>
      <c r="BR1208" s="7">
        <f>Wapato_Inventory[[#This Row],[Patio]]*Lookups!$B$21</f>
        <v>0</v>
      </c>
      <c r="BS1208" s="7">
        <f>SUM(Wapato_Inventory[[#This Row],[intercept]:[patio_value]])*Wapato_Inventory[[#This Row],[res_pct]]</f>
        <v>111458.74510399999</v>
      </c>
      <c r="BT1208" s="7">
        <f>Wapato_Inventory[[#This Row],[land_value]]</f>
        <v>53600</v>
      </c>
      <c r="BU1208" s="2">
        <f>_xlfn.IFNA(VLOOKUP(Wapato_Inventory[[#This Row],[quality]],Lookups!$A$28:$C$37,3,FALSE),1)</f>
        <v>0.96265813922927435</v>
      </c>
      <c r="BV1208" s="2">
        <f>_xlfn.IFNA(VLOOKUP(Wapato_Inventory[[#This Row],[condition]],Lookups!$A$41:$C$48,3,FALSE),1)</f>
        <v>0.93399385491337139</v>
      </c>
      <c r="BW1208" s="2">
        <f>IF(Wapato_Inventory[[#This Row],[decade]]="",1,_xlfn.IFNA(VLOOKUP(Wapato_Inventory[[#This Row],[decade]],Lookups!$F$28:$H$45,3,FALSE),1))</f>
        <v>1.0114203040664467</v>
      </c>
      <c r="BX1208" s="2">
        <f>_xlfn.IFNA(VLOOKUP(Wapato_Inventory[[#This Row],[living_area_range]],Lookups!$K$28:$M$37,3,FALSE),1)</f>
        <v>1.0061411172456287</v>
      </c>
      <c r="BY1208" s="2">
        <f>AVERAGE(Wapato_Inventory[[#This Row],[qual_adj]:[range_adj]])</f>
        <v>0.97855335386368036</v>
      </c>
      <c r="BZ1208" s="7">
        <f>(Wapato_Inventory[[#This Row],[sum_land]]-IF(Wapato_Inventory[[#This Row],[no_utilities]]=1,12000,0))/IF(Wapato_Inventory[[#This Row],[unbuildable]]=1,2,1)</f>
        <v>53600</v>
      </c>
      <c r="CA1208" s="7">
        <f>Wapato_Inventory[[#This Row],[pre_res]]*Wapato_Inventory[[#This Row],[overall_adj]]</f>
        <v>109068.32883895625</v>
      </c>
      <c r="CB1208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08" s="3">
        <f>IF(ROUND(Wapato_Inventory[[#This Row],[adj_res]]*Lookups!$H$48,-2)&lt;Wapato_Inventory[[#This Row],[min_res]],Wapato_Inventory[[#This Row],[min_res]],ROUND(Wapato_Inventory[[#This Row],[adj_res]]*Lookups!$H$48,-2))</f>
        <v>103600</v>
      </c>
      <c r="CD1208" s="3">
        <f>ROUND(Wapato_Inventory[[#This Row],[det_value]]*Lookups!$H$48,-2)</f>
        <v>0</v>
      </c>
      <c r="CE1208" s="3">
        <f>Wapato_Inventory[[#This Row],[final_res]]+Wapato_Inventory[[#This Row],[final_det]]</f>
        <v>103600</v>
      </c>
      <c r="CF1208" s="3">
        <f>Wapato_Inventory[[#This Row],[crop_value]]+Wapato_Inventory[[#This Row],[final_land]]+Wapato_Inventory[[#This Row],[final_imp]]</f>
        <v>154500</v>
      </c>
      <c r="CH1208" t="str">
        <f t="shared" si="18"/>
        <v>update valuation set market_land =50900, market_bldg=103600, market_total =154500, market_mdno =405, market_date ='9/10/2023' where link_id = (select link_id from parcel where parcel_year = '2024' and parcel_id = '19112214418');</v>
      </c>
    </row>
    <row r="1209" spans="1:86" x14ac:dyDescent="0.25">
      <c r="A1209">
        <v>19112214420</v>
      </c>
      <c r="B1209">
        <v>0.18</v>
      </c>
      <c r="C1209" t="s">
        <v>144</v>
      </c>
      <c r="D1209" t="s">
        <v>144</v>
      </c>
      <c r="E1209" t="s">
        <v>54</v>
      </c>
      <c r="F1209" t="s">
        <v>54</v>
      </c>
      <c r="G1209">
        <v>3</v>
      </c>
      <c r="H1209" t="s">
        <v>55</v>
      </c>
      <c r="I1209">
        <v>172600</v>
      </c>
      <c r="J1209">
        <v>33700</v>
      </c>
      <c r="K1209">
        <v>0.18</v>
      </c>
      <c r="L1209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09">
        <v>0</v>
      </c>
      <c r="N1209">
        <v>0</v>
      </c>
      <c r="O1209">
        <v>0</v>
      </c>
      <c r="P1209">
        <v>27904.037</v>
      </c>
      <c r="Q1209">
        <v>74398</v>
      </c>
      <c r="R1209" s="3">
        <f>(Wapato_Inventory[[#This Row],[ln_acres]]*Wapato_Inventory[[#This Row],[coeff]])+Wapato_Inventory[[#This Row],[const]]</f>
        <v>26548.20121498104</v>
      </c>
      <c r="S1209" t="s">
        <v>66</v>
      </c>
      <c r="T1209">
        <v>1</v>
      </c>
      <c r="U1209" t="s">
        <v>78</v>
      </c>
      <c r="V1209" t="s">
        <v>69</v>
      </c>
      <c r="W1209">
        <v>0</v>
      </c>
      <c r="X1209">
        <v>0</v>
      </c>
      <c r="Y1209">
        <v>53</v>
      </c>
      <c r="Z1209">
        <v>91</v>
      </c>
      <c r="AA1209">
        <v>100</v>
      </c>
      <c r="AB1209">
        <v>1500</v>
      </c>
      <c r="AC1209">
        <v>1200</v>
      </c>
      <c r="AD1209">
        <v>1200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5</v>
      </c>
      <c r="AQ1209">
        <v>1</v>
      </c>
      <c r="AR1209">
        <v>0</v>
      </c>
      <c r="AS1209" t="s">
        <v>59</v>
      </c>
      <c r="AT1209">
        <v>1</v>
      </c>
      <c r="AU1209" t="s">
        <v>76</v>
      </c>
      <c r="AV1209" t="s">
        <v>61</v>
      </c>
      <c r="AW1209">
        <v>0</v>
      </c>
      <c r="AX1209">
        <v>2</v>
      </c>
      <c r="AY1209">
        <v>0</v>
      </c>
      <c r="AZ1209">
        <v>2000</v>
      </c>
      <c r="BA1209">
        <v>100</v>
      </c>
      <c r="BB1209">
        <v>100</v>
      </c>
      <c r="BC1209">
        <v>100</v>
      </c>
      <c r="BD1209">
        <v>100</v>
      </c>
      <c r="BE1209">
        <v>1</v>
      </c>
      <c r="BF1209">
        <v>15000</v>
      </c>
      <c r="BG1209">
        <v>1000</v>
      </c>
      <c r="BH1209" s="7">
        <f>ROUND(Wapato_Inventory[[#This Row],[detatched_value]]*Lookups!$B$22*Lookups!$H$48,-2)</f>
        <v>1800</v>
      </c>
      <c r="BI1209" s="7">
        <f>ROUND(((Wapato_Inventory[[#This Row],[land_extract]]*Lookups!$B$3) +(Lookups!$B$2*0.5))*Lookups!$H$48,-2)</f>
        <v>53600</v>
      </c>
      <c r="BJ1209" s="7">
        <f>IF(Wapato_Inventory[[#This Row],[bldg_style]]="",0,Lookups!$B$2*0.5)</f>
        <v>53765.27</v>
      </c>
      <c r="BK1209" s="7">
        <f>_xlfn.IFNA(VLOOKUP(Wapato_Inventory[[#This Row],[quality]],Lookups!$H$2:$J$14,3,FALSE),0)</f>
        <v>23424</v>
      </c>
      <c r="BL1209" s="7">
        <f>_xlfn.IFNA(VLOOKUP(Wapato_Inventory[[#This Row],[condition]],Lookups!$H$17:$J$24,3,FALSE),0)</f>
        <v>74543</v>
      </c>
      <c r="BM1209" s="7">
        <f>Wapato_Inventory[[#This Row],[Age]]*Lookups!$B$16</f>
        <v>-33731.488700000002</v>
      </c>
      <c r="BN1209" s="7">
        <f>Wapato_Inventory[[#This Row],[Main Floor]]*Lookups!$B$17</f>
        <v>50160.8868</v>
      </c>
      <c r="BO1209" s="7">
        <f>Wapato_Inventory[[#This Row],[Upper Floor]]*Lookups!$B$18</f>
        <v>0</v>
      </c>
      <c r="BP1209" s="7">
        <f>Wapato_Inventory[[#This Row],[Fin BSMT]]*Lookups!$B$19</f>
        <v>0</v>
      </c>
      <c r="BQ1209" s="7">
        <f>(Wapato_Inventory[[#This Row],[att_gar]]+Wapato_Inventory[[#This Row],[blt_gar]])*Lookups!$B$20</f>
        <v>0</v>
      </c>
      <c r="BR1209" s="7">
        <f>Wapato_Inventory[[#This Row],[Patio]]*Lookups!$B$21</f>
        <v>0</v>
      </c>
      <c r="BS1209" s="7">
        <f>SUM(Wapato_Inventory[[#This Row],[intercept]:[patio_value]])*Wapato_Inventory[[#This Row],[res_pct]]</f>
        <v>168161.66809999998</v>
      </c>
      <c r="BT1209" s="7">
        <f>Wapato_Inventory[[#This Row],[land_value]]</f>
        <v>53600</v>
      </c>
      <c r="BU1209" s="2">
        <f>_xlfn.IFNA(VLOOKUP(Wapato_Inventory[[#This Row],[quality]],Lookups!$A$28:$C$37,3,FALSE),1)</f>
        <v>1.0091195562373767</v>
      </c>
      <c r="BV1209" s="2">
        <f>_xlfn.IFNA(VLOOKUP(Wapato_Inventory[[#This Row],[condition]],Lookups!$A$41:$C$48,3,FALSE),1)</f>
        <v>0.98442438223270734</v>
      </c>
      <c r="BW1209" s="2">
        <f>IF(Wapato_Inventory[[#This Row],[decade]]="",1,_xlfn.IFNA(VLOOKUP(Wapato_Inventory[[#This Row],[decade]],Lookups!$F$28:$H$45,3,FALSE),1))</f>
        <v>1.0114203040664467</v>
      </c>
      <c r="BX1209" s="2">
        <f>_xlfn.IFNA(VLOOKUP(Wapato_Inventory[[#This Row],[living_area_range]],Lookups!$K$28:$M$37,3,FALSE),1)</f>
        <v>1.0061411172456287</v>
      </c>
      <c r="BY1209" s="2">
        <f>AVERAGE(Wapato_Inventory[[#This Row],[qual_adj]:[range_adj]])</f>
        <v>1.0027763399455398</v>
      </c>
      <c r="BZ1209" s="7">
        <f>(Wapato_Inventory[[#This Row],[sum_land]]-IF(Wapato_Inventory[[#This Row],[no_utilities]]=1,12000,0))/IF(Wapato_Inventory[[#This Row],[unbuildable]]=1,2,1)</f>
        <v>53600</v>
      </c>
      <c r="CA1209" s="7">
        <f>Wapato_Inventory[[#This Row],[pre_res]]*Wapato_Inventory[[#This Row],[overall_adj]]</f>
        <v>168628.54205645461</v>
      </c>
      <c r="CB1209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09" s="3">
        <f>IF(ROUND(Wapato_Inventory[[#This Row],[adj_res]]*Lookups!$H$48,-2)&lt;Wapato_Inventory[[#This Row],[min_res]],Wapato_Inventory[[#This Row],[min_res]],ROUND(Wapato_Inventory[[#This Row],[adj_res]]*Lookups!$H$48,-2))</f>
        <v>160200</v>
      </c>
      <c r="CD1209" s="3">
        <f>ROUND(Wapato_Inventory[[#This Row],[det_value]]*Lookups!$H$48,-2)</f>
        <v>1700</v>
      </c>
      <c r="CE1209" s="3">
        <f>Wapato_Inventory[[#This Row],[final_res]]+Wapato_Inventory[[#This Row],[final_det]]</f>
        <v>161900</v>
      </c>
      <c r="CF1209" s="3">
        <f>Wapato_Inventory[[#This Row],[crop_value]]+Wapato_Inventory[[#This Row],[final_land]]+Wapato_Inventory[[#This Row],[final_imp]]</f>
        <v>212800</v>
      </c>
      <c r="CH1209" t="str">
        <f t="shared" si="18"/>
        <v>update valuation set market_land =50900, market_bldg=161900, market_total =212800, market_mdno =405, market_date ='9/10/2023' where link_id = (select link_id from parcel where parcel_year = '2024' and parcel_id = '19112214420');</v>
      </c>
    </row>
    <row r="1210" spans="1:86" x14ac:dyDescent="0.25">
      <c r="A1210">
        <v>19112214425</v>
      </c>
      <c r="B1210">
        <v>0.18</v>
      </c>
      <c r="C1210" t="s">
        <v>144</v>
      </c>
      <c r="D1210" t="s">
        <v>144</v>
      </c>
      <c r="E1210" t="s">
        <v>54</v>
      </c>
      <c r="F1210" t="s">
        <v>54</v>
      </c>
      <c r="G1210">
        <v>3</v>
      </c>
      <c r="H1210" t="s">
        <v>55</v>
      </c>
      <c r="I1210">
        <v>114200</v>
      </c>
      <c r="J1210">
        <v>33700</v>
      </c>
      <c r="K1210">
        <v>0.18</v>
      </c>
      <c r="L1210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10">
        <v>0</v>
      </c>
      <c r="N1210">
        <v>0</v>
      </c>
      <c r="O1210">
        <v>0</v>
      </c>
      <c r="P1210">
        <v>27904.037</v>
      </c>
      <c r="Q1210">
        <v>74398</v>
      </c>
      <c r="R1210" s="3">
        <f>(Wapato_Inventory[[#This Row],[ln_acres]]*Wapato_Inventory[[#This Row],[coeff]])+Wapato_Inventory[[#This Row],[const]]</f>
        <v>26548.20121498104</v>
      </c>
      <c r="S1210" t="s">
        <v>66</v>
      </c>
      <c r="T1210">
        <v>1</v>
      </c>
      <c r="U1210" t="s">
        <v>78</v>
      </c>
      <c r="V1210" t="s">
        <v>68</v>
      </c>
      <c r="W1210">
        <v>0</v>
      </c>
      <c r="X1210">
        <v>0</v>
      </c>
      <c r="Y1210">
        <v>53</v>
      </c>
      <c r="Z1210">
        <v>93</v>
      </c>
      <c r="AA1210">
        <v>100</v>
      </c>
      <c r="AB1210">
        <v>1000</v>
      </c>
      <c r="AC1210">
        <v>876</v>
      </c>
      <c r="AD1210">
        <v>876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5</v>
      </c>
      <c r="AQ1210">
        <v>0</v>
      </c>
      <c r="AR1210">
        <v>0</v>
      </c>
      <c r="AS1210" t="s">
        <v>59</v>
      </c>
      <c r="AT1210">
        <v>1</v>
      </c>
      <c r="AU1210" t="s">
        <v>72</v>
      </c>
      <c r="AV1210" t="s">
        <v>61</v>
      </c>
      <c r="AW1210">
        <v>0</v>
      </c>
      <c r="AX1210">
        <v>2</v>
      </c>
      <c r="AY1210">
        <v>0</v>
      </c>
      <c r="AZ1210">
        <v>3200</v>
      </c>
      <c r="BA1210">
        <v>100</v>
      </c>
      <c r="BB1210">
        <v>100</v>
      </c>
      <c r="BC1210">
        <v>100</v>
      </c>
      <c r="BD1210">
        <v>100</v>
      </c>
      <c r="BE1210">
        <v>1</v>
      </c>
      <c r="BF1210">
        <v>15000</v>
      </c>
      <c r="BG1210">
        <v>1000</v>
      </c>
      <c r="BH1210" s="7">
        <f>ROUND(Wapato_Inventory[[#This Row],[detatched_value]]*Lookups!$B$22*Lookups!$H$48,-2)</f>
        <v>2900</v>
      </c>
      <c r="BI1210" s="7">
        <f>ROUND(((Wapato_Inventory[[#This Row],[land_extract]]*Lookups!$B$3) +(Lookups!$B$2*0.5))*Lookups!$H$48,-2)</f>
        <v>53600</v>
      </c>
      <c r="BJ1210" s="7">
        <f>IF(Wapato_Inventory[[#This Row],[bldg_style]]="",0,Lookups!$B$2*0.5)</f>
        <v>53765.27</v>
      </c>
      <c r="BK1210" s="7">
        <f>_xlfn.IFNA(VLOOKUP(Wapato_Inventory[[#This Row],[quality]],Lookups!$H$2:$J$14,3,FALSE),0)</f>
        <v>23424</v>
      </c>
      <c r="BL1210" s="7">
        <f>_xlfn.IFNA(VLOOKUP(Wapato_Inventory[[#This Row],[condition]],Lookups!$H$17:$J$24,3,FALSE),0)</f>
        <v>52231</v>
      </c>
      <c r="BM1210" s="7">
        <f>Wapato_Inventory[[#This Row],[Age]]*Lookups!$B$16</f>
        <v>-34472.840100000001</v>
      </c>
      <c r="BN1210" s="7">
        <f>Wapato_Inventory[[#This Row],[Main Floor]]*Lookups!$B$17</f>
        <v>36617.447364</v>
      </c>
      <c r="BO1210" s="7">
        <f>Wapato_Inventory[[#This Row],[Upper Floor]]*Lookups!$B$18</f>
        <v>0</v>
      </c>
      <c r="BP1210" s="7">
        <f>Wapato_Inventory[[#This Row],[Fin BSMT]]*Lookups!$B$19</f>
        <v>0</v>
      </c>
      <c r="BQ1210" s="7">
        <f>(Wapato_Inventory[[#This Row],[att_gar]]+Wapato_Inventory[[#This Row],[blt_gar]])*Lookups!$B$20</f>
        <v>0</v>
      </c>
      <c r="BR1210" s="7">
        <f>Wapato_Inventory[[#This Row],[Patio]]*Lookups!$B$21</f>
        <v>0</v>
      </c>
      <c r="BS1210" s="7">
        <f>SUM(Wapato_Inventory[[#This Row],[intercept]:[patio_value]])*Wapato_Inventory[[#This Row],[res_pct]]</f>
        <v>131564.87726399998</v>
      </c>
      <c r="BT1210" s="7">
        <f>Wapato_Inventory[[#This Row],[land_value]]</f>
        <v>53600</v>
      </c>
      <c r="BU1210" s="2">
        <f>_xlfn.IFNA(VLOOKUP(Wapato_Inventory[[#This Row],[quality]],Lookups!$A$28:$C$37,3,FALSE),1)</f>
        <v>1.0091195562373767</v>
      </c>
      <c r="BV1210" s="2">
        <f>_xlfn.IFNA(VLOOKUP(Wapato_Inventory[[#This Row],[condition]],Lookups!$A$41:$C$48,3,FALSE),1)</f>
        <v>0.9832333997567807</v>
      </c>
      <c r="BW1210" s="2">
        <f>IF(Wapato_Inventory[[#This Row],[decade]]="",1,_xlfn.IFNA(VLOOKUP(Wapato_Inventory[[#This Row],[decade]],Lookups!$F$28:$H$45,3,FALSE),1))</f>
        <v>1.0114203040664467</v>
      </c>
      <c r="BX1210" s="2">
        <f>_xlfn.IFNA(VLOOKUP(Wapato_Inventory[[#This Row],[living_area_range]],Lookups!$K$28:$M$37,3,FALSE),1)</f>
        <v>0.99022994770196116</v>
      </c>
      <c r="BY1210" s="2">
        <f>AVERAGE(Wapato_Inventory[[#This Row],[qual_adj]:[range_adj]])</f>
        <v>0.99850080194064128</v>
      </c>
      <c r="BZ1210" s="7">
        <f>(Wapato_Inventory[[#This Row],[sum_land]]-IF(Wapato_Inventory[[#This Row],[no_utilities]]=1,12000,0))/IF(Wapato_Inventory[[#This Row],[unbuildable]]=1,2,1)</f>
        <v>53600</v>
      </c>
      <c r="CA1210" s="7">
        <f>Wapato_Inventory[[#This Row],[pre_res]]*Wapato_Inventory[[#This Row],[overall_adj]]</f>
        <v>131367.63545532603</v>
      </c>
      <c r="CB1210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10" s="3">
        <f>IF(ROUND(Wapato_Inventory[[#This Row],[adj_res]]*Lookups!$H$48,-2)&lt;Wapato_Inventory[[#This Row],[min_res]],Wapato_Inventory[[#This Row],[min_res]],ROUND(Wapato_Inventory[[#This Row],[adj_res]]*Lookups!$H$48,-2))</f>
        <v>124800</v>
      </c>
      <c r="CD1210" s="3">
        <f>ROUND(Wapato_Inventory[[#This Row],[det_value]]*Lookups!$H$48,-2)</f>
        <v>2800</v>
      </c>
      <c r="CE1210" s="3">
        <f>Wapato_Inventory[[#This Row],[final_res]]+Wapato_Inventory[[#This Row],[final_det]]</f>
        <v>127600</v>
      </c>
      <c r="CF1210" s="3">
        <f>Wapato_Inventory[[#This Row],[crop_value]]+Wapato_Inventory[[#This Row],[final_land]]+Wapato_Inventory[[#This Row],[final_imp]]</f>
        <v>178500</v>
      </c>
      <c r="CH1210" t="str">
        <f t="shared" si="18"/>
        <v>update valuation set market_land =50900, market_bldg=127600, market_total =178500, market_mdno =405, market_date ='9/10/2023' where link_id = (select link_id from parcel where parcel_year = '2024' and parcel_id = '19112214425');</v>
      </c>
    </row>
    <row r="1211" spans="1:86" x14ac:dyDescent="0.25">
      <c r="A1211">
        <v>19112214427</v>
      </c>
      <c r="B1211">
        <v>0.18</v>
      </c>
      <c r="C1211" t="s">
        <v>144</v>
      </c>
      <c r="D1211" t="s">
        <v>144</v>
      </c>
      <c r="E1211" t="s">
        <v>54</v>
      </c>
      <c r="F1211" t="s">
        <v>54</v>
      </c>
      <c r="G1211">
        <v>3</v>
      </c>
      <c r="H1211" t="s">
        <v>55</v>
      </c>
      <c r="I1211">
        <v>134000</v>
      </c>
      <c r="J1211">
        <v>33700</v>
      </c>
      <c r="K1211">
        <v>0.18</v>
      </c>
      <c r="L1211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11">
        <v>0</v>
      </c>
      <c r="N1211">
        <v>0</v>
      </c>
      <c r="O1211">
        <v>0</v>
      </c>
      <c r="P1211">
        <v>27904.037</v>
      </c>
      <c r="Q1211">
        <v>74398</v>
      </c>
      <c r="R1211" s="3">
        <f>(Wapato_Inventory[[#This Row],[ln_acres]]*Wapato_Inventory[[#This Row],[coeff]])+Wapato_Inventory[[#This Row],[const]]</f>
        <v>26548.20121498104</v>
      </c>
      <c r="S1211" t="s">
        <v>66</v>
      </c>
      <c r="T1211">
        <v>1</v>
      </c>
      <c r="U1211" t="s">
        <v>71</v>
      </c>
      <c r="V1211" t="s">
        <v>68</v>
      </c>
      <c r="W1211">
        <v>0</v>
      </c>
      <c r="X1211">
        <v>0</v>
      </c>
      <c r="Y1211">
        <v>50</v>
      </c>
      <c r="Z1211">
        <v>73</v>
      </c>
      <c r="AA1211">
        <v>80</v>
      </c>
      <c r="AB1211">
        <v>1500</v>
      </c>
      <c r="AC1211">
        <v>1048</v>
      </c>
      <c r="AD1211">
        <v>1048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372</v>
      </c>
      <c r="AL1211">
        <v>0</v>
      </c>
      <c r="AM1211">
        <v>30</v>
      </c>
      <c r="AN1211">
        <v>0</v>
      </c>
      <c r="AO1211">
        <v>230</v>
      </c>
      <c r="AP1211">
        <v>5</v>
      </c>
      <c r="AQ1211">
        <v>0</v>
      </c>
      <c r="AR1211">
        <v>1</v>
      </c>
      <c r="AS1211" t="s">
        <v>59</v>
      </c>
      <c r="AT1211">
        <v>1</v>
      </c>
      <c r="AU1211" t="s">
        <v>72</v>
      </c>
      <c r="AV1211" t="s">
        <v>61</v>
      </c>
      <c r="AW1211">
        <v>0</v>
      </c>
      <c r="AX1211">
        <v>3</v>
      </c>
      <c r="AY1211">
        <v>0</v>
      </c>
      <c r="AZ1211">
        <v>6600</v>
      </c>
      <c r="BA1211">
        <v>100</v>
      </c>
      <c r="BB1211">
        <v>100</v>
      </c>
      <c r="BC1211">
        <v>100</v>
      </c>
      <c r="BD1211">
        <v>100</v>
      </c>
      <c r="BE1211">
        <v>1</v>
      </c>
      <c r="BF1211">
        <v>15000</v>
      </c>
      <c r="BG1211">
        <v>1000</v>
      </c>
      <c r="BH1211" s="7">
        <f>ROUND(Wapato_Inventory[[#This Row],[detatched_value]]*Lookups!$B$22*Lookups!$H$48,-2)</f>
        <v>5900</v>
      </c>
      <c r="BI1211" s="7">
        <f>ROUND(((Wapato_Inventory[[#This Row],[land_extract]]*Lookups!$B$3) +(Lookups!$B$2*0.5))*Lookups!$H$48,-2)</f>
        <v>53600</v>
      </c>
      <c r="BJ1211" s="7">
        <f>IF(Wapato_Inventory[[#This Row],[bldg_style]]="",0,Lookups!$B$2*0.5)</f>
        <v>53765.27</v>
      </c>
      <c r="BK1211" s="7">
        <f>_xlfn.IFNA(VLOOKUP(Wapato_Inventory[[#This Row],[quality]],Lookups!$H$2:$J$14,3,FALSE),0)</f>
        <v>28034</v>
      </c>
      <c r="BL1211" s="7">
        <f>_xlfn.IFNA(VLOOKUP(Wapato_Inventory[[#This Row],[condition]],Lookups!$H$17:$J$24,3,FALSE),0)</f>
        <v>52231</v>
      </c>
      <c r="BM1211" s="7">
        <f>Wapato_Inventory[[#This Row],[Age]]*Lookups!$B$16</f>
        <v>-27059.326100000002</v>
      </c>
      <c r="BN1211" s="7">
        <f>Wapato_Inventory[[#This Row],[Main Floor]]*Lookups!$B$17</f>
        <v>43807.174471999999</v>
      </c>
      <c r="BO1211" s="7">
        <f>Wapato_Inventory[[#This Row],[Upper Floor]]*Lookups!$B$18</f>
        <v>0</v>
      </c>
      <c r="BP1211" s="7">
        <f>Wapato_Inventory[[#This Row],[Fin BSMT]]*Lookups!$B$19</f>
        <v>0</v>
      </c>
      <c r="BQ1211" s="7">
        <f>(Wapato_Inventory[[#This Row],[att_gar]]+Wapato_Inventory[[#This Row],[blt_gar]])*Lookups!$B$20</f>
        <v>0</v>
      </c>
      <c r="BR1211" s="7">
        <f>Wapato_Inventory[[#This Row],[Patio]]*Lookups!$B$21</f>
        <v>1299.71937</v>
      </c>
      <c r="BS1211" s="7">
        <f>SUM(Wapato_Inventory[[#This Row],[intercept]:[patio_value]])*Wapato_Inventory[[#This Row],[res_pct]]</f>
        <v>152077.837742</v>
      </c>
      <c r="BT1211" s="7">
        <f>Wapato_Inventory[[#This Row],[land_value]]</f>
        <v>53600</v>
      </c>
      <c r="BU1211" s="2">
        <f>_xlfn.IFNA(VLOOKUP(Wapato_Inventory[[#This Row],[quality]],Lookups!$A$28:$C$37,3,FALSE),1)</f>
        <v>0.96265813922927435</v>
      </c>
      <c r="BV1211" s="2">
        <f>_xlfn.IFNA(VLOOKUP(Wapato_Inventory[[#This Row],[condition]],Lookups!$A$41:$C$48,3,FALSE),1)</f>
        <v>0.9832333997567807</v>
      </c>
      <c r="BW1211" s="2">
        <f>IF(Wapato_Inventory[[#This Row],[decade]]="",1,_xlfn.IFNA(VLOOKUP(Wapato_Inventory[[#This Row],[decade]],Lookups!$F$28:$H$45,3,FALSE),1))</f>
        <v>0.8438929209510081</v>
      </c>
      <c r="BX1211" s="2">
        <f>_xlfn.IFNA(VLOOKUP(Wapato_Inventory[[#This Row],[living_area_range]],Lookups!$K$28:$M$37,3,FALSE),1)</f>
        <v>1.0061411172456287</v>
      </c>
      <c r="BY1211" s="2">
        <f>AVERAGE(Wapato_Inventory[[#This Row],[qual_adj]:[range_adj]])</f>
        <v>0.94898139429567296</v>
      </c>
      <c r="BZ1211" s="7">
        <f>(Wapato_Inventory[[#This Row],[sum_land]]-IF(Wapato_Inventory[[#This Row],[no_utilities]]=1,12000,0))/IF(Wapato_Inventory[[#This Row],[unbuildable]]=1,2,1)</f>
        <v>53600</v>
      </c>
      <c r="CA1211" s="7">
        <f>Wapato_Inventory[[#This Row],[pre_res]]*Wapato_Inventory[[#This Row],[overall_adj]]</f>
        <v>144319.03850187428</v>
      </c>
      <c r="CB1211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11" s="3">
        <f>IF(ROUND(Wapato_Inventory[[#This Row],[adj_res]]*Lookups!$H$48,-2)&lt;Wapato_Inventory[[#This Row],[min_res]],Wapato_Inventory[[#This Row],[min_res]],ROUND(Wapato_Inventory[[#This Row],[adj_res]]*Lookups!$H$48,-2))</f>
        <v>137100</v>
      </c>
      <c r="CD1211" s="3">
        <f>ROUND(Wapato_Inventory[[#This Row],[det_value]]*Lookups!$H$48,-2)</f>
        <v>5600</v>
      </c>
      <c r="CE1211" s="3">
        <f>Wapato_Inventory[[#This Row],[final_res]]+Wapato_Inventory[[#This Row],[final_det]]</f>
        <v>142700</v>
      </c>
      <c r="CF1211" s="3">
        <f>Wapato_Inventory[[#This Row],[crop_value]]+Wapato_Inventory[[#This Row],[final_land]]+Wapato_Inventory[[#This Row],[final_imp]]</f>
        <v>193600</v>
      </c>
      <c r="CH1211" t="str">
        <f t="shared" si="18"/>
        <v>update valuation set market_land =50900, market_bldg=142700, market_total =193600, market_mdno =405, market_date ='9/10/2023' where link_id = (select link_id from parcel where parcel_year = '2024' and parcel_id = '19112214427');</v>
      </c>
    </row>
    <row r="1212" spans="1:86" x14ac:dyDescent="0.25">
      <c r="A1212">
        <v>19112214428</v>
      </c>
      <c r="B1212">
        <v>0.18</v>
      </c>
      <c r="C1212" t="s">
        <v>144</v>
      </c>
      <c r="D1212" t="s">
        <v>144</v>
      </c>
      <c r="E1212" t="s">
        <v>54</v>
      </c>
      <c r="F1212" t="s">
        <v>54</v>
      </c>
      <c r="G1212">
        <v>3</v>
      </c>
      <c r="H1212" t="s">
        <v>55</v>
      </c>
      <c r="I1212">
        <v>98600</v>
      </c>
      <c r="J1212">
        <v>33700</v>
      </c>
      <c r="K1212">
        <v>0.18</v>
      </c>
      <c r="L1212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12">
        <v>0</v>
      </c>
      <c r="N1212">
        <v>0</v>
      </c>
      <c r="O1212">
        <v>0</v>
      </c>
      <c r="P1212">
        <v>27904.037</v>
      </c>
      <c r="Q1212">
        <v>74398</v>
      </c>
      <c r="R1212" s="3">
        <f>(Wapato_Inventory[[#This Row],[ln_acres]]*Wapato_Inventory[[#This Row],[coeff]])+Wapato_Inventory[[#This Row],[const]]</f>
        <v>26548.20121498104</v>
      </c>
      <c r="S1212" t="s">
        <v>66</v>
      </c>
      <c r="T1212">
        <v>1</v>
      </c>
      <c r="U1212" t="s">
        <v>71</v>
      </c>
      <c r="V1212" t="s">
        <v>68</v>
      </c>
      <c r="W1212">
        <v>0</v>
      </c>
      <c r="X1212">
        <v>0</v>
      </c>
      <c r="Y1212">
        <v>53</v>
      </c>
      <c r="Z1212">
        <v>93</v>
      </c>
      <c r="AA1212">
        <v>100</v>
      </c>
      <c r="AB1212">
        <v>1000</v>
      </c>
      <c r="AC1212">
        <v>728</v>
      </c>
      <c r="AD1212">
        <v>728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264</v>
      </c>
      <c r="AN1212">
        <v>48</v>
      </c>
      <c r="AO1212">
        <v>264</v>
      </c>
      <c r="AP1212">
        <v>5</v>
      </c>
      <c r="AQ1212">
        <v>0</v>
      </c>
      <c r="AR1212">
        <v>0</v>
      </c>
      <c r="AS1212" t="s">
        <v>59</v>
      </c>
      <c r="AT1212">
        <v>1</v>
      </c>
      <c r="AU1212" t="s">
        <v>72</v>
      </c>
      <c r="AV1212" t="s">
        <v>61</v>
      </c>
      <c r="AW1212">
        <v>0</v>
      </c>
      <c r="AX1212">
        <v>2</v>
      </c>
      <c r="AY1212">
        <v>0</v>
      </c>
      <c r="AZ1212">
        <v>5400</v>
      </c>
      <c r="BA1212">
        <v>100</v>
      </c>
      <c r="BB1212">
        <v>100</v>
      </c>
      <c r="BC1212">
        <v>100</v>
      </c>
      <c r="BD1212">
        <v>100</v>
      </c>
      <c r="BE1212">
        <v>1</v>
      </c>
      <c r="BF1212">
        <v>15000</v>
      </c>
      <c r="BG1212">
        <v>1000</v>
      </c>
      <c r="BH1212" s="7">
        <f>ROUND(Wapato_Inventory[[#This Row],[detatched_value]]*Lookups!$B$22*Lookups!$H$48,-2)</f>
        <v>4800</v>
      </c>
      <c r="BI1212" s="7">
        <f>ROUND(((Wapato_Inventory[[#This Row],[land_extract]]*Lookups!$B$3) +(Lookups!$B$2*0.5))*Lookups!$H$48,-2)</f>
        <v>53600</v>
      </c>
      <c r="BJ1212" s="7">
        <f>IF(Wapato_Inventory[[#This Row],[bldg_style]]="",0,Lookups!$B$2*0.5)</f>
        <v>53765.27</v>
      </c>
      <c r="BK1212" s="7">
        <f>_xlfn.IFNA(VLOOKUP(Wapato_Inventory[[#This Row],[quality]],Lookups!$H$2:$J$14,3,FALSE),0)</f>
        <v>28034</v>
      </c>
      <c r="BL1212" s="7">
        <f>_xlfn.IFNA(VLOOKUP(Wapato_Inventory[[#This Row],[condition]],Lookups!$H$17:$J$24,3,FALSE),0)</f>
        <v>52231</v>
      </c>
      <c r="BM1212" s="7">
        <f>Wapato_Inventory[[#This Row],[Age]]*Lookups!$B$16</f>
        <v>-34472.840100000001</v>
      </c>
      <c r="BN1212" s="7">
        <f>Wapato_Inventory[[#This Row],[Main Floor]]*Lookups!$B$17</f>
        <v>30430.937991999999</v>
      </c>
      <c r="BO1212" s="7">
        <f>Wapato_Inventory[[#This Row],[Upper Floor]]*Lookups!$B$18</f>
        <v>0</v>
      </c>
      <c r="BP1212" s="7">
        <f>Wapato_Inventory[[#This Row],[Fin BSMT]]*Lookups!$B$19</f>
        <v>0</v>
      </c>
      <c r="BQ1212" s="7">
        <f>(Wapato_Inventory[[#This Row],[att_gar]]+Wapato_Inventory[[#This Row],[blt_gar]])*Lookups!$B$20</f>
        <v>0</v>
      </c>
      <c r="BR1212" s="7">
        <f>Wapato_Inventory[[#This Row],[Patio]]*Lookups!$B$21</f>
        <v>11437.530456</v>
      </c>
      <c r="BS1212" s="7">
        <f>SUM(Wapato_Inventory[[#This Row],[intercept]:[patio_value]])*Wapato_Inventory[[#This Row],[res_pct]]</f>
        <v>141425.89834799999</v>
      </c>
      <c r="BT1212" s="7">
        <f>Wapato_Inventory[[#This Row],[land_value]]</f>
        <v>53600</v>
      </c>
      <c r="BU1212" s="2">
        <f>_xlfn.IFNA(VLOOKUP(Wapato_Inventory[[#This Row],[quality]],Lookups!$A$28:$C$37,3,FALSE),1)</f>
        <v>0.96265813922927435</v>
      </c>
      <c r="BV1212" s="2">
        <f>_xlfn.IFNA(VLOOKUP(Wapato_Inventory[[#This Row],[condition]],Lookups!$A$41:$C$48,3,FALSE),1)</f>
        <v>0.9832333997567807</v>
      </c>
      <c r="BW1212" s="2">
        <f>IF(Wapato_Inventory[[#This Row],[decade]]="",1,_xlfn.IFNA(VLOOKUP(Wapato_Inventory[[#This Row],[decade]],Lookups!$F$28:$H$45,3,FALSE),1))</f>
        <v>1.0114203040664467</v>
      </c>
      <c r="BX1212" s="2">
        <f>_xlfn.IFNA(VLOOKUP(Wapato_Inventory[[#This Row],[living_area_range]],Lookups!$K$28:$M$37,3,FALSE),1)</f>
        <v>0.99022994770196116</v>
      </c>
      <c r="BY1212" s="2">
        <f>AVERAGE(Wapato_Inventory[[#This Row],[qual_adj]:[range_adj]])</f>
        <v>0.98688544768861564</v>
      </c>
      <c r="BZ1212" s="7">
        <f>(Wapato_Inventory[[#This Row],[sum_land]]-IF(Wapato_Inventory[[#This Row],[no_utilities]]=1,12000,0))/IF(Wapato_Inventory[[#This Row],[unbuildable]]=1,2,1)</f>
        <v>53600</v>
      </c>
      <c r="CA1212" s="7">
        <f>Wapato_Inventory[[#This Row],[pre_res]]*Wapato_Inventory[[#This Row],[overall_adj]]</f>
        <v>139571.16100593063</v>
      </c>
      <c r="CB1212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12" s="3">
        <f>IF(ROUND(Wapato_Inventory[[#This Row],[adj_res]]*Lookups!$H$48,-2)&lt;Wapato_Inventory[[#This Row],[min_res]],Wapato_Inventory[[#This Row],[min_res]],ROUND(Wapato_Inventory[[#This Row],[adj_res]]*Lookups!$H$48,-2))</f>
        <v>132600</v>
      </c>
      <c r="CD1212" s="3">
        <f>ROUND(Wapato_Inventory[[#This Row],[det_value]]*Lookups!$H$48,-2)</f>
        <v>4600</v>
      </c>
      <c r="CE1212" s="3">
        <f>Wapato_Inventory[[#This Row],[final_res]]+Wapato_Inventory[[#This Row],[final_det]]</f>
        <v>137200</v>
      </c>
      <c r="CF1212" s="3">
        <f>Wapato_Inventory[[#This Row],[crop_value]]+Wapato_Inventory[[#This Row],[final_land]]+Wapato_Inventory[[#This Row],[final_imp]]</f>
        <v>188100</v>
      </c>
      <c r="CH1212" t="str">
        <f t="shared" si="18"/>
        <v>update valuation set market_land =50900, market_bldg=137200, market_total =188100, market_mdno =405, market_date ='9/10/2023' where link_id = (select link_id from parcel where parcel_year = '2024' and parcel_id = '19112214428');</v>
      </c>
    </row>
    <row r="1213" spans="1:86" x14ac:dyDescent="0.25">
      <c r="A1213">
        <v>19112214431</v>
      </c>
      <c r="B1213">
        <v>0.18</v>
      </c>
      <c r="C1213" t="s">
        <v>144</v>
      </c>
      <c r="D1213" t="s">
        <v>144</v>
      </c>
      <c r="E1213" t="s">
        <v>54</v>
      </c>
      <c r="F1213" t="s">
        <v>54</v>
      </c>
      <c r="G1213">
        <v>3</v>
      </c>
      <c r="H1213" t="s">
        <v>55</v>
      </c>
      <c r="I1213">
        <v>115100</v>
      </c>
      <c r="J1213">
        <v>33700</v>
      </c>
      <c r="K1213">
        <v>0.18</v>
      </c>
      <c r="L1213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13">
        <v>0</v>
      </c>
      <c r="N1213">
        <v>0</v>
      </c>
      <c r="O1213">
        <v>0</v>
      </c>
      <c r="P1213">
        <v>27904.037</v>
      </c>
      <c r="Q1213">
        <v>74398</v>
      </c>
      <c r="R1213" s="3">
        <f>(Wapato_Inventory[[#This Row],[ln_acres]]*Wapato_Inventory[[#This Row],[coeff]])+Wapato_Inventory[[#This Row],[const]]</f>
        <v>26548.20121498104</v>
      </c>
      <c r="S1213" t="s">
        <v>66</v>
      </c>
      <c r="T1213">
        <v>1</v>
      </c>
      <c r="U1213" t="s">
        <v>71</v>
      </c>
      <c r="V1213" t="s">
        <v>68</v>
      </c>
      <c r="W1213">
        <v>0</v>
      </c>
      <c r="X1213">
        <v>0</v>
      </c>
      <c r="Y1213">
        <v>49</v>
      </c>
      <c r="Z1213">
        <v>68</v>
      </c>
      <c r="AA1213">
        <v>70</v>
      </c>
      <c r="AB1213">
        <v>1000</v>
      </c>
      <c r="AC1213">
        <v>854</v>
      </c>
      <c r="AD1213">
        <v>854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36</v>
      </c>
      <c r="AO1213">
        <v>0</v>
      </c>
      <c r="AP1213">
        <v>5</v>
      </c>
      <c r="AQ1213">
        <v>0</v>
      </c>
      <c r="AR1213">
        <v>1</v>
      </c>
      <c r="AS1213" t="s">
        <v>59</v>
      </c>
      <c r="AT1213">
        <v>1</v>
      </c>
      <c r="AU1213" t="s">
        <v>76</v>
      </c>
      <c r="AV1213" t="s">
        <v>61</v>
      </c>
      <c r="AW1213">
        <v>0</v>
      </c>
      <c r="AX1213">
        <v>3</v>
      </c>
      <c r="AY1213">
        <v>0</v>
      </c>
      <c r="AZ1213">
        <v>800</v>
      </c>
      <c r="BA1213">
        <v>100</v>
      </c>
      <c r="BB1213">
        <v>100</v>
      </c>
      <c r="BC1213">
        <v>100</v>
      </c>
      <c r="BD1213">
        <v>100</v>
      </c>
      <c r="BE1213">
        <v>1</v>
      </c>
      <c r="BF1213">
        <v>15000</v>
      </c>
      <c r="BG1213">
        <v>1000</v>
      </c>
      <c r="BH1213" s="7">
        <f>ROUND(Wapato_Inventory[[#This Row],[detatched_value]]*Lookups!$B$22*Lookups!$H$48,-2)</f>
        <v>700</v>
      </c>
      <c r="BI1213" s="7">
        <f>ROUND(((Wapato_Inventory[[#This Row],[land_extract]]*Lookups!$B$3) +(Lookups!$B$2*0.5))*Lookups!$H$48,-2)</f>
        <v>53600</v>
      </c>
      <c r="BJ1213" s="7">
        <f>IF(Wapato_Inventory[[#This Row],[bldg_style]]="",0,Lookups!$B$2*0.5)</f>
        <v>53765.27</v>
      </c>
      <c r="BK1213" s="7">
        <f>_xlfn.IFNA(VLOOKUP(Wapato_Inventory[[#This Row],[quality]],Lookups!$H$2:$J$14,3,FALSE),0)</f>
        <v>28034</v>
      </c>
      <c r="BL1213" s="7">
        <f>_xlfn.IFNA(VLOOKUP(Wapato_Inventory[[#This Row],[condition]],Lookups!$H$17:$J$24,3,FALSE),0)</f>
        <v>52231</v>
      </c>
      <c r="BM1213" s="7">
        <f>Wapato_Inventory[[#This Row],[Age]]*Lookups!$B$16</f>
        <v>-25205.9476</v>
      </c>
      <c r="BN1213" s="7">
        <f>Wapato_Inventory[[#This Row],[Main Floor]]*Lookups!$B$17</f>
        <v>35697.831105999998</v>
      </c>
      <c r="BO1213" s="7">
        <f>Wapato_Inventory[[#This Row],[Upper Floor]]*Lookups!$B$18</f>
        <v>0</v>
      </c>
      <c r="BP1213" s="7">
        <f>Wapato_Inventory[[#This Row],[Fin BSMT]]*Lookups!$B$19</f>
        <v>0</v>
      </c>
      <c r="BQ1213" s="7">
        <f>(Wapato_Inventory[[#This Row],[att_gar]]+Wapato_Inventory[[#This Row],[blt_gar]])*Lookups!$B$20</f>
        <v>0</v>
      </c>
      <c r="BR1213" s="7">
        <f>Wapato_Inventory[[#This Row],[Patio]]*Lookups!$B$21</f>
        <v>0</v>
      </c>
      <c r="BS1213" s="7">
        <f>SUM(Wapato_Inventory[[#This Row],[intercept]:[patio_value]])*Wapato_Inventory[[#This Row],[res_pct]]</f>
        <v>144522.153506</v>
      </c>
      <c r="BT1213" s="7">
        <f>Wapato_Inventory[[#This Row],[land_value]]</f>
        <v>53600</v>
      </c>
      <c r="BU1213" s="2">
        <f>_xlfn.IFNA(VLOOKUP(Wapato_Inventory[[#This Row],[quality]],Lookups!$A$28:$C$37,3,FALSE),1)</f>
        <v>0.96265813922927435</v>
      </c>
      <c r="BV1213" s="2">
        <f>_xlfn.IFNA(VLOOKUP(Wapato_Inventory[[#This Row],[condition]],Lookups!$A$41:$C$48,3,FALSE),1)</f>
        <v>0.9832333997567807</v>
      </c>
      <c r="BW1213" s="2">
        <f>IF(Wapato_Inventory[[#This Row],[decade]]="",1,_xlfn.IFNA(VLOOKUP(Wapato_Inventory[[#This Row],[decade]],Lookups!$F$28:$H$45,3,FALSE),1))</f>
        <v>1.0012715221492001</v>
      </c>
      <c r="BX1213" s="2">
        <f>_xlfn.IFNA(VLOOKUP(Wapato_Inventory[[#This Row],[living_area_range]],Lookups!$K$28:$M$37,3,FALSE),1)</f>
        <v>0.99022994770196116</v>
      </c>
      <c r="BY1213" s="2">
        <f>AVERAGE(Wapato_Inventory[[#This Row],[qual_adj]:[range_adj]])</f>
        <v>0.984348252209304</v>
      </c>
      <c r="BZ1213" s="7">
        <f>(Wapato_Inventory[[#This Row],[sum_land]]-IF(Wapato_Inventory[[#This Row],[no_utilities]]=1,12000,0))/IF(Wapato_Inventory[[#This Row],[unbuildable]]=1,2,1)</f>
        <v>53600</v>
      </c>
      <c r="CA1213" s="7">
        <f>Wapato_Inventory[[#This Row],[pre_res]]*Wapato_Inventory[[#This Row],[overall_adj]]</f>
        <v>142260.12920915583</v>
      </c>
      <c r="CB1213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13" s="3">
        <f>IF(ROUND(Wapato_Inventory[[#This Row],[adj_res]]*Lookups!$H$48,-2)&lt;Wapato_Inventory[[#This Row],[min_res]],Wapato_Inventory[[#This Row],[min_res]],ROUND(Wapato_Inventory[[#This Row],[adj_res]]*Lookups!$H$48,-2))</f>
        <v>135100</v>
      </c>
      <c r="CD1213" s="3">
        <f>ROUND(Wapato_Inventory[[#This Row],[det_value]]*Lookups!$H$48,-2)</f>
        <v>700</v>
      </c>
      <c r="CE1213" s="3">
        <f>Wapato_Inventory[[#This Row],[final_res]]+Wapato_Inventory[[#This Row],[final_det]]</f>
        <v>135800</v>
      </c>
      <c r="CF1213" s="3">
        <f>Wapato_Inventory[[#This Row],[crop_value]]+Wapato_Inventory[[#This Row],[final_land]]+Wapato_Inventory[[#This Row],[final_imp]]</f>
        <v>186700</v>
      </c>
      <c r="CH1213" t="str">
        <f t="shared" si="18"/>
        <v>update valuation set market_land =50900, market_bldg=135800, market_total =186700, market_mdno =405, market_date ='9/10/2023' where link_id = (select link_id from parcel where parcel_year = '2024' and parcel_id = '19112214431');</v>
      </c>
    </row>
    <row r="1214" spans="1:86" x14ac:dyDescent="0.25">
      <c r="A1214">
        <v>19112214432</v>
      </c>
      <c r="B1214">
        <v>0.18</v>
      </c>
      <c r="C1214" t="s">
        <v>144</v>
      </c>
      <c r="D1214" t="s">
        <v>144</v>
      </c>
      <c r="E1214" t="s">
        <v>54</v>
      </c>
      <c r="F1214" t="s">
        <v>54</v>
      </c>
      <c r="G1214">
        <v>3</v>
      </c>
      <c r="H1214" t="s">
        <v>55</v>
      </c>
      <c r="I1214">
        <v>137200</v>
      </c>
      <c r="J1214">
        <v>33700</v>
      </c>
      <c r="K1214">
        <v>0.18</v>
      </c>
      <c r="L1214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14">
        <v>0</v>
      </c>
      <c r="N1214">
        <v>0</v>
      </c>
      <c r="O1214">
        <v>0</v>
      </c>
      <c r="P1214">
        <v>27904.037</v>
      </c>
      <c r="Q1214">
        <v>74398</v>
      </c>
      <c r="R1214" s="3">
        <f>(Wapato_Inventory[[#This Row],[ln_acres]]*Wapato_Inventory[[#This Row],[coeff]])+Wapato_Inventory[[#This Row],[const]]</f>
        <v>26548.20121498104</v>
      </c>
      <c r="S1214" t="s">
        <v>66</v>
      </c>
      <c r="T1214">
        <v>1</v>
      </c>
      <c r="U1214" t="s">
        <v>71</v>
      </c>
      <c r="V1214" t="s">
        <v>68</v>
      </c>
      <c r="W1214">
        <v>0</v>
      </c>
      <c r="X1214">
        <v>0</v>
      </c>
      <c r="Y1214">
        <v>49</v>
      </c>
      <c r="Z1214">
        <v>66</v>
      </c>
      <c r="AA1214">
        <v>70</v>
      </c>
      <c r="AB1214">
        <v>1500</v>
      </c>
      <c r="AC1214">
        <v>1036</v>
      </c>
      <c r="AD1214">
        <v>1036</v>
      </c>
      <c r="AE1214">
        <v>0</v>
      </c>
      <c r="AF1214">
        <v>0</v>
      </c>
      <c r="AG1214">
        <v>0</v>
      </c>
      <c r="AH1214">
        <v>0</v>
      </c>
      <c r="AI1214">
        <v>308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5</v>
      </c>
      <c r="AQ1214">
        <v>0</v>
      </c>
      <c r="AR1214">
        <v>0</v>
      </c>
      <c r="AS1214" t="s">
        <v>59</v>
      </c>
      <c r="AT1214">
        <v>1</v>
      </c>
      <c r="AU1214" t="s">
        <v>72</v>
      </c>
      <c r="AV1214" t="s">
        <v>61</v>
      </c>
      <c r="AW1214">
        <v>0</v>
      </c>
      <c r="AX1214">
        <v>3</v>
      </c>
      <c r="AY1214">
        <v>0</v>
      </c>
      <c r="AZ1214">
        <v>0</v>
      </c>
      <c r="BA1214">
        <v>100</v>
      </c>
      <c r="BB1214">
        <v>100</v>
      </c>
      <c r="BC1214">
        <v>100</v>
      </c>
      <c r="BD1214">
        <v>100</v>
      </c>
      <c r="BE1214">
        <v>1</v>
      </c>
      <c r="BF1214">
        <v>15000</v>
      </c>
      <c r="BG1214">
        <v>1000</v>
      </c>
      <c r="BH1214" s="7">
        <f>ROUND(Wapato_Inventory[[#This Row],[detatched_value]]*Lookups!$B$22*Lookups!$H$48,-2)</f>
        <v>0</v>
      </c>
      <c r="BI1214" s="7">
        <f>ROUND(((Wapato_Inventory[[#This Row],[land_extract]]*Lookups!$B$3) +(Lookups!$B$2*0.5))*Lookups!$H$48,-2)</f>
        <v>53600</v>
      </c>
      <c r="BJ1214" s="7">
        <f>IF(Wapato_Inventory[[#This Row],[bldg_style]]="",0,Lookups!$B$2*0.5)</f>
        <v>53765.27</v>
      </c>
      <c r="BK1214" s="7">
        <f>_xlfn.IFNA(VLOOKUP(Wapato_Inventory[[#This Row],[quality]],Lookups!$H$2:$J$14,3,FALSE),0)</f>
        <v>28034</v>
      </c>
      <c r="BL1214" s="7">
        <f>_xlfn.IFNA(VLOOKUP(Wapato_Inventory[[#This Row],[condition]],Lookups!$H$17:$J$24,3,FALSE),0)</f>
        <v>52231</v>
      </c>
      <c r="BM1214" s="7">
        <f>Wapato_Inventory[[#This Row],[Age]]*Lookups!$B$16</f>
        <v>-24464.5962</v>
      </c>
      <c r="BN1214" s="7">
        <f>Wapato_Inventory[[#This Row],[Main Floor]]*Lookups!$B$17</f>
        <v>43305.565604000003</v>
      </c>
      <c r="BO1214" s="7">
        <f>Wapato_Inventory[[#This Row],[Upper Floor]]*Lookups!$B$18</f>
        <v>0</v>
      </c>
      <c r="BP1214" s="7">
        <f>Wapato_Inventory[[#This Row],[Fin BSMT]]*Lookups!$B$19</f>
        <v>0</v>
      </c>
      <c r="BQ1214" s="7">
        <f>(Wapato_Inventory[[#This Row],[att_gar]]+Wapato_Inventory[[#This Row],[blt_gar]])*Lookups!$B$20</f>
        <v>11398.695616000001</v>
      </c>
      <c r="BR1214" s="7">
        <f>Wapato_Inventory[[#This Row],[Patio]]*Lookups!$B$21</f>
        <v>0</v>
      </c>
      <c r="BS1214" s="7">
        <f>SUM(Wapato_Inventory[[#This Row],[intercept]:[patio_value]])*Wapato_Inventory[[#This Row],[res_pct]]</f>
        <v>164269.93502</v>
      </c>
      <c r="BT1214" s="7">
        <f>Wapato_Inventory[[#This Row],[land_value]]</f>
        <v>53600</v>
      </c>
      <c r="BU1214" s="2">
        <f>_xlfn.IFNA(VLOOKUP(Wapato_Inventory[[#This Row],[quality]],Lookups!$A$28:$C$37,3,FALSE),1)</f>
        <v>0.96265813922927435</v>
      </c>
      <c r="BV1214" s="2">
        <f>_xlfn.IFNA(VLOOKUP(Wapato_Inventory[[#This Row],[condition]],Lookups!$A$41:$C$48,3,FALSE),1)</f>
        <v>0.9832333997567807</v>
      </c>
      <c r="BW1214" s="2">
        <f>IF(Wapato_Inventory[[#This Row],[decade]]="",1,_xlfn.IFNA(VLOOKUP(Wapato_Inventory[[#This Row],[decade]],Lookups!$F$28:$H$45,3,FALSE),1))</f>
        <v>1.0012715221492001</v>
      </c>
      <c r="BX1214" s="2">
        <f>_xlfn.IFNA(VLOOKUP(Wapato_Inventory[[#This Row],[living_area_range]],Lookups!$K$28:$M$37,3,FALSE),1)</f>
        <v>1.0061411172456287</v>
      </c>
      <c r="BY1214" s="2">
        <f>AVERAGE(Wapato_Inventory[[#This Row],[qual_adj]:[range_adj]])</f>
        <v>0.98832604459522089</v>
      </c>
      <c r="BZ1214" s="7">
        <f>(Wapato_Inventory[[#This Row],[sum_land]]-IF(Wapato_Inventory[[#This Row],[no_utilities]]=1,12000,0))/IF(Wapato_Inventory[[#This Row],[unbuildable]]=1,2,1)</f>
        <v>53600</v>
      </c>
      <c r="CA1214" s="7">
        <f>Wapato_Inventory[[#This Row],[pre_res]]*Wapato_Inventory[[#This Row],[overall_adj]]</f>
        <v>162352.25512423055</v>
      </c>
      <c r="CB1214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14" s="3">
        <f>IF(ROUND(Wapato_Inventory[[#This Row],[adj_res]]*Lookups!$H$48,-2)&lt;Wapato_Inventory[[#This Row],[min_res]],Wapato_Inventory[[#This Row],[min_res]],ROUND(Wapato_Inventory[[#This Row],[adj_res]]*Lookups!$H$48,-2))</f>
        <v>154200</v>
      </c>
      <c r="CD1214" s="3">
        <f>ROUND(Wapato_Inventory[[#This Row],[det_value]]*Lookups!$H$48,-2)</f>
        <v>0</v>
      </c>
      <c r="CE1214" s="3">
        <f>Wapato_Inventory[[#This Row],[final_res]]+Wapato_Inventory[[#This Row],[final_det]]</f>
        <v>154200</v>
      </c>
      <c r="CF1214" s="3">
        <f>Wapato_Inventory[[#This Row],[crop_value]]+Wapato_Inventory[[#This Row],[final_land]]+Wapato_Inventory[[#This Row],[final_imp]]</f>
        <v>205100</v>
      </c>
      <c r="CH1214" t="str">
        <f t="shared" si="18"/>
        <v>update valuation set market_land =50900, market_bldg=154200, market_total =205100, market_mdno =405, market_date ='9/10/2023' where link_id = (select link_id from parcel where parcel_year = '2024' and parcel_id = '19112214432');</v>
      </c>
    </row>
    <row r="1215" spans="1:86" x14ac:dyDescent="0.25">
      <c r="A1215">
        <v>19112214435</v>
      </c>
      <c r="B1215">
        <v>0.18</v>
      </c>
      <c r="C1215">
        <v>7872</v>
      </c>
      <c r="D1215" t="s">
        <v>144</v>
      </c>
      <c r="E1215" t="s">
        <v>54</v>
      </c>
      <c r="F1215" t="s">
        <v>54</v>
      </c>
      <c r="G1215">
        <v>3</v>
      </c>
      <c r="H1215" t="s">
        <v>55</v>
      </c>
      <c r="I1215">
        <v>203200</v>
      </c>
      <c r="J1215">
        <v>33700</v>
      </c>
      <c r="K1215">
        <v>0.18</v>
      </c>
      <c r="L1215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15">
        <v>0</v>
      </c>
      <c r="N1215">
        <v>0</v>
      </c>
      <c r="O1215">
        <v>0</v>
      </c>
      <c r="P1215">
        <v>27904.037</v>
      </c>
      <c r="Q1215">
        <v>74398</v>
      </c>
      <c r="R1215" s="3">
        <f>(Wapato_Inventory[[#This Row],[ln_acres]]*Wapato_Inventory[[#This Row],[coeff]])+Wapato_Inventory[[#This Row],[const]]</f>
        <v>26548.20121498104</v>
      </c>
      <c r="S1215" t="s">
        <v>66</v>
      </c>
      <c r="T1215">
        <v>1</v>
      </c>
      <c r="U1215" t="s">
        <v>75</v>
      </c>
      <c r="V1215" t="s">
        <v>69</v>
      </c>
      <c r="W1215">
        <v>0</v>
      </c>
      <c r="X1215">
        <v>0</v>
      </c>
      <c r="Y1215">
        <v>40</v>
      </c>
      <c r="Z1215">
        <v>73</v>
      </c>
      <c r="AA1215">
        <v>80</v>
      </c>
      <c r="AB1215">
        <v>1500</v>
      </c>
      <c r="AC1215">
        <v>1260</v>
      </c>
      <c r="AD1215">
        <v>1260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171</v>
      </c>
      <c r="AN1215">
        <v>20</v>
      </c>
      <c r="AO1215">
        <v>171</v>
      </c>
      <c r="AP1215">
        <v>5</v>
      </c>
      <c r="AQ1215">
        <v>0</v>
      </c>
      <c r="AR1215">
        <v>1</v>
      </c>
      <c r="AS1215" t="s">
        <v>59</v>
      </c>
      <c r="AT1215">
        <v>1</v>
      </c>
      <c r="AU1215" t="s">
        <v>64</v>
      </c>
      <c r="AV1215" t="s">
        <v>77</v>
      </c>
      <c r="AW1215">
        <v>0</v>
      </c>
      <c r="AX1215">
        <v>3</v>
      </c>
      <c r="AY1215">
        <v>0</v>
      </c>
      <c r="AZ1215">
        <v>0</v>
      </c>
      <c r="BA1215">
        <v>100</v>
      </c>
      <c r="BB1215">
        <v>100</v>
      </c>
      <c r="BC1215">
        <v>100</v>
      </c>
      <c r="BD1215">
        <v>100</v>
      </c>
      <c r="BE1215">
        <v>1</v>
      </c>
      <c r="BF1215">
        <v>15000</v>
      </c>
      <c r="BG1215">
        <v>1000</v>
      </c>
      <c r="BH1215" s="7">
        <f>ROUND(Wapato_Inventory[[#This Row],[detatched_value]]*Lookups!$B$22*Lookups!$H$48,-2)</f>
        <v>0</v>
      </c>
      <c r="BI1215" s="7">
        <f>ROUND(((Wapato_Inventory[[#This Row],[land_extract]]*Lookups!$B$3) +(Lookups!$B$2*0.5))*Lookups!$H$48,-2)</f>
        <v>53600</v>
      </c>
      <c r="BJ1215" s="7">
        <f>IF(Wapato_Inventory[[#This Row],[bldg_style]]="",0,Lookups!$B$2*0.5)</f>
        <v>53765.27</v>
      </c>
      <c r="BK1215" s="7">
        <f>_xlfn.IFNA(VLOOKUP(Wapato_Inventory[[#This Row],[quality]],Lookups!$H$2:$J$14,3,FALSE),0)</f>
        <v>48043</v>
      </c>
      <c r="BL1215" s="7">
        <f>_xlfn.IFNA(VLOOKUP(Wapato_Inventory[[#This Row],[condition]],Lookups!$H$17:$J$24,3,FALSE),0)</f>
        <v>74543</v>
      </c>
      <c r="BM1215" s="7">
        <f>Wapato_Inventory[[#This Row],[Age]]*Lookups!$B$16</f>
        <v>-27059.326100000002</v>
      </c>
      <c r="BN1215" s="7">
        <f>Wapato_Inventory[[#This Row],[Main Floor]]*Lookups!$B$17</f>
        <v>52668.931140000001</v>
      </c>
      <c r="BO1215" s="7">
        <f>Wapato_Inventory[[#This Row],[Upper Floor]]*Lookups!$B$18</f>
        <v>0</v>
      </c>
      <c r="BP1215" s="7">
        <f>Wapato_Inventory[[#This Row],[Fin BSMT]]*Lookups!$B$19</f>
        <v>0</v>
      </c>
      <c r="BQ1215" s="7">
        <f>(Wapato_Inventory[[#This Row],[att_gar]]+Wapato_Inventory[[#This Row],[blt_gar]])*Lookups!$B$20</f>
        <v>0</v>
      </c>
      <c r="BR1215" s="7">
        <f>Wapato_Inventory[[#This Row],[Patio]]*Lookups!$B$21</f>
        <v>7408.4004089999999</v>
      </c>
      <c r="BS1215" s="7">
        <f>SUM(Wapato_Inventory[[#This Row],[intercept]:[patio_value]])*Wapato_Inventory[[#This Row],[res_pct]]</f>
        <v>209369.27544899998</v>
      </c>
      <c r="BT1215" s="7">
        <f>Wapato_Inventory[[#This Row],[land_value]]</f>
        <v>53600</v>
      </c>
      <c r="BU1215" s="2">
        <f>_xlfn.IFNA(VLOOKUP(Wapato_Inventory[[#This Row],[quality]],Lookups!$A$28:$C$37,3,FALSE),1)</f>
        <v>0.98196844879778955</v>
      </c>
      <c r="BV1215" s="2">
        <f>_xlfn.IFNA(VLOOKUP(Wapato_Inventory[[#This Row],[condition]],Lookups!$A$41:$C$48,3,FALSE),1)</f>
        <v>0.98442438223270734</v>
      </c>
      <c r="BW1215" s="2">
        <f>IF(Wapato_Inventory[[#This Row],[decade]]="",1,_xlfn.IFNA(VLOOKUP(Wapato_Inventory[[#This Row],[decade]],Lookups!$F$28:$H$45,3,FALSE),1))</f>
        <v>0.8438929209510081</v>
      </c>
      <c r="BX1215" s="2">
        <f>_xlfn.IFNA(VLOOKUP(Wapato_Inventory[[#This Row],[living_area_range]],Lookups!$K$28:$M$37,3,FALSE),1)</f>
        <v>1.0061411172456287</v>
      </c>
      <c r="BY1215" s="2">
        <f>AVERAGE(Wapato_Inventory[[#This Row],[qual_adj]:[range_adj]])</f>
        <v>0.95410671730678343</v>
      </c>
      <c r="BZ1215" s="7">
        <f>(Wapato_Inventory[[#This Row],[sum_land]]-IF(Wapato_Inventory[[#This Row],[no_utilities]]=1,12000,0))/IF(Wapato_Inventory[[#This Row],[unbuildable]]=1,2,1)</f>
        <v>53600</v>
      </c>
      <c r="CA1215" s="7">
        <f>Wapato_Inventory[[#This Row],[pre_res]]*Wapato_Inventory[[#This Row],[overall_adj]]</f>
        <v>199760.6321035451</v>
      </c>
      <c r="CB1215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15" s="3">
        <f>IF(ROUND(Wapato_Inventory[[#This Row],[adj_res]]*Lookups!$H$48,-2)&lt;Wapato_Inventory[[#This Row],[min_res]],Wapato_Inventory[[#This Row],[min_res]],ROUND(Wapato_Inventory[[#This Row],[adj_res]]*Lookups!$H$48,-2))</f>
        <v>189800</v>
      </c>
      <c r="CD1215" s="3">
        <f>ROUND(Wapato_Inventory[[#This Row],[det_value]]*Lookups!$H$48,-2)</f>
        <v>0</v>
      </c>
      <c r="CE1215" s="3">
        <f>Wapato_Inventory[[#This Row],[final_res]]+Wapato_Inventory[[#This Row],[final_det]]</f>
        <v>189800</v>
      </c>
      <c r="CF1215" s="3">
        <f>Wapato_Inventory[[#This Row],[crop_value]]+Wapato_Inventory[[#This Row],[final_land]]+Wapato_Inventory[[#This Row],[final_imp]]</f>
        <v>240700</v>
      </c>
      <c r="CH1215" t="str">
        <f t="shared" si="18"/>
        <v>update valuation set market_land =50900, market_bldg=189800, market_total =240700, market_mdno =405, market_date ='9/10/2023' where link_id = (select link_id from parcel where parcel_year = '2024' and parcel_id = '19112214435');</v>
      </c>
    </row>
    <row r="1216" spans="1:86" x14ac:dyDescent="0.25">
      <c r="A1216">
        <v>19112214436</v>
      </c>
      <c r="B1216">
        <v>0.18</v>
      </c>
      <c r="C1216">
        <v>7872</v>
      </c>
      <c r="D1216" t="s">
        <v>144</v>
      </c>
      <c r="E1216" t="s">
        <v>54</v>
      </c>
      <c r="F1216" t="s">
        <v>54</v>
      </c>
      <c r="G1216">
        <v>3</v>
      </c>
      <c r="H1216" t="s">
        <v>55</v>
      </c>
      <c r="I1216">
        <v>128900</v>
      </c>
      <c r="J1216">
        <v>33700</v>
      </c>
      <c r="K1216">
        <v>0.18</v>
      </c>
      <c r="L1216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16">
        <v>0</v>
      </c>
      <c r="N1216">
        <v>0</v>
      </c>
      <c r="O1216">
        <v>0</v>
      </c>
      <c r="P1216">
        <v>27904.037</v>
      </c>
      <c r="Q1216">
        <v>74398</v>
      </c>
      <c r="R1216" s="3">
        <f>(Wapato_Inventory[[#This Row],[ln_acres]]*Wapato_Inventory[[#This Row],[coeff]])+Wapato_Inventory[[#This Row],[const]]</f>
        <v>26548.20121498104</v>
      </c>
      <c r="S1216" t="s">
        <v>66</v>
      </c>
      <c r="T1216">
        <v>1</v>
      </c>
      <c r="U1216" t="s">
        <v>78</v>
      </c>
      <c r="V1216" t="s">
        <v>68</v>
      </c>
      <c r="W1216">
        <v>0</v>
      </c>
      <c r="X1216">
        <v>0</v>
      </c>
      <c r="Y1216">
        <v>50</v>
      </c>
      <c r="Z1216">
        <v>73</v>
      </c>
      <c r="AA1216">
        <v>80</v>
      </c>
      <c r="AB1216">
        <v>1000</v>
      </c>
      <c r="AC1216">
        <v>864</v>
      </c>
      <c r="AD1216">
        <v>864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60</v>
      </c>
      <c r="AO1216">
        <v>0</v>
      </c>
      <c r="AP1216">
        <v>5</v>
      </c>
      <c r="AQ1216">
        <v>1</v>
      </c>
      <c r="AR1216">
        <v>0</v>
      </c>
      <c r="AS1216" t="s">
        <v>59</v>
      </c>
      <c r="AT1216">
        <v>1</v>
      </c>
      <c r="AU1216" t="s">
        <v>72</v>
      </c>
      <c r="AV1216" t="s">
        <v>61</v>
      </c>
      <c r="AW1216">
        <v>0</v>
      </c>
      <c r="AX1216">
        <v>3</v>
      </c>
      <c r="AY1216">
        <v>0</v>
      </c>
      <c r="AZ1216">
        <v>4800</v>
      </c>
      <c r="BA1216">
        <v>100</v>
      </c>
      <c r="BB1216">
        <v>100</v>
      </c>
      <c r="BC1216">
        <v>100</v>
      </c>
      <c r="BD1216">
        <v>100</v>
      </c>
      <c r="BE1216">
        <v>1</v>
      </c>
      <c r="BF1216">
        <v>15000</v>
      </c>
      <c r="BG1216">
        <v>1000</v>
      </c>
      <c r="BH1216" s="7">
        <f>ROUND(Wapato_Inventory[[#This Row],[detatched_value]]*Lookups!$B$22*Lookups!$H$48,-2)</f>
        <v>4300</v>
      </c>
      <c r="BI1216" s="7">
        <f>ROUND(((Wapato_Inventory[[#This Row],[land_extract]]*Lookups!$B$3) +(Lookups!$B$2*0.5))*Lookups!$H$48,-2)</f>
        <v>53600</v>
      </c>
      <c r="BJ1216" s="7">
        <f>IF(Wapato_Inventory[[#This Row],[bldg_style]]="",0,Lookups!$B$2*0.5)</f>
        <v>53765.27</v>
      </c>
      <c r="BK1216" s="7">
        <f>_xlfn.IFNA(VLOOKUP(Wapato_Inventory[[#This Row],[quality]],Lookups!$H$2:$J$14,3,FALSE),0)</f>
        <v>23424</v>
      </c>
      <c r="BL1216" s="7">
        <f>_xlfn.IFNA(VLOOKUP(Wapato_Inventory[[#This Row],[condition]],Lookups!$H$17:$J$24,3,FALSE),0)</f>
        <v>52231</v>
      </c>
      <c r="BM1216" s="7">
        <f>Wapato_Inventory[[#This Row],[Age]]*Lookups!$B$16</f>
        <v>-27059.326100000002</v>
      </c>
      <c r="BN1216" s="7">
        <f>Wapato_Inventory[[#This Row],[Main Floor]]*Lookups!$B$17</f>
        <v>36115.838495999997</v>
      </c>
      <c r="BO1216" s="7">
        <f>Wapato_Inventory[[#This Row],[Upper Floor]]*Lookups!$B$18</f>
        <v>0</v>
      </c>
      <c r="BP1216" s="7">
        <f>Wapato_Inventory[[#This Row],[Fin BSMT]]*Lookups!$B$19</f>
        <v>0</v>
      </c>
      <c r="BQ1216" s="7">
        <f>(Wapato_Inventory[[#This Row],[att_gar]]+Wapato_Inventory[[#This Row],[blt_gar]])*Lookups!$B$20</f>
        <v>0</v>
      </c>
      <c r="BR1216" s="7">
        <f>Wapato_Inventory[[#This Row],[Patio]]*Lookups!$B$21</f>
        <v>0</v>
      </c>
      <c r="BS1216" s="7">
        <f>SUM(Wapato_Inventory[[#This Row],[intercept]:[patio_value]])*Wapato_Inventory[[#This Row],[res_pct]]</f>
        <v>138476.782396</v>
      </c>
      <c r="BT1216" s="7">
        <f>Wapato_Inventory[[#This Row],[land_value]]</f>
        <v>53600</v>
      </c>
      <c r="BU1216" s="2">
        <f>_xlfn.IFNA(VLOOKUP(Wapato_Inventory[[#This Row],[quality]],Lookups!$A$28:$C$37,3,FALSE),1)</f>
        <v>1.0091195562373767</v>
      </c>
      <c r="BV1216" s="2">
        <f>_xlfn.IFNA(VLOOKUP(Wapato_Inventory[[#This Row],[condition]],Lookups!$A$41:$C$48,3,FALSE),1)</f>
        <v>0.9832333997567807</v>
      </c>
      <c r="BW1216" s="2">
        <f>IF(Wapato_Inventory[[#This Row],[decade]]="",1,_xlfn.IFNA(VLOOKUP(Wapato_Inventory[[#This Row],[decade]],Lookups!$F$28:$H$45,3,FALSE),1))</f>
        <v>0.8438929209510081</v>
      </c>
      <c r="BX1216" s="2">
        <f>_xlfn.IFNA(VLOOKUP(Wapato_Inventory[[#This Row],[living_area_range]],Lookups!$K$28:$M$37,3,FALSE),1)</f>
        <v>0.99022994770196116</v>
      </c>
      <c r="BY1216" s="2">
        <f>AVERAGE(Wapato_Inventory[[#This Row],[qual_adj]:[range_adj]])</f>
        <v>0.95661895616178172</v>
      </c>
      <c r="BZ1216" s="7">
        <f>(Wapato_Inventory[[#This Row],[sum_land]]-IF(Wapato_Inventory[[#This Row],[no_utilities]]=1,12000,0))/IF(Wapato_Inventory[[#This Row],[unbuildable]]=1,2,1)</f>
        <v>53600</v>
      </c>
      <c r="CA1216" s="7">
        <f>Wapato_Inventory[[#This Row],[pre_res]]*Wapato_Inventory[[#This Row],[overall_adj]]</f>
        <v>132469.51502830369</v>
      </c>
      <c r="CB1216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16" s="3">
        <f>IF(ROUND(Wapato_Inventory[[#This Row],[adj_res]]*Lookups!$H$48,-2)&lt;Wapato_Inventory[[#This Row],[min_res]],Wapato_Inventory[[#This Row],[min_res]],ROUND(Wapato_Inventory[[#This Row],[adj_res]]*Lookups!$H$48,-2))</f>
        <v>125800</v>
      </c>
      <c r="CD1216" s="3">
        <f>ROUND(Wapato_Inventory[[#This Row],[det_value]]*Lookups!$H$48,-2)</f>
        <v>4100</v>
      </c>
      <c r="CE1216" s="3">
        <f>Wapato_Inventory[[#This Row],[final_res]]+Wapato_Inventory[[#This Row],[final_det]]</f>
        <v>129900</v>
      </c>
      <c r="CF1216" s="3">
        <f>Wapato_Inventory[[#This Row],[crop_value]]+Wapato_Inventory[[#This Row],[final_land]]+Wapato_Inventory[[#This Row],[final_imp]]</f>
        <v>180800</v>
      </c>
      <c r="CH1216" t="str">
        <f t="shared" si="18"/>
        <v>update valuation set market_land =50900, market_bldg=129900, market_total =180800, market_mdno =405, market_date ='9/10/2023' where link_id = (select link_id from parcel where parcel_year = '2024' and parcel_id = '19112214436');</v>
      </c>
    </row>
    <row r="1217" spans="1:86" x14ac:dyDescent="0.25">
      <c r="A1217">
        <v>19112214437</v>
      </c>
      <c r="B1217">
        <v>0.18</v>
      </c>
      <c r="C1217">
        <v>7872</v>
      </c>
      <c r="D1217" t="s">
        <v>144</v>
      </c>
      <c r="E1217" t="s">
        <v>54</v>
      </c>
      <c r="F1217" t="s">
        <v>54</v>
      </c>
      <c r="G1217">
        <v>3</v>
      </c>
      <c r="H1217" t="s">
        <v>55</v>
      </c>
      <c r="I1217">
        <v>114300</v>
      </c>
      <c r="J1217">
        <v>33700</v>
      </c>
      <c r="K1217">
        <v>0.18</v>
      </c>
      <c r="L1217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17">
        <v>0</v>
      </c>
      <c r="N1217">
        <v>0</v>
      </c>
      <c r="O1217">
        <v>0</v>
      </c>
      <c r="P1217">
        <v>27904.037</v>
      </c>
      <c r="Q1217">
        <v>74398</v>
      </c>
      <c r="R1217" s="3">
        <f>(Wapato_Inventory[[#This Row],[ln_acres]]*Wapato_Inventory[[#This Row],[coeff]])+Wapato_Inventory[[#This Row],[const]]</f>
        <v>26548.20121498104</v>
      </c>
      <c r="S1217" t="s">
        <v>66</v>
      </c>
      <c r="T1217">
        <v>1</v>
      </c>
      <c r="U1217" t="s">
        <v>71</v>
      </c>
      <c r="V1217" t="s">
        <v>68</v>
      </c>
      <c r="W1217">
        <v>0</v>
      </c>
      <c r="X1217">
        <v>0</v>
      </c>
      <c r="Y1217">
        <v>57</v>
      </c>
      <c r="Z1217">
        <v>102</v>
      </c>
      <c r="AA1217">
        <v>110</v>
      </c>
      <c r="AB1217">
        <v>1500</v>
      </c>
      <c r="AC1217">
        <v>1048</v>
      </c>
      <c r="AD1217">
        <v>1048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5</v>
      </c>
      <c r="AQ1217">
        <v>0</v>
      </c>
      <c r="AR1217">
        <v>0</v>
      </c>
      <c r="AS1217" t="s">
        <v>59</v>
      </c>
      <c r="AT1217">
        <v>0</v>
      </c>
      <c r="AU1217" t="s">
        <v>80</v>
      </c>
      <c r="AV1217" t="s">
        <v>77</v>
      </c>
      <c r="AW1217">
        <v>0</v>
      </c>
      <c r="AX1217">
        <v>3</v>
      </c>
      <c r="AY1217">
        <v>0</v>
      </c>
      <c r="AZ1217">
        <v>9100</v>
      </c>
      <c r="BA1217">
        <v>100</v>
      </c>
      <c r="BB1217">
        <v>100</v>
      </c>
      <c r="BC1217">
        <v>100</v>
      </c>
      <c r="BD1217">
        <v>100</v>
      </c>
      <c r="BE1217">
        <v>1</v>
      </c>
      <c r="BF1217">
        <v>15000</v>
      </c>
      <c r="BG1217">
        <v>1000</v>
      </c>
      <c r="BH1217" s="7">
        <f>ROUND(Wapato_Inventory[[#This Row],[detatched_value]]*Lookups!$B$22*Lookups!$H$48,-2)</f>
        <v>8100</v>
      </c>
      <c r="BI1217" s="7">
        <f>ROUND(((Wapato_Inventory[[#This Row],[land_extract]]*Lookups!$B$3) +(Lookups!$B$2*0.5))*Lookups!$H$48,-2)</f>
        <v>53600</v>
      </c>
      <c r="BJ1217" s="7">
        <f>IF(Wapato_Inventory[[#This Row],[bldg_style]]="",0,Lookups!$B$2*0.5)</f>
        <v>53765.27</v>
      </c>
      <c r="BK1217" s="7">
        <f>_xlfn.IFNA(VLOOKUP(Wapato_Inventory[[#This Row],[quality]],Lookups!$H$2:$J$14,3,FALSE),0)</f>
        <v>28034</v>
      </c>
      <c r="BL1217" s="7">
        <f>_xlfn.IFNA(VLOOKUP(Wapato_Inventory[[#This Row],[condition]],Lookups!$H$17:$J$24,3,FALSE),0)</f>
        <v>52231</v>
      </c>
      <c r="BM1217" s="7">
        <f>Wapato_Inventory[[#This Row],[Age]]*Lookups!$B$16</f>
        <v>-37808.921399999999</v>
      </c>
      <c r="BN1217" s="7">
        <f>Wapato_Inventory[[#This Row],[Main Floor]]*Lookups!$B$17</f>
        <v>43807.174471999999</v>
      </c>
      <c r="BO1217" s="7">
        <f>Wapato_Inventory[[#This Row],[Upper Floor]]*Lookups!$B$18</f>
        <v>0</v>
      </c>
      <c r="BP1217" s="7">
        <f>Wapato_Inventory[[#This Row],[Fin BSMT]]*Lookups!$B$19</f>
        <v>0</v>
      </c>
      <c r="BQ1217" s="7">
        <f>(Wapato_Inventory[[#This Row],[att_gar]]+Wapato_Inventory[[#This Row],[blt_gar]])*Lookups!$B$20</f>
        <v>0</v>
      </c>
      <c r="BR1217" s="7">
        <f>Wapato_Inventory[[#This Row],[Patio]]*Lookups!$B$21</f>
        <v>0</v>
      </c>
      <c r="BS1217" s="7">
        <f>SUM(Wapato_Inventory[[#This Row],[intercept]:[patio_value]])*Wapato_Inventory[[#This Row],[res_pct]]</f>
        <v>140028.52307200001</v>
      </c>
      <c r="BT1217" s="7">
        <f>Wapato_Inventory[[#This Row],[land_value]]</f>
        <v>53600</v>
      </c>
      <c r="BU1217" s="2">
        <f>_xlfn.IFNA(VLOOKUP(Wapato_Inventory[[#This Row],[quality]],Lookups!$A$28:$C$37,3,FALSE),1)</f>
        <v>0.96265813922927435</v>
      </c>
      <c r="BV1217" s="2">
        <f>_xlfn.IFNA(VLOOKUP(Wapato_Inventory[[#This Row],[condition]],Lookups!$A$41:$C$48,3,FALSE),1)</f>
        <v>0.9832333997567807</v>
      </c>
      <c r="BW1217" s="2">
        <f>IF(Wapato_Inventory[[#This Row],[decade]]="",1,_xlfn.IFNA(VLOOKUP(Wapato_Inventory[[#This Row],[decade]],Lookups!$F$28:$H$45,3,FALSE),1))</f>
        <v>0.93664589651353292</v>
      </c>
      <c r="BX1217" s="2">
        <f>_xlfn.IFNA(VLOOKUP(Wapato_Inventory[[#This Row],[living_area_range]],Lookups!$K$28:$M$37,3,FALSE),1)</f>
        <v>1.0061411172456287</v>
      </c>
      <c r="BY1217" s="2">
        <f>AVERAGE(Wapato_Inventory[[#This Row],[qual_adj]:[range_adj]])</f>
        <v>0.97216963818630409</v>
      </c>
      <c r="BZ1217" s="7">
        <f>(Wapato_Inventory[[#This Row],[sum_land]]-IF(Wapato_Inventory[[#This Row],[no_utilities]]=1,12000,0))/IF(Wapato_Inventory[[#This Row],[unbuildable]]=1,2,1)</f>
        <v>53600</v>
      </c>
      <c r="CA1217" s="7">
        <f>Wapato_Inventory[[#This Row],[pre_res]]*Wapato_Inventory[[#This Row],[overall_adj]]</f>
        <v>136131.4786106688</v>
      </c>
      <c r="CB1217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17" s="3">
        <f>IF(ROUND(Wapato_Inventory[[#This Row],[adj_res]]*Lookups!$H$48,-2)&lt;Wapato_Inventory[[#This Row],[min_res]],Wapato_Inventory[[#This Row],[min_res]],ROUND(Wapato_Inventory[[#This Row],[adj_res]]*Lookups!$H$48,-2))</f>
        <v>129300</v>
      </c>
      <c r="CD1217" s="3">
        <f>ROUND(Wapato_Inventory[[#This Row],[det_value]]*Lookups!$H$48,-2)</f>
        <v>7700</v>
      </c>
      <c r="CE1217" s="3">
        <f>Wapato_Inventory[[#This Row],[final_res]]+Wapato_Inventory[[#This Row],[final_det]]</f>
        <v>137000</v>
      </c>
      <c r="CF1217" s="3">
        <f>Wapato_Inventory[[#This Row],[crop_value]]+Wapato_Inventory[[#This Row],[final_land]]+Wapato_Inventory[[#This Row],[final_imp]]</f>
        <v>187900</v>
      </c>
      <c r="CH1217" t="str">
        <f t="shared" si="18"/>
        <v>update valuation set market_land =50900, market_bldg=137000, market_total =187900, market_mdno =405, market_date ='9/10/2023' where link_id = (select link_id from parcel where parcel_year = '2024' and parcel_id = '19112214437');</v>
      </c>
    </row>
    <row r="1218" spans="1:86" x14ac:dyDescent="0.25">
      <c r="A1218">
        <v>19112214438</v>
      </c>
      <c r="B1218">
        <v>0.18</v>
      </c>
      <c r="C1218" t="s">
        <v>144</v>
      </c>
      <c r="D1218" t="s">
        <v>144</v>
      </c>
      <c r="E1218" t="s">
        <v>54</v>
      </c>
      <c r="F1218" t="s">
        <v>54</v>
      </c>
      <c r="G1218">
        <v>3</v>
      </c>
      <c r="H1218" t="s">
        <v>55</v>
      </c>
      <c r="I1218">
        <v>149500</v>
      </c>
      <c r="J1218">
        <v>33700</v>
      </c>
      <c r="K1218">
        <v>0.18</v>
      </c>
      <c r="L1218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18">
        <v>0</v>
      </c>
      <c r="N1218">
        <v>0</v>
      </c>
      <c r="O1218">
        <v>0</v>
      </c>
      <c r="P1218">
        <v>27904.037</v>
      </c>
      <c r="Q1218">
        <v>74398</v>
      </c>
      <c r="R1218" s="3">
        <f>(Wapato_Inventory[[#This Row],[ln_acres]]*Wapato_Inventory[[#This Row],[coeff]])+Wapato_Inventory[[#This Row],[const]]</f>
        <v>26548.20121498104</v>
      </c>
      <c r="S1218" t="s">
        <v>62</v>
      </c>
      <c r="T1218">
        <v>1</v>
      </c>
      <c r="U1218" t="s">
        <v>71</v>
      </c>
      <c r="V1218" t="s">
        <v>68</v>
      </c>
      <c r="W1218">
        <v>0</v>
      </c>
      <c r="X1218">
        <v>0</v>
      </c>
      <c r="Y1218">
        <v>45</v>
      </c>
      <c r="Z1218">
        <v>51</v>
      </c>
      <c r="AA1218">
        <v>60</v>
      </c>
      <c r="AB1218">
        <v>1500</v>
      </c>
      <c r="AC1218">
        <v>1232</v>
      </c>
      <c r="AD1218">
        <v>1232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504</v>
      </c>
      <c r="AL1218">
        <v>0</v>
      </c>
      <c r="AM1218">
        <v>0</v>
      </c>
      <c r="AN1218">
        <v>30</v>
      </c>
      <c r="AO1218">
        <v>0</v>
      </c>
      <c r="AP1218">
        <v>5</v>
      </c>
      <c r="AQ1218">
        <v>0</v>
      </c>
      <c r="AR1218">
        <v>0</v>
      </c>
      <c r="AS1218" t="s">
        <v>59</v>
      </c>
      <c r="AT1218">
        <v>1</v>
      </c>
      <c r="AU1218" t="s">
        <v>64</v>
      </c>
      <c r="AV1218" t="s">
        <v>61</v>
      </c>
      <c r="AW1218">
        <v>1</v>
      </c>
      <c r="AX1218">
        <v>3</v>
      </c>
      <c r="AY1218">
        <v>0</v>
      </c>
      <c r="AZ1218">
        <v>0</v>
      </c>
      <c r="BA1218">
        <v>100</v>
      </c>
      <c r="BB1218">
        <v>100</v>
      </c>
      <c r="BC1218">
        <v>100</v>
      </c>
      <c r="BD1218">
        <v>100</v>
      </c>
      <c r="BE1218">
        <v>1</v>
      </c>
      <c r="BF1218">
        <v>15000</v>
      </c>
      <c r="BG1218">
        <v>1000</v>
      </c>
      <c r="BH1218" s="7">
        <f>ROUND(Wapato_Inventory[[#This Row],[detatched_value]]*Lookups!$B$22*Lookups!$H$48,-2)</f>
        <v>0</v>
      </c>
      <c r="BI1218" s="7">
        <f>ROUND(((Wapato_Inventory[[#This Row],[land_extract]]*Lookups!$B$3) +(Lookups!$B$2*0.5))*Lookups!$H$48,-2)</f>
        <v>53600</v>
      </c>
      <c r="BJ1218" s="7">
        <f>IF(Wapato_Inventory[[#This Row],[bldg_style]]="",0,Lookups!$B$2*0.5)</f>
        <v>53765.27</v>
      </c>
      <c r="BK1218" s="7">
        <f>_xlfn.IFNA(VLOOKUP(Wapato_Inventory[[#This Row],[quality]],Lookups!$H$2:$J$14,3,FALSE),0)</f>
        <v>28034</v>
      </c>
      <c r="BL1218" s="7">
        <f>_xlfn.IFNA(VLOOKUP(Wapato_Inventory[[#This Row],[condition]],Lookups!$H$17:$J$24,3,FALSE),0)</f>
        <v>52231</v>
      </c>
      <c r="BM1218" s="7">
        <f>Wapato_Inventory[[#This Row],[Age]]*Lookups!$B$16</f>
        <v>-18904.4607</v>
      </c>
      <c r="BN1218" s="7">
        <f>Wapato_Inventory[[#This Row],[Main Floor]]*Lookups!$B$17</f>
        <v>51498.510448000001</v>
      </c>
      <c r="BO1218" s="7">
        <f>Wapato_Inventory[[#This Row],[Upper Floor]]*Lookups!$B$18</f>
        <v>0</v>
      </c>
      <c r="BP1218" s="7">
        <f>Wapato_Inventory[[#This Row],[Fin BSMT]]*Lookups!$B$19</f>
        <v>0</v>
      </c>
      <c r="BQ1218" s="7">
        <f>(Wapato_Inventory[[#This Row],[att_gar]]+Wapato_Inventory[[#This Row],[blt_gar]])*Lookups!$B$20</f>
        <v>0</v>
      </c>
      <c r="BR1218" s="7">
        <f>Wapato_Inventory[[#This Row],[Patio]]*Lookups!$B$21</f>
        <v>0</v>
      </c>
      <c r="BS1218" s="7">
        <f>SUM(Wapato_Inventory[[#This Row],[intercept]:[patio_value]])*Wapato_Inventory[[#This Row],[res_pct]]</f>
        <v>166624.31974800001</v>
      </c>
      <c r="BT1218" s="7">
        <f>Wapato_Inventory[[#This Row],[land_value]]</f>
        <v>53600</v>
      </c>
      <c r="BU1218" s="2">
        <f>_xlfn.IFNA(VLOOKUP(Wapato_Inventory[[#This Row],[quality]],Lookups!$A$28:$C$37,3,FALSE),1)</f>
        <v>0.96265813922927435</v>
      </c>
      <c r="BV1218" s="2">
        <f>_xlfn.IFNA(VLOOKUP(Wapato_Inventory[[#This Row],[condition]],Lookups!$A$41:$C$48,3,FALSE),1)</f>
        <v>0.9832333997567807</v>
      </c>
      <c r="BW1218" s="2">
        <f>IF(Wapato_Inventory[[#This Row],[decade]]="",1,_xlfn.IFNA(VLOOKUP(Wapato_Inventory[[#This Row],[decade]],Lookups!$F$28:$H$45,3,FALSE),1))</f>
        <v>1.035341704162583</v>
      </c>
      <c r="BX1218" s="2">
        <f>_xlfn.IFNA(VLOOKUP(Wapato_Inventory[[#This Row],[living_area_range]],Lookups!$K$28:$M$37,3,FALSE),1)</f>
        <v>1.0061411172456287</v>
      </c>
      <c r="BY1218" s="2">
        <f>AVERAGE(Wapato_Inventory[[#This Row],[qual_adj]:[range_adj]])</f>
        <v>0.9968435900985666</v>
      </c>
      <c r="BZ1218" s="7">
        <f>(Wapato_Inventory[[#This Row],[sum_land]]-IF(Wapato_Inventory[[#This Row],[no_utilities]]=1,12000,0))/IF(Wapato_Inventory[[#This Row],[unbuildable]]=1,2,1)</f>
        <v>53600</v>
      </c>
      <c r="CA1218" s="7">
        <f>Wapato_Inventory[[#This Row],[pre_res]]*Wapato_Inventory[[#This Row],[overall_adj]]</f>
        <v>166098.38509532783</v>
      </c>
      <c r="CB1218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18" s="3">
        <f>IF(ROUND(Wapato_Inventory[[#This Row],[adj_res]]*Lookups!$H$48,-2)&lt;Wapato_Inventory[[#This Row],[min_res]],Wapato_Inventory[[#This Row],[min_res]],ROUND(Wapato_Inventory[[#This Row],[adj_res]]*Lookups!$H$48,-2))</f>
        <v>157800</v>
      </c>
      <c r="CD1218" s="3">
        <f>ROUND(Wapato_Inventory[[#This Row],[det_value]]*Lookups!$H$48,-2)</f>
        <v>0</v>
      </c>
      <c r="CE1218" s="3">
        <f>Wapato_Inventory[[#This Row],[final_res]]+Wapato_Inventory[[#This Row],[final_det]]</f>
        <v>157800</v>
      </c>
      <c r="CF1218" s="3">
        <f>Wapato_Inventory[[#This Row],[crop_value]]+Wapato_Inventory[[#This Row],[final_land]]+Wapato_Inventory[[#This Row],[final_imp]]</f>
        <v>208700</v>
      </c>
      <c r="CH1218" t="str">
        <f t="shared" ref="CH1218:CH1281" si="19">"update valuation set market_land ="&amp;CB1218&amp;", market_bldg="&amp;CE1218&amp;", market_total ="&amp;CF1218&amp;", market_mdno ="&amp;$CH$1&amp;", market_date ='"&amp;TEXT($CI$1,"m/d/yyyy")&amp;"' where link_id = (select link_id from parcel where parcel_year = '2024' and parcel_id = '"&amp;A1218&amp;"');"</f>
        <v>update valuation set market_land =50900, market_bldg=157800, market_total =208700, market_mdno =405, market_date ='9/10/2023' where link_id = (select link_id from parcel where parcel_year = '2024' and parcel_id = '19112214438');</v>
      </c>
    </row>
    <row r="1219" spans="1:86" x14ac:dyDescent="0.25">
      <c r="A1219">
        <v>19112214443</v>
      </c>
      <c r="B1219">
        <v>0.09</v>
      </c>
      <c r="C1219" t="s">
        <v>144</v>
      </c>
      <c r="D1219" t="s">
        <v>144</v>
      </c>
      <c r="E1219" t="s">
        <v>54</v>
      </c>
      <c r="F1219" t="s">
        <v>54</v>
      </c>
      <c r="G1219">
        <v>3</v>
      </c>
      <c r="H1219" t="s">
        <v>55</v>
      </c>
      <c r="I1219">
        <v>54900</v>
      </c>
      <c r="J1219">
        <v>28700</v>
      </c>
      <c r="K1219">
        <v>0.09</v>
      </c>
      <c r="L1219">
        <f>IF(Wapato_Inventory[[#This Row],[parcel_acres]]-Wapato_Inventory[[#This Row],[non_valued_acres]] =0,0,LN(Wapato_Inventory[[#This Row],[parcel_acres]]-Wapato_Inventory[[#This Row],[non_valued_acres]]))</f>
        <v>-2.4079456086518722</v>
      </c>
      <c r="M1219">
        <v>0</v>
      </c>
      <c r="N1219">
        <v>0</v>
      </c>
      <c r="O1219">
        <v>0</v>
      </c>
      <c r="P1219">
        <v>27904.037</v>
      </c>
      <c r="Q1219">
        <v>74398</v>
      </c>
      <c r="R1219" s="3">
        <f>(Wapato_Inventory[[#This Row],[ln_acres]]*Wapato_Inventory[[#This Row],[coeff]])+Wapato_Inventory[[#This Row],[const]]</f>
        <v>7206.5966421906342</v>
      </c>
      <c r="S1219" t="s">
        <v>66</v>
      </c>
      <c r="T1219">
        <v>1</v>
      </c>
      <c r="U1219" t="s">
        <v>71</v>
      </c>
      <c r="V1219" t="s">
        <v>84</v>
      </c>
      <c r="W1219">
        <v>0</v>
      </c>
      <c r="X1219">
        <v>0</v>
      </c>
      <c r="Y1219">
        <v>51</v>
      </c>
      <c r="Z1219">
        <v>82</v>
      </c>
      <c r="AA1219">
        <v>90</v>
      </c>
      <c r="AB1219">
        <v>1000</v>
      </c>
      <c r="AC1219">
        <v>840</v>
      </c>
      <c r="AD1219">
        <v>840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5</v>
      </c>
      <c r="AQ1219">
        <v>0</v>
      </c>
      <c r="AR1219">
        <v>0</v>
      </c>
      <c r="AS1219" t="s">
        <v>59</v>
      </c>
      <c r="AT1219">
        <v>1</v>
      </c>
      <c r="AU1219" t="s">
        <v>72</v>
      </c>
      <c r="AV1219" t="s">
        <v>61</v>
      </c>
      <c r="AW1219">
        <v>0</v>
      </c>
      <c r="AX1219">
        <v>2</v>
      </c>
      <c r="AY1219">
        <v>0</v>
      </c>
      <c r="AZ1219">
        <v>0</v>
      </c>
      <c r="BA1219">
        <v>100</v>
      </c>
      <c r="BB1219">
        <v>100</v>
      </c>
      <c r="BC1219">
        <v>100</v>
      </c>
      <c r="BD1219">
        <v>100</v>
      </c>
      <c r="BE1219">
        <v>1</v>
      </c>
      <c r="BF1219">
        <v>15000</v>
      </c>
      <c r="BG1219">
        <v>1000</v>
      </c>
      <c r="BH1219" s="7">
        <f>ROUND(Wapato_Inventory[[#This Row],[detatched_value]]*Lookups!$B$22*Lookups!$H$48,-2)</f>
        <v>0</v>
      </c>
      <c r="BI1219" s="7">
        <f>ROUND(((Wapato_Inventory[[#This Row],[land_extract]]*Lookups!$B$3) +(Lookups!$B$2*0.5))*Lookups!$H$48,-2)</f>
        <v>51800</v>
      </c>
      <c r="BJ1219" s="7">
        <f>IF(Wapato_Inventory[[#This Row],[bldg_style]]="",0,Lookups!$B$2*0.5)</f>
        <v>53765.27</v>
      </c>
      <c r="BK1219" s="7">
        <f>_xlfn.IFNA(VLOOKUP(Wapato_Inventory[[#This Row],[quality]],Lookups!$H$2:$J$14,3,FALSE),0)</f>
        <v>28034</v>
      </c>
      <c r="BL1219" s="7">
        <f>_xlfn.IFNA(VLOOKUP(Wapato_Inventory[[#This Row],[condition]],Lookups!$H$17:$J$24,3,FALSE),0)</f>
        <v>0</v>
      </c>
      <c r="BM1219" s="7">
        <f>Wapato_Inventory[[#This Row],[Age]]*Lookups!$B$16</f>
        <v>-30395.4074</v>
      </c>
      <c r="BN1219" s="7">
        <f>Wapato_Inventory[[#This Row],[Main Floor]]*Lookups!$B$17</f>
        <v>35112.620759999998</v>
      </c>
      <c r="BO1219" s="7">
        <f>Wapato_Inventory[[#This Row],[Upper Floor]]*Lookups!$B$18</f>
        <v>0</v>
      </c>
      <c r="BP1219" s="7">
        <f>Wapato_Inventory[[#This Row],[Fin BSMT]]*Lookups!$B$19</f>
        <v>0</v>
      </c>
      <c r="BQ1219" s="7">
        <f>(Wapato_Inventory[[#This Row],[att_gar]]+Wapato_Inventory[[#This Row],[blt_gar]])*Lookups!$B$20</f>
        <v>0</v>
      </c>
      <c r="BR1219" s="7">
        <f>Wapato_Inventory[[#This Row],[Patio]]*Lookups!$B$21</f>
        <v>0</v>
      </c>
      <c r="BS1219" s="7">
        <f>SUM(Wapato_Inventory[[#This Row],[intercept]:[patio_value]])*Wapato_Inventory[[#This Row],[res_pct]]</f>
        <v>86516.483359999984</v>
      </c>
      <c r="BT1219" s="7">
        <f>Wapato_Inventory[[#This Row],[land_value]]</f>
        <v>51800</v>
      </c>
      <c r="BU1219" s="2">
        <f>_xlfn.IFNA(VLOOKUP(Wapato_Inventory[[#This Row],[quality]],Lookups!$A$28:$C$37,3,FALSE),1)</f>
        <v>0.96265813922927435</v>
      </c>
      <c r="BV1219" s="2">
        <f>_xlfn.IFNA(VLOOKUP(Wapato_Inventory[[#This Row],[condition]],Lookups!$A$41:$C$48,3,FALSE),1)</f>
        <v>1.0000035546274355</v>
      </c>
      <c r="BW1219" s="2">
        <f>IF(Wapato_Inventory[[#This Row],[decade]]="",1,_xlfn.IFNA(VLOOKUP(Wapato_Inventory[[#This Row],[decade]],Lookups!$F$28:$H$45,3,FALSE),1))</f>
        <v>0.94742695999815718</v>
      </c>
      <c r="BX1219" s="2">
        <f>_xlfn.IFNA(VLOOKUP(Wapato_Inventory[[#This Row],[living_area_range]],Lookups!$K$28:$M$37,3,FALSE),1)</f>
        <v>0.99022994770196116</v>
      </c>
      <c r="BY1219" s="2">
        <f>AVERAGE(Wapato_Inventory[[#This Row],[qual_adj]:[range_adj]])</f>
        <v>0.97507965038920708</v>
      </c>
      <c r="BZ1219" s="7">
        <f>(Wapato_Inventory[[#This Row],[sum_land]]-IF(Wapato_Inventory[[#This Row],[no_utilities]]=1,12000,0))/IF(Wapato_Inventory[[#This Row],[unbuildable]]=1,2,1)</f>
        <v>51800</v>
      </c>
      <c r="CA1219" s="7">
        <f>Wapato_Inventory[[#This Row],[pre_res]]*Wapato_Inventory[[#This Row],[overall_adj]]</f>
        <v>84360.462347572437</v>
      </c>
      <c r="CB1219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1219" s="3">
        <f>IF(ROUND(Wapato_Inventory[[#This Row],[adj_res]]*Lookups!$H$48,-2)&lt;Wapato_Inventory[[#This Row],[min_res]],Wapato_Inventory[[#This Row],[min_res]],ROUND(Wapato_Inventory[[#This Row],[adj_res]]*Lookups!$H$48,-2))</f>
        <v>80100</v>
      </c>
      <c r="CD1219" s="3">
        <f>ROUND(Wapato_Inventory[[#This Row],[det_value]]*Lookups!$H$48,-2)</f>
        <v>0</v>
      </c>
      <c r="CE1219" s="3">
        <f>Wapato_Inventory[[#This Row],[final_res]]+Wapato_Inventory[[#This Row],[final_det]]</f>
        <v>80100</v>
      </c>
      <c r="CF1219" s="3">
        <f>Wapato_Inventory[[#This Row],[crop_value]]+Wapato_Inventory[[#This Row],[final_land]]+Wapato_Inventory[[#This Row],[final_imp]]</f>
        <v>129300</v>
      </c>
      <c r="CH1219" t="str">
        <f t="shared" si="19"/>
        <v>update valuation set market_land =49200, market_bldg=80100, market_total =129300, market_mdno =405, market_date ='9/10/2023' where link_id = (select link_id from parcel where parcel_year = '2024' and parcel_id = '19112214443');</v>
      </c>
    </row>
    <row r="1220" spans="1:86" x14ac:dyDescent="0.25">
      <c r="A1220">
        <v>19112214444</v>
      </c>
      <c r="B1220">
        <v>0.09</v>
      </c>
      <c r="C1220" t="s">
        <v>144</v>
      </c>
      <c r="D1220" t="s">
        <v>144</v>
      </c>
      <c r="E1220" t="s">
        <v>54</v>
      </c>
      <c r="F1220" t="s">
        <v>54</v>
      </c>
      <c r="G1220">
        <v>3</v>
      </c>
      <c r="H1220" t="s">
        <v>55</v>
      </c>
      <c r="I1220">
        <v>49100</v>
      </c>
      <c r="J1220">
        <v>28700</v>
      </c>
      <c r="K1220">
        <v>0.09</v>
      </c>
      <c r="L1220">
        <f>IF(Wapato_Inventory[[#This Row],[parcel_acres]]-Wapato_Inventory[[#This Row],[non_valued_acres]] =0,0,LN(Wapato_Inventory[[#This Row],[parcel_acres]]-Wapato_Inventory[[#This Row],[non_valued_acres]]))</f>
        <v>-2.4079456086518722</v>
      </c>
      <c r="M1220">
        <v>0</v>
      </c>
      <c r="N1220">
        <v>0</v>
      </c>
      <c r="O1220">
        <v>0</v>
      </c>
      <c r="P1220">
        <v>27904.037</v>
      </c>
      <c r="Q1220">
        <v>74398</v>
      </c>
      <c r="R1220" s="3">
        <f>(Wapato_Inventory[[#This Row],[ln_acres]]*Wapato_Inventory[[#This Row],[coeff]])+Wapato_Inventory[[#This Row],[const]]</f>
        <v>7206.5966421906342</v>
      </c>
      <c r="S1220" t="s">
        <v>66</v>
      </c>
      <c r="T1220">
        <v>1</v>
      </c>
      <c r="U1220" t="s">
        <v>71</v>
      </c>
      <c r="V1220" t="s">
        <v>84</v>
      </c>
      <c r="W1220">
        <v>0</v>
      </c>
      <c r="X1220">
        <v>0</v>
      </c>
      <c r="Y1220">
        <v>51</v>
      </c>
      <c r="Z1220">
        <v>82</v>
      </c>
      <c r="AA1220">
        <v>90</v>
      </c>
      <c r="AB1220">
        <v>1000</v>
      </c>
      <c r="AC1220">
        <v>676</v>
      </c>
      <c r="AD1220">
        <v>676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20</v>
      </c>
      <c r="AO1220">
        <v>0</v>
      </c>
      <c r="AP1220">
        <v>5</v>
      </c>
      <c r="AQ1220">
        <v>0</v>
      </c>
      <c r="AR1220">
        <v>0</v>
      </c>
      <c r="AS1220" t="s">
        <v>59</v>
      </c>
      <c r="AT1220">
        <v>0</v>
      </c>
      <c r="AU1220" t="s">
        <v>80</v>
      </c>
      <c r="AV1220" t="s">
        <v>77</v>
      </c>
      <c r="AW1220">
        <v>0</v>
      </c>
      <c r="AX1220">
        <v>1</v>
      </c>
      <c r="AY1220">
        <v>0</v>
      </c>
      <c r="AZ1220">
        <v>6800</v>
      </c>
      <c r="BA1220">
        <v>100</v>
      </c>
      <c r="BB1220">
        <v>100</v>
      </c>
      <c r="BC1220">
        <v>100</v>
      </c>
      <c r="BD1220">
        <v>100</v>
      </c>
      <c r="BE1220">
        <v>1</v>
      </c>
      <c r="BF1220">
        <v>15000</v>
      </c>
      <c r="BG1220">
        <v>1000</v>
      </c>
      <c r="BH1220" s="7">
        <f>ROUND(Wapato_Inventory[[#This Row],[detatched_value]]*Lookups!$B$22*Lookups!$H$48,-2)</f>
        <v>6100</v>
      </c>
      <c r="BI1220" s="7">
        <f>ROUND(((Wapato_Inventory[[#This Row],[land_extract]]*Lookups!$B$3) +(Lookups!$B$2*0.5))*Lookups!$H$48,-2)</f>
        <v>51800</v>
      </c>
      <c r="BJ1220" s="7">
        <f>IF(Wapato_Inventory[[#This Row],[bldg_style]]="",0,Lookups!$B$2*0.5)</f>
        <v>53765.27</v>
      </c>
      <c r="BK1220" s="7">
        <f>_xlfn.IFNA(VLOOKUP(Wapato_Inventory[[#This Row],[quality]],Lookups!$H$2:$J$14,3,FALSE),0)</f>
        <v>28034</v>
      </c>
      <c r="BL1220" s="7">
        <f>_xlfn.IFNA(VLOOKUP(Wapato_Inventory[[#This Row],[condition]],Lookups!$H$17:$J$24,3,FALSE),0)</f>
        <v>0</v>
      </c>
      <c r="BM1220" s="7">
        <f>Wapato_Inventory[[#This Row],[Age]]*Lookups!$B$16</f>
        <v>-30395.4074</v>
      </c>
      <c r="BN1220" s="7">
        <f>Wapato_Inventory[[#This Row],[Main Floor]]*Lookups!$B$17</f>
        <v>28257.299564000001</v>
      </c>
      <c r="BO1220" s="7">
        <f>Wapato_Inventory[[#This Row],[Upper Floor]]*Lookups!$B$18</f>
        <v>0</v>
      </c>
      <c r="BP1220" s="7">
        <f>Wapato_Inventory[[#This Row],[Fin BSMT]]*Lookups!$B$19</f>
        <v>0</v>
      </c>
      <c r="BQ1220" s="7">
        <f>(Wapato_Inventory[[#This Row],[att_gar]]+Wapato_Inventory[[#This Row],[blt_gar]])*Lookups!$B$20</f>
        <v>0</v>
      </c>
      <c r="BR1220" s="7">
        <f>Wapato_Inventory[[#This Row],[Patio]]*Lookups!$B$21</f>
        <v>0</v>
      </c>
      <c r="BS1220" s="7">
        <f>SUM(Wapato_Inventory[[#This Row],[intercept]:[patio_value]])*Wapato_Inventory[[#This Row],[res_pct]]</f>
        <v>79661.162163999994</v>
      </c>
      <c r="BT1220" s="7">
        <f>Wapato_Inventory[[#This Row],[land_value]]</f>
        <v>51800</v>
      </c>
      <c r="BU1220" s="2">
        <f>_xlfn.IFNA(VLOOKUP(Wapato_Inventory[[#This Row],[quality]],Lookups!$A$28:$C$37,3,FALSE),1)</f>
        <v>0.96265813922927435</v>
      </c>
      <c r="BV1220" s="2">
        <f>_xlfn.IFNA(VLOOKUP(Wapato_Inventory[[#This Row],[condition]],Lookups!$A$41:$C$48,3,FALSE),1)</f>
        <v>1.0000035546274355</v>
      </c>
      <c r="BW1220" s="2">
        <f>IF(Wapato_Inventory[[#This Row],[decade]]="",1,_xlfn.IFNA(VLOOKUP(Wapato_Inventory[[#This Row],[decade]],Lookups!$F$28:$H$45,3,FALSE),1))</f>
        <v>0.94742695999815718</v>
      </c>
      <c r="BX1220" s="2">
        <f>_xlfn.IFNA(VLOOKUP(Wapato_Inventory[[#This Row],[living_area_range]],Lookups!$K$28:$M$37,3,FALSE),1)</f>
        <v>0.99022994770196116</v>
      </c>
      <c r="BY1220" s="2">
        <f>AVERAGE(Wapato_Inventory[[#This Row],[qual_adj]:[range_adj]])</f>
        <v>0.97507965038920708</v>
      </c>
      <c r="BZ1220" s="7">
        <f>(Wapato_Inventory[[#This Row],[sum_land]]-IF(Wapato_Inventory[[#This Row],[no_utilities]]=1,12000,0))/IF(Wapato_Inventory[[#This Row],[unbuildable]]=1,2,1)</f>
        <v>51800</v>
      </c>
      <c r="CA1220" s="7">
        <f>Wapato_Inventory[[#This Row],[pre_res]]*Wapato_Inventory[[#This Row],[overall_adj]]</f>
        <v>77675.978152471042</v>
      </c>
      <c r="CB1220" s="3">
        <f>IF(ROUND(Wapato_Inventory[[#This Row],[adj_land]]*Lookups!$H$48,-2)&lt;Wapato_Inventory[[#This Row],[min_land]],Wapato_Inventory[[#This Row],[min_land]],ROUND(Wapato_Inventory[[#This Row],[adj_land]]*Lookups!$H$48,-2))</f>
        <v>49200</v>
      </c>
      <c r="CC1220" s="3">
        <f>IF(ROUND(Wapato_Inventory[[#This Row],[adj_res]]*Lookups!$H$48,-2)&lt;Wapato_Inventory[[#This Row],[min_res]],Wapato_Inventory[[#This Row],[min_res]],ROUND(Wapato_Inventory[[#This Row],[adj_res]]*Lookups!$H$48,-2))</f>
        <v>73800</v>
      </c>
      <c r="CD1220" s="3">
        <f>ROUND(Wapato_Inventory[[#This Row],[det_value]]*Lookups!$H$48,-2)</f>
        <v>5800</v>
      </c>
      <c r="CE1220" s="3">
        <f>Wapato_Inventory[[#This Row],[final_res]]+Wapato_Inventory[[#This Row],[final_det]]</f>
        <v>79600</v>
      </c>
      <c r="CF1220" s="3">
        <f>Wapato_Inventory[[#This Row],[crop_value]]+Wapato_Inventory[[#This Row],[final_land]]+Wapato_Inventory[[#This Row],[final_imp]]</f>
        <v>128800</v>
      </c>
      <c r="CH1220" t="str">
        <f t="shared" si="19"/>
        <v>update valuation set market_land =49200, market_bldg=79600, market_total =128800, market_mdno =405, market_date ='9/10/2023' where link_id = (select link_id from parcel where parcel_year = '2024' and parcel_id = '19112214444');</v>
      </c>
    </row>
    <row r="1221" spans="1:86" x14ac:dyDescent="0.25">
      <c r="A1221">
        <v>19112214445</v>
      </c>
      <c r="B1221">
        <v>0.35</v>
      </c>
      <c r="C1221">
        <v>15248</v>
      </c>
      <c r="D1221" t="s">
        <v>144</v>
      </c>
      <c r="E1221" t="s">
        <v>54</v>
      </c>
      <c r="F1221" t="s">
        <v>54</v>
      </c>
      <c r="G1221">
        <v>3</v>
      </c>
      <c r="H1221" t="s">
        <v>55</v>
      </c>
      <c r="I1221">
        <v>125700</v>
      </c>
      <c r="J1221">
        <v>38500</v>
      </c>
      <c r="K1221">
        <v>0.35</v>
      </c>
      <c r="L1221">
        <f>IF(Wapato_Inventory[[#This Row],[parcel_acres]]-Wapato_Inventory[[#This Row],[non_valued_acres]] =0,0,LN(Wapato_Inventory[[#This Row],[parcel_acres]]-Wapato_Inventory[[#This Row],[non_valued_acres]]))</f>
        <v>-1.0498221244986778</v>
      </c>
      <c r="M1221">
        <v>0</v>
      </c>
      <c r="N1221">
        <v>0</v>
      </c>
      <c r="O1221">
        <v>0</v>
      </c>
      <c r="P1221">
        <v>27904.037</v>
      </c>
      <c r="Q1221">
        <v>74398</v>
      </c>
      <c r="R1221" s="3">
        <f>(Wapato_Inventory[[#This Row],[ln_acres]]*Wapato_Inventory[[#This Row],[coeff]])+Wapato_Inventory[[#This Row],[const]]</f>
        <v>45103.724594570289</v>
      </c>
      <c r="S1221" t="s">
        <v>66</v>
      </c>
      <c r="T1221">
        <v>1</v>
      </c>
      <c r="U1221" t="s">
        <v>71</v>
      </c>
      <c r="V1221" t="s">
        <v>68</v>
      </c>
      <c r="W1221">
        <v>0</v>
      </c>
      <c r="X1221">
        <v>0</v>
      </c>
      <c r="Y1221">
        <v>53</v>
      </c>
      <c r="Z1221">
        <v>93</v>
      </c>
      <c r="AA1221">
        <v>100</v>
      </c>
      <c r="AB1221">
        <v>1000</v>
      </c>
      <c r="AC1221">
        <v>954</v>
      </c>
      <c r="AD1221">
        <v>954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360</v>
      </c>
      <c r="AL1221">
        <v>0</v>
      </c>
      <c r="AM1221">
        <v>0</v>
      </c>
      <c r="AN1221">
        <v>0</v>
      </c>
      <c r="AO1221">
        <v>0</v>
      </c>
      <c r="AP1221">
        <v>5</v>
      </c>
      <c r="AQ1221">
        <v>0</v>
      </c>
      <c r="AR1221">
        <v>0</v>
      </c>
      <c r="AS1221" t="s">
        <v>59</v>
      </c>
      <c r="AT1221">
        <v>1</v>
      </c>
      <c r="AU1221" t="s">
        <v>64</v>
      </c>
      <c r="AV1221" t="s">
        <v>61</v>
      </c>
      <c r="AW1221">
        <v>0</v>
      </c>
      <c r="AX1221">
        <v>3</v>
      </c>
      <c r="AY1221">
        <v>0</v>
      </c>
      <c r="AZ1221">
        <v>10900</v>
      </c>
      <c r="BA1221">
        <v>100</v>
      </c>
      <c r="BB1221">
        <v>100</v>
      </c>
      <c r="BC1221">
        <v>100</v>
      </c>
      <c r="BD1221">
        <v>100</v>
      </c>
      <c r="BE1221">
        <v>1</v>
      </c>
      <c r="BF1221">
        <v>15000</v>
      </c>
      <c r="BG1221">
        <v>1000</v>
      </c>
      <c r="BH1221" s="7">
        <f>ROUND(Wapato_Inventory[[#This Row],[detatched_value]]*Lookups!$B$22*Lookups!$H$48,-2)</f>
        <v>9700</v>
      </c>
      <c r="BI1221" s="7">
        <f>ROUND(((Wapato_Inventory[[#This Row],[land_extract]]*Lookups!$B$3) +(Lookups!$B$2*0.5))*Lookups!$H$48,-2)</f>
        <v>55400</v>
      </c>
      <c r="BJ1221" s="7">
        <f>IF(Wapato_Inventory[[#This Row],[bldg_style]]="",0,Lookups!$B$2*0.5)</f>
        <v>53765.27</v>
      </c>
      <c r="BK1221" s="7">
        <f>_xlfn.IFNA(VLOOKUP(Wapato_Inventory[[#This Row],[quality]],Lookups!$H$2:$J$14,3,FALSE),0)</f>
        <v>28034</v>
      </c>
      <c r="BL1221" s="7">
        <f>_xlfn.IFNA(VLOOKUP(Wapato_Inventory[[#This Row],[condition]],Lookups!$H$17:$J$24,3,FALSE),0)</f>
        <v>52231</v>
      </c>
      <c r="BM1221" s="7">
        <f>Wapato_Inventory[[#This Row],[Age]]*Lookups!$B$16</f>
        <v>-34472.840100000001</v>
      </c>
      <c r="BN1221" s="7">
        <f>Wapato_Inventory[[#This Row],[Main Floor]]*Lookups!$B$17</f>
        <v>39877.905006000001</v>
      </c>
      <c r="BO1221" s="7">
        <f>Wapato_Inventory[[#This Row],[Upper Floor]]*Lookups!$B$18</f>
        <v>0</v>
      </c>
      <c r="BP1221" s="7">
        <f>Wapato_Inventory[[#This Row],[Fin BSMT]]*Lookups!$B$19</f>
        <v>0</v>
      </c>
      <c r="BQ1221" s="7">
        <f>(Wapato_Inventory[[#This Row],[att_gar]]+Wapato_Inventory[[#This Row],[blt_gar]])*Lookups!$B$20</f>
        <v>0</v>
      </c>
      <c r="BR1221" s="7">
        <f>Wapato_Inventory[[#This Row],[Patio]]*Lookups!$B$21</f>
        <v>0</v>
      </c>
      <c r="BS1221" s="7">
        <f>SUM(Wapato_Inventory[[#This Row],[intercept]:[patio_value]])*Wapato_Inventory[[#This Row],[res_pct]]</f>
        <v>139435.334906</v>
      </c>
      <c r="BT1221" s="7">
        <f>Wapato_Inventory[[#This Row],[land_value]]</f>
        <v>55400</v>
      </c>
      <c r="BU1221" s="2">
        <f>_xlfn.IFNA(VLOOKUP(Wapato_Inventory[[#This Row],[quality]],Lookups!$A$28:$C$37,3,FALSE),1)</f>
        <v>0.96265813922927435</v>
      </c>
      <c r="BV1221" s="2">
        <f>_xlfn.IFNA(VLOOKUP(Wapato_Inventory[[#This Row],[condition]],Lookups!$A$41:$C$48,3,FALSE),1)</f>
        <v>0.9832333997567807</v>
      </c>
      <c r="BW1221" s="2">
        <f>IF(Wapato_Inventory[[#This Row],[decade]]="",1,_xlfn.IFNA(VLOOKUP(Wapato_Inventory[[#This Row],[decade]],Lookups!$F$28:$H$45,3,FALSE),1))</f>
        <v>1.0114203040664467</v>
      </c>
      <c r="BX1221" s="2">
        <f>_xlfn.IFNA(VLOOKUP(Wapato_Inventory[[#This Row],[living_area_range]],Lookups!$K$28:$M$37,3,FALSE),1)</f>
        <v>0.99022994770196116</v>
      </c>
      <c r="BY1221" s="2">
        <f>AVERAGE(Wapato_Inventory[[#This Row],[qual_adj]:[range_adj]])</f>
        <v>0.98688544768861564</v>
      </c>
      <c r="BZ1221" s="7">
        <f>(Wapato_Inventory[[#This Row],[sum_land]]-IF(Wapato_Inventory[[#This Row],[no_utilities]]=1,12000,0))/IF(Wapato_Inventory[[#This Row],[unbuildable]]=1,2,1)</f>
        <v>55400</v>
      </c>
      <c r="CA1221" s="7">
        <f>Wapato_Inventory[[#This Row],[pre_res]]*Wapato_Inventory[[#This Row],[overall_adj]]</f>
        <v>137606.70291231986</v>
      </c>
      <c r="CB1221" s="3">
        <f>IF(ROUND(Wapato_Inventory[[#This Row],[adj_land]]*Lookups!$H$48,-2)&lt;Wapato_Inventory[[#This Row],[min_land]],Wapato_Inventory[[#This Row],[min_land]],ROUND(Wapato_Inventory[[#This Row],[adj_land]]*Lookups!$H$48,-2))</f>
        <v>52600</v>
      </c>
      <c r="CC1221" s="3">
        <f>IF(ROUND(Wapato_Inventory[[#This Row],[adj_res]]*Lookups!$H$48,-2)&lt;Wapato_Inventory[[#This Row],[min_res]],Wapato_Inventory[[#This Row],[min_res]],ROUND(Wapato_Inventory[[#This Row],[adj_res]]*Lookups!$H$48,-2))</f>
        <v>130700</v>
      </c>
      <c r="CD1221" s="3">
        <f>ROUND(Wapato_Inventory[[#This Row],[det_value]]*Lookups!$H$48,-2)</f>
        <v>9200</v>
      </c>
      <c r="CE1221" s="3">
        <f>Wapato_Inventory[[#This Row],[final_res]]+Wapato_Inventory[[#This Row],[final_det]]</f>
        <v>139900</v>
      </c>
      <c r="CF1221" s="3">
        <f>Wapato_Inventory[[#This Row],[crop_value]]+Wapato_Inventory[[#This Row],[final_land]]+Wapato_Inventory[[#This Row],[final_imp]]</f>
        <v>192500</v>
      </c>
      <c r="CH1221" t="str">
        <f t="shared" si="19"/>
        <v>update valuation set market_land =52600, market_bldg=139900, market_total =192500, market_mdno =405, market_date ='9/10/2023' where link_id = (select link_id from parcel where parcel_year = '2024' and parcel_id = '19112214445');</v>
      </c>
    </row>
    <row r="1222" spans="1:86" x14ac:dyDescent="0.25">
      <c r="A1222">
        <v>19112214446</v>
      </c>
      <c r="B1222">
        <v>0.26</v>
      </c>
      <c r="C1222" t="s">
        <v>144</v>
      </c>
      <c r="D1222" t="s">
        <v>144</v>
      </c>
      <c r="E1222" t="s">
        <v>54</v>
      </c>
      <c r="F1222" t="s">
        <v>54</v>
      </c>
      <c r="G1222">
        <v>3</v>
      </c>
      <c r="H1222" t="s">
        <v>55</v>
      </c>
      <c r="I1222">
        <v>116400</v>
      </c>
      <c r="J1222">
        <v>36300</v>
      </c>
      <c r="K1222">
        <v>0.26</v>
      </c>
      <c r="L1222">
        <f>IF(Wapato_Inventory[[#This Row],[parcel_acres]]-Wapato_Inventory[[#This Row],[non_valued_acres]] =0,0,LN(Wapato_Inventory[[#This Row],[parcel_acres]]-Wapato_Inventory[[#This Row],[non_valued_acres]]))</f>
        <v>-1.3470736479666092</v>
      </c>
      <c r="M1222">
        <v>0</v>
      </c>
      <c r="N1222">
        <v>0</v>
      </c>
      <c r="O1222">
        <v>0</v>
      </c>
      <c r="P1222">
        <v>27904.037</v>
      </c>
      <c r="Q1222">
        <v>74398</v>
      </c>
      <c r="R1222" s="3">
        <f>(Wapato_Inventory[[#This Row],[ln_acres]]*Wapato_Inventory[[#This Row],[coeff]])+Wapato_Inventory[[#This Row],[const]]</f>
        <v>36809.207085414761</v>
      </c>
      <c r="S1222" t="s">
        <v>66</v>
      </c>
      <c r="T1222">
        <v>1</v>
      </c>
      <c r="U1222" t="s">
        <v>71</v>
      </c>
      <c r="V1222" t="s">
        <v>68</v>
      </c>
      <c r="W1222">
        <v>0</v>
      </c>
      <c r="X1222">
        <v>0</v>
      </c>
      <c r="Y1222">
        <v>53</v>
      </c>
      <c r="Z1222">
        <v>92</v>
      </c>
      <c r="AA1222">
        <v>100</v>
      </c>
      <c r="AB1222">
        <v>1000</v>
      </c>
      <c r="AC1222">
        <v>970</v>
      </c>
      <c r="AD1222">
        <v>970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295</v>
      </c>
      <c r="AL1222">
        <v>119</v>
      </c>
      <c r="AM1222">
        <v>0</v>
      </c>
      <c r="AN1222">
        <v>0</v>
      </c>
      <c r="AO1222">
        <v>55</v>
      </c>
      <c r="AP1222">
        <v>8</v>
      </c>
      <c r="AQ1222">
        <v>1</v>
      </c>
      <c r="AR1222">
        <v>0</v>
      </c>
      <c r="AS1222" t="s">
        <v>59</v>
      </c>
      <c r="AT1222">
        <v>1</v>
      </c>
      <c r="AU1222" t="s">
        <v>72</v>
      </c>
      <c r="AV1222" t="s">
        <v>61</v>
      </c>
      <c r="AW1222">
        <v>0</v>
      </c>
      <c r="AX1222">
        <v>2</v>
      </c>
      <c r="AY1222">
        <v>0</v>
      </c>
      <c r="AZ1222">
        <v>0</v>
      </c>
      <c r="BA1222">
        <v>100</v>
      </c>
      <c r="BB1222">
        <v>100</v>
      </c>
      <c r="BC1222">
        <v>100</v>
      </c>
      <c r="BD1222">
        <v>100</v>
      </c>
      <c r="BE1222">
        <v>1</v>
      </c>
      <c r="BF1222">
        <v>15000</v>
      </c>
      <c r="BG1222">
        <v>1000</v>
      </c>
      <c r="BH1222" s="7">
        <f>ROUND(Wapato_Inventory[[#This Row],[detatched_value]]*Lookups!$B$22*Lookups!$H$48,-2)</f>
        <v>0</v>
      </c>
      <c r="BI1222" s="7">
        <f>ROUND(((Wapato_Inventory[[#This Row],[land_extract]]*Lookups!$B$3) +(Lookups!$B$2*0.5))*Lookups!$H$48,-2)</f>
        <v>54600</v>
      </c>
      <c r="BJ1222" s="7">
        <f>IF(Wapato_Inventory[[#This Row],[bldg_style]]="",0,Lookups!$B$2*0.5)</f>
        <v>53765.27</v>
      </c>
      <c r="BK1222" s="7">
        <f>_xlfn.IFNA(VLOOKUP(Wapato_Inventory[[#This Row],[quality]],Lookups!$H$2:$J$14,3,FALSE),0)</f>
        <v>28034</v>
      </c>
      <c r="BL1222" s="7">
        <f>_xlfn.IFNA(VLOOKUP(Wapato_Inventory[[#This Row],[condition]],Lookups!$H$17:$J$24,3,FALSE),0)</f>
        <v>52231</v>
      </c>
      <c r="BM1222" s="7">
        <f>Wapato_Inventory[[#This Row],[Age]]*Lookups!$B$16</f>
        <v>-34102.164400000001</v>
      </c>
      <c r="BN1222" s="7">
        <f>Wapato_Inventory[[#This Row],[Main Floor]]*Lookups!$B$17</f>
        <v>40546.716829999998</v>
      </c>
      <c r="BO1222" s="7">
        <f>Wapato_Inventory[[#This Row],[Upper Floor]]*Lookups!$B$18</f>
        <v>0</v>
      </c>
      <c r="BP1222" s="7">
        <f>Wapato_Inventory[[#This Row],[Fin BSMT]]*Lookups!$B$19</f>
        <v>0</v>
      </c>
      <c r="BQ1222" s="7">
        <f>(Wapato_Inventory[[#This Row],[att_gar]]+Wapato_Inventory[[#This Row],[blt_gar]])*Lookups!$B$20</f>
        <v>0</v>
      </c>
      <c r="BR1222" s="7">
        <f>Wapato_Inventory[[#This Row],[Patio]]*Lookups!$B$21</f>
        <v>0</v>
      </c>
      <c r="BS1222" s="7">
        <f>SUM(Wapato_Inventory[[#This Row],[intercept]:[patio_value]])*Wapato_Inventory[[#This Row],[res_pct]]</f>
        <v>140474.82242999997</v>
      </c>
      <c r="BT1222" s="7">
        <f>Wapato_Inventory[[#This Row],[land_value]]</f>
        <v>54600</v>
      </c>
      <c r="BU1222" s="2">
        <f>_xlfn.IFNA(VLOOKUP(Wapato_Inventory[[#This Row],[quality]],Lookups!$A$28:$C$37,3,FALSE),1)</f>
        <v>0.96265813922927435</v>
      </c>
      <c r="BV1222" s="2">
        <f>_xlfn.IFNA(VLOOKUP(Wapato_Inventory[[#This Row],[condition]],Lookups!$A$41:$C$48,3,FALSE),1)</f>
        <v>0.9832333997567807</v>
      </c>
      <c r="BW1222" s="2">
        <f>IF(Wapato_Inventory[[#This Row],[decade]]="",1,_xlfn.IFNA(VLOOKUP(Wapato_Inventory[[#This Row],[decade]],Lookups!$F$28:$H$45,3,FALSE),1))</f>
        <v>1.0114203040664467</v>
      </c>
      <c r="BX1222" s="2">
        <f>_xlfn.IFNA(VLOOKUP(Wapato_Inventory[[#This Row],[living_area_range]],Lookups!$K$28:$M$37,3,FALSE),1)</f>
        <v>0.99022994770196116</v>
      </c>
      <c r="BY1222" s="2">
        <f>AVERAGE(Wapato_Inventory[[#This Row],[qual_adj]:[range_adj]])</f>
        <v>0.98688544768861564</v>
      </c>
      <c r="BZ1222" s="7">
        <f>(Wapato_Inventory[[#This Row],[sum_land]]-IF(Wapato_Inventory[[#This Row],[no_utilities]]=1,12000,0))/IF(Wapato_Inventory[[#This Row],[unbuildable]]=1,2,1)</f>
        <v>54600</v>
      </c>
      <c r="CA1222" s="7">
        <f>Wapato_Inventory[[#This Row],[pre_res]]*Wapato_Inventory[[#This Row],[overall_adj]]</f>
        <v>138632.5580228093</v>
      </c>
      <c r="CB1222" s="3">
        <f>IF(ROUND(Wapato_Inventory[[#This Row],[adj_land]]*Lookups!$H$48,-2)&lt;Wapato_Inventory[[#This Row],[min_land]],Wapato_Inventory[[#This Row],[min_land]],ROUND(Wapato_Inventory[[#This Row],[adj_land]]*Lookups!$H$48,-2))</f>
        <v>51900</v>
      </c>
      <c r="CC1222" s="3">
        <f>IF(ROUND(Wapato_Inventory[[#This Row],[adj_res]]*Lookups!$H$48,-2)&lt;Wapato_Inventory[[#This Row],[min_res]],Wapato_Inventory[[#This Row],[min_res]],ROUND(Wapato_Inventory[[#This Row],[adj_res]]*Lookups!$H$48,-2))</f>
        <v>131700</v>
      </c>
      <c r="CD1222" s="3">
        <f>ROUND(Wapato_Inventory[[#This Row],[det_value]]*Lookups!$H$48,-2)</f>
        <v>0</v>
      </c>
      <c r="CE1222" s="3">
        <f>Wapato_Inventory[[#This Row],[final_res]]+Wapato_Inventory[[#This Row],[final_det]]</f>
        <v>131700</v>
      </c>
      <c r="CF1222" s="3">
        <f>Wapato_Inventory[[#This Row],[crop_value]]+Wapato_Inventory[[#This Row],[final_land]]+Wapato_Inventory[[#This Row],[final_imp]]</f>
        <v>183600</v>
      </c>
      <c r="CH1222" t="str">
        <f t="shared" si="19"/>
        <v>update valuation set market_land =51900, market_bldg=131700, market_total =183600, market_mdno =405, market_date ='9/10/2023' where link_id = (select link_id from parcel where parcel_year = '2024' and parcel_id = '19112214446');</v>
      </c>
    </row>
    <row r="1223" spans="1:86" x14ac:dyDescent="0.25">
      <c r="A1223">
        <v>19112214449</v>
      </c>
      <c r="B1223">
        <v>2.5099999999999998</v>
      </c>
      <c r="C1223" t="s">
        <v>144</v>
      </c>
      <c r="D1223" t="s">
        <v>144</v>
      </c>
      <c r="E1223" t="s">
        <v>54</v>
      </c>
      <c r="F1223" t="s">
        <v>54</v>
      </c>
      <c r="G1223">
        <v>3</v>
      </c>
      <c r="H1223" t="s">
        <v>55</v>
      </c>
      <c r="I1223">
        <v>282000</v>
      </c>
      <c r="J1223">
        <v>52400</v>
      </c>
      <c r="K1223">
        <v>2.5099999999999998</v>
      </c>
      <c r="L1223">
        <f>IF(Wapato_Inventory[[#This Row],[parcel_acres]]-Wapato_Inventory[[#This Row],[non_valued_acres]] =0,0,LN(Wapato_Inventory[[#This Row],[parcel_acres]]-Wapato_Inventory[[#This Row],[non_valued_acres]]))</f>
        <v>0.92028275314369246</v>
      </c>
      <c r="M1223">
        <v>0</v>
      </c>
      <c r="N1223">
        <v>0</v>
      </c>
      <c r="O1223">
        <v>0</v>
      </c>
      <c r="P1223">
        <v>27904.037</v>
      </c>
      <c r="Q1223">
        <v>74398</v>
      </c>
      <c r="R1223" s="3">
        <f>(Wapato_Inventory[[#This Row],[ln_acres]]*Wapato_Inventory[[#This Row],[coeff]])+Wapato_Inventory[[#This Row],[const]]</f>
        <v>100077.60399418346</v>
      </c>
      <c r="S1223" t="s">
        <v>62</v>
      </c>
      <c r="T1223">
        <v>1</v>
      </c>
      <c r="U1223" t="s">
        <v>67</v>
      </c>
      <c r="V1223" t="s">
        <v>69</v>
      </c>
      <c r="W1223">
        <v>0</v>
      </c>
      <c r="X1223">
        <v>0</v>
      </c>
      <c r="Y1223">
        <v>52</v>
      </c>
      <c r="Z1223">
        <v>58</v>
      </c>
      <c r="AA1223">
        <v>60</v>
      </c>
      <c r="AB1223">
        <v>1500</v>
      </c>
      <c r="AC1223">
        <v>1500</v>
      </c>
      <c r="AD1223">
        <v>1500</v>
      </c>
      <c r="AE1223">
        <v>0</v>
      </c>
      <c r="AF1223">
        <v>0</v>
      </c>
      <c r="AG1223">
        <v>0</v>
      </c>
      <c r="AH1223">
        <v>0</v>
      </c>
      <c r="AI1223">
        <v>420</v>
      </c>
      <c r="AJ1223">
        <v>0</v>
      </c>
      <c r="AK1223">
        <v>0</v>
      </c>
      <c r="AL1223">
        <v>360</v>
      </c>
      <c r="AM1223">
        <v>0</v>
      </c>
      <c r="AN1223">
        <v>0</v>
      </c>
      <c r="AO1223">
        <v>0</v>
      </c>
      <c r="AP1223">
        <v>7</v>
      </c>
      <c r="AQ1223">
        <v>0</v>
      </c>
      <c r="AR1223">
        <v>1</v>
      </c>
      <c r="AS1223" t="s">
        <v>59</v>
      </c>
      <c r="AT1223">
        <v>1</v>
      </c>
      <c r="AU1223" t="s">
        <v>60</v>
      </c>
      <c r="AV1223" t="s">
        <v>61</v>
      </c>
      <c r="AW1223">
        <v>1</v>
      </c>
      <c r="AX1223">
        <v>3</v>
      </c>
      <c r="AY1223">
        <v>0</v>
      </c>
      <c r="AZ1223">
        <v>0</v>
      </c>
      <c r="BA1223">
        <v>100</v>
      </c>
      <c r="BB1223">
        <v>100</v>
      </c>
      <c r="BC1223">
        <v>100</v>
      </c>
      <c r="BD1223">
        <v>100</v>
      </c>
      <c r="BE1223">
        <v>1</v>
      </c>
      <c r="BF1223">
        <v>15000</v>
      </c>
      <c r="BG1223">
        <v>1000</v>
      </c>
      <c r="BH1223" s="7">
        <f>ROUND(Wapato_Inventory[[#This Row],[detatched_value]]*Lookups!$B$22*Lookups!$H$48,-2)</f>
        <v>0</v>
      </c>
      <c r="BI1223" s="7">
        <f>ROUND(((Wapato_Inventory[[#This Row],[land_extract]]*Lookups!$B$3) +(Lookups!$B$2*0.5))*Lookups!$H$48,-2)</f>
        <v>60700</v>
      </c>
      <c r="BJ1223" s="7">
        <f>IF(Wapato_Inventory[[#This Row],[bldg_style]]="",0,Lookups!$B$2*0.5)</f>
        <v>53765.27</v>
      </c>
      <c r="BK1223" s="7">
        <f>_xlfn.IFNA(VLOOKUP(Wapato_Inventory[[#This Row],[quality]],Lookups!$H$2:$J$14,3,FALSE),0)</f>
        <v>50405</v>
      </c>
      <c r="BL1223" s="7">
        <f>_xlfn.IFNA(VLOOKUP(Wapato_Inventory[[#This Row],[condition]],Lookups!$H$17:$J$24,3,FALSE),0)</f>
        <v>74543</v>
      </c>
      <c r="BM1223" s="7">
        <f>Wapato_Inventory[[#This Row],[Age]]*Lookups!$B$16</f>
        <v>-21499.190600000002</v>
      </c>
      <c r="BN1223" s="7">
        <f>Wapato_Inventory[[#This Row],[Main Floor]]*Lookups!$B$17</f>
        <v>62701.108500000002</v>
      </c>
      <c r="BO1223" s="7">
        <f>Wapato_Inventory[[#This Row],[Upper Floor]]*Lookups!$B$18</f>
        <v>0</v>
      </c>
      <c r="BP1223" s="7">
        <f>Wapato_Inventory[[#This Row],[Fin BSMT]]*Lookups!$B$19</f>
        <v>0</v>
      </c>
      <c r="BQ1223" s="7">
        <f>(Wapato_Inventory[[#This Row],[att_gar]]+Wapato_Inventory[[#This Row],[blt_gar]])*Lookups!$B$20</f>
        <v>15543.67584</v>
      </c>
      <c r="BR1223" s="7">
        <f>Wapato_Inventory[[#This Row],[Patio]]*Lookups!$B$21</f>
        <v>0</v>
      </c>
      <c r="BS1223" s="7">
        <f>SUM(Wapato_Inventory[[#This Row],[intercept]:[patio_value]])*Wapato_Inventory[[#This Row],[res_pct]]</f>
        <v>235458.86374</v>
      </c>
      <c r="BT1223" s="7">
        <f>Wapato_Inventory[[#This Row],[land_value]]</f>
        <v>60700</v>
      </c>
      <c r="BU1223" s="2">
        <f>_xlfn.IFNA(VLOOKUP(Wapato_Inventory[[#This Row],[quality]],Lookups!$A$28:$C$37,3,FALSE),1)</f>
        <v>0.97993206410140754</v>
      </c>
      <c r="BV1223" s="2">
        <f>_xlfn.IFNA(VLOOKUP(Wapato_Inventory[[#This Row],[condition]],Lookups!$A$41:$C$48,3,FALSE),1)</f>
        <v>0.98442438223270734</v>
      </c>
      <c r="BW1223" s="2">
        <f>IF(Wapato_Inventory[[#This Row],[decade]]="",1,_xlfn.IFNA(VLOOKUP(Wapato_Inventory[[#This Row],[decade]],Lookups!$F$28:$H$45,3,FALSE),1))</f>
        <v>1.035341704162583</v>
      </c>
      <c r="BX1223" s="2">
        <f>_xlfn.IFNA(VLOOKUP(Wapato_Inventory[[#This Row],[living_area_range]],Lookups!$K$28:$M$37,3,FALSE),1)</f>
        <v>1.0061411172456287</v>
      </c>
      <c r="BY1223" s="2">
        <f>AVERAGE(Wapato_Inventory[[#This Row],[qual_adj]:[range_adj]])</f>
        <v>1.0014598169355817</v>
      </c>
      <c r="BZ1223" s="7">
        <f>(Wapato_Inventory[[#This Row],[sum_land]]-IF(Wapato_Inventory[[#This Row],[no_utilities]]=1,12000,0))/IF(Wapato_Inventory[[#This Row],[unbuildable]]=1,2,1)</f>
        <v>60700</v>
      </c>
      <c r="CA1223" s="7">
        <f>Wapato_Inventory[[#This Row],[pre_res]]*Wapato_Inventory[[#This Row],[overall_adj]]</f>
        <v>235802.59057692048</v>
      </c>
      <c r="CB1223" s="3">
        <f>IF(ROUND(Wapato_Inventory[[#This Row],[adj_land]]*Lookups!$H$48,-2)&lt;Wapato_Inventory[[#This Row],[min_land]],Wapato_Inventory[[#This Row],[min_land]],ROUND(Wapato_Inventory[[#This Row],[adj_land]]*Lookups!$H$48,-2))</f>
        <v>57700</v>
      </c>
      <c r="CC1223" s="3">
        <f>IF(ROUND(Wapato_Inventory[[#This Row],[adj_res]]*Lookups!$H$48,-2)&lt;Wapato_Inventory[[#This Row],[min_res]],Wapato_Inventory[[#This Row],[min_res]],ROUND(Wapato_Inventory[[#This Row],[adj_res]]*Lookups!$H$48,-2))</f>
        <v>224000</v>
      </c>
      <c r="CD1223" s="3">
        <f>ROUND(Wapato_Inventory[[#This Row],[det_value]]*Lookups!$H$48,-2)</f>
        <v>0</v>
      </c>
      <c r="CE1223" s="3">
        <f>Wapato_Inventory[[#This Row],[final_res]]+Wapato_Inventory[[#This Row],[final_det]]</f>
        <v>224000</v>
      </c>
      <c r="CF1223" s="3">
        <f>Wapato_Inventory[[#This Row],[crop_value]]+Wapato_Inventory[[#This Row],[final_land]]+Wapato_Inventory[[#This Row],[final_imp]]</f>
        <v>281700</v>
      </c>
      <c r="CH1223" t="str">
        <f t="shared" si="19"/>
        <v>update valuation set market_land =57700, market_bldg=224000, market_total =281700, market_mdno =405, market_date ='9/10/2023' where link_id = (select link_id from parcel where parcel_year = '2024' and parcel_id = '19112214449');</v>
      </c>
    </row>
    <row r="1224" spans="1:86" x14ac:dyDescent="0.25">
      <c r="A1224">
        <v>19112323402</v>
      </c>
      <c r="B1224">
        <v>12.97</v>
      </c>
      <c r="C1224">
        <v>564792</v>
      </c>
      <c r="D1224" t="s">
        <v>144</v>
      </c>
      <c r="E1224" t="s">
        <v>54</v>
      </c>
      <c r="F1224" t="s">
        <v>54</v>
      </c>
      <c r="G1224">
        <v>3</v>
      </c>
      <c r="H1224" t="s">
        <v>55</v>
      </c>
      <c r="I1224">
        <v>178800</v>
      </c>
      <c r="J1224">
        <v>66100</v>
      </c>
      <c r="K1224">
        <v>12.97</v>
      </c>
      <c r="L1224">
        <f>IF(Wapato_Inventory[[#This Row],[parcel_acres]]-Wapato_Inventory[[#This Row],[non_valued_acres]] =0,0,LN(Wapato_Inventory[[#This Row],[parcel_acres]]-Wapato_Inventory[[#This Row],[non_valued_acres]]))</f>
        <v>2.5626389983283526</v>
      </c>
      <c r="M1224">
        <v>0</v>
      </c>
      <c r="N1224">
        <v>0</v>
      </c>
      <c r="O1224">
        <v>0</v>
      </c>
      <c r="P1224">
        <v>27904.037</v>
      </c>
      <c r="Q1224">
        <v>74398</v>
      </c>
      <c r="R1224" s="3">
        <f>(Wapato_Inventory[[#This Row],[ln_acres]]*Wapato_Inventory[[#This Row],[coeff]])+Wapato_Inventory[[#This Row],[const]]</f>
        <v>145905.97342699728</v>
      </c>
      <c r="S1224" t="s">
        <v>62</v>
      </c>
      <c r="T1224">
        <v>1</v>
      </c>
      <c r="U1224" t="s">
        <v>75</v>
      </c>
      <c r="V1224" t="s">
        <v>73</v>
      </c>
      <c r="W1224">
        <v>0</v>
      </c>
      <c r="X1224">
        <v>0</v>
      </c>
      <c r="Y1224">
        <v>33</v>
      </c>
      <c r="Z1224">
        <v>33</v>
      </c>
      <c r="AA1224">
        <v>40</v>
      </c>
      <c r="AB1224">
        <v>1500</v>
      </c>
      <c r="AC1224">
        <v>1456</v>
      </c>
      <c r="AD1224">
        <v>1456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8</v>
      </c>
      <c r="AQ1224">
        <v>0</v>
      </c>
      <c r="AR1224">
        <v>0</v>
      </c>
      <c r="AS1224" t="s">
        <v>59</v>
      </c>
      <c r="AT1224">
        <v>1</v>
      </c>
      <c r="AU1224" t="s">
        <v>60</v>
      </c>
      <c r="AV1224" t="s">
        <v>61</v>
      </c>
      <c r="AW1224">
        <v>1</v>
      </c>
      <c r="AX1224">
        <v>3</v>
      </c>
      <c r="AY1224">
        <v>0</v>
      </c>
      <c r="AZ1224">
        <v>11600</v>
      </c>
      <c r="BA1224">
        <v>100</v>
      </c>
      <c r="BB1224">
        <v>100</v>
      </c>
      <c r="BC1224">
        <v>100</v>
      </c>
      <c r="BD1224">
        <v>100</v>
      </c>
      <c r="BE1224">
        <v>1</v>
      </c>
      <c r="BF1224">
        <v>15000</v>
      </c>
      <c r="BG1224">
        <v>1000</v>
      </c>
      <c r="BH1224" s="7">
        <f>ROUND(Wapato_Inventory[[#This Row],[detatched_value]]*Lookups!$B$22*Lookups!$H$48,-2)</f>
        <v>10400</v>
      </c>
      <c r="BI1224" s="7">
        <f>ROUND(((Wapato_Inventory[[#This Row],[land_extract]]*Lookups!$B$3) +(Lookups!$B$2*0.5))*Lookups!$H$48,-2)</f>
        <v>65200</v>
      </c>
      <c r="BJ1224" s="7">
        <f>IF(Wapato_Inventory[[#This Row],[bldg_style]]="",0,Lookups!$B$2*0.5)</f>
        <v>53765.27</v>
      </c>
      <c r="BK1224" s="7">
        <f>_xlfn.IFNA(VLOOKUP(Wapato_Inventory[[#This Row],[quality]],Lookups!$H$2:$J$14,3,FALSE),0)</f>
        <v>48043</v>
      </c>
      <c r="BL1224" s="7">
        <f>_xlfn.IFNA(VLOOKUP(Wapato_Inventory[[#This Row],[condition]],Lookups!$H$17:$J$24,3,FALSE),0)</f>
        <v>16276</v>
      </c>
      <c r="BM1224" s="7">
        <f>Wapato_Inventory[[#This Row],[Age]]*Lookups!$B$16</f>
        <v>-12232.2981</v>
      </c>
      <c r="BN1224" s="7">
        <f>Wapato_Inventory[[#This Row],[Main Floor]]*Lookups!$B$17</f>
        <v>60861.875983999998</v>
      </c>
      <c r="BO1224" s="7">
        <f>Wapato_Inventory[[#This Row],[Upper Floor]]*Lookups!$B$18</f>
        <v>0</v>
      </c>
      <c r="BP1224" s="7">
        <f>Wapato_Inventory[[#This Row],[Fin BSMT]]*Lookups!$B$19</f>
        <v>0</v>
      </c>
      <c r="BQ1224" s="7">
        <f>(Wapato_Inventory[[#This Row],[att_gar]]+Wapato_Inventory[[#This Row],[blt_gar]])*Lookups!$B$20</f>
        <v>0</v>
      </c>
      <c r="BR1224" s="7">
        <f>Wapato_Inventory[[#This Row],[Patio]]*Lookups!$B$21</f>
        <v>0</v>
      </c>
      <c r="BS1224" s="7">
        <f>SUM(Wapato_Inventory[[#This Row],[intercept]:[patio_value]])*Wapato_Inventory[[#This Row],[res_pct]]</f>
        <v>166713.84788399999</v>
      </c>
      <c r="BT1224" s="7">
        <f>Wapato_Inventory[[#This Row],[land_value]]</f>
        <v>65200</v>
      </c>
      <c r="BU1224" s="2">
        <f>_xlfn.IFNA(VLOOKUP(Wapato_Inventory[[#This Row],[quality]],Lookups!$A$28:$C$37,3,FALSE),1)</f>
        <v>0.98196844879778955</v>
      </c>
      <c r="BV1224" s="2">
        <f>_xlfn.IFNA(VLOOKUP(Wapato_Inventory[[#This Row],[condition]],Lookups!$A$41:$C$48,3,FALSE),1)</f>
        <v>0.93399385491337139</v>
      </c>
      <c r="BW1224" s="2">
        <f>IF(Wapato_Inventory[[#This Row],[decade]]="",1,_xlfn.IFNA(VLOOKUP(Wapato_Inventory[[#This Row],[decade]],Lookups!$F$28:$H$45,3,FALSE),1))</f>
        <v>1.0327621624630683</v>
      </c>
      <c r="BX1224" s="2">
        <f>_xlfn.IFNA(VLOOKUP(Wapato_Inventory[[#This Row],[living_area_range]],Lookups!$K$28:$M$37,3,FALSE),1)</f>
        <v>1.0061411172456287</v>
      </c>
      <c r="BY1224" s="2">
        <f>AVERAGE(Wapato_Inventory[[#This Row],[qual_adj]:[range_adj]])</f>
        <v>0.98871639585496451</v>
      </c>
      <c r="BZ1224" s="7">
        <f>(Wapato_Inventory[[#This Row],[sum_land]]-IF(Wapato_Inventory[[#This Row],[no_utilities]]=1,12000,0))/IF(Wapato_Inventory[[#This Row],[unbuildable]]=1,2,1)</f>
        <v>65200</v>
      </c>
      <c r="CA1224" s="7">
        <f>Wapato_Inventory[[#This Row],[pre_res]]*Wapato_Inventory[[#This Row],[overall_adj]]</f>
        <v>164832.71481898127</v>
      </c>
      <c r="CB1224" s="3">
        <f>IF(ROUND(Wapato_Inventory[[#This Row],[adj_land]]*Lookups!$H$48,-2)&lt;Wapato_Inventory[[#This Row],[min_land]],Wapato_Inventory[[#This Row],[min_land]],ROUND(Wapato_Inventory[[#This Row],[adj_land]]*Lookups!$H$48,-2))</f>
        <v>61900</v>
      </c>
      <c r="CC1224" s="3">
        <f>IF(ROUND(Wapato_Inventory[[#This Row],[adj_res]]*Lookups!$H$48,-2)&lt;Wapato_Inventory[[#This Row],[min_res]],Wapato_Inventory[[#This Row],[min_res]],ROUND(Wapato_Inventory[[#This Row],[adj_res]]*Lookups!$H$48,-2))</f>
        <v>156600</v>
      </c>
      <c r="CD1224" s="3">
        <f>ROUND(Wapato_Inventory[[#This Row],[det_value]]*Lookups!$H$48,-2)</f>
        <v>9900</v>
      </c>
      <c r="CE1224" s="3">
        <f>Wapato_Inventory[[#This Row],[final_res]]+Wapato_Inventory[[#This Row],[final_det]]</f>
        <v>166500</v>
      </c>
      <c r="CF1224" s="3">
        <f>Wapato_Inventory[[#This Row],[crop_value]]+Wapato_Inventory[[#This Row],[final_land]]+Wapato_Inventory[[#This Row],[final_imp]]</f>
        <v>228400</v>
      </c>
      <c r="CH1224" t="str">
        <f t="shared" si="19"/>
        <v>update valuation set market_land =61900, market_bldg=166500, market_total =228400, market_mdno =405, market_date ='9/10/2023' where link_id = (select link_id from parcel where parcel_year = '2024' and parcel_id = '19112323402');</v>
      </c>
    </row>
    <row r="1225" spans="1:86" x14ac:dyDescent="0.25">
      <c r="A1225">
        <v>19113023004</v>
      </c>
      <c r="B1225">
        <v>83.21</v>
      </c>
      <c r="C1225" t="s">
        <v>144</v>
      </c>
      <c r="D1225" t="s">
        <v>144</v>
      </c>
      <c r="E1225" t="s">
        <v>54</v>
      </c>
      <c r="F1225" t="s">
        <v>54</v>
      </c>
      <c r="G1225">
        <v>3</v>
      </c>
      <c r="H1225" t="s">
        <v>177</v>
      </c>
      <c r="I1225">
        <v>530500</v>
      </c>
      <c r="J1225">
        <v>302700</v>
      </c>
      <c r="K1225">
        <v>83.21</v>
      </c>
      <c r="L1225">
        <f>IF(Wapato_Inventory[[#This Row],[parcel_acres]]-Wapato_Inventory[[#This Row],[non_valued_acres]] =0,0,LN(Wapato_Inventory[[#This Row],[parcel_acres]]-Wapato_Inventory[[#This Row],[non_valued_acres]]))</f>
        <v>4.4213675329123383</v>
      </c>
      <c r="M1225">
        <v>0</v>
      </c>
      <c r="N1225">
        <v>0</v>
      </c>
      <c r="O1225">
        <v>0</v>
      </c>
      <c r="P1225">
        <v>27904.037</v>
      </c>
      <c r="Q1225">
        <v>74398</v>
      </c>
      <c r="R1225" s="3">
        <f>(Wapato_Inventory[[#This Row],[ln_acres]]*Wapato_Inventory[[#This Row],[coeff]])+Wapato_Inventory[[#This Row],[const]]</f>
        <v>197772.0032289846</v>
      </c>
      <c r="S1225" t="s">
        <v>178</v>
      </c>
      <c r="T1225">
        <v>2</v>
      </c>
      <c r="U1225" t="s">
        <v>109</v>
      </c>
      <c r="V1225" t="s">
        <v>69</v>
      </c>
      <c r="W1225">
        <v>165200</v>
      </c>
      <c r="X1225">
        <v>0</v>
      </c>
      <c r="Y1225">
        <v>16</v>
      </c>
      <c r="Z1225">
        <v>16</v>
      </c>
      <c r="AA1225">
        <v>20</v>
      </c>
      <c r="AB1225">
        <v>5000</v>
      </c>
      <c r="AC1225">
        <v>4729</v>
      </c>
      <c r="AD1225">
        <v>2207</v>
      </c>
      <c r="AE1225">
        <v>848</v>
      </c>
      <c r="AF1225">
        <v>0</v>
      </c>
      <c r="AG1225">
        <v>1674</v>
      </c>
      <c r="AH1225">
        <v>0</v>
      </c>
      <c r="AI1225">
        <v>814</v>
      </c>
      <c r="AJ1225">
        <v>0</v>
      </c>
      <c r="AK1225">
        <v>0</v>
      </c>
      <c r="AL1225">
        <v>0</v>
      </c>
      <c r="AM1225">
        <v>193</v>
      </c>
      <c r="AN1225">
        <v>977</v>
      </c>
      <c r="AO1225">
        <v>0</v>
      </c>
      <c r="AP1225">
        <v>17</v>
      </c>
      <c r="AQ1225">
        <v>0</v>
      </c>
      <c r="AR1225">
        <v>1</v>
      </c>
      <c r="AS1225" t="s">
        <v>59</v>
      </c>
      <c r="AT1225">
        <v>1</v>
      </c>
      <c r="AU1225" t="s">
        <v>60</v>
      </c>
      <c r="AV1225" t="s">
        <v>61</v>
      </c>
      <c r="AW1225">
        <v>1</v>
      </c>
      <c r="AX1225">
        <v>4</v>
      </c>
      <c r="AY1225">
        <v>0</v>
      </c>
      <c r="AZ1225">
        <v>49900</v>
      </c>
      <c r="BA1225">
        <v>100</v>
      </c>
      <c r="BB1225">
        <v>63</v>
      </c>
      <c r="BC1225">
        <v>100</v>
      </c>
      <c r="BD1225">
        <v>100</v>
      </c>
      <c r="BE1225">
        <v>0.63</v>
      </c>
      <c r="BF1225">
        <v>15000</v>
      </c>
      <c r="BG1225">
        <v>1000</v>
      </c>
      <c r="BH1225" s="7">
        <f>ROUND(Wapato_Inventory[[#This Row],[detatched_value]]*Lookups!$B$22*Lookups!$H$48,-2)</f>
        <v>44600</v>
      </c>
      <c r="BI1225" s="7">
        <f>ROUND(((Wapato_Inventory[[#This Row],[land_extract]]*Lookups!$B$3) +(Lookups!$B$2*0.5))*Lookups!$H$48,-2)</f>
        <v>70200</v>
      </c>
      <c r="BJ1225" s="7">
        <f>IF(Wapato_Inventory[[#This Row],[bldg_style]]="",0,Lookups!$B$2*0.5)</f>
        <v>53765.27</v>
      </c>
      <c r="BK1225" s="7">
        <f>_xlfn.IFNA(VLOOKUP(Wapato_Inventory[[#This Row],[quality]],Lookups!$H$2:$J$14,3,FALSE),0)</f>
        <v>152450</v>
      </c>
      <c r="BL1225" s="7">
        <f>_xlfn.IFNA(VLOOKUP(Wapato_Inventory[[#This Row],[condition]],Lookups!$H$17:$J$24,3,FALSE),0)</f>
        <v>74543</v>
      </c>
      <c r="BM1225" s="7">
        <f>Wapato_Inventory[[#This Row],[Age]]*Lookups!$B$16</f>
        <v>-5930.8112000000001</v>
      </c>
      <c r="BN1225" s="7">
        <f>Wapato_Inventory[[#This Row],[Main Floor]]*Lookups!$B$17</f>
        <v>92254.230972999998</v>
      </c>
      <c r="BO1225" s="7">
        <f>Wapato_Inventory[[#This Row],[Upper Floor]]*Lookups!$B$18</f>
        <v>42061.765872000004</v>
      </c>
      <c r="BP1225" s="7">
        <f>Wapato_Inventory[[#This Row],[Fin BSMT]]*Lookups!$B$19</f>
        <v>40789.922760000001</v>
      </c>
      <c r="BQ1225" s="7">
        <f>(Wapato_Inventory[[#This Row],[att_gar]]+Wapato_Inventory[[#This Row],[blt_gar]])*Lookups!$B$20</f>
        <v>30125.124127999999</v>
      </c>
      <c r="BR1225" s="7">
        <f>Wapato_Inventory[[#This Row],[Patio]]*Lookups!$B$21</f>
        <v>8361.5279470000005</v>
      </c>
      <c r="BS1225" s="7">
        <f>SUM(Wapato_Inventory[[#This Row],[intercept]:[patio_value]])*Wapato_Inventory[[#This Row],[res_pct]]</f>
        <v>307704.61920240003</v>
      </c>
      <c r="BT1225" s="7">
        <f>Wapato_Inventory[[#This Row],[land_value]]</f>
        <v>70200</v>
      </c>
      <c r="BU1225" s="2">
        <f>_xlfn.IFNA(VLOOKUP(Wapato_Inventory[[#This Row],[quality]],Lookups!$A$28:$C$37,3,FALSE),1)</f>
        <v>1.0000008715458084</v>
      </c>
      <c r="BV1225" s="2">
        <f>_xlfn.IFNA(VLOOKUP(Wapato_Inventory[[#This Row],[condition]],Lookups!$A$41:$C$48,3,FALSE),1)</f>
        <v>0.98442438223270734</v>
      </c>
      <c r="BW1225" s="2">
        <f>IF(Wapato_Inventory[[#This Row],[decade]]="",1,_xlfn.IFNA(VLOOKUP(Wapato_Inventory[[#This Row],[decade]],Lookups!$F$28:$H$45,3,FALSE),1))</f>
        <v>1.0658609603367226</v>
      </c>
      <c r="BX1225" s="2">
        <f>_xlfn.IFNA(VLOOKUP(Wapato_Inventory[[#This Row],[living_area_range]],Lookups!$K$28:$M$37,3,FALSE),1)</f>
        <v>1.0155869662067822</v>
      </c>
      <c r="BY1225" s="2">
        <f>AVERAGE(Wapato_Inventory[[#This Row],[qual_adj]:[range_adj]])</f>
        <v>1.0164682950805051</v>
      </c>
      <c r="BZ1225" s="7">
        <f>(Wapato_Inventory[[#This Row],[sum_land]]-IF(Wapato_Inventory[[#This Row],[no_utilities]]=1,12000,0))/IF(Wapato_Inventory[[#This Row],[unbuildable]]=1,2,1)</f>
        <v>70200</v>
      </c>
      <c r="CA1225" s="7">
        <f>Wapato_Inventory[[#This Row],[pre_res]]*Wapato_Inventory[[#This Row],[overall_adj]]</f>
        <v>312771.98966905958</v>
      </c>
      <c r="CB1225" s="3">
        <f>IF(ROUND(Wapato_Inventory[[#This Row],[adj_land]]*Lookups!$H$48,-2)&lt;Wapato_Inventory[[#This Row],[min_land]],Wapato_Inventory[[#This Row],[min_land]],ROUND(Wapato_Inventory[[#This Row],[adj_land]]*Lookups!$H$48,-2))</f>
        <v>66700</v>
      </c>
      <c r="CC1225" s="3">
        <f>IF(ROUND(Wapato_Inventory[[#This Row],[adj_res]]*Lookups!$H$48,-2)&lt;Wapato_Inventory[[#This Row],[min_res]],Wapato_Inventory[[#This Row],[min_res]],ROUND(Wapato_Inventory[[#This Row],[adj_res]]*Lookups!$H$48,-2))</f>
        <v>297100</v>
      </c>
      <c r="CD1225" s="3">
        <f>ROUND(Wapato_Inventory[[#This Row],[det_value]]*Lookups!$H$48,-2)</f>
        <v>42400</v>
      </c>
      <c r="CE1225" s="3">
        <f>Wapato_Inventory[[#This Row],[final_res]]+Wapato_Inventory[[#This Row],[final_det]]</f>
        <v>339500</v>
      </c>
      <c r="CF1225" s="3">
        <f>Wapato_Inventory[[#This Row],[crop_value]]+Wapato_Inventory[[#This Row],[final_land]]+Wapato_Inventory[[#This Row],[final_imp]]</f>
        <v>406200</v>
      </c>
      <c r="CH1225" t="str">
        <f t="shared" si="19"/>
        <v>update valuation set market_land =66700, market_bldg=339500, market_total =406200, market_mdno =405, market_date ='9/10/2023' where link_id = (select link_id from parcel where parcel_year = '2024' and parcel_id = '19113023004');</v>
      </c>
    </row>
    <row r="1226" spans="1:86" x14ac:dyDescent="0.25">
      <c r="A1226">
        <v>19113313401</v>
      </c>
      <c r="B1226">
        <v>18.64</v>
      </c>
      <c r="C1226" t="s">
        <v>144</v>
      </c>
      <c r="D1226" t="s">
        <v>144</v>
      </c>
      <c r="E1226" t="s">
        <v>54</v>
      </c>
      <c r="F1226" t="s">
        <v>54</v>
      </c>
      <c r="G1226">
        <v>3</v>
      </c>
      <c r="H1226" t="s">
        <v>55</v>
      </c>
      <c r="I1226">
        <v>1077100</v>
      </c>
      <c r="J1226">
        <v>89100</v>
      </c>
      <c r="K1226">
        <v>18.64</v>
      </c>
      <c r="L1226">
        <f>IF(Wapato_Inventory[[#This Row],[parcel_acres]]-Wapato_Inventory[[#This Row],[non_valued_acres]] =0,0,LN(Wapato_Inventory[[#This Row],[parcel_acres]]-Wapato_Inventory[[#This Row],[non_valued_acres]]))</f>
        <v>2.925309809257445</v>
      </c>
      <c r="M1226">
        <v>0</v>
      </c>
      <c r="N1226">
        <v>0</v>
      </c>
      <c r="O1226">
        <v>0</v>
      </c>
      <c r="P1226">
        <v>27904.037</v>
      </c>
      <c r="Q1226">
        <v>74398</v>
      </c>
      <c r="R1226" s="3">
        <f>(Wapato_Inventory[[#This Row],[ln_acres]]*Wapato_Inventory[[#This Row],[coeff]])+Wapato_Inventory[[#This Row],[const]]</f>
        <v>156025.9531539827</v>
      </c>
      <c r="S1226" t="s">
        <v>178</v>
      </c>
      <c r="T1226">
        <v>2</v>
      </c>
      <c r="U1226" t="s">
        <v>180</v>
      </c>
      <c r="V1226" t="s">
        <v>69</v>
      </c>
      <c r="W1226">
        <v>436100</v>
      </c>
      <c r="X1226">
        <v>0</v>
      </c>
      <c r="Y1226">
        <v>18</v>
      </c>
      <c r="Z1226">
        <v>18</v>
      </c>
      <c r="AA1226">
        <v>20</v>
      </c>
      <c r="AB1226">
        <v>10500</v>
      </c>
      <c r="AC1226">
        <v>10400</v>
      </c>
      <c r="AD1226">
        <v>4180</v>
      </c>
      <c r="AE1226">
        <v>3214</v>
      </c>
      <c r="AF1226">
        <v>0</v>
      </c>
      <c r="AG1226">
        <v>3006</v>
      </c>
      <c r="AH1226">
        <v>420</v>
      </c>
      <c r="AI1226">
        <v>1601</v>
      </c>
      <c r="AJ1226">
        <v>0</v>
      </c>
      <c r="AK1226">
        <v>0</v>
      </c>
      <c r="AL1226">
        <v>0</v>
      </c>
      <c r="AM1226">
        <v>1628</v>
      </c>
      <c r="AN1226">
        <v>837</v>
      </c>
      <c r="AO1226">
        <v>0</v>
      </c>
      <c r="AP1226">
        <v>31</v>
      </c>
      <c r="AQ1226">
        <v>0</v>
      </c>
      <c r="AR1226">
        <v>1</v>
      </c>
      <c r="AS1226" t="s">
        <v>59</v>
      </c>
      <c r="AT1226">
        <v>1</v>
      </c>
      <c r="AU1226" t="s">
        <v>60</v>
      </c>
      <c r="AV1226" t="s">
        <v>61</v>
      </c>
      <c r="AW1226">
        <v>1</v>
      </c>
      <c r="AX1226">
        <v>10</v>
      </c>
      <c r="AY1226">
        <v>0</v>
      </c>
      <c r="AZ1226">
        <v>59000</v>
      </c>
      <c r="BA1226">
        <v>100</v>
      </c>
      <c r="BB1226">
        <v>54</v>
      </c>
      <c r="BC1226">
        <v>100</v>
      </c>
      <c r="BD1226">
        <v>100</v>
      </c>
      <c r="BE1226">
        <v>0.54</v>
      </c>
      <c r="BF1226">
        <v>15000</v>
      </c>
      <c r="BG1226">
        <v>1000</v>
      </c>
      <c r="BH1226" s="7">
        <f>ROUND(Wapato_Inventory[[#This Row],[detatched_value]]*Lookups!$B$22*Lookups!$H$48,-2)</f>
        <v>52700</v>
      </c>
      <c r="BI1226" s="7">
        <f>ROUND(((Wapato_Inventory[[#This Row],[land_extract]]*Lookups!$B$3) +(Lookups!$B$2*0.5))*Lookups!$H$48,-2)</f>
        <v>66100</v>
      </c>
      <c r="BJ1226" s="7">
        <f>IF(Wapato_Inventory[[#This Row],[bldg_style]]="",0,Lookups!$B$2*0.5)</f>
        <v>53765.27</v>
      </c>
      <c r="BK1226" s="7">
        <f>_xlfn.IFNA(VLOOKUP(Wapato_Inventory[[#This Row],[quality]],Lookups!$H$2:$J$14,3,FALSE),0)</f>
        <v>187664</v>
      </c>
      <c r="BL1226" s="7">
        <f>_xlfn.IFNA(VLOOKUP(Wapato_Inventory[[#This Row],[condition]],Lookups!$H$17:$J$24,3,FALSE),0)</f>
        <v>74543</v>
      </c>
      <c r="BM1226" s="7">
        <f>Wapato_Inventory[[#This Row],[Age]]*Lookups!$B$16</f>
        <v>-6672.1625999999997</v>
      </c>
      <c r="BN1226" s="7">
        <f>Wapato_Inventory[[#This Row],[Main Floor]]*Lookups!$B$17</f>
        <v>174727.08902000001</v>
      </c>
      <c r="BO1226" s="7">
        <f>Wapato_Inventory[[#This Row],[Upper Floor]]*Lookups!$B$18</f>
        <v>159418.060746</v>
      </c>
      <c r="BP1226" s="7">
        <f>Wapato_Inventory[[#This Row],[Fin BSMT]]*Lookups!$B$19</f>
        <v>73246.420440000002</v>
      </c>
      <c r="BQ1226" s="7">
        <f>(Wapato_Inventory[[#This Row],[att_gar]]+Wapato_Inventory[[#This Row],[blt_gar]])*Lookups!$B$20</f>
        <v>59251.011952000001</v>
      </c>
      <c r="BR1226" s="7">
        <f>Wapato_Inventory[[#This Row],[Patio]]*Lookups!$B$21</f>
        <v>70531.437812000004</v>
      </c>
      <c r="BS1226" s="7">
        <f>SUM(Wapato_Inventory[[#This Row],[intercept]:[patio_value]])*Wapato_Inventory[[#This Row],[res_pct]]</f>
        <v>457096.02877980011</v>
      </c>
      <c r="BT1226" s="7">
        <f>Wapato_Inventory[[#This Row],[land_value]]</f>
        <v>66100</v>
      </c>
      <c r="BU1226" s="2">
        <f>_xlfn.IFNA(VLOOKUP(Wapato_Inventory[[#This Row],[quality]],Lookups!$A$28:$C$37,3,FALSE),1)</f>
        <v>1</v>
      </c>
      <c r="BV1226" s="2">
        <f>_xlfn.IFNA(VLOOKUP(Wapato_Inventory[[#This Row],[condition]],Lookups!$A$41:$C$48,3,FALSE),1)</f>
        <v>0.98442438223270734</v>
      </c>
      <c r="BW1226" s="2">
        <f>IF(Wapato_Inventory[[#This Row],[decade]]="",1,_xlfn.IFNA(VLOOKUP(Wapato_Inventory[[#This Row],[decade]],Lookups!$F$28:$H$45,3,FALSE),1))</f>
        <v>1.0658609603367226</v>
      </c>
      <c r="BX1226" s="2">
        <f>_xlfn.IFNA(VLOOKUP(Wapato_Inventory[[#This Row],[living_area_range]],Lookups!$K$28:$M$37,3,FALSE),1)</f>
        <v>1</v>
      </c>
      <c r="BY1226" s="2">
        <f>AVERAGE(Wapato_Inventory[[#This Row],[qual_adj]:[range_adj]])</f>
        <v>1.0125713356423576</v>
      </c>
      <c r="BZ1226" s="7">
        <f>(Wapato_Inventory[[#This Row],[sum_land]]-IF(Wapato_Inventory[[#This Row],[no_utilities]]=1,12000,0))/IF(Wapato_Inventory[[#This Row],[unbuildable]]=1,2,1)</f>
        <v>66100</v>
      </c>
      <c r="CA1226" s="7">
        <f>Wapato_Inventory[[#This Row],[pre_res]]*Wapato_Inventory[[#This Row],[overall_adj]]</f>
        <v>462842.33637837972</v>
      </c>
      <c r="CB1226" s="3">
        <f>IF(ROUND(Wapato_Inventory[[#This Row],[adj_land]]*Lookups!$H$48,-2)&lt;Wapato_Inventory[[#This Row],[min_land]],Wapato_Inventory[[#This Row],[min_land]],ROUND(Wapato_Inventory[[#This Row],[adj_land]]*Lookups!$H$48,-2))</f>
        <v>62800</v>
      </c>
      <c r="CC1226" s="3">
        <f>IF(ROUND(Wapato_Inventory[[#This Row],[adj_res]]*Lookups!$H$48,-2)&lt;Wapato_Inventory[[#This Row],[min_res]],Wapato_Inventory[[#This Row],[min_res]],ROUND(Wapato_Inventory[[#This Row],[adj_res]]*Lookups!$H$48,-2))</f>
        <v>439700</v>
      </c>
      <c r="CD1226" s="3">
        <f>ROUND(Wapato_Inventory[[#This Row],[det_value]]*Lookups!$H$48,-2)</f>
        <v>50100</v>
      </c>
      <c r="CE1226" s="3">
        <f>Wapato_Inventory[[#This Row],[final_res]]+Wapato_Inventory[[#This Row],[final_det]]</f>
        <v>489800</v>
      </c>
      <c r="CF1226" s="3">
        <f>Wapato_Inventory[[#This Row],[crop_value]]+Wapato_Inventory[[#This Row],[final_land]]+Wapato_Inventory[[#This Row],[final_imp]]</f>
        <v>552600</v>
      </c>
      <c r="CH1226" t="str">
        <f t="shared" si="19"/>
        <v>update valuation set market_land =62800, market_bldg=489800, market_total =552600, market_mdno =405, market_date ='9/10/2023' where link_id = (select link_id from parcel where parcel_year = '2024' and parcel_id = '19113313401');</v>
      </c>
    </row>
    <row r="1227" spans="1:86" x14ac:dyDescent="0.25">
      <c r="A1227">
        <v>19121913004</v>
      </c>
      <c r="B1227">
        <v>7.06</v>
      </c>
      <c r="C1227">
        <v>307430</v>
      </c>
      <c r="D1227" t="s">
        <v>144</v>
      </c>
      <c r="E1227" t="s">
        <v>54</v>
      </c>
      <c r="F1227" t="s">
        <v>54</v>
      </c>
      <c r="G1227">
        <v>3</v>
      </c>
      <c r="H1227" t="s">
        <v>55</v>
      </c>
      <c r="I1227">
        <v>1113500</v>
      </c>
      <c r="J1227">
        <v>75000</v>
      </c>
      <c r="K1227">
        <v>7.06</v>
      </c>
      <c r="L1227">
        <f>IF(Wapato_Inventory[[#This Row],[parcel_acres]]-Wapato_Inventory[[#This Row],[non_valued_acres]] =0,0,LN(Wapato_Inventory[[#This Row],[parcel_acres]]-Wapato_Inventory[[#This Row],[non_valued_acres]]))</f>
        <v>1.9544450515051506</v>
      </c>
      <c r="M1227">
        <v>0</v>
      </c>
      <c r="N1227">
        <v>0</v>
      </c>
      <c r="O1227">
        <v>0</v>
      </c>
      <c r="P1227">
        <v>27904.037</v>
      </c>
      <c r="Q1227">
        <v>74398</v>
      </c>
      <c r="R1227" s="3">
        <f>(Wapato_Inventory[[#This Row],[ln_acres]]*Wapato_Inventory[[#This Row],[coeff]])+Wapato_Inventory[[#This Row],[const]]</f>
        <v>128934.90703166663</v>
      </c>
      <c r="S1227" t="s">
        <v>56</v>
      </c>
      <c r="T1227">
        <v>1</v>
      </c>
      <c r="U1227" t="s">
        <v>109</v>
      </c>
      <c r="V1227" t="s">
        <v>69</v>
      </c>
      <c r="W1227">
        <v>165200</v>
      </c>
      <c r="X1227">
        <v>0</v>
      </c>
      <c r="Y1227">
        <v>17</v>
      </c>
      <c r="Z1227">
        <v>44</v>
      </c>
      <c r="AA1227">
        <v>50</v>
      </c>
      <c r="AB1227">
        <v>7500</v>
      </c>
      <c r="AC1227">
        <v>7176</v>
      </c>
      <c r="AD1227">
        <v>3598</v>
      </c>
      <c r="AE1227">
        <v>0</v>
      </c>
      <c r="AF1227">
        <v>0</v>
      </c>
      <c r="AG1227">
        <v>3578</v>
      </c>
      <c r="AH1227">
        <v>0</v>
      </c>
      <c r="AI1227">
        <v>0</v>
      </c>
      <c r="AJ1227">
        <v>0</v>
      </c>
      <c r="AK1227">
        <v>0</v>
      </c>
      <c r="AL1227">
        <v>2490</v>
      </c>
      <c r="AM1227">
        <v>3278</v>
      </c>
      <c r="AN1227">
        <v>356</v>
      </c>
      <c r="AO1227">
        <v>0</v>
      </c>
      <c r="AP1227">
        <v>20</v>
      </c>
      <c r="AQ1227">
        <v>0</v>
      </c>
      <c r="AR1227">
        <v>1</v>
      </c>
      <c r="AS1227" t="s">
        <v>74</v>
      </c>
      <c r="AT1227">
        <v>1</v>
      </c>
      <c r="AU1227" t="s">
        <v>64</v>
      </c>
      <c r="AV1227" t="s">
        <v>61</v>
      </c>
      <c r="AW1227">
        <v>1</v>
      </c>
      <c r="AX1227">
        <v>3</v>
      </c>
      <c r="AY1227">
        <v>0</v>
      </c>
      <c r="AZ1227">
        <v>68500</v>
      </c>
      <c r="BA1227">
        <v>100</v>
      </c>
      <c r="BB1227">
        <v>63</v>
      </c>
      <c r="BC1227">
        <v>100</v>
      </c>
      <c r="BD1227">
        <v>100</v>
      </c>
      <c r="BE1227">
        <v>0.63</v>
      </c>
      <c r="BF1227">
        <v>15000</v>
      </c>
      <c r="BG1227">
        <v>1000</v>
      </c>
      <c r="BH1227" s="7">
        <f>ROUND(Wapato_Inventory[[#This Row],[detatched_value]]*Lookups!$B$22*Lookups!$H$48,-2)</f>
        <v>61200</v>
      </c>
      <c r="BI1227" s="7">
        <f>ROUND(((Wapato_Inventory[[#This Row],[land_extract]]*Lookups!$B$3) +(Lookups!$B$2*0.5))*Lookups!$H$48,-2)</f>
        <v>63500</v>
      </c>
      <c r="BJ1227" s="7">
        <f>IF(Wapato_Inventory[[#This Row],[bldg_style]]="",0,Lookups!$B$2*0.5)</f>
        <v>53765.27</v>
      </c>
      <c r="BK1227" s="7">
        <f>_xlfn.IFNA(VLOOKUP(Wapato_Inventory[[#This Row],[quality]],Lookups!$H$2:$J$14,3,FALSE),0)</f>
        <v>152450</v>
      </c>
      <c r="BL1227" s="7">
        <f>_xlfn.IFNA(VLOOKUP(Wapato_Inventory[[#This Row],[condition]],Lookups!$H$17:$J$24,3,FALSE),0)</f>
        <v>74543</v>
      </c>
      <c r="BM1227" s="7">
        <f>Wapato_Inventory[[#This Row],[Age]]*Lookups!$B$16</f>
        <v>-16309.730800000001</v>
      </c>
      <c r="BN1227" s="7">
        <f>Wapato_Inventory[[#This Row],[Main Floor]]*Lookups!$B$17</f>
        <v>150399.058922</v>
      </c>
      <c r="BO1227" s="7">
        <f>Wapato_Inventory[[#This Row],[Upper Floor]]*Lookups!$B$18</f>
        <v>0</v>
      </c>
      <c r="BP1227" s="7">
        <f>Wapato_Inventory[[#This Row],[Fin BSMT]]*Lookups!$B$19</f>
        <v>87184.195720000003</v>
      </c>
      <c r="BQ1227" s="7">
        <f>(Wapato_Inventory[[#This Row],[att_gar]]+Wapato_Inventory[[#This Row],[blt_gar]])*Lookups!$B$20</f>
        <v>0</v>
      </c>
      <c r="BR1227" s="7">
        <f>Wapato_Inventory[[#This Row],[Patio]]*Lookups!$B$21</f>
        <v>142016.00316200001</v>
      </c>
      <c r="BS1227" s="7">
        <f>SUM(Wapato_Inventory[[#This Row],[intercept]:[patio_value]])*Wapato_Inventory[[#This Row],[res_pct]]</f>
        <v>405750.11211252003</v>
      </c>
      <c r="BT1227" s="7">
        <f>Wapato_Inventory[[#This Row],[land_value]]</f>
        <v>63500</v>
      </c>
      <c r="BU1227" s="2">
        <f>_xlfn.IFNA(VLOOKUP(Wapato_Inventory[[#This Row],[quality]],Lookups!$A$28:$C$37,3,FALSE),1)</f>
        <v>1.0000008715458084</v>
      </c>
      <c r="BV1227" s="2">
        <f>_xlfn.IFNA(VLOOKUP(Wapato_Inventory[[#This Row],[condition]],Lookups!$A$41:$C$48,3,FALSE),1)</f>
        <v>0.98442438223270734</v>
      </c>
      <c r="BW1227" s="2">
        <f>IF(Wapato_Inventory[[#This Row],[decade]]="",1,_xlfn.IFNA(VLOOKUP(Wapato_Inventory[[#This Row],[decade]],Lookups!$F$28:$H$45,3,FALSE),1))</f>
        <v>0.96240333884358298</v>
      </c>
      <c r="BX1227" s="2">
        <f>_xlfn.IFNA(VLOOKUP(Wapato_Inventory[[#This Row],[living_area_range]],Lookups!$K$28:$M$37,3,FALSE),1)</f>
        <v>1</v>
      </c>
      <c r="BY1227" s="2">
        <f>AVERAGE(Wapato_Inventory[[#This Row],[qual_adj]:[range_adj]])</f>
        <v>0.98670714815552474</v>
      </c>
      <c r="BZ1227" s="7">
        <f>(Wapato_Inventory[[#This Row],[sum_land]]-IF(Wapato_Inventory[[#This Row],[no_utilities]]=1,12000,0))/IF(Wapato_Inventory[[#This Row],[unbuildable]]=1,2,1)</f>
        <v>63500</v>
      </c>
      <c r="CA1227" s="7">
        <f>Wapato_Inventory[[#This Row],[pre_res]]*Wapato_Inventory[[#This Row],[overall_adj]]</f>
        <v>400356.53598632908</v>
      </c>
      <c r="CB1227" s="3">
        <f>IF(ROUND(Wapato_Inventory[[#This Row],[adj_land]]*Lookups!$H$48,-2)&lt;Wapato_Inventory[[#This Row],[min_land]],Wapato_Inventory[[#This Row],[min_land]],ROUND(Wapato_Inventory[[#This Row],[adj_land]]*Lookups!$H$48,-2))</f>
        <v>60300</v>
      </c>
      <c r="CC1227" s="3">
        <f>IF(ROUND(Wapato_Inventory[[#This Row],[adj_res]]*Lookups!$H$48,-2)&lt;Wapato_Inventory[[#This Row],[min_res]],Wapato_Inventory[[#This Row],[min_res]],ROUND(Wapato_Inventory[[#This Row],[adj_res]]*Lookups!$H$48,-2))</f>
        <v>380300</v>
      </c>
      <c r="CD1227" s="3">
        <f>ROUND(Wapato_Inventory[[#This Row],[det_value]]*Lookups!$H$48,-2)</f>
        <v>58100</v>
      </c>
      <c r="CE1227" s="3">
        <f>Wapato_Inventory[[#This Row],[final_res]]+Wapato_Inventory[[#This Row],[final_det]]</f>
        <v>438400</v>
      </c>
      <c r="CF1227" s="3">
        <f>Wapato_Inventory[[#This Row],[crop_value]]+Wapato_Inventory[[#This Row],[final_land]]+Wapato_Inventory[[#This Row],[final_imp]]</f>
        <v>498700</v>
      </c>
      <c r="CH1227" t="str">
        <f t="shared" si="19"/>
        <v>update valuation set market_land =60300, market_bldg=438400, market_total =498700, market_mdno =405, market_date ='9/10/2023' where link_id = (select link_id from parcel where parcel_year = '2024' and parcel_id = '19121913004');</v>
      </c>
    </row>
    <row r="1228" spans="1:86" x14ac:dyDescent="0.25">
      <c r="A1228">
        <v>19122111003</v>
      </c>
      <c r="B1228">
        <v>7.55</v>
      </c>
      <c r="C1228">
        <v>328740</v>
      </c>
      <c r="D1228" t="s">
        <v>144</v>
      </c>
      <c r="E1228" t="s">
        <v>54</v>
      </c>
      <c r="F1228" t="s">
        <v>54</v>
      </c>
      <c r="G1228">
        <v>3</v>
      </c>
      <c r="H1228" t="s">
        <v>55</v>
      </c>
      <c r="I1228">
        <v>809400</v>
      </c>
      <c r="J1228">
        <v>73100</v>
      </c>
      <c r="K1228">
        <v>7.55</v>
      </c>
      <c r="L1228">
        <f>IF(Wapato_Inventory[[#This Row],[parcel_acres]]-Wapato_Inventory[[#This Row],[non_valued_acres]] =0,0,LN(Wapato_Inventory[[#This Row],[parcel_acres]]-Wapato_Inventory[[#This Row],[non_valued_acres]]))</f>
        <v>2.0215475632609334</v>
      </c>
      <c r="M1228">
        <v>0</v>
      </c>
      <c r="N1228">
        <v>0</v>
      </c>
      <c r="O1228">
        <v>0</v>
      </c>
      <c r="P1228">
        <v>27904.037</v>
      </c>
      <c r="Q1228">
        <v>74398</v>
      </c>
      <c r="R1228" s="3">
        <f>(Wapato_Inventory[[#This Row],[ln_acres]]*Wapato_Inventory[[#This Row],[coeff]])+Wapato_Inventory[[#This Row],[const]]</f>
        <v>130807.33800249294</v>
      </c>
      <c r="S1228" t="s">
        <v>178</v>
      </c>
      <c r="T1228">
        <v>1</v>
      </c>
      <c r="U1228" t="s">
        <v>61</v>
      </c>
      <c r="V1228" t="s">
        <v>69</v>
      </c>
      <c r="W1228">
        <v>271700</v>
      </c>
      <c r="X1228">
        <v>0</v>
      </c>
      <c r="Y1228">
        <v>27</v>
      </c>
      <c r="Z1228">
        <v>27</v>
      </c>
      <c r="AA1228">
        <v>30</v>
      </c>
      <c r="AB1228">
        <v>4000</v>
      </c>
      <c r="AC1228">
        <v>3835</v>
      </c>
      <c r="AD1228">
        <v>2646</v>
      </c>
      <c r="AE1228">
        <v>0</v>
      </c>
      <c r="AF1228">
        <v>0</v>
      </c>
      <c r="AG1228">
        <v>1189</v>
      </c>
      <c r="AH1228">
        <v>0</v>
      </c>
      <c r="AI1228">
        <v>1248</v>
      </c>
      <c r="AJ1228">
        <v>0</v>
      </c>
      <c r="AK1228">
        <v>0</v>
      </c>
      <c r="AL1228">
        <v>907</v>
      </c>
      <c r="AM1228">
        <v>599</v>
      </c>
      <c r="AN1228">
        <v>50</v>
      </c>
      <c r="AO1228">
        <v>0</v>
      </c>
      <c r="AP1228">
        <v>18</v>
      </c>
      <c r="AQ1228">
        <v>0</v>
      </c>
      <c r="AR1228">
        <v>0</v>
      </c>
      <c r="AS1228" t="s">
        <v>59</v>
      </c>
      <c r="AT1228">
        <v>1</v>
      </c>
      <c r="AU1228" t="s">
        <v>64</v>
      </c>
      <c r="AV1228" t="s">
        <v>61</v>
      </c>
      <c r="AW1228">
        <v>1</v>
      </c>
      <c r="AX1228">
        <v>4</v>
      </c>
      <c r="AY1228">
        <v>0</v>
      </c>
      <c r="AZ1228">
        <v>0</v>
      </c>
      <c r="BA1228">
        <v>100</v>
      </c>
      <c r="BB1228">
        <v>85</v>
      </c>
      <c r="BC1228">
        <v>100</v>
      </c>
      <c r="BD1228">
        <v>100</v>
      </c>
      <c r="BE1228">
        <v>0.85</v>
      </c>
      <c r="BF1228">
        <v>15000</v>
      </c>
      <c r="BG1228">
        <v>1000</v>
      </c>
      <c r="BH1228" s="7">
        <f>ROUND(Wapato_Inventory[[#This Row],[detatched_value]]*Lookups!$B$22*Lookups!$H$48,-2)</f>
        <v>0</v>
      </c>
      <c r="BI1228" s="7">
        <f>ROUND(((Wapato_Inventory[[#This Row],[land_extract]]*Lookups!$B$3) +(Lookups!$B$2*0.5))*Lookups!$H$48,-2)</f>
        <v>63700</v>
      </c>
      <c r="BJ1228" s="7">
        <f>IF(Wapato_Inventory[[#This Row],[bldg_style]]="",0,Lookups!$B$2*0.5)</f>
        <v>53765.27</v>
      </c>
      <c r="BK1228" s="7">
        <f>_xlfn.IFNA(VLOOKUP(Wapato_Inventory[[#This Row],[quality]],Lookups!$H$2:$J$14,3,FALSE),0)</f>
        <v>170057</v>
      </c>
      <c r="BL1228" s="7">
        <f>_xlfn.IFNA(VLOOKUP(Wapato_Inventory[[#This Row],[condition]],Lookups!$H$17:$J$24,3,FALSE),0)</f>
        <v>74543</v>
      </c>
      <c r="BM1228" s="7">
        <f>Wapato_Inventory[[#This Row],[Age]]*Lookups!$B$16</f>
        <v>-10008.243899999999</v>
      </c>
      <c r="BN1228" s="7">
        <f>Wapato_Inventory[[#This Row],[Main Floor]]*Lookups!$B$17</f>
        <v>110604.75539400001</v>
      </c>
      <c r="BO1228" s="7">
        <f>Wapato_Inventory[[#This Row],[Upper Floor]]*Lookups!$B$18</f>
        <v>0</v>
      </c>
      <c r="BP1228" s="7">
        <f>Wapato_Inventory[[#This Row],[Fin BSMT]]*Lookups!$B$19</f>
        <v>28972.05386</v>
      </c>
      <c r="BQ1228" s="7">
        <f>(Wapato_Inventory[[#This Row],[att_gar]]+Wapato_Inventory[[#This Row],[blt_gar]])*Lookups!$B$20</f>
        <v>46186.922495999999</v>
      </c>
      <c r="BR1228" s="7">
        <f>Wapato_Inventory[[#This Row],[Patio]]*Lookups!$B$21</f>
        <v>25951.063421000003</v>
      </c>
      <c r="BS1228" s="7">
        <f>SUM(Wapato_Inventory[[#This Row],[intercept]:[patio_value]])*Wapato_Inventory[[#This Row],[res_pct]]</f>
        <v>425061.04808034998</v>
      </c>
      <c r="BT1228" s="7">
        <f>Wapato_Inventory[[#This Row],[land_value]]</f>
        <v>63700</v>
      </c>
      <c r="BU1228" s="2">
        <f>_xlfn.IFNA(VLOOKUP(Wapato_Inventory[[#This Row],[quality]],Lookups!$A$28:$C$37,3,FALSE),1)</f>
        <v>1</v>
      </c>
      <c r="BV1228" s="2">
        <f>_xlfn.IFNA(VLOOKUP(Wapato_Inventory[[#This Row],[condition]],Lookups!$A$41:$C$48,3,FALSE),1)</f>
        <v>0.98442438223270734</v>
      </c>
      <c r="BW1228" s="2">
        <f>IF(Wapato_Inventory[[#This Row],[decade]]="",1,_xlfn.IFNA(VLOOKUP(Wapato_Inventory[[#This Row],[decade]],Lookups!$F$28:$H$45,3,FALSE),1))</f>
        <v>1.0490505496896987</v>
      </c>
      <c r="BX1228" s="2">
        <f>_xlfn.IFNA(VLOOKUP(Wapato_Inventory[[#This Row],[living_area_range]],Lookups!$K$28:$M$37,3,FALSE),1)</f>
        <v>1.0155869662067822</v>
      </c>
      <c r="BY1228" s="2">
        <f>AVERAGE(Wapato_Inventory[[#This Row],[qual_adj]:[range_adj]])</f>
        <v>1.012265474532297</v>
      </c>
      <c r="BZ1228" s="7">
        <f>(Wapato_Inventory[[#This Row],[sum_land]]-IF(Wapato_Inventory[[#This Row],[no_utilities]]=1,12000,0))/IF(Wapato_Inventory[[#This Row],[unbuildable]]=1,2,1)</f>
        <v>63700</v>
      </c>
      <c r="CA1228" s="7">
        <f>Wapato_Inventory[[#This Row],[pre_res]]*Wapato_Inventory[[#This Row],[overall_adj]]</f>
        <v>430274.62354025099</v>
      </c>
      <c r="CB1228" s="3">
        <f>IF(ROUND(Wapato_Inventory[[#This Row],[adj_land]]*Lookups!$H$48,-2)&lt;Wapato_Inventory[[#This Row],[min_land]],Wapato_Inventory[[#This Row],[min_land]],ROUND(Wapato_Inventory[[#This Row],[adj_land]]*Lookups!$H$48,-2))</f>
        <v>60500</v>
      </c>
      <c r="CC1228" s="3">
        <f>IF(ROUND(Wapato_Inventory[[#This Row],[adj_res]]*Lookups!$H$48,-2)&lt;Wapato_Inventory[[#This Row],[min_res]],Wapato_Inventory[[#This Row],[min_res]],ROUND(Wapato_Inventory[[#This Row],[adj_res]]*Lookups!$H$48,-2))</f>
        <v>408800</v>
      </c>
      <c r="CD1228" s="3">
        <f>ROUND(Wapato_Inventory[[#This Row],[det_value]]*Lookups!$H$48,-2)</f>
        <v>0</v>
      </c>
      <c r="CE1228" s="3">
        <f>Wapato_Inventory[[#This Row],[final_res]]+Wapato_Inventory[[#This Row],[final_det]]</f>
        <v>408800</v>
      </c>
      <c r="CF1228" s="3">
        <f>Wapato_Inventory[[#This Row],[crop_value]]+Wapato_Inventory[[#This Row],[final_land]]+Wapato_Inventory[[#This Row],[final_imp]]</f>
        <v>469300</v>
      </c>
      <c r="CH1228" t="str">
        <f t="shared" si="19"/>
        <v>update valuation set market_land =60500, market_bldg=408800, market_total =469300, market_mdno =405, market_date ='9/10/2023' where link_id = (select link_id from parcel where parcel_year = '2024' and parcel_id = '19122111003');</v>
      </c>
    </row>
    <row r="1229" spans="1:86" x14ac:dyDescent="0.25">
      <c r="A1229">
        <v>19122111005</v>
      </c>
      <c r="B1229">
        <v>11.97</v>
      </c>
      <c r="C1229">
        <v>521218</v>
      </c>
      <c r="D1229" t="s">
        <v>144</v>
      </c>
      <c r="E1229" t="s">
        <v>54</v>
      </c>
      <c r="F1229" t="s">
        <v>54</v>
      </c>
      <c r="G1229">
        <v>3</v>
      </c>
      <c r="H1229" t="s">
        <v>55</v>
      </c>
      <c r="I1229">
        <v>603800</v>
      </c>
      <c r="J1229">
        <v>85700</v>
      </c>
      <c r="K1229">
        <v>11.97</v>
      </c>
      <c r="L1229">
        <f>IF(Wapato_Inventory[[#This Row],[parcel_acres]]-Wapato_Inventory[[#This Row],[non_valued_acres]] =0,0,LN(Wapato_Inventory[[#This Row],[parcel_acres]]-Wapato_Inventory[[#This Row],[non_valued_acres]]))</f>
        <v>2.4824035195698819</v>
      </c>
      <c r="M1229">
        <v>0</v>
      </c>
      <c r="N1229">
        <v>0</v>
      </c>
      <c r="O1229">
        <v>0</v>
      </c>
      <c r="P1229">
        <v>27904.037</v>
      </c>
      <c r="Q1229">
        <v>74398</v>
      </c>
      <c r="R1229" s="3">
        <f>(Wapato_Inventory[[#This Row],[ln_acres]]*Wapato_Inventory[[#This Row],[coeff]])+Wapato_Inventory[[#This Row],[const]]</f>
        <v>143667.07965900819</v>
      </c>
      <c r="S1229" t="s">
        <v>56</v>
      </c>
      <c r="T1229">
        <v>2</v>
      </c>
      <c r="U1229" t="s">
        <v>108</v>
      </c>
      <c r="V1229" t="s">
        <v>69</v>
      </c>
      <c r="W1229">
        <v>78400</v>
      </c>
      <c r="X1229">
        <v>0</v>
      </c>
      <c r="Y1229">
        <v>16</v>
      </c>
      <c r="Z1229">
        <v>26</v>
      </c>
      <c r="AA1229">
        <v>30</v>
      </c>
      <c r="AB1229">
        <v>5500</v>
      </c>
      <c r="AC1229">
        <v>5369</v>
      </c>
      <c r="AD1229">
        <v>3621</v>
      </c>
      <c r="AE1229">
        <v>1748</v>
      </c>
      <c r="AF1229">
        <v>0</v>
      </c>
      <c r="AG1229">
        <v>0</v>
      </c>
      <c r="AH1229">
        <v>0</v>
      </c>
      <c r="AI1229">
        <v>912</v>
      </c>
      <c r="AJ1229">
        <v>0</v>
      </c>
      <c r="AK1229">
        <v>0</v>
      </c>
      <c r="AL1229">
        <v>664</v>
      </c>
      <c r="AM1229">
        <v>1499</v>
      </c>
      <c r="AN1229">
        <v>52</v>
      </c>
      <c r="AO1229">
        <v>576</v>
      </c>
      <c r="AP1229">
        <v>20</v>
      </c>
      <c r="AQ1229">
        <v>0</v>
      </c>
      <c r="AR1229">
        <v>0</v>
      </c>
      <c r="AS1229" t="s">
        <v>59</v>
      </c>
      <c r="AT1229">
        <v>1</v>
      </c>
      <c r="AU1229" t="s">
        <v>64</v>
      </c>
      <c r="AV1229" t="s">
        <v>61</v>
      </c>
      <c r="AW1229">
        <v>1</v>
      </c>
      <c r="AX1229">
        <v>3</v>
      </c>
      <c r="AY1229">
        <v>0</v>
      </c>
      <c r="AZ1229">
        <v>107100</v>
      </c>
      <c r="BA1229">
        <v>100</v>
      </c>
      <c r="BB1229">
        <v>70</v>
      </c>
      <c r="BC1229">
        <v>100</v>
      </c>
      <c r="BD1229">
        <v>100</v>
      </c>
      <c r="BE1229">
        <v>0.7</v>
      </c>
      <c r="BF1229">
        <v>15000</v>
      </c>
      <c r="BG1229">
        <v>1000</v>
      </c>
      <c r="BH1229" s="7">
        <f>ROUND(Wapato_Inventory[[#This Row],[detatched_value]]*Lookups!$B$22*Lookups!$H$48,-2)</f>
        <v>95700</v>
      </c>
      <c r="BI1229" s="7">
        <f>ROUND(((Wapato_Inventory[[#This Row],[land_extract]]*Lookups!$B$3) +(Lookups!$B$2*0.5))*Lookups!$H$48,-2)</f>
        <v>64900</v>
      </c>
      <c r="BJ1229" s="7">
        <f>IF(Wapato_Inventory[[#This Row],[bldg_style]]="",0,Lookups!$B$2*0.5)</f>
        <v>53765.27</v>
      </c>
      <c r="BK1229" s="7">
        <f>_xlfn.IFNA(VLOOKUP(Wapato_Inventory[[#This Row],[quality]],Lookups!$H$2:$J$14,3,FALSE),0)</f>
        <v>134843</v>
      </c>
      <c r="BL1229" s="7">
        <f>_xlfn.IFNA(VLOOKUP(Wapato_Inventory[[#This Row],[condition]],Lookups!$H$17:$J$24,3,FALSE),0)</f>
        <v>74543</v>
      </c>
      <c r="BM1229" s="7">
        <f>Wapato_Inventory[[#This Row],[Age]]*Lookups!$B$16</f>
        <v>-9637.5681999999997</v>
      </c>
      <c r="BN1229" s="7">
        <f>Wapato_Inventory[[#This Row],[Main Floor]]*Lookups!$B$17</f>
        <v>151360.47591899999</v>
      </c>
      <c r="BO1229" s="7">
        <f>Wapato_Inventory[[#This Row],[Upper Floor]]*Lookups!$B$18</f>
        <v>86702.790972000003</v>
      </c>
      <c r="BP1229" s="7">
        <f>Wapato_Inventory[[#This Row],[Fin BSMT]]*Lookups!$B$19</f>
        <v>0</v>
      </c>
      <c r="BQ1229" s="7">
        <f>(Wapato_Inventory[[#This Row],[att_gar]]+Wapato_Inventory[[#This Row],[blt_gar]])*Lookups!$B$20</f>
        <v>33751.981824000002</v>
      </c>
      <c r="BR1229" s="7">
        <f>Wapato_Inventory[[#This Row],[Patio]]*Lookups!$B$21</f>
        <v>64942.644521000002</v>
      </c>
      <c r="BS1229" s="7">
        <f>SUM(Wapato_Inventory[[#This Row],[intercept]:[patio_value]])*Wapato_Inventory[[#This Row],[res_pct]]</f>
        <v>413190.11652519996</v>
      </c>
      <c r="BT1229" s="7">
        <f>Wapato_Inventory[[#This Row],[land_value]]</f>
        <v>64900</v>
      </c>
      <c r="BU1229" s="2">
        <f>_xlfn.IFNA(VLOOKUP(Wapato_Inventory[[#This Row],[quality]],Lookups!$A$28:$C$37,3,FALSE),1)</f>
        <v>1.0000008715458084</v>
      </c>
      <c r="BV1229" s="2">
        <f>_xlfn.IFNA(VLOOKUP(Wapato_Inventory[[#This Row],[condition]],Lookups!$A$41:$C$48,3,FALSE),1)</f>
        <v>0.98442438223270734</v>
      </c>
      <c r="BW1229" s="2">
        <f>IF(Wapato_Inventory[[#This Row],[decade]]="",1,_xlfn.IFNA(VLOOKUP(Wapato_Inventory[[#This Row],[decade]],Lookups!$F$28:$H$45,3,FALSE),1))</f>
        <v>1.0490505496896987</v>
      </c>
      <c r="BX1229" s="2">
        <f>_xlfn.IFNA(VLOOKUP(Wapato_Inventory[[#This Row],[living_area_range]],Lookups!$K$28:$M$37,3,FALSE),1)</f>
        <v>1</v>
      </c>
      <c r="BY1229" s="2">
        <f>AVERAGE(Wapato_Inventory[[#This Row],[qual_adj]:[range_adj]])</f>
        <v>1.0083689508670537</v>
      </c>
      <c r="BZ1229" s="7">
        <f>(Wapato_Inventory[[#This Row],[sum_land]]-IF(Wapato_Inventory[[#This Row],[no_utilities]]=1,12000,0))/IF(Wapato_Inventory[[#This Row],[unbuildable]]=1,2,1)</f>
        <v>64900</v>
      </c>
      <c r="CA1229" s="7">
        <f>Wapato_Inventory[[#This Row],[pre_res]]*Wapato_Inventory[[#This Row],[overall_adj]]</f>
        <v>416648.08430915157</v>
      </c>
      <c r="CB1229" s="3">
        <f>IF(ROUND(Wapato_Inventory[[#This Row],[adj_land]]*Lookups!$H$48,-2)&lt;Wapato_Inventory[[#This Row],[min_land]],Wapato_Inventory[[#This Row],[min_land]],ROUND(Wapato_Inventory[[#This Row],[adj_land]]*Lookups!$H$48,-2))</f>
        <v>61700</v>
      </c>
      <c r="CC1229" s="3">
        <f>IF(ROUND(Wapato_Inventory[[#This Row],[adj_res]]*Lookups!$H$48,-2)&lt;Wapato_Inventory[[#This Row],[min_res]],Wapato_Inventory[[#This Row],[min_res]],ROUND(Wapato_Inventory[[#This Row],[adj_res]]*Lookups!$H$48,-2))</f>
        <v>395800</v>
      </c>
      <c r="CD1229" s="3">
        <f>ROUND(Wapato_Inventory[[#This Row],[det_value]]*Lookups!$H$48,-2)</f>
        <v>90900</v>
      </c>
      <c r="CE1229" s="3">
        <f>Wapato_Inventory[[#This Row],[final_res]]+Wapato_Inventory[[#This Row],[final_det]]</f>
        <v>486700</v>
      </c>
      <c r="CF1229" s="3">
        <f>Wapato_Inventory[[#This Row],[crop_value]]+Wapato_Inventory[[#This Row],[final_land]]+Wapato_Inventory[[#This Row],[final_imp]]</f>
        <v>548400</v>
      </c>
      <c r="CH1229" t="str">
        <f t="shared" si="19"/>
        <v>update valuation set market_land =61700, market_bldg=486700, market_total =548400, market_mdno =405, market_date ='9/10/2023' where link_id = (select link_id from parcel where parcel_year = '2024' and parcel_id = '19122111005');</v>
      </c>
    </row>
    <row r="1230" spans="1:86" x14ac:dyDescent="0.25">
      <c r="A1230">
        <v>19122411404</v>
      </c>
      <c r="B1230">
        <v>4.99</v>
      </c>
      <c r="C1230">
        <v>217581</v>
      </c>
      <c r="D1230" t="s">
        <v>144</v>
      </c>
      <c r="E1230" t="s">
        <v>54</v>
      </c>
      <c r="F1230" t="s">
        <v>54</v>
      </c>
      <c r="G1230">
        <v>2</v>
      </c>
      <c r="H1230" t="s">
        <v>55</v>
      </c>
      <c r="I1230">
        <v>853200</v>
      </c>
      <c r="J1230">
        <v>81900</v>
      </c>
      <c r="K1230">
        <v>4.99</v>
      </c>
      <c r="L1230">
        <f>IF(Wapato_Inventory[[#This Row],[parcel_acres]]-Wapato_Inventory[[#This Row],[non_valued_acres]] =0,0,LN(Wapato_Inventory[[#This Row],[parcel_acres]]-Wapato_Inventory[[#This Row],[non_valued_acres]]))</f>
        <v>1.6074359097634274</v>
      </c>
      <c r="M1230">
        <v>0</v>
      </c>
      <c r="N1230">
        <v>0</v>
      </c>
      <c r="O1230">
        <v>0</v>
      </c>
      <c r="P1230">
        <v>27904.037</v>
      </c>
      <c r="Q1230">
        <v>74398</v>
      </c>
      <c r="R1230" s="3">
        <f>(Wapato_Inventory[[#This Row],[ln_acres]]*Wapato_Inventory[[#This Row],[coeff]])+Wapato_Inventory[[#This Row],[const]]</f>
        <v>119251.95110116733</v>
      </c>
      <c r="S1230" t="s">
        <v>178</v>
      </c>
      <c r="T1230">
        <v>2</v>
      </c>
      <c r="U1230" t="s">
        <v>61</v>
      </c>
      <c r="V1230" t="s">
        <v>69</v>
      </c>
      <c r="W1230">
        <v>271700</v>
      </c>
      <c r="X1230">
        <v>0</v>
      </c>
      <c r="Y1230">
        <v>35</v>
      </c>
      <c r="Z1230">
        <v>35</v>
      </c>
      <c r="AA1230">
        <v>40</v>
      </c>
      <c r="AB1230">
        <v>5000</v>
      </c>
      <c r="AC1230">
        <v>4929</v>
      </c>
      <c r="AD1230">
        <v>3220</v>
      </c>
      <c r="AE1230">
        <v>1709</v>
      </c>
      <c r="AF1230">
        <v>0</v>
      </c>
      <c r="AG1230">
        <v>0</v>
      </c>
      <c r="AH1230">
        <v>0</v>
      </c>
      <c r="AI1230">
        <v>1236</v>
      </c>
      <c r="AJ1230">
        <v>0</v>
      </c>
      <c r="AK1230">
        <v>0</v>
      </c>
      <c r="AL1230">
        <v>0</v>
      </c>
      <c r="AM1230">
        <v>1893</v>
      </c>
      <c r="AN1230">
        <v>0</v>
      </c>
      <c r="AO1230">
        <v>0</v>
      </c>
      <c r="AP1230">
        <v>16</v>
      </c>
      <c r="AQ1230">
        <v>0</v>
      </c>
      <c r="AR1230">
        <v>1</v>
      </c>
      <c r="AS1230" t="s">
        <v>79</v>
      </c>
      <c r="AT1230">
        <v>1</v>
      </c>
      <c r="AU1230" t="s">
        <v>64</v>
      </c>
      <c r="AV1230" t="s">
        <v>61</v>
      </c>
      <c r="AW1230">
        <v>1</v>
      </c>
      <c r="AX1230">
        <v>3</v>
      </c>
      <c r="AY1230">
        <v>0</v>
      </c>
      <c r="AZ1230">
        <v>32700</v>
      </c>
      <c r="BA1230">
        <v>100</v>
      </c>
      <c r="BB1230">
        <v>75</v>
      </c>
      <c r="BC1230">
        <v>100</v>
      </c>
      <c r="BD1230">
        <v>100</v>
      </c>
      <c r="BE1230">
        <v>0.75</v>
      </c>
      <c r="BF1230">
        <v>15000</v>
      </c>
      <c r="BG1230">
        <v>1000</v>
      </c>
      <c r="BH1230" s="7">
        <f>ROUND(Wapato_Inventory[[#This Row],[detatched_value]]*Lookups!$B$22*Lookups!$H$48,-2)</f>
        <v>29200</v>
      </c>
      <c r="BI1230" s="7">
        <f>ROUND(((Wapato_Inventory[[#This Row],[land_extract]]*Lookups!$B$3) +(Lookups!$B$2*0.5))*Lookups!$H$48,-2)</f>
        <v>62600</v>
      </c>
      <c r="BJ1230" s="7">
        <f>IF(Wapato_Inventory[[#This Row],[bldg_style]]="",0,Lookups!$B$2*0.5)</f>
        <v>53765.27</v>
      </c>
      <c r="BK1230" s="7">
        <f>_xlfn.IFNA(VLOOKUP(Wapato_Inventory[[#This Row],[quality]],Lookups!$H$2:$J$14,3,FALSE),0)</f>
        <v>170057</v>
      </c>
      <c r="BL1230" s="7">
        <f>_xlfn.IFNA(VLOOKUP(Wapato_Inventory[[#This Row],[condition]],Lookups!$H$17:$J$24,3,FALSE),0)</f>
        <v>74543</v>
      </c>
      <c r="BM1230" s="7">
        <f>Wapato_Inventory[[#This Row],[Age]]*Lookups!$B$16</f>
        <v>-12973.6495</v>
      </c>
      <c r="BN1230" s="7">
        <f>Wapato_Inventory[[#This Row],[Main Floor]]*Lookups!$B$17</f>
        <v>134598.37958000001</v>
      </c>
      <c r="BO1230" s="7">
        <f>Wapato_Inventory[[#This Row],[Upper Floor]]*Lookups!$B$18</f>
        <v>84768.34655100001</v>
      </c>
      <c r="BP1230" s="7">
        <f>Wapato_Inventory[[#This Row],[Fin BSMT]]*Lookups!$B$19</f>
        <v>0</v>
      </c>
      <c r="BQ1230" s="7">
        <f>(Wapato_Inventory[[#This Row],[att_gar]]+Wapato_Inventory[[#This Row],[blt_gar]])*Lookups!$B$20</f>
        <v>45742.817472000002</v>
      </c>
      <c r="BR1230" s="7">
        <f>Wapato_Inventory[[#This Row],[Patio]]*Lookups!$B$21</f>
        <v>82012.292247000005</v>
      </c>
      <c r="BS1230" s="7">
        <f>SUM(Wapato_Inventory[[#This Row],[intercept]:[patio_value]])*Wapato_Inventory[[#This Row],[res_pct]]</f>
        <v>474385.09226250008</v>
      </c>
      <c r="BT1230" s="7">
        <f>Wapato_Inventory[[#This Row],[land_value]]</f>
        <v>62600</v>
      </c>
      <c r="BU1230" s="2">
        <f>_xlfn.IFNA(VLOOKUP(Wapato_Inventory[[#This Row],[quality]],Lookups!$A$28:$C$37,3,FALSE),1)</f>
        <v>1</v>
      </c>
      <c r="BV1230" s="2">
        <f>_xlfn.IFNA(VLOOKUP(Wapato_Inventory[[#This Row],[condition]],Lookups!$A$41:$C$48,3,FALSE),1)</f>
        <v>0.98442438223270734</v>
      </c>
      <c r="BW1230" s="2">
        <f>IF(Wapato_Inventory[[#This Row],[decade]]="",1,_xlfn.IFNA(VLOOKUP(Wapato_Inventory[[#This Row],[decade]],Lookups!$F$28:$H$45,3,FALSE),1))</f>
        <v>1.0327621624630683</v>
      </c>
      <c r="BX1230" s="2">
        <f>_xlfn.IFNA(VLOOKUP(Wapato_Inventory[[#This Row],[living_area_range]],Lookups!$K$28:$M$37,3,FALSE),1)</f>
        <v>1.0155869662067822</v>
      </c>
      <c r="BY1230" s="2">
        <f>AVERAGE(Wapato_Inventory[[#This Row],[qual_adj]:[range_adj]])</f>
        <v>1.0081933777256396</v>
      </c>
      <c r="BZ1230" s="7">
        <f>(Wapato_Inventory[[#This Row],[sum_land]]-IF(Wapato_Inventory[[#This Row],[no_utilities]]=1,12000,0))/IF(Wapato_Inventory[[#This Row],[unbuildable]]=1,2,1)</f>
        <v>62600</v>
      </c>
      <c r="CA1230" s="7">
        <f>Wapato_Inventory[[#This Row],[pre_res]]*Wapato_Inventory[[#This Row],[overall_adj]]</f>
        <v>478271.90851081914</v>
      </c>
      <c r="CB1230" s="3">
        <f>IF(ROUND(Wapato_Inventory[[#This Row],[adj_land]]*Lookups!$H$48,-2)&lt;Wapato_Inventory[[#This Row],[min_land]],Wapato_Inventory[[#This Row],[min_land]],ROUND(Wapato_Inventory[[#This Row],[adj_land]]*Lookups!$H$48,-2))</f>
        <v>59500</v>
      </c>
      <c r="CC1230" s="3">
        <f>IF(ROUND(Wapato_Inventory[[#This Row],[adj_res]]*Lookups!$H$48,-2)&lt;Wapato_Inventory[[#This Row],[min_res]],Wapato_Inventory[[#This Row],[min_res]],ROUND(Wapato_Inventory[[#This Row],[adj_res]]*Lookups!$H$48,-2))</f>
        <v>454400</v>
      </c>
      <c r="CD1230" s="3">
        <f>ROUND(Wapato_Inventory[[#This Row],[det_value]]*Lookups!$H$48,-2)</f>
        <v>27700</v>
      </c>
      <c r="CE1230" s="3">
        <f>Wapato_Inventory[[#This Row],[final_res]]+Wapato_Inventory[[#This Row],[final_det]]</f>
        <v>482100</v>
      </c>
      <c r="CF1230" s="3">
        <f>Wapato_Inventory[[#This Row],[crop_value]]+Wapato_Inventory[[#This Row],[final_land]]+Wapato_Inventory[[#This Row],[final_imp]]</f>
        <v>541600</v>
      </c>
      <c r="CH1230" t="str">
        <f t="shared" si="19"/>
        <v>update valuation set market_land =59500, market_bldg=482100, market_total =541600, market_mdno =405, market_date ='9/10/2023' where link_id = (select link_id from parcel where parcel_year = '2024' and parcel_id = '19122411404');</v>
      </c>
    </row>
    <row r="1231" spans="1:86" x14ac:dyDescent="0.25">
      <c r="A1231">
        <v>19123614003</v>
      </c>
      <c r="B1231">
        <v>8.0399999999999991</v>
      </c>
      <c r="C1231" t="s">
        <v>144</v>
      </c>
      <c r="D1231" t="s">
        <v>144</v>
      </c>
      <c r="E1231" t="s">
        <v>54</v>
      </c>
      <c r="F1231" t="s">
        <v>54</v>
      </c>
      <c r="G1231">
        <v>3</v>
      </c>
      <c r="H1231" t="s">
        <v>55</v>
      </c>
      <c r="I1231">
        <v>690000</v>
      </c>
      <c r="J1231">
        <v>54700</v>
      </c>
      <c r="K1231">
        <v>8.0399999999999991</v>
      </c>
      <c r="L1231">
        <f>IF(Wapato_Inventory[[#This Row],[parcel_acres]]-Wapato_Inventory[[#This Row],[non_valued_acres]] =0,0,LN(Wapato_Inventory[[#This Row],[parcel_acres]]-Wapato_Inventory[[#This Row],[non_valued_acres]]))</f>
        <v>2.0844290831908747</v>
      </c>
      <c r="M1231">
        <v>0</v>
      </c>
      <c r="N1231">
        <v>0</v>
      </c>
      <c r="O1231">
        <v>0</v>
      </c>
      <c r="P1231">
        <v>27904.037</v>
      </c>
      <c r="Q1231">
        <v>74398</v>
      </c>
      <c r="R1231" s="3">
        <f>(Wapato_Inventory[[#This Row],[ln_acres]]*Wapato_Inventory[[#This Row],[coeff]])+Wapato_Inventory[[#This Row],[const]]</f>
        <v>132561.98626123424</v>
      </c>
      <c r="S1231" t="s">
        <v>56</v>
      </c>
      <c r="T1231">
        <v>1</v>
      </c>
      <c r="U1231" t="s">
        <v>61</v>
      </c>
      <c r="V1231" t="s">
        <v>70</v>
      </c>
      <c r="W1231">
        <v>271700</v>
      </c>
      <c r="X1231">
        <v>0</v>
      </c>
      <c r="Y1231">
        <v>7</v>
      </c>
      <c r="Z1231">
        <v>7</v>
      </c>
      <c r="AA1231">
        <v>10</v>
      </c>
      <c r="AB1231">
        <v>5000</v>
      </c>
      <c r="AC1231">
        <v>4706</v>
      </c>
      <c r="AD1231">
        <v>3213</v>
      </c>
      <c r="AE1231">
        <v>0</v>
      </c>
      <c r="AF1231">
        <v>0</v>
      </c>
      <c r="AG1231">
        <v>1493</v>
      </c>
      <c r="AH1231">
        <v>0</v>
      </c>
      <c r="AI1231">
        <v>1433</v>
      </c>
      <c r="AJ1231">
        <v>0</v>
      </c>
      <c r="AK1231">
        <v>0</v>
      </c>
      <c r="AL1231">
        <v>0</v>
      </c>
      <c r="AM1231">
        <v>713</v>
      </c>
      <c r="AN1231">
        <v>0</v>
      </c>
      <c r="AO1231">
        <v>569</v>
      </c>
      <c r="AP1231">
        <v>17</v>
      </c>
      <c r="AQ1231">
        <v>0</v>
      </c>
      <c r="AR1231">
        <v>2</v>
      </c>
      <c r="AS1231" t="s">
        <v>74</v>
      </c>
      <c r="AT1231">
        <v>1</v>
      </c>
      <c r="AU1231" t="s">
        <v>60</v>
      </c>
      <c r="AV1231" t="s">
        <v>65</v>
      </c>
      <c r="AW1231">
        <v>1</v>
      </c>
      <c r="AX1231">
        <v>3</v>
      </c>
      <c r="AY1231">
        <v>11400</v>
      </c>
      <c r="AZ1231">
        <v>17600</v>
      </c>
      <c r="BA1231">
        <v>100</v>
      </c>
      <c r="BB1231">
        <v>63</v>
      </c>
      <c r="BC1231">
        <v>100</v>
      </c>
      <c r="BD1231">
        <v>100</v>
      </c>
      <c r="BE1231">
        <v>0.63</v>
      </c>
      <c r="BF1231">
        <v>15000</v>
      </c>
      <c r="BG1231">
        <v>1000</v>
      </c>
      <c r="BH1231" s="7">
        <f>ROUND(Wapato_Inventory[[#This Row],[detatched_value]]*Lookups!$B$22*Lookups!$H$48,-2)</f>
        <v>15700</v>
      </c>
      <c r="BI1231" s="7">
        <f>ROUND(((Wapato_Inventory[[#This Row],[land_extract]]*Lookups!$B$3) +(Lookups!$B$2*0.5))*Lookups!$H$48,-2)</f>
        <v>63900</v>
      </c>
      <c r="BJ1231" s="7">
        <f>IF(Wapato_Inventory[[#This Row],[bldg_style]]="",0,Lookups!$B$2*0.5)</f>
        <v>53765.27</v>
      </c>
      <c r="BK1231" s="7">
        <f>_xlfn.IFNA(VLOOKUP(Wapato_Inventory[[#This Row],[quality]],Lookups!$H$2:$J$14,3,FALSE),0)</f>
        <v>170057</v>
      </c>
      <c r="BL1231" s="7">
        <f>_xlfn.IFNA(VLOOKUP(Wapato_Inventory[[#This Row],[condition]],Lookups!$H$17:$J$24,3,FALSE),0)</f>
        <v>84338</v>
      </c>
      <c r="BM1231" s="7">
        <f>Wapato_Inventory[[#This Row],[Age]]*Lookups!$B$16</f>
        <v>-2594.7299000000003</v>
      </c>
      <c r="BN1231" s="7">
        <f>Wapato_Inventory[[#This Row],[Main Floor]]*Lookups!$B$17</f>
        <v>134305.77440699999</v>
      </c>
      <c r="BO1231" s="7">
        <f>Wapato_Inventory[[#This Row],[Upper Floor]]*Lookups!$B$18</f>
        <v>0</v>
      </c>
      <c r="BP1231" s="7">
        <f>Wapato_Inventory[[#This Row],[Fin BSMT]]*Lookups!$B$19</f>
        <v>36379.542820000002</v>
      </c>
      <c r="BQ1231" s="7">
        <f>(Wapato_Inventory[[#This Row],[att_gar]]+Wapato_Inventory[[#This Row],[blt_gar]])*Lookups!$B$20</f>
        <v>53033.541616000002</v>
      </c>
      <c r="BR1231" s="7">
        <f>Wapato_Inventory[[#This Row],[Patio]]*Lookups!$B$21</f>
        <v>30889.997027000001</v>
      </c>
      <c r="BS1231" s="7">
        <f>SUM(Wapato_Inventory[[#This Row],[intercept]:[patio_value]])*Wapato_Inventory[[#This Row],[res_pct]]</f>
        <v>352909.86946109997</v>
      </c>
      <c r="BT1231" s="7">
        <f>Wapato_Inventory[[#This Row],[land_value]]</f>
        <v>63900</v>
      </c>
      <c r="BU1231" s="2">
        <f>_xlfn.IFNA(VLOOKUP(Wapato_Inventory[[#This Row],[quality]],Lookups!$A$28:$C$37,3,FALSE),1)</f>
        <v>1</v>
      </c>
      <c r="BV1231" s="2">
        <f>_xlfn.IFNA(VLOOKUP(Wapato_Inventory[[#This Row],[condition]],Lookups!$A$41:$C$48,3,FALSE),1)</f>
        <v>0.99478075210508476</v>
      </c>
      <c r="BW1231" s="2">
        <f>IF(Wapato_Inventory[[#This Row],[decade]]="",1,_xlfn.IFNA(VLOOKUP(Wapato_Inventory[[#This Row],[decade]],Lookups!$F$28:$H$45,3,FALSE),1))</f>
        <v>1.0321018519633791</v>
      </c>
      <c r="BX1231" s="2">
        <f>_xlfn.IFNA(VLOOKUP(Wapato_Inventory[[#This Row],[living_area_range]],Lookups!$K$28:$M$37,3,FALSE),1)</f>
        <v>1.0155869662067822</v>
      </c>
      <c r="BY1231" s="2">
        <f>AVERAGE(Wapato_Inventory[[#This Row],[qual_adj]:[range_adj]])</f>
        <v>1.0106173925688116</v>
      </c>
      <c r="BZ1231" s="7">
        <f>(Wapato_Inventory[[#This Row],[sum_land]]-IF(Wapato_Inventory[[#This Row],[no_utilities]]=1,12000,0))/IF(Wapato_Inventory[[#This Row],[unbuildable]]=1,2,1)</f>
        <v>63900</v>
      </c>
      <c r="CA1231" s="7">
        <f>Wapato_Inventory[[#This Row],[pre_res]]*Wapato_Inventory[[#This Row],[overall_adj]]</f>
        <v>356656.85208657652</v>
      </c>
      <c r="CB1231" s="3">
        <f>IF(ROUND(Wapato_Inventory[[#This Row],[adj_land]]*Lookups!$H$48,-2)&lt;Wapato_Inventory[[#This Row],[min_land]],Wapato_Inventory[[#This Row],[min_land]],ROUND(Wapato_Inventory[[#This Row],[adj_land]]*Lookups!$H$48,-2))</f>
        <v>60700</v>
      </c>
      <c r="CC1231" s="3">
        <f>IF(ROUND(Wapato_Inventory[[#This Row],[adj_res]]*Lookups!$H$48,-2)&lt;Wapato_Inventory[[#This Row],[min_res]],Wapato_Inventory[[#This Row],[min_res]],ROUND(Wapato_Inventory[[#This Row],[adj_res]]*Lookups!$H$48,-2))</f>
        <v>338800</v>
      </c>
      <c r="CD1231" s="3">
        <f>ROUND(Wapato_Inventory[[#This Row],[det_value]]*Lookups!$H$48,-2)</f>
        <v>14900</v>
      </c>
      <c r="CE1231" s="3">
        <f>Wapato_Inventory[[#This Row],[final_res]]+Wapato_Inventory[[#This Row],[final_det]]</f>
        <v>353700</v>
      </c>
      <c r="CF1231" s="3">
        <f>Wapato_Inventory[[#This Row],[crop_value]]+Wapato_Inventory[[#This Row],[final_land]]+Wapato_Inventory[[#This Row],[final_imp]]</f>
        <v>425800</v>
      </c>
      <c r="CH1231" t="str">
        <f t="shared" si="19"/>
        <v>update valuation set market_land =60700, market_bldg=353700, market_total =425800, market_mdno =405, market_date ='9/10/2023' where link_id = (select link_id from parcel where parcel_year = '2024' and parcel_id = '19123614003');</v>
      </c>
    </row>
    <row r="1232" spans="1:86" x14ac:dyDescent="0.25">
      <c r="A1232">
        <v>20123041401</v>
      </c>
      <c r="B1232">
        <v>13.13</v>
      </c>
      <c r="C1232" t="s">
        <v>144</v>
      </c>
      <c r="D1232" t="s">
        <v>144</v>
      </c>
      <c r="E1232" t="s">
        <v>54</v>
      </c>
      <c r="F1232" t="s">
        <v>54</v>
      </c>
      <c r="G1232">
        <v>3</v>
      </c>
      <c r="H1232" t="s">
        <v>177</v>
      </c>
      <c r="I1232">
        <v>551200</v>
      </c>
      <c r="J1232">
        <v>65100</v>
      </c>
      <c r="K1232">
        <v>13.13</v>
      </c>
      <c r="L1232">
        <f>IF(Wapato_Inventory[[#This Row],[parcel_acres]]-Wapato_Inventory[[#This Row],[non_valued_acres]] =0,0,LN(Wapato_Inventory[[#This Row],[parcel_acres]]-Wapato_Inventory[[#This Row],[non_valued_acres]]))</f>
        <v>2.5748996883147051</v>
      </c>
      <c r="M1232">
        <v>0</v>
      </c>
      <c r="N1232">
        <v>0</v>
      </c>
      <c r="O1232">
        <v>0</v>
      </c>
      <c r="P1232">
        <v>27904.037</v>
      </c>
      <c r="Q1232">
        <v>74398</v>
      </c>
      <c r="R1232" s="3">
        <f>(Wapato_Inventory[[#This Row],[ln_acres]]*Wapato_Inventory[[#This Row],[coeff]])+Wapato_Inventory[[#This Row],[const]]</f>
        <v>146248.09617402201</v>
      </c>
      <c r="S1232" t="s">
        <v>178</v>
      </c>
      <c r="T1232">
        <v>2</v>
      </c>
      <c r="U1232" t="s">
        <v>61</v>
      </c>
      <c r="V1232" t="s">
        <v>68</v>
      </c>
      <c r="W1232">
        <v>271700</v>
      </c>
      <c r="X1232">
        <v>0</v>
      </c>
      <c r="Y1232">
        <v>15</v>
      </c>
      <c r="Z1232">
        <v>15</v>
      </c>
      <c r="AA1232">
        <v>20</v>
      </c>
      <c r="AB1232">
        <v>4000</v>
      </c>
      <c r="AC1232">
        <v>3792</v>
      </c>
      <c r="AD1232">
        <v>2662</v>
      </c>
      <c r="AE1232">
        <v>1130</v>
      </c>
      <c r="AF1232">
        <v>0</v>
      </c>
      <c r="AG1232">
        <v>0</v>
      </c>
      <c r="AH1232">
        <v>0</v>
      </c>
      <c r="AI1232">
        <v>1064</v>
      </c>
      <c r="AJ1232">
        <v>0</v>
      </c>
      <c r="AK1232">
        <v>0</v>
      </c>
      <c r="AL1232">
        <v>0</v>
      </c>
      <c r="AM1232">
        <v>1477</v>
      </c>
      <c r="AN1232">
        <v>340</v>
      </c>
      <c r="AO1232">
        <v>400</v>
      </c>
      <c r="AP1232">
        <v>14</v>
      </c>
      <c r="AQ1232">
        <v>0</v>
      </c>
      <c r="AR1232">
        <v>2</v>
      </c>
      <c r="AS1232" t="s">
        <v>110</v>
      </c>
      <c r="AT1232">
        <v>1</v>
      </c>
      <c r="AU1232" t="s">
        <v>60</v>
      </c>
      <c r="AV1232" t="s">
        <v>61</v>
      </c>
      <c r="AW1232">
        <v>1</v>
      </c>
      <c r="AX1232">
        <v>3</v>
      </c>
      <c r="AY1232">
        <v>0</v>
      </c>
      <c r="AZ1232">
        <v>5100</v>
      </c>
      <c r="BA1232">
        <v>100</v>
      </c>
      <c r="BB1232">
        <v>60</v>
      </c>
      <c r="BC1232">
        <v>100</v>
      </c>
      <c r="BD1232">
        <v>100</v>
      </c>
      <c r="BE1232">
        <v>0.6</v>
      </c>
      <c r="BF1232">
        <v>15000</v>
      </c>
      <c r="BG1232">
        <v>1000</v>
      </c>
      <c r="BH1232" s="7">
        <f>ROUND(Wapato_Inventory[[#This Row],[detatched_value]]*Lookups!$B$22*Lookups!$H$48,-2)</f>
        <v>4600</v>
      </c>
      <c r="BI1232" s="7">
        <f>ROUND(((Wapato_Inventory[[#This Row],[land_extract]]*Lookups!$B$3) +(Lookups!$B$2*0.5))*Lookups!$H$48,-2)</f>
        <v>65200</v>
      </c>
      <c r="BJ1232" s="7">
        <f>IF(Wapato_Inventory[[#This Row],[bldg_style]]="",0,Lookups!$B$2*0.5)</f>
        <v>53765.27</v>
      </c>
      <c r="BK1232" s="7">
        <f>_xlfn.IFNA(VLOOKUP(Wapato_Inventory[[#This Row],[quality]],Lookups!$H$2:$J$14,3,FALSE),0)</f>
        <v>170057</v>
      </c>
      <c r="BL1232" s="7">
        <f>_xlfn.IFNA(VLOOKUP(Wapato_Inventory[[#This Row],[condition]],Lookups!$H$17:$J$24,3,FALSE),0)</f>
        <v>52231</v>
      </c>
      <c r="BM1232" s="7">
        <f>Wapato_Inventory[[#This Row],[Age]]*Lookups!$B$16</f>
        <v>-5560.1355000000003</v>
      </c>
      <c r="BN1232" s="7">
        <f>Wapato_Inventory[[#This Row],[Main Floor]]*Lookups!$B$17</f>
        <v>111273.567218</v>
      </c>
      <c r="BO1232" s="7">
        <f>Wapato_Inventory[[#This Row],[Upper Floor]]*Lookups!$B$18</f>
        <v>56049.287070000006</v>
      </c>
      <c r="BP1232" s="7">
        <f>Wapato_Inventory[[#This Row],[Fin BSMT]]*Lookups!$B$19</f>
        <v>0</v>
      </c>
      <c r="BQ1232" s="7">
        <f>(Wapato_Inventory[[#This Row],[att_gar]]+Wapato_Inventory[[#This Row],[blt_gar]])*Lookups!$B$20</f>
        <v>39377.312127999998</v>
      </c>
      <c r="BR1232" s="7">
        <f>Wapato_Inventory[[#This Row],[Patio]]*Lookups!$B$21</f>
        <v>63989.516983000001</v>
      </c>
      <c r="BS1232" s="7">
        <f>SUM(Wapato_Inventory[[#This Row],[intercept]:[patio_value]])*Wapato_Inventory[[#This Row],[res_pct]]</f>
        <v>324709.69073940004</v>
      </c>
      <c r="BT1232" s="7">
        <f>Wapato_Inventory[[#This Row],[land_value]]</f>
        <v>65200</v>
      </c>
      <c r="BU1232" s="2">
        <f>_xlfn.IFNA(VLOOKUP(Wapato_Inventory[[#This Row],[quality]],Lookups!$A$28:$C$37,3,FALSE),1)</f>
        <v>1</v>
      </c>
      <c r="BV1232" s="2">
        <f>_xlfn.IFNA(VLOOKUP(Wapato_Inventory[[#This Row],[condition]],Lookups!$A$41:$C$48,3,FALSE),1)</f>
        <v>0.9832333997567807</v>
      </c>
      <c r="BW1232" s="2">
        <f>IF(Wapato_Inventory[[#This Row],[decade]]="",1,_xlfn.IFNA(VLOOKUP(Wapato_Inventory[[#This Row],[decade]],Lookups!$F$28:$H$45,3,FALSE),1))</f>
        <v>1.0658609603367226</v>
      </c>
      <c r="BX1232" s="2">
        <f>_xlfn.IFNA(VLOOKUP(Wapato_Inventory[[#This Row],[living_area_range]],Lookups!$K$28:$M$37,3,FALSE),1)</f>
        <v>1.0155869662067822</v>
      </c>
      <c r="BY1232" s="2">
        <f>AVERAGE(Wapato_Inventory[[#This Row],[qual_adj]:[range_adj]])</f>
        <v>1.0161703315750714</v>
      </c>
      <c r="BZ1232" s="7">
        <f>(Wapato_Inventory[[#This Row],[sum_land]]-IF(Wapato_Inventory[[#This Row],[no_utilities]]=1,12000,0))/IF(Wapato_Inventory[[#This Row],[unbuildable]]=1,2,1)</f>
        <v>65200</v>
      </c>
      <c r="CA1232" s="7">
        <f>Wapato_Inventory[[#This Row],[pre_res]]*Wapato_Inventory[[#This Row],[overall_adj]]</f>
        <v>329960.35410429502</v>
      </c>
      <c r="CB1232" s="3">
        <f>IF(ROUND(Wapato_Inventory[[#This Row],[adj_land]]*Lookups!$H$48,-2)&lt;Wapato_Inventory[[#This Row],[min_land]],Wapato_Inventory[[#This Row],[min_land]],ROUND(Wapato_Inventory[[#This Row],[adj_land]]*Lookups!$H$48,-2))</f>
        <v>61900</v>
      </c>
      <c r="CC1232" s="3">
        <f>IF(ROUND(Wapato_Inventory[[#This Row],[adj_res]]*Lookups!$H$48,-2)&lt;Wapato_Inventory[[#This Row],[min_res]],Wapato_Inventory[[#This Row],[min_res]],ROUND(Wapato_Inventory[[#This Row],[adj_res]]*Lookups!$H$48,-2))</f>
        <v>313500</v>
      </c>
      <c r="CD1232" s="3">
        <f>ROUND(Wapato_Inventory[[#This Row],[det_value]]*Lookups!$H$48,-2)</f>
        <v>4400</v>
      </c>
      <c r="CE1232" s="3">
        <f>Wapato_Inventory[[#This Row],[final_res]]+Wapato_Inventory[[#This Row],[final_det]]</f>
        <v>317900</v>
      </c>
      <c r="CF1232" s="3">
        <f>Wapato_Inventory[[#This Row],[crop_value]]+Wapato_Inventory[[#This Row],[final_land]]+Wapato_Inventory[[#This Row],[final_imp]]</f>
        <v>379800</v>
      </c>
      <c r="CH1232" t="str">
        <f t="shared" si="19"/>
        <v>update valuation set market_land =61900, market_bldg=317900, market_total =379800, market_mdno =405, market_date ='9/10/2023' where link_id = (select link_id from parcel where parcel_year = '2024' and parcel_id = '20123041401');</v>
      </c>
    </row>
    <row r="1233" spans="1:86" x14ac:dyDescent="0.25">
      <c r="A1233">
        <v>19110941401</v>
      </c>
      <c r="B1233">
        <v>0.46</v>
      </c>
      <c r="C1233">
        <v>20019</v>
      </c>
      <c r="D1233" t="s">
        <v>144</v>
      </c>
      <c r="E1233" t="s">
        <v>54</v>
      </c>
      <c r="F1233" t="s">
        <v>54</v>
      </c>
      <c r="G1233">
        <v>3</v>
      </c>
      <c r="H1233" t="s">
        <v>55</v>
      </c>
      <c r="I1233">
        <v>0</v>
      </c>
      <c r="J1233">
        <v>41600</v>
      </c>
      <c r="K1233">
        <v>0.46</v>
      </c>
      <c r="L1233">
        <f>IF(Wapato_Inventory[[#This Row],[parcel_acres]]-Wapato_Inventory[[#This Row],[non_valued_acres]] =0,0,LN(Wapato_Inventory[[#This Row],[parcel_acres]]-Wapato_Inventory[[#This Row],[non_valued_acres]]))</f>
        <v>-0.77652878949899629</v>
      </c>
      <c r="M1233">
        <v>0</v>
      </c>
      <c r="N1233">
        <v>1</v>
      </c>
      <c r="O1233">
        <v>0</v>
      </c>
      <c r="P1233">
        <v>27904.037</v>
      </c>
      <c r="Q1233">
        <v>74398</v>
      </c>
      <c r="R1233" s="3">
        <f>(Wapato_Inventory[[#This Row],[ln_acres]]*Wapato_Inventory[[#This Row],[coeff]])+Wapato_Inventory[[#This Row],[const]]</f>
        <v>52729.711926254793</v>
      </c>
      <c r="AY1233">
        <v>0</v>
      </c>
      <c r="AZ1233">
        <v>0</v>
      </c>
      <c r="BE1233">
        <v>0</v>
      </c>
      <c r="BF1233">
        <v>12000</v>
      </c>
      <c r="BG1233">
        <v>0</v>
      </c>
      <c r="BH1233" s="7">
        <f>ROUND(Wapato_Inventory[[#This Row],[detatched_value]]*Lookups!$B$22*Lookups!$H$48,-2)</f>
        <v>0</v>
      </c>
      <c r="BI1233" s="7">
        <f>ROUND(((Wapato_Inventory[[#This Row],[land_extract]]*Lookups!$B$3) +(Lookups!$B$2*0.5))*Lookups!$H$48,-2)</f>
        <v>56200</v>
      </c>
      <c r="BJ1233" s="7">
        <f>IF(Wapato_Inventory[[#This Row],[bldg_style]]="",0,Lookups!$B$2*0.5)</f>
        <v>0</v>
      </c>
      <c r="BK1233" s="7">
        <f>_xlfn.IFNA(VLOOKUP(Wapato_Inventory[[#This Row],[quality]],Lookups!$H$2:$J$14,3,FALSE),0)</f>
        <v>0</v>
      </c>
      <c r="BL1233" s="7">
        <f>_xlfn.IFNA(VLOOKUP(Wapato_Inventory[[#This Row],[condition]],Lookups!$H$17:$J$24,3,FALSE),0)</f>
        <v>0</v>
      </c>
      <c r="BM1233" s="7">
        <f>Wapato_Inventory[[#This Row],[Age]]*Lookups!$B$16</f>
        <v>0</v>
      </c>
      <c r="BN1233" s="7">
        <f>Wapato_Inventory[[#This Row],[Main Floor]]*Lookups!$B$17</f>
        <v>0</v>
      </c>
      <c r="BO1233" s="7">
        <f>Wapato_Inventory[[#This Row],[Upper Floor]]*Lookups!$B$18</f>
        <v>0</v>
      </c>
      <c r="BP1233" s="7">
        <f>Wapato_Inventory[[#This Row],[Fin BSMT]]*Lookups!$B$19</f>
        <v>0</v>
      </c>
      <c r="BQ1233" s="7">
        <f>(Wapato_Inventory[[#This Row],[att_gar]]+Wapato_Inventory[[#This Row],[blt_gar]])*Lookups!$B$20</f>
        <v>0</v>
      </c>
      <c r="BR1233" s="7">
        <f>Wapato_Inventory[[#This Row],[Patio]]*Lookups!$B$21</f>
        <v>0</v>
      </c>
      <c r="BS1233" s="7">
        <f>SUM(Wapato_Inventory[[#This Row],[intercept]:[patio_value]])*Wapato_Inventory[[#This Row],[res_pct]]</f>
        <v>0</v>
      </c>
      <c r="BT1233" s="7">
        <f>Wapato_Inventory[[#This Row],[land_value]]</f>
        <v>56200</v>
      </c>
      <c r="BU1233" s="2">
        <f>_xlfn.IFNA(VLOOKUP(Wapato_Inventory[[#This Row],[quality]],Lookups!$A$28:$C$37,3,FALSE),1)</f>
        <v>1</v>
      </c>
      <c r="BV1233" s="2">
        <f>_xlfn.IFNA(VLOOKUP(Wapato_Inventory[[#This Row],[condition]],Lookups!$A$41:$C$48,3,FALSE),1)</f>
        <v>1</v>
      </c>
      <c r="BW1233" s="2">
        <f>IF(Wapato_Inventory[[#This Row],[decade]]="",1,_xlfn.IFNA(VLOOKUP(Wapato_Inventory[[#This Row],[decade]],Lookups!$F$28:$H$45,3,FALSE),1))</f>
        <v>1</v>
      </c>
      <c r="BX1233" s="2">
        <f>_xlfn.IFNA(VLOOKUP(Wapato_Inventory[[#This Row],[living_area_range]],Lookups!$K$28:$M$37,3,FALSE),1)</f>
        <v>1</v>
      </c>
      <c r="BY1233" s="2">
        <f>AVERAGE(Wapato_Inventory[[#This Row],[qual_adj]:[range_adj]])</f>
        <v>1</v>
      </c>
      <c r="BZ1233" s="7">
        <f>(Wapato_Inventory[[#This Row],[sum_land]]-IF(Wapato_Inventory[[#This Row],[no_utilities]]=1,12000,0))/IF(Wapato_Inventory[[#This Row],[unbuildable]]=1,2,1)</f>
        <v>28100</v>
      </c>
      <c r="CA1233" s="7">
        <f>Wapato_Inventory[[#This Row],[pre_res]]*Wapato_Inventory[[#This Row],[overall_adj]]</f>
        <v>0</v>
      </c>
      <c r="CB1233" s="3">
        <f>IF(ROUND(Wapato_Inventory[[#This Row],[adj_land]]*Lookups!$H$48,-2)&lt;Wapato_Inventory[[#This Row],[min_land]],Wapato_Inventory[[#This Row],[min_land]],ROUND(Wapato_Inventory[[#This Row],[adj_land]]*Lookups!$H$48,-2))</f>
        <v>26700</v>
      </c>
      <c r="CC123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33" s="3">
        <f>ROUND(Wapato_Inventory[[#This Row],[det_value]]*Lookups!$H$48,-2)</f>
        <v>0</v>
      </c>
      <c r="CE1233" s="3">
        <f>Wapato_Inventory[[#This Row],[final_res]]+Wapato_Inventory[[#This Row],[final_det]]</f>
        <v>0</v>
      </c>
      <c r="CF1233" s="3">
        <f>Wapato_Inventory[[#This Row],[crop_value]]+Wapato_Inventory[[#This Row],[final_land]]+Wapato_Inventory[[#This Row],[final_imp]]</f>
        <v>26700</v>
      </c>
      <c r="CH1233" t="str">
        <f t="shared" si="19"/>
        <v>update valuation set market_land =26700, market_bldg=0, market_total =26700, market_mdno =405, market_date ='9/10/2023' where link_id = (select link_id from parcel where parcel_year = '2024' and parcel_id = '19110941401');</v>
      </c>
    </row>
    <row r="1234" spans="1:86" x14ac:dyDescent="0.25">
      <c r="A1234">
        <v>19110941424</v>
      </c>
      <c r="B1234">
        <v>1.61</v>
      </c>
      <c r="C1234" t="s">
        <v>144</v>
      </c>
      <c r="D1234" t="s">
        <v>144</v>
      </c>
      <c r="E1234" t="s">
        <v>54</v>
      </c>
      <c r="F1234" t="s">
        <v>54</v>
      </c>
      <c r="G1234">
        <v>3</v>
      </c>
      <c r="H1234" t="s">
        <v>55</v>
      </c>
      <c r="I1234">
        <v>0</v>
      </c>
      <c r="J1234">
        <v>50800</v>
      </c>
      <c r="K1234">
        <v>1.61</v>
      </c>
      <c r="L1234">
        <f>IF(Wapato_Inventory[[#This Row],[parcel_acres]]-Wapato_Inventory[[#This Row],[non_valued_acres]] =0,0,LN(Wapato_Inventory[[#This Row],[parcel_acres]]-Wapato_Inventory[[#This Row],[non_valued_acres]]))</f>
        <v>0.47623417899637172</v>
      </c>
      <c r="M1234">
        <v>0</v>
      </c>
      <c r="N1234">
        <v>0</v>
      </c>
      <c r="O1234">
        <v>0</v>
      </c>
      <c r="P1234">
        <v>27904.037</v>
      </c>
      <c r="Q1234">
        <v>74398</v>
      </c>
      <c r="R1234" s="3">
        <f>(Wapato_Inventory[[#This Row],[ln_acres]]*Wapato_Inventory[[#This Row],[coeff]])+Wapato_Inventory[[#This Row],[const]]</f>
        <v>87686.856151379383</v>
      </c>
      <c r="AY1234">
        <v>0</v>
      </c>
      <c r="AZ1234">
        <v>0</v>
      </c>
      <c r="BE1234">
        <v>0</v>
      </c>
      <c r="BF1234">
        <v>15000</v>
      </c>
      <c r="BG1234">
        <v>0</v>
      </c>
      <c r="BH1234" s="7">
        <f>ROUND(Wapato_Inventory[[#This Row],[detatched_value]]*Lookups!$B$22*Lookups!$H$48,-2)</f>
        <v>0</v>
      </c>
      <c r="BI1234" s="7">
        <f>ROUND(((Wapato_Inventory[[#This Row],[land_extract]]*Lookups!$B$3) +(Lookups!$B$2*0.5))*Lookups!$H$48,-2)</f>
        <v>59500</v>
      </c>
      <c r="BJ1234" s="7">
        <f>IF(Wapato_Inventory[[#This Row],[bldg_style]]="",0,Lookups!$B$2*0.5)</f>
        <v>0</v>
      </c>
      <c r="BK1234" s="7">
        <f>_xlfn.IFNA(VLOOKUP(Wapato_Inventory[[#This Row],[quality]],Lookups!$H$2:$J$14,3,FALSE),0)</f>
        <v>0</v>
      </c>
      <c r="BL1234" s="7">
        <f>_xlfn.IFNA(VLOOKUP(Wapato_Inventory[[#This Row],[condition]],Lookups!$H$17:$J$24,3,FALSE),0)</f>
        <v>0</v>
      </c>
      <c r="BM1234" s="7">
        <f>Wapato_Inventory[[#This Row],[Age]]*Lookups!$B$16</f>
        <v>0</v>
      </c>
      <c r="BN1234" s="7">
        <f>Wapato_Inventory[[#This Row],[Main Floor]]*Lookups!$B$17</f>
        <v>0</v>
      </c>
      <c r="BO1234" s="7">
        <f>Wapato_Inventory[[#This Row],[Upper Floor]]*Lookups!$B$18</f>
        <v>0</v>
      </c>
      <c r="BP1234" s="7">
        <f>Wapato_Inventory[[#This Row],[Fin BSMT]]*Lookups!$B$19</f>
        <v>0</v>
      </c>
      <c r="BQ1234" s="7">
        <f>(Wapato_Inventory[[#This Row],[att_gar]]+Wapato_Inventory[[#This Row],[blt_gar]])*Lookups!$B$20</f>
        <v>0</v>
      </c>
      <c r="BR1234" s="7">
        <f>Wapato_Inventory[[#This Row],[Patio]]*Lookups!$B$21</f>
        <v>0</v>
      </c>
      <c r="BS1234" s="7">
        <f>SUM(Wapato_Inventory[[#This Row],[intercept]:[patio_value]])*Wapato_Inventory[[#This Row],[res_pct]]</f>
        <v>0</v>
      </c>
      <c r="BT1234" s="7">
        <f>Wapato_Inventory[[#This Row],[land_value]]</f>
        <v>59500</v>
      </c>
      <c r="BU1234" s="2">
        <f>_xlfn.IFNA(VLOOKUP(Wapato_Inventory[[#This Row],[quality]],Lookups!$A$28:$C$37,3,FALSE),1)</f>
        <v>1</v>
      </c>
      <c r="BV1234" s="2">
        <f>_xlfn.IFNA(VLOOKUP(Wapato_Inventory[[#This Row],[condition]],Lookups!$A$41:$C$48,3,FALSE),1)</f>
        <v>1</v>
      </c>
      <c r="BW1234" s="2">
        <f>IF(Wapato_Inventory[[#This Row],[decade]]="",1,_xlfn.IFNA(VLOOKUP(Wapato_Inventory[[#This Row],[decade]],Lookups!$F$28:$H$45,3,FALSE),1))</f>
        <v>1</v>
      </c>
      <c r="BX1234" s="2">
        <f>_xlfn.IFNA(VLOOKUP(Wapato_Inventory[[#This Row],[living_area_range]],Lookups!$K$28:$M$37,3,FALSE),1)</f>
        <v>1</v>
      </c>
      <c r="BY1234" s="2">
        <f>AVERAGE(Wapato_Inventory[[#This Row],[qual_adj]:[range_adj]])</f>
        <v>1</v>
      </c>
      <c r="BZ1234" s="7">
        <f>(Wapato_Inventory[[#This Row],[sum_land]]-IF(Wapato_Inventory[[#This Row],[no_utilities]]=1,12000,0))/IF(Wapato_Inventory[[#This Row],[unbuildable]]=1,2,1)</f>
        <v>59500</v>
      </c>
      <c r="CA1234" s="7">
        <f>Wapato_Inventory[[#This Row],[pre_res]]*Wapato_Inventory[[#This Row],[overall_adj]]</f>
        <v>0</v>
      </c>
      <c r="CB1234" s="3">
        <f>IF(ROUND(Wapato_Inventory[[#This Row],[adj_land]]*Lookups!$H$48,-2)&lt;Wapato_Inventory[[#This Row],[min_land]],Wapato_Inventory[[#This Row],[min_land]],ROUND(Wapato_Inventory[[#This Row],[adj_land]]*Lookups!$H$48,-2))</f>
        <v>56500</v>
      </c>
      <c r="CC123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34" s="3">
        <f>ROUND(Wapato_Inventory[[#This Row],[det_value]]*Lookups!$H$48,-2)</f>
        <v>0</v>
      </c>
      <c r="CE1234" s="3">
        <f>Wapato_Inventory[[#This Row],[final_res]]+Wapato_Inventory[[#This Row],[final_det]]</f>
        <v>0</v>
      </c>
      <c r="CF1234" s="3">
        <f>Wapato_Inventory[[#This Row],[crop_value]]+Wapato_Inventory[[#This Row],[final_land]]+Wapato_Inventory[[#This Row],[final_imp]]</f>
        <v>56500</v>
      </c>
      <c r="CH1234" t="str">
        <f t="shared" si="19"/>
        <v>update valuation set market_land =56500, market_bldg=0, market_total =56500, market_mdno =405, market_date ='9/10/2023' where link_id = (select link_id from parcel where parcel_year = '2024' and parcel_id = '19110941424');</v>
      </c>
    </row>
    <row r="1235" spans="1:86" x14ac:dyDescent="0.25">
      <c r="A1235">
        <v>19110941426</v>
      </c>
      <c r="B1235">
        <v>0.88</v>
      </c>
      <c r="C1235">
        <v>38361</v>
      </c>
      <c r="D1235" t="s">
        <v>144</v>
      </c>
      <c r="E1235" t="s">
        <v>54</v>
      </c>
      <c r="F1235" t="s">
        <v>54</v>
      </c>
      <c r="G1235">
        <v>3</v>
      </c>
      <c r="H1235" t="s">
        <v>55</v>
      </c>
      <c r="I1235">
        <v>0</v>
      </c>
      <c r="J1235">
        <v>46300</v>
      </c>
      <c r="K1235">
        <v>0.88</v>
      </c>
      <c r="L1235">
        <f>IF(Wapato_Inventory[[#This Row],[parcel_acres]]-Wapato_Inventory[[#This Row],[non_valued_acres]] =0,0,LN(Wapato_Inventory[[#This Row],[parcel_acres]]-Wapato_Inventory[[#This Row],[non_valued_acres]]))</f>
        <v>-0.12783337150988489</v>
      </c>
      <c r="M1235">
        <v>0</v>
      </c>
      <c r="N1235">
        <v>1</v>
      </c>
      <c r="O1235">
        <v>0</v>
      </c>
      <c r="P1235">
        <v>27904.037</v>
      </c>
      <c r="Q1235">
        <v>74398</v>
      </c>
      <c r="R1235" s="3">
        <f>(Wapato_Inventory[[#This Row],[ln_acres]]*Wapato_Inventory[[#This Row],[coeff]])+Wapato_Inventory[[#This Row],[const]]</f>
        <v>70830.932871553421</v>
      </c>
      <c r="AY1235">
        <v>0</v>
      </c>
      <c r="AZ1235">
        <v>0</v>
      </c>
      <c r="BE1235">
        <v>0</v>
      </c>
      <c r="BF1235">
        <v>12000</v>
      </c>
      <c r="BG1235">
        <v>0</v>
      </c>
      <c r="BH1235" s="7">
        <f>ROUND(Wapato_Inventory[[#This Row],[detatched_value]]*Lookups!$B$22*Lookups!$H$48,-2)</f>
        <v>0</v>
      </c>
      <c r="BI1235" s="7">
        <f>ROUND(((Wapato_Inventory[[#This Row],[land_extract]]*Lookups!$B$3) +(Lookups!$B$2*0.5))*Lookups!$H$48,-2)</f>
        <v>57900</v>
      </c>
      <c r="BJ1235" s="7">
        <f>IF(Wapato_Inventory[[#This Row],[bldg_style]]="",0,Lookups!$B$2*0.5)</f>
        <v>0</v>
      </c>
      <c r="BK1235" s="7">
        <f>_xlfn.IFNA(VLOOKUP(Wapato_Inventory[[#This Row],[quality]],Lookups!$H$2:$J$14,3,FALSE),0)</f>
        <v>0</v>
      </c>
      <c r="BL1235" s="7">
        <f>_xlfn.IFNA(VLOOKUP(Wapato_Inventory[[#This Row],[condition]],Lookups!$H$17:$J$24,3,FALSE),0)</f>
        <v>0</v>
      </c>
      <c r="BM1235" s="7">
        <f>Wapato_Inventory[[#This Row],[Age]]*Lookups!$B$16</f>
        <v>0</v>
      </c>
      <c r="BN1235" s="7">
        <f>Wapato_Inventory[[#This Row],[Main Floor]]*Lookups!$B$17</f>
        <v>0</v>
      </c>
      <c r="BO1235" s="7">
        <f>Wapato_Inventory[[#This Row],[Upper Floor]]*Lookups!$B$18</f>
        <v>0</v>
      </c>
      <c r="BP1235" s="7">
        <f>Wapato_Inventory[[#This Row],[Fin BSMT]]*Lookups!$B$19</f>
        <v>0</v>
      </c>
      <c r="BQ1235" s="7">
        <f>(Wapato_Inventory[[#This Row],[att_gar]]+Wapato_Inventory[[#This Row],[blt_gar]])*Lookups!$B$20</f>
        <v>0</v>
      </c>
      <c r="BR1235" s="7">
        <f>Wapato_Inventory[[#This Row],[Patio]]*Lookups!$B$21</f>
        <v>0</v>
      </c>
      <c r="BS1235" s="7">
        <f>SUM(Wapato_Inventory[[#This Row],[intercept]:[patio_value]])*Wapato_Inventory[[#This Row],[res_pct]]</f>
        <v>0</v>
      </c>
      <c r="BT1235" s="7">
        <f>Wapato_Inventory[[#This Row],[land_value]]</f>
        <v>57900</v>
      </c>
      <c r="BU1235" s="2">
        <f>_xlfn.IFNA(VLOOKUP(Wapato_Inventory[[#This Row],[quality]],Lookups!$A$28:$C$37,3,FALSE),1)</f>
        <v>1</v>
      </c>
      <c r="BV1235" s="2">
        <f>_xlfn.IFNA(VLOOKUP(Wapato_Inventory[[#This Row],[condition]],Lookups!$A$41:$C$48,3,FALSE),1)</f>
        <v>1</v>
      </c>
      <c r="BW1235" s="2">
        <f>IF(Wapato_Inventory[[#This Row],[decade]]="",1,_xlfn.IFNA(VLOOKUP(Wapato_Inventory[[#This Row],[decade]],Lookups!$F$28:$H$45,3,FALSE),1))</f>
        <v>1</v>
      </c>
      <c r="BX1235" s="2">
        <f>_xlfn.IFNA(VLOOKUP(Wapato_Inventory[[#This Row],[living_area_range]],Lookups!$K$28:$M$37,3,FALSE),1)</f>
        <v>1</v>
      </c>
      <c r="BY1235" s="2">
        <f>AVERAGE(Wapato_Inventory[[#This Row],[qual_adj]:[range_adj]])</f>
        <v>1</v>
      </c>
      <c r="BZ1235" s="7">
        <f>(Wapato_Inventory[[#This Row],[sum_land]]-IF(Wapato_Inventory[[#This Row],[no_utilities]]=1,12000,0))/IF(Wapato_Inventory[[#This Row],[unbuildable]]=1,2,1)</f>
        <v>28950</v>
      </c>
      <c r="CA1235" s="7">
        <f>Wapato_Inventory[[#This Row],[pre_res]]*Wapato_Inventory[[#This Row],[overall_adj]]</f>
        <v>0</v>
      </c>
      <c r="CB1235" s="3">
        <f>IF(ROUND(Wapato_Inventory[[#This Row],[adj_land]]*Lookups!$H$48,-2)&lt;Wapato_Inventory[[#This Row],[min_land]],Wapato_Inventory[[#This Row],[min_land]],ROUND(Wapato_Inventory[[#This Row],[adj_land]]*Lookups!$H$48,-2))</f>
        <v>27500</v>
      </c>
      <c r="CC123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35" s="3">
        <f>ROUND(Wapato_Inventory[[#This Row],[det_value]]*Lookups!$H$48,-2)</f>
        <v>0</v>
      </c>
      <c r="CE1235" s="3">
        <f>Wapato_Inventory[[#This Row],[final_res]]+Wapato_Inventory[[#This Row],[final_det]]</f>
        <v>0</v>
      </c>
      <c r="CF1235" s="3">
        <f>Wapato_Inventory[[#This Row],[crop_value]]+Wapato_Inventory[[#This Row],[final_land]]+Wapato_Inventory[[#This Row],[final_imp]]</f>
        <v>27500</v>
      </c>
      <c r="CH1235" t="str">
        <f t="shared" si="19"/>
        <v>update valuation set market_land =27500, market_bldg=0, market_total =27500, market_mdno =405, market_date ='9/10/2023' where link_id = (select link_id from parcel where parcel_year = '2024' and parcel_id = '19110941426');</v>
      </c>
    </row>
    <row r="1236" spans="1:86" x14ac:dyDescent="0.25">
      <c r="A1236">
        <v>19110941431</v>
      </c>
      <c r="B1236">
        <v>0.79</v>
      </c>
      <c r="C1236">
        <v>34318</v>
      </c>
      <c r="D1236" t="s">
        <v>144</v>
      </c>
      <c r="E1236" t="s">
        <v>54</v>
      </c>
      <c r="F1236" t="s">
        <v>54</v>
      </c>
      <c r="G1236">
        <v>3</v>
      </c>
      <c r="H1236" t="s">
        <v>55</v>
      </c>
      <c r="I1236">
        <v>0</v>
      </c>
      <c r="J1236">
        <v>45500</v>
      </c>
      <c r="K1236">
        <v>0.79</v>
      </c>
      <c r="L1236">
        <f>IF(Wapato_Inventory[[#This Row],[parcel_acres]]-Wapato_Inventory[[#This Row],[non_valued_acres]] =0,0,LN(Wapato_Inventory[[#This Row],[parcel_acres]]-Wapato_Inventory[[#This Row],[non_valued_acres]]))</f>
        <v>-0.23572233352106983</v>
      </c>
      <c r="M1236">
        <v>0</v>
      </c>
      <c r="N1236">
        <v>1</v>
      </c>
      <c r="O1236">
        <v>0</v>
      </c>
      <c r="P1236">
        <v>27904.037</v>
      </c>
      <c r="Q1236">
        <v>74398</v>
      </c>
      <c r="R1236" s="3">
        <f>(Wapato_Inventory[[#This Row],[ln_acres]]*Wapato_Inventory[[#This Row],[coeff]])+Wapato_Inventory[[#This Row],[const]]</f>
        <v>67820.395283701728</v>
      </c>
      <c r="AY1236">
        <v>0</v>
      </c>
      <c r="AZ1236">
        <v>0</v>
      </c>
      <c r="BE1236">
        <v>0</v>
      </c>
      <c r="BF1236">
        <v>12000</v>
      </c>
      <c r="BG1236">
        <v>0</v>
      </c>
      <c r="BH1236" s="7">
        <f>ROUND(Wapato_Inventory[[#This Row],[detatched_value]]*Lookups!$B$22*Lookups!$H$48,-2)</f>
        <v>0</v>
      </c>
      <c r="BI1236" s="7">
        <f>ROUND(((Wapato_Inventory[[#This Row],[land_extract]]*Lookups!$B$3) +(Lookups!$B$2*0.5))*Lookups!$H$48,-2)</f>
        <v>57600</v>
      </c>
      <c r="BJ1236" s="7">
        <f>IF(Wapato_Inventory[[#This Row],[bldg_style]]="",0,Lookups!$B$2*0.5)</f>
        <v>0</v>
      </c>
      <c r="BK1236" s="7">
        <f>_xlfn.IFNA(VLOOKUP(Wapato_Inventory[[#This Row],[quality]],Lookups!$H$2:$J$14,3,FALSE),0)</f>
        <v>0</v>
      </c>
      <c r="BL1236" s="7">
        <f>_xlfn.IFNA(VLOOKUP(Wapato_Inventory[[#This Row],[condition]],Lookups!$H$17:$J$24,3,FALSE),0)</f>
        <v>0</v>
      </c>
      <c r="BM1236" s="7">
        <f>Wapato_Inventory[[#This Row],[Age]]*Lookups!$B$16</f>
        <v>0</v>
      </c>
      <c r="BN1236" s="7">
        <f>Wapato_Inventory[[#This Row],[Main Floor]]*Lookups!$B$17</f>
        <v>0</v>
      </c>
      <c r="BO1236" s="7">
        <f>Wapato_Inventory[[#This Row],[Upper Floor]]*Lookups!$B$18</f>
        <v>0</v>
      </c>
      <c r="BP1236" s="7">
        <f>Wapato_Inventory[[#This Row],[Fin BSMT]]*Lookups!$B$19</f>
        <v>0</v>
      </c>
      <c r="BQ1236" s="7">
        <f>(Wapato_Inventory[[#This Row],[att_gar]]+Wapato_Inventory[[#This Row],[blt_gar]])*Lookups!$B$20</f>
        <v>0</v>
      </c>
      <c r="BR1236" s="7">
        <f>Wapato_Inventory[[#This Row],[Patio]]*Lookups!$B$21</f>
        <v>0</v>
      </c>
      <c r="BS1236" s="7">
        <f>SUM(Wapato_Inventory[[#This Row],[intercept]:[patio_value]])*Wapato_Inventory[[#This Row],[res_pct]]</f>
        <v>0</v>
      </c>
      <c r="BT1236" s="7">
        <f>Wapato_Inventory[[#This Row],[land_value]]</f>
        <v>57600</v>
      </c>
      <c r="BU1236" s="2">
        <f>_xlfn.IFNA(VLOOKUP(Wapato_Inventory[[#This Row],[quality]],Lookups!$A$28:$C$37,3,FALSE),1)</f>
        <v>1</v>
      </c>
      <c r="BV1236" s="2">
        <f>_xlfn.IFNA(VLOOKUP(Wapato_Inventory[[#This Row],[condition]],Lookups!$A$41:$C$48,3,FALSE),1)</f>
        <v>1</v>
      </c>
      <c r="BW1236" s="2">
        <f>IF(Wapato_Inventory[[#This Row],[decade]]="",1,_xlfn.IFNA(VLOOKUP(Wapato_Inventory[[#This Row],[decade]],Lookups!$F$28:$H$45,3,FALSE),1))</f>
        <v>1</v>
      </c>
      <c r="BX1236" s="2">
        <f>_xlfn.IFNA(VLOOKUP(Wapato_Inventory[[#This Row],[living_area_range]],Lookups!$K$28:$M$37,3,FALSE),1)</f>
        <v>1</v>
      </c>
      <c r="BY1236" s="2">
        <f>AVERAGE(Wapato_Inventory[[#This Row],[qual_adj]:[range_adj]])</f>
        <v>1</v>
      </c>
      <c r="BZ1236" s="7">
        <f>(Wapato_Inventory[[#This Row],[sum_land]]-IF(Wapato_Inventory[[#This Row],[no_utilities]]=1,12000,0))/IF(Wapato_Inventory[[#This Row],[unbuildable]]=1,2,1)</f>
        <v>28800</v>
      </c>
      <c r="CA1236" s="7">
        <f>Wapato_Inventory[[#This Row],[pre_res]]*Wapato_Inventory[[#This Row],[overall_adj]]</f>
        <v>0</v>
      </c>
      <c r="CB1236" s="3">
        <f>IF(ROUND(Wapato_Inventory[[#This Row],[adj_land]]*Lookups!$H$48,-2)&lt;Wapato_Inventory[[#This Row],[min_land]],Wapato_Inventory[[#This Row],[min_land]],ROUND(Wapato_Inventory[[#This Row],[adj_land]]*Lookups!$H$48,-2))</f>
        <v>27400</v>
      </c>
      <c r="CC123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36" s="3">
        <f>ROUND(Wapato_Inventory[[#This Row],[det_value]]*Lookups!$H$48,-2)</f>
        <v>0</v>
      </c>
      <c r="CE1236" s="3">
        <f>Wapato_Inventory[[#This Row],[final_res]]+Wapato_Inventory[[#This Row],[final_det]]</f>
        <v>0</v>
      </c>
      <c r="CF1236" s="3">
        <f>Wapato_Inventory[[#This Row],[crop_value]]+Wapato_Inventory[[#This Row],[final_land]]+Wapato_Inventory[[#This Row],[final_imp]]</f>
        <v>27400</v>
      </c>
      <c r="CH1236" t="str">
        <f t="shared" si="19"/>
        <v>update valuation set market_land =27400, market_bldg=0, market_total =27400, market_mdno =405, market_date ='9/10/2023' where link_id = (select link_id from parcel where parcel_year = '2024' and parcel_id = '19110941431');</v>
      </c>
    </row>
    <row r="1237" spans="1:86" x14ac:dyDescent="0.25">
      <c r="A1237">
        <v>19110944412</v>
      </c>
      <c r="B1237">
        <v>0.28999999999999998</v>
      </c>
      <c r="C1237">
        <v>12550</v>
      </c>
      <c r="D1237" t="s">
        <v>144</v>
      </c>
      <c r="E1237" t="s">
        <v>54</v>
      </c>
      <c r="F1237" t="s">
        <v>54</v>
      </c>
      <c r="G1237">
        <v>3</v>
      </c>
      <c r="H1237" t="s">
        <v>55</v>
      </c>
      <c r="I1237">
        <v>0</v>
      </c>
      <c r="J1237">
        <v>38200</v>
      </c>
      <c r="K1237">
        <v>0.28999999999999998</v>
      </c>
      <c r="L1237">
        <f>IF(Wapato_Inventory[[#This Row],[parcel_acres]]-Wapato_Inventory[[#This Row],[non_valued_acres]] =0,0,LN(Wapato_Inventory[[#This Row],[parcel_acres]]-Wapato_Inventory[[#This Row],[non_valued_acres]]))</f>
        <v>-1.2378743560016174</v>
      </c>
      <c r="M1237">
        <v>0</v>
      </c>
      <c r="N1237">
        <v>1</v>
      </c>
      <c r="O1237">
        <v>0</v>
      </c>
      <c r="P1237">
        <v>27904.037</v>
      </c>
      <c r="Q1237">
        <v>74398</v>
      </c>
      <c r="R1237" s="3">
        <f>(Wapato_Inventory[[#This Row],[ln_acres]]*Wapato_Inventory[[#This Row],[coeff]])+Wapato_Inventory[[#This Row],[const]]</f>
        <v>39856.308168779695</v>
      </c>
      <c r="AY1237">
        <v>0</v>
      </c>
      <c r="AZ1237">
        <v>0</v>
      </c>
      <c r="BE1237">
        <v>0</v>
      </c>
      <c r="BF1237">
        <v>12000</v>
      </c>
      <c r="BG1237">
        <v>0</v>
      </c>
      <c r="BH1237" s="7">
        <f>ROUND(Wapato_Inventory[[#This Row],[detatched_value]]*Lookups!$B$22*Lookups!$H$48,-2)</f>
        <v>0</v>
      </c>
      <c r="BI1237" s="7">
        <f>ROUND(((Wapato_Inventory[[#This Row],[land_extract]]*Lookups!$B$3) +(Lookups!$B$2*0.5))*Lookups!$H$48,-2)</f>
        <v>54900</v>
      </c>
      <c r="BJ1237" s="7">
        <f>IF(Wapato_Inventory[[#This Row],[bldg_style]]="",0,Lookups!$B$2*0.5)</f>
        <v>0</v>
      </c>
      <c r="BK1237" s="7">
        <f>_xlfn.IFNA(VLOOKUP(Wapato_Inventory[[#This Row],[quality]],Lookups!$H$2:$J$14,3,FALSE),0)</f>
        <v>0</v>
      </c>
      <c r="BL1237" s="7">
        <f>_xlfn.IFNA(VLOOKUP(Wapato_Inventory[[#This Row],[condition]],Lookups!$H$17:$J$24,3,FALSE),0)</f>
        <v>0</v>
      </c>
      <c r="BM1237" s="7">
        <f>Wapato_Inventory[[#This Row],[Age]]*Lookups!$B$16</f>
        <v>0</v>
      </c>
      <c r="BN1237" s="7">
        <f>Wapato_Inventory[[#This Row],[Main Floor]]*Lookups!$B$17</f>
        <v>0</v>
      </c>
      <c r="BO1237" s="7">
        <f>Wapato_Inventory[[#This Row],[Upper Floor]]*Lookups!$B$18</f>
        <v>0</v>
      </c>
      <c r="BP1237" s="7">
        <f>Wapato_Inventory[[#This Row],[Fin BSMT]]*Lookups!$B$19</f>
        <v>0</v>
      </c>
      <c r="BQ1237" s="7">
        <f>(Wapato_Inventory[[#This Row],[att_gar]]+Wapato_Inventory[[#This Row],[blt_gar]])*Lookups!$B$20</f>
        <v>0</v>
      </c>
      <c r="BR1237" s="7">
        <f>Wapato_Inventory[[#This Row],[Patio]]*Lookups!$B$21</f>
        <v>0</v>
      </c>
      <c r="BS1237" s="7">
        <f>SUM(Wapato_Inventory[[#This Row],[intercept]:[patio_value]])*Wapato_Inventory[[#This Row],[res_pct]]</f>
        <v>0</v>
      </c>
      <c r="BT1237" s="7">
        <f>Wapato_Inventory[[#This Row],[land_value]]</f>
        <v>54900</v>
      </c>
      <c r="BU1237" s="2">
        <f>_xlfn.IFNA(VLOOKUP(Wapato_Inventory[[#This Row],[quality]],Lookups!$A$28:$C$37,3,FALSE),1)</f>
        <v>1</v>
      </c>
      <c r="BV1237" s="2">
        <f>_xlfn.IFNA(VLOOKUP(Wapato_Inventory[[#This Row],[condition]],Lookups!$A$41:$C$48,3,FALSE),1)</f>
        <v>1</v>
      </c>
      <c r="BW1237" s="2">
        <f>IF(Wapato_Inventory[[#This Row],[decade]]="",1,_xlfn.IFNA(VLOOKUP(Wapato_Inventory[[#This Row],[decade]],Lookups!$F$28:$H$45,3,FALSE),1))</f>
        <v>1</v>
      </c>
      <c r="BX1237" s="2">
        <f>_xlfn.IFNA(VLOOKUP(Wapato_Inventory[[#This Row],[living_area_range]],Lookups!$K$28:$M$37,3,FALSE),1)</f>
        <v>1</v>
      </c>
      <c r="BY1237" s="2">
        <f>AVERAGE(Wapato_Inventory[[#This Row],[qual_adj]:[range_adj]])</f>
        <v>1</v>
      </c>
      <c r="BZ1237" s="7">
        <f>(Wapato_Inventory[[#This Row],[sum_land]]-IF(Wapato_Inventory[[#This Row],[no_utilities]]=1,12000,0))/IF(Wapato_Inventory[[#This Row],[unbuildable]]=1,2,1)</f>
        <v>27450</v>
      </c>
      <c r="CA1237" s="7">
        <f>Wapato_Inventory[[#This Row],[pre_res]]*Wapato_Inventory[[#This Row],[overall_adj]]</f>
        <v>0</v>
      </c>
      <c r="CB1237" s="3">
        <f>IF(ROUND(Wapato_Inventory[[#This Row],[adj_land]]*Lookups!$H$48,-2)&lt;Wapato_Inventory[[#This Row],[min_land]],Wapato_Inventory[[#This Row],[min_land]],ROUND(Wapato_Inventory[[#This Row],[adj_land]]*Lookups!$H$48,-2))</f>
        <v>26100</v>
      </c>
      <c r="CC123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37" s="3">
        <f>ROUND(Wapato_Inventory[[#This Row],[det_value]]*Lookups!$H$48,-2)</f>
        <v>0</v>
      </c>
      <c r="CE1237" s="3">
        <f>Wapato_Inventory[[#This Row],[final_res]]+Wapato_Inventory[[#This Row],[final_det]]</f>
        <v>0</v>
      </c>
      <c r="CF1237" s="3">
        <f>Wapato_Inventory[[#This Row],[crop_value]]+Wapato_Inventory[[#This Row],[final_land]]+Wapato_Inventory[[#This Row],[final_imp]]</f>
        <v>26100</v>
      </c>
      <c r="CH1237" t="str">
        <f t="shared" si="19"/>
        <v>update valuation set market_land =26100, market_bldg=0, market_total =26100, market_mdno =405, market_date ='9/10/2023' where link_id = (select link_id from parcel where parcel_year = '2024' and parcel_id = '19110944412');</v>
      </c>
    </row>
    <row r="1238" spans="1:86" x14ac:dyDescent="0.25">
      <c r="A1238">
        <v>19110944413</v>
      </c>
      <c r="B1238">
        <v>0.21</v>
      </c>
      <c r="C1238">
        <v>9267</v>
      </c>
      <c r="D1238" t="s">
        <v>144</v>
      </c>
      <c r="E1238" t="s">
        <v>54</v>
      </c>
      <c r="F1238" t="s">
        <v>54</v>
      </c>
      <c r="G1238">
        <v>3</v>
      </c>
      <c r="H1238" t="s">
        <v>55</v>
      </c>
      <c r="I1238">
        <v>0</v>
      </c>
      <c r="J1238">
        <v>35800</v>
      </c>
      <c r="K1238">
        <v>0.21</v>
      </c>
      <c r="L1238">
        <f>IF(Wapato_Inventory[[#This Row],[parcel_acres]]-Wapato_Inventory[[#This Row],[non_valued_acres]] =0,0,LN(Wapato_Inventory[[#This Row],[parcel_acres]]-Wapato_Inventory[[#This Row],[non_valued_acres]]))</f>
        <v>-1.5606477482646683</v>
      </c>
      <c r="M1238">
        <v>0</v>
      </c>
      <c r="N1238">
        <v>0</v>
      </c>
      <c r="O1238">
        <v>0</v>
      </c>
      <c r="P1238">
        <v>27904.037</v>
      </c>
      <c r="Q1238">
        <v>74398</v>
      </c>
      <c r="R1238" s="3">
        <f>(Wapato_Inventory[[#This Row],[ln_acres]]*Wapato_Inventory[[#This Row],[coeff]])+Wapato_Inventory[[#This Row],[const]]</f>
        <v>30849.627488456012</v>
      </c>
      <c r="AY1238">
        <v>0</v>
      </c>
      <c r="AZ1238">
        <v>0</v>
      </c>
      <c r="BE1238">
        <v>0</v>
      </c>
      <c r="BF1238">
        <v>15000</v>
      </c>
      <c r="BG1238">
        <v>0</v>
      </c>
      <c r="BH1238" s="7">
        <f>ROUND(Wapato_Inventory[[#This Row],[detatched_value]]*Lookups!$B$22*Lookups!$H$48,-2)</f>
        <v>0</v>
      </c>
      <c r="BI1238" s="7">
        <f>ROUND(((Wapato_Inventory[[#This Row],[land_extract]]*Lookups!$B$3) +(Lookups!$B$2*0.5))*Lookups!$H$48,-2)</f>
        <v>54100</v>
      </c>
      <c r="BJ1238" s="7">
        <f>IF(Wapato_Inventory[[#This Row],[bldg_style]]="",0,Lookups!$B$2*0.5)</f>
        <v>0</v>
      </c>
      <c r="BK1238" s="7">
        <f>_xlfn.IFNA(VLOOKUP(Wapato_Inventory[[#This Row],[quality]],Lookups!$H$2:$J$14,3,FALSE),0)</f>
        <v>0</v>
      </c>
      <c r="BL1238" s="7">
        <f>_xlfn.IFNA(VLOOKUP(Wapato_Inventory[[#This Row],[condition]],Lookups!$H$17:$J$24,3,FALSE),0)</f>
        <v>0</v>
      </c>
      <c r="BM1238" s="7">
        <f>Wapato_Inventory[[#This Row],[Age]]*Lookups!$B$16</f>
        <v>0</v>
      </c>
      <c r="BN1238" s="7">
        <f>Wapato_Inventory[[#This Row],[Main Floor]]*Lookups!$B$17</f>
        <v>0</v>
      </c>
      <c r="BO1238" s="7">
        <f>Wapato_Inventory[[#This Row],[Upper Floor]]*Lookups!$B$18</f>
        <v>0</v>
      </c>
      <c r="BP1238" s="7">
        <f>Wapato_Inventory[[#This Row],[Fin BSMT]]*Lookups!$B$19</f>
        <v>0</v>
      </c>
      <c r="BQ1238" s="7">
        <f>(Wapato_Inventory[[#This Row],[att_gar]]+Wapato_Inventory[[#This Row],[blt_gar]])*Lookups!$B$20</f>
        <v>0</v>
      </c>
      <c r="BR1238" s="7">
        <f>Wapato_Inventory[[#This Row],[Patio]]*Lookups!$B$21</f>
        <v>0</v>
      </c>
      <c r="BS1238" s="7">
        <f>SUM(Wapato_Inventory[[#This Row],[intercept]:[patio_value]])*Wapato_Inventory[[#This Row],[res_pct]]</f>
        <v>0</v>
      </c>
      <c r="BT1238" s="7">
        <f>Wapato_Inventory[[#This Row],[land_value]]</f>
        <v>54100</v>
      </c>
      <c r="BU1238" s="2">
        <f>_xlfn.IFNA(VLOOKUP(Wapato_Inventory[[#This Row],[quality]],Lookups!$A$28:$C$37,3,FALSE),1)</f>
        <v>1</v>
      </c>
      <c r="BV1238" s="2">
        <f>_xlfn.IFNA(VLOOKUP(Wapato_Inventory[[#This Row],[condition]],Lookups!$A$41:$C$48,3,FALSE),1)</f>
        <v>1</v>
      </c>
      <c r="BW1238" s="2">
        <f>IF(Wapato_Inventory[[#This Row],[decade]]="",1,_xlfn.IFNA(VLOOKUP(Wapato_Inventory[[#This Row],[decade]],Lookups!$F$28:$H$45,3,FALSE),1))</f>
        <v>1</v>
      </c>
      <c r="BX1238" s="2">
        <f>_xlfn.IFNA(VLOOKUP(Wapato_Inventory[[#This Row],[living_area_range]],Lookups!$K$28:$M$37,3,FALSE),1)</f>
        <v>1</v>
      </c>
      <c r="BY1238" s="2">
        <f>AVERAGE(Wapato_Inventory[[#This Row],[qual_adj]:[range_adj]])</f>
        <v>1</v>
      </c>
      <c r="BZ1238" s="7">
        <f>(Wapato_Inventory[[#This Row],[sum_land]]-IF(Wapato_Inventory[[#This Row],[no_utilities]]=1,12000,0))/IF(Wapato_Inventory[[#This Row],[unbuildable]]=1,2,1)</f>
        <v>54100</v>
      </c>
      <c r="CA1238" s="7">
        <f>Wapato_Inventory[[#This Row],[pre_res]]*Wapato_Inventory[[#This Row],[overall_adj]]</f>
        <v>0</v>
      </c>
      <c r="CB1238" s="3">
        <f>IF(ROUND(Wapato_Inventory[[#This Row],[adj_land]]*Lookups!$H$48,-2)&lt;Wapato_Inventory[[#This Row],[min_land]],Wapato_Inventory[[#This Row],[min_land]],ROUND(Wapato_Inventory[[#This Row],[adj_land]]*Lookups!$H$48,-2))</f>
        <v>51400</v>
      </c>
      <c r="CC123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38" s="3">
        <f>ROUND(Wapato_Inventory[[#This Row],[det_value]]*Lookups!$H$48,-2)</f>
        <v>0</v>
      </c>
      <c r="CE1238" s="3">
        <f>Wapato_Inventory[[#This Row],[final_res]]+Wapato_Inventory[[#This Row],[final_det]]</f>
        <v>0</v>
      </c>
      <c r="CF1238" s="3">
        <f>Wapato_Inventory[[#This Row],[crop_value]]+Wapato_Inventory[[#This Row],[final_land]]+Wapato_Inventory[[#This Row],[final_imp]]</f>
        <v>51400</v>
      </c>
      <c r="CH1238" t="str">
        <f t="shared" si="19"/>
        <v>update valuation set market_land =51400, market_bldg=0, market_total =51400, market_mdno =405, market_date ='9/10/2023' where link_id = (select link_id from parcel where parcel_year = '2024' and parcel_id = '19110944413');</v>
      </c>
    </row>
    <row r="1239" spans="1:86" x14ac:dyDescent="0.25">
      <c r="A1239">
        <v>19110944430</v>
      </c>
      <c r="B1239">
        <v>0.88</v>
      </c>
      <c r="C1239">
        <v>38333</v>
      </c>
      <c r="D1239" t="s">
        <v>144</v>
      </c>
      <c r="E1239" t="s">
        <v>54</v>
      </c>
      <c r="F1239" t="s">
        <v>54</v>
      </c>
      <c r="G1239">
        <v>3</v>
      </c>
      <c r="H1239" t="s">
        <v>55</v>
      </c>
      <c r="I1239">
        <v>0</v>
      </c>
      <c r="J1239">
        <v>46300</v>
      </c>
      <c r="K1239">
        <v>0.88</v>
      </c>
      <c r="L1239">
        <f>IF(Wapato_Inventory[[#This Row],[parcel_acres]]-Wapato_Inventory[[#This Row],[non_valued_acres]] =0,0,LN(Wapato_Inventory[[#This Row],[parcel_acres]]-Wapato_Inventory[[#This Row],[non_valued_acres]]))</f>
        <v>-0.12783337150988489</v>
      </c>
      <c r="M1239">
        <v>0</v>
      </c>
      <c r="N1239">
        <v>1</v>
      </c>
      <c r="O1239">
        <v>0</v>
      </c>
      <c r="P1239">
        <v>27904.037</v>
      </c>
      <c r="Q1239">
        <v>74398</v>
      </c>
      <c r="R1239" s="3">
        <f>(Wapato_Inventory[[#This Row],[ln_acres]]*Wapato_Inventory[[#This Row],[coeff]])+Wapato_Inventory[[#This Row],[const]]</f>
        <v>70830.932871553421</v>
      </c>
      <c r="AY1239">
        <v>0</v>
      </c>
      <c r="AZ1239">
        <v>0</v>
      </c>
      <c r="BE1239">
        <v>0</v>
      </c>
      <c r="BF1239">
        <v>12000</v>
      </c>
      <c r="BG1239">
        <v>0</v>
      </c>
      <c r="BH1239" s="7">
        <f>ROUND(Wapato_Inventory[[#This Row],[detatched_value]]*Lookups!$B$22*Lookups!$H$48,-2)</f>
        <v>0</v>
      </c>
      <c r="BI1239" s="7">
        <f>ROUND(((Wapato_Inventory[[#This Row],[land_extract]]*Lookups!$B$3) +(Lookups!$B$2*0.5))*Lookups!$H$48,-2)</f>
        <v>57900</v>
      </c>
      <c r="BJ1239" s="7">
        <f>IF(Wapato_Inventory[[#This Row],[bldg_style]]="",0,Lookups!$B$2*0.5)</f>
        <v>0</v>
      </c>
      <c r="BK1239" s="7">
        <f>_xlfn.IFNA(VLOOKUP(Wapato_Inventory[[#This Row],[quality]],Lookups!$H$2:$J$14,3,FALSE),0)</f>
        <v>0</v>
      </c>
      <c r="BL1239" s="7">
        <f>_xlfn.IFNA(VLOOKUP(Wapato_Inventory[[#This Row],[condition]],Lookups!$H$17:$J$24,3,FALSE),0)</f>
        <v>0</v>
      </c>
      <c r="BM1239" s="7">
        <f>Wapato_Inventory[[#This Row],[Age]]*Lookups!$B$16</f>
        <v>0</v>
      </c>
      <c r="BN1239" s="7">
        <f>Wapato_Inventory[[#This Row],[Main Floor]]*Lookups!$B$17</f>
        <v>0</v>
      </c>
      <c r="BO1239" s="7">
        <f>Wapato_Inventory[[#This Row],[Upper Floor]]*Lookups!$B$18</f>
        <v>0</v>
      </c>
      <c r="BP1239" s="7">
        <f>Wapato_Inventory[[#This Row],[Fin BSMT]]*Lookups!$B$19</f>
        <v>0</v>
      </c>
      <c r="BQ1239" s="7">
        <f>(Wapato_Inventory[[#This Row],[att_gar]]+Wapato_Inventory[[#This Row],[blt_gar]])*Lookups!$B$20</f>
        <v>0</v>
      </c>
      <c r="BR1239" s="7">
        <f>Wapato_Inventory[[#This Row],[Patio]]*Lookups!$B$21</f>
        <v>0</v>
      </c>
      <c r="BS1239" s="7">
        <f>SUM(Wapato_Inventory[[#This Row],[intercept]:[patio_value]])*Wapato_Inventory[[#This Row],[res_pct]]</f>
        <v>0</v>
      </c>
      <c r="BT1239" s="7">
        <f>Wapato_Inventory[[#This Row],[land_value]]</f>
        <v>57900</v>
      </c>
      <c r="BU1239" s="2">
        <f>_xlfn.IFNA(VLOOKUP(Wapato_Inventory[[#This Row],[quality]],Lookups!$A$28:$C$37,3,FALSE),1)</f>
        <v>1</v>
      </c>
      <c r="BV1239" s="2">
        <f>_xlfn.IFNA(VLOOKUP(Wapato_Inventory[[#This Row],[condition]],Lookups!$A$41:$C$48,3,FALSE),1)</f>
        <v>1</v>
      </c>
      <c r="BW1239" s="2">
        <f>IF(Wapato_Inventory[[#This Row],[decade]]="",1,_xlfn.IFNA(VLOOKUP(Wapato_Inventory[[#This Row],[decade]],Lookups!$F$28:$H$45,3,FALSE),1))</f>
        <v>1</v>
      </c>
      <c r="BX1239" s="2">
        <f>_xlfn.IFNA(VLOOKUP(Wapato_Inventory[[#This Row],[living_area_range]],Lookups!$K$28:$M$37,3,FALSE),1)</f>
        <v>1</v>
      </c>
      <c r="BY1239" s="2">
        <f>AVERAGE(Wapato_Inventory[[#This Row],[qual_adj]:[range_adj]])</f>
        <v>1</v>
      </c>
      <c r="BZ1239" s="7">
        <f>(Wapato_Inventory[[#This Row],[sum_land]]-IF(Wapato_Inventory[[#This Row],[no_utilities]]=1,12000,0))/IF(Wapato_Inventory[[#This Row],[unbuildable]]=1,2,1)</f>
        <v>28950</v>
      </c>
      <c r="CA1239" s="7">
        <f>Wapato_Inventory[[#This Row],[pre_res]]*Wapato_Inventory[[#This Row],[overall_adj]]</f>
        <v>0</v>
      </c>
      <c r="CB1239" s="3">
        <f>IF(ROUND(Wapato_Inventory[[#This Row],[adj_land]]*Lookups!$H$48,-2)&lt;Wapato_Inventory[[#This Row],[min_land]],Wapato_Inventory[[#This Row],[min_land]],ROUND(Wapato_Inventory[[#This Row],[adj_land]]*Lookups!$H$48,-2))</f>
        <v>27500</v>
      </c>
      <c r="CC123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39" s="3">
        <f>ROUND(Wapato_Inventory[[#This Row],[det_value]]*Lookups!$H$48,-2)</f>
        <v>0</v>
      </c>
      <c r="CE1239" s="3">
        <f>Wapato_Inventory[[#This Row],[final_res]]+Wapato_Inventory[[#This Row],[final_det]]</f>
        <v>0</v>
      </c>
      <c r="CF1239" s="3">
        <f>Wapato_Inventory[[#This Row],[crop_value]]+Wapato_Inventory[[#This Row],[final_land]]+Wapato_Inventory[[#This Row],[final_imp]]</f>
        <v>27500</v>
      </c>
      <c r="CH1239" t="str">
        <f t="shared" si="19"/>
        <v>update valuation set market_land =27500, market_bldg=0, market_total =27500, market_mdno =405, market_date ='9/10/2023' where link_id = (select link_id from parcel where parcel_year = '2024' and parcel_id = '19110944430');</v>
      </c>
    </row>
    <row r="1240" spans="1:86" x14ac:dyDescent="0.25">
      <c r="A1240">
        <v>19110944431</v>
      </c>
      <c r="B1240">
        <v>1</v>
      </c>
      <c r="C1240">
        <v>43561</v>
      </c>
      <c r="D1240" t="s">
        <v>144</v>
      </c>
      <c r="E1240" t="s">
        <v>54</v>
      </c>
      <c r="F1240" t="s">
        <v>54</v>
      </c>
      <c r="G1240">
        <v>3</v>
      </c>
      <c r="H1240" t="s">
        <v>55</v>
      </c>
      <c r="I1240">
        <v>0</v>
      </c>
      <c r="J1240">
        <v>47300</v>
      </c>
      <c r="K1240">
        <v>1</v>
      </c>
      <c r="L1240">
        <f>IF(Wapato_Inventory[[#This Row],[parcel_acres]]-Wapato_Inventory[[#This Row],[non_valued_acres]] =0,0,LN(Wapato_Inventory[[#This Row],[parcel_acres]]-Wapato_Inventory[[#This Row],[non_valued_acres]]))</f>
        <v>0</v>
      </c>
      <c r="M1240">
        <v>0</v>
      </c>
      <c r="N1240">
        <v>0</v>
      </c>
      <c r="O1240">
        <v>0</v>
      </c>
      <c r="P1240">
        <v>27904.037</v>
      </c>
      <c r="Q1240">
        <v>74398</v>
      </c>
      <c r="R1240" s="3">
        <f>(Wapato_Inventory[[#This Row],[ln_acres]]*Wapato_Inventory[[#This Row],[coeff]])+Wapato_Inventory[[#This Row],[const]]</f>
        <v>74398</v>
      </c>
      <c r="AY1240">
        <v>0</v>
      </c>
      <c r="AZ1240">
        <v>0</v>
      </c>
      <c r="BE1240">
        <v>0</v>
      </c>
      <c r="BF1240">
        <v>15000</v>
      </c>
      <c r="BG1240">
        <v>0</v>
      </c>
      <c r="BH1240" s="7">
        <f>ROUND(Wapato_Inventory[[#This Row],[detatched_value]]*Lookups!$B$22*Lookups!$H$48,-2)</f>
        <v>0</v>
      </c>
      <c r="BI1240" s="7">
        <f>ROUND(((Wapato_Inventory[[#This Row],[land_extract]]*Lookups!$B$3) +(Lookups!$B$2*0.5))*Lookups!$H$48,-2)</f>
        <v>58300</v>
      </c>
      <c r="BJ1240" s="7">
        <f>IF(Wapato_Inventory[[#This Row],[bldg_style]]="",0,Lookups!$B$2*0.5)</f>
        <v>0</v>
      </c>
      <c r="BK1240" s="7">
        <f>_xlfn.IFNA(VLOOKUP(Wapato_Inventory[[#This Row],[quality]],Lookups!$H$2:$J$14,3,FALSE),0)</f>
        <v>0</v>
      </c>
      <c r="BL1240" s="7">
        <f>_xlfn.IFNA(VLOOKUP(Wapato_Inventory[[#This Row],[condition]],Lookups!$H$17:$J$24,3,FALSE),0)</f>
        <v>0</v>
      </c>
      <c r="BM1240" s="7">
        <f>Wapato_Inventory[[#This Row],[Age]]*Lookups!$B$16</f>
        <v>0</v>
      </c>
      <c r="BN1240" s="7">
        <f>Wapato_Inventory[[#This Row],[Main Floor]]*Lookups!$B$17</f>
        <v>0</v>
      </c>
      <c r="BO1240" s="7">
        <f>Wapato_Inventory[[#This Row],[Upper Floor]]*Lookups!$B$18</f>
        <v>0</v>
      </c>
      <c r="BP1240" s="7">
        <f>Wapato_Inventory[[#This Row],[Fin BSMT]]*Lookups!$B$19</f>
        <v>0</v>
      </c>
      <c r="BQ1240" s="7">
        <f>(Wapato_Inventory[[#This Row],[att_gar]]+Wapato_Inventory[[#This Row],[blt_gar]])*Lookups!$B$20</f>
        <v>0</v>
      </c>
      <c r="BR1240" s="7">
        <f>Wapato_Inventory[[#This Row],[Patio]]*Lookups!$B$21</f>
        <v>0</v>
      </c>
      <c r="BS1240" s="7">
        <f>SUM(Wapato_Inventory[[#This Row],[intercept]:[patio_value]])*Wapato_Inventory[[#This Row],[res_pct]]</f>
        <v>0</v>
      </c>
      <c r="BT1240" s="7">
        <f>Wapato_Inventory[[#This Row],[land_value]]</f>
        <v>58300</v>
      </c>
      <c r="BU1240" s="2">
        <f>_xlfn.IFNA(VLOOKUP(Wapato_Inventory[[#This Row],[quality]],Lookups!$A$28:$C$37,3,FALSE),1)</f>
        <v>1</v>
      </c>
      <c r="BV1240" s="2">
        <f>_xlfn.IFNA(VLOOKUP(Wapato_Inventory[[#This Row],[condition]],Lookups!$A$41:$C$48,3,FALSE),1)</f>
        <v>1</v>
      </c>
      <c r="BW1240" s="2">
        <f>IF(Wapato_Inventory[[#This Row],[decade]]="",1,_xlfn.IFNA(VLOOKUP(Wapato_Inventory[[#This Row],[decade]],Lookups!$F$28:$H$45,3,FALSE),1))</f>
        <v>1</v>
      </c>
      <c r="BX1240" s="2">
        <f>_xlfn.IFNA(VLOOKUP(Wapato_Inventory[[#This Row],[living_area_range]],Lookups!$K$28:$M$37,3,FALSE),1)</f>
        <v>1</v>
      </c>
      <c r="BY1240" s="2">
        <f>AVERAGE(Wapato_Inventory[[#This Row],[qual_adj]:[range_adj]])</f>
        <v>1</v>
      </c>
      <c r="BZ1240" s="7">
        <f>(Wapato_Inventory[[#This Row],[sum_land]]-IF(Wapato_Inventory[[#This Row],[no_utilities]]=1,12000,0))/IF(Wapato_Inventory[[#This Row],[unbuildable]]=1,2,1)</f>
        <v>58300</v>
      </c>
      <c r="CA1240" s="7">
        <f>Wapato_Inventory[[#This Row],[pre_res]]*Wapato_Inventory[[#This Row],[overall_adj]]</f>
        <v>0</v>
      </c>
      <c r="CB1240" s="3">
        <f>IF(ROUND(Wapato_Inventory[[#This Row],[adj_land]]*Lookups!$H$48,-2)&lt;Wapato_Inventory[[#This Row],[min_land]],Wapato_Inventory[[#This Row],[min_land]],ROUND(Wapato_Inventory[[#This Row],[adj_land]]*Lookups!$H$48,-2))</f>
        <v>55400</v>
      </c>
      <c r="CC124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40" s="3">
        <f>ROUND(Wapato_Inventory[[#This Row],[det_value]]*Lookups!$H$48,-2)</f>
        <v>0</v>
      </c>
      <c r="CE1240" s="3">
        <f>Wapato_Inventory[[#This Row],[final_res]]+Wapato_Inventory[[#This Row],[final_det]]</f>
        <v>0</v>
      </c>
      <c r="CF1240" s="3">
        <f>Wapato_Inventory[[#This Row],[crop_value]]+Wapato_Inventory[[#This Row],[final_land]]+Wapato_Inventory[[#This Row],[final_imp]]</f>
        <v>55400</v>
      </c>
      <c r="CH1240" t="str">
        <f t="shared" si="19"/>
        <v>update valuation set market_land =55400, market_bldg=0, market_total =55400, market_mdno =405, market_date ='9/10/2023' where link_id = (select link_id from parcel where parcel_year = '2024' and parcel_id = '19110944431');</v>
      </c>
    </row>
    <row r="1241" spans="1:86" x14ac:dyDescent="0.25">
      <c r="A1241">
        <v>19110944446</v>
      </c>
      <c r="B1241">
        <v>0.86</v>
      </c>
      <c r="C1241">
        <v>37280</v>
      </c>
      <c r="D1241" t="s">
        <v>144</v>
      </c>
      <c r="E1241" t="s">
        <v>54</v>
      </c>
      <c r="F1241" t="s">
        <v>54</v>
      </c>
      <c r="G1241">
        <v>3</v>
      </c>
      <c r="H1241" t="s">
        <v>55</v>
      </c>
      <c r="I1241">
        <v>14600</v>
      </c>
      <c r="J1241">
        <v>44200</v>
      </c>
      <c r="K1241">
        <v>0.86</v>
      </c>
      <c r="L1241">
        <f>IF(Wapato_Inventory[[#This Row],[parcel_acres]]-Wapato_Inventory[[#This Row],[non_valued_acres]] =0,0,LN(Wapato_Inventory[[#This Row],[parcel_acres]]-Wapato_Inventory[[#This Row],[non_valued_acres]]))</f>
        <v>-0.15082288973458366</v>
      </c>
      <c r="M1241">
        <v>0</v>
      </c>
      <c r="N1241">
        <v>0</v>
      </c>
      <c r="O1241">
        <v>0</v>
      </c>
      <c r="P1241">
        <v>27904.037</v>
      </c>
      <c r="Q1241">
        <v>74398</v>
      </c>
      <c r="R1241" s="3">
        <f>(Wapato_Inventory[[#This Row],[ln_acres]]*Wapato_Inventory[[#This Row],[coeff]])+Wapato_Inventory[[#This Row],[const]]</f>
        <v>70189.432504399258</v>
      </c>
      <c r="AY1241">
        <v>0</v>
      </c>
      <c r="AZ1241">
        <v>0</v>
      </c>
      <c r="BE1241">
        <v>0</v>
      </c>
      <c r="BF1241">
        <v>15000</v>
      </c>
      <c r="BG1241">
        <v>0</v>
      </c>
      <c r="BH1241" s="7">
        <f>ROUND(Wapato_Inventory[[#This Row],[detatched_value]]*Lookups!$B$22*Lookups!$H$48,-2)</f>
        <v>0</v>
      </c>
      <c r="BI1241" s="7">
        <f>ROUND(((Wapato_Inventory[[#This Row],[land_extract]]*Lookups!$B$3) +(Lookups!$B$2*0.5))*Lookups!$H$48,-2)</f>
        <v>57900</v>
      </c>
      <c r="BJ1241" s="7">
        <f>IF(Wapato_Inventory[[#This Row],[bldg_style]]="",0,Lookups!$B$2*0.5)</f>
        <v>0</v>
      </c>
      <c r="BK1241" s="7">
        <f>_xlfn.IFNA(VLOOKUP(Wapato_Inventory[[#This Row],[quality]],Lookups!$H$2:$J$14,3,FALSE),0)</f>
        <v>0</v>
      </c>
      <c r="BL1241" s="7">
        <f>_xlfn.IFNA(VLOOKUP(Wapato_Inventory[[#This Row],[condition]],Lookups!$H$17:$J$24,3,FALSE),0)</f>
        <v>0</v>
      </c>
      <c r="BM1241" s="7">
        <f>Wapato_Inventory[[#This Row],[Age]]*Lookups!$B$16</f>
        <v>0</v>
      </c>
      <c r="BN1241" s="7">
        <f>Wapato_Inventory[[#This Row],[Main Floor]]*Lookups!$B$17</f>
        <v>0</v>
      </c>
      <c r="BO1241" s="7">
        <f>Wapato_Inventory[[#This Row],[Upper Floor]]*Lookups!$B$18</f>
        <v>0</v>
      </c>
      <c r="BP1241" s="7">
        <f>Wapato_Inventory[[#This Row],[Fin BSMT]]*Lookups!$B$19</f>
        <v>0</v>
      </c>
      <c r="BQ1241" s="7">
        <f>(Wapato_Inventory[[#This Row],[att_gar]]+Wapato_Inventory[[#This Row],[blt_gar]])*Lookups!$B$20</f>
        <v>0</v>
      </c>
      <c r="BR1241" s="7">
        <f>Wapato_Inventory[[#This Row],[Patio]]*Lookups!$B$21</f>
        <v>0</v>
      </c>
      <c r="BS1241" s="7">
        <f>SUM(Wapato_Inventory[[#This Row],[intercept]:[patio_value]])*Wapato_Inventory[[#This Row],[res_pct]]</f>
        <v>0</v>
      </c>
      <c r="BT1241" s="7">
        <f>Wapato_Inventory[[#This Row],[land_value]]</f>
        <v>57900</v>
      </c>
      <c r="BU1241" s="2">
        <f>_xlfn.IFNA(VLOOKUP(Wapato_Inventory[[#This Row],[quality]],Lookups!$A$28:$C$37,3,FALSE),1)</f>
        <v>1</v>
      </c>
      <c r="BV1241" s="2">
        <f>_xlfn.IFNA(VLOOKUP(Wapato_Inventory[[#This Row],[condition]],Lookups!$A$41:$C$48,3,FALSE),1)</f>
        <v>1</v>
      </c>
      <c r="BW1241" s="2">
        <f>IF(Wapato_Inventory[[#This Row],[decade]]="",1,_xlfn.IFNA(VLOOKUP(Wapato_Inventory[[#This Row],[decade]],Lookups!$F$28:$H$45,3,FALSE),1))</f>
        <v>1</v>
      </c>
      <c r="BX1241" s="2">
        <f>_xlfn.IFNA(VLOOKUP(Wapato_Inventory[[#This Row],[living_area_range]],Lookups!$K$28:$M$37,3,FALSE),1)</f>
        <v>1</v>
      </c>
      <c r="BY1241" s="2">
        <f>AVERAGE(Wapato_Inventory[[#This Row],[qual_adj]:[range_adj]])</f>
        <v>1</v>
      </c>
      <c r="BZ1241" s="7">
        <f>(Wapato_Inventory[[#This Row],[sum_land]]-IF(Wapato_Inventory[[#This Row],[no_utilities]]=1,12000,0))/IF(Wapato_Inventory[[#This Row],[unbuildable]]=1,2,1)</f>
        <v>57900</v>
      </c>
      <c r="CA1241" s="7">
        <f>Wapato_Inventory[[#This Row],[pre_res]]*Wapato_Inventory[[#This Row],[overall_adj]]</f>
        <v>0</v>
      </c>
      <c r="CB1241" s="3">
        <f>IF(ROUND(Wapato_Inventory[[#This Row],[adj_land]]*Lookups!$H$48,-2)&lt;Wapato_Inventory[[#This Row],[min_land]],Wapato_Inventory[[#This Row],[min_land]],ROUND(Wapato_Inventory[[#This Row],[adj_land]]*Lookups!$H$48,-2))</f>
        <v>55000</v>
      </c>
      <c r="CC124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41" s="3">
        <f>ROUND(Wapato_Inventory[[#This Row],[det_value]]*Lookups!$H$48,-2)</f>
        <v>0</v>
      </c>
      <c r="CE1241" s="3">
        <f>Wapato_Inventory[[#This Row],[final_res]]+Wapato_Inventory[[#This Row],[final_det]]</f>
        <v>0</v>
      </c>
      <c r="CF1241" s="3">
        <f>Wapato_Inventory[[#This Row],[crop_value]]+Wapato_Inventory[[#This Row],[final_land]]+Wapato_Inventory[[#This Row],[final_imp]]</f>
        <v>55000</v>
      </c>
      <c r="CH1241" t="str">
        <f t="shared" si="19"/>
        <v>update valuation set market_land =55000, market_bldg=0, market_total =55000, market_mdno =405, market_date ='9/10/2023' where link_id = (select link_id from parcel where parcel_year = '2024' and parcel_id = '19110944446');</v>
      </c>
    </row>
    <row r="1242" spans="1:86" x14ac:dyDescent="0.25">
      <c r="A1242">
        <v>19110944455</v>
      </c>
      <c r="B1242">
        <v>0.25</v>
      </c>
      <c r="C1242">
        <v>10777</v>
      </c>
      <c r="D1242" t="s">
        <v>144</v>
      </c>
      <c r="E1242" t="s">
        <v>54</v>
      </c>
      <c r="F1242" t="s">
        <v>54</v>
      </c>
      <c r="G1242">
        <v>3</v>
      </c>
      <c r="H1242" t="s">
        <v>55</v>
      </c>
      <c r="I1242">
        <v>0</v>
      </c>
      <c r="J1242">
        <v>37100</v>
      </c>
      <c r="K1242">
        <v>0.25</v>
      </c>
      <c r="L1242">
        <f>IF(Wapato_Inventory[[#This Row],[parcel_acres]]-Wapato_Inventory[[#This Row],[non_valued_acres]] =0,0,LN(Wapato_Inventory[[#This Row],[parcel_acres]]-Wapato_Inventory[[#This Row],[non_valued_acres]]))</f>
        <v>-1.3862943611198906</v>
      </c>
      <c r="M1242">
        <v>0</v>
      </c>
      <c r="N1242">
        <v>1</v>
      </c>
      <c r="O1242">
        <v>0</v>
      </c>
      <c r="P1242">
        <v>27904.037</v>
      </c>
      <c r="Q1242">
        <v>74398</v>
      </c>
      <c r="R1242" s="3">
        <f>(Wapato_Inventory[[#This Row],[ln_acres]]*Wapato_Inventory[[#This Row],[coeff]])+Wapato_Inventory[[#This Row],[const]]</f>
        <v>35714.790854419211</v>
      </c>
      <c r="AY1242">
        <v>0</v>
      </c>
      <c r="AZ1242">
        <v>0</v>
      </c>
      <c r="BE1242">
        <v>0</v>
      </c>
      <c r="BF1242">
        <v>12000</v>
      </c>
      <c r="BG1242">
        <v>0</v>
      </c>
      <c r="BH1242" s="7">
        <f>ROUND(Wapato_Inventory[[#This Row],[detatched_value]]*Lookups!$B$22*Lookups!$H$48,-2)</f>
        <v>0</v>
      </c>
      <c r="BI1242" s="7">
        <f>ROUND(((Wapato_Inventory[[#This Row],[land_extract]]*Lookups!$B$3) +(Lookups!$B$2*0.5))*Lookups!$H$48,-2)</f>
        <v>54500</v>
      </c>
      <c r="BJ1242" s="7">
        <f>IF(Wapato_Inventory[[#This Row],[bldg_style]]="",0,Lookups!$B$2*0.5)</f>
        <v>0</v>
      </c>
      <c r="BK1242" s="7">
        <f>_xlfn.IFNA(VLOOKUP(Wapato_Inventory[[#This Row],[quality]],Lookups!$H$2:$J$14,3,FALSE),0)</f>
        <v>0</v>
      </c>
      <c r="BL1242" s="7">
        <f>_xlfn.IFNA(VLOOKUP(Wapato_Inventory[[#This Row],[condition]],Lookups!$H$17:$J$24,3,FALSE),0)</f>
        <v>0</v>
      </c>
      <c r="BM1242" s="7">
        <f>Wapato_Inventory[[#This Row],[Age]]*Lookups!$B$16</f>
        <v>0</v>
      </c>
      <c r="BN1242" s="7">
        <f>Wapato_Inventory[[#This Row],[Main Floor]]*Lookups!$B$17</f>
        <v>0</v>
      </c>
      <c r="BO1242" s="7">
        <f>Wapato_Inventory[[#This Row],[Upper Floor]]*Lookups!$B$18</f>
        <v>0</v>
      </c>
      <c r="BP1242" s="7">
        <f>Wapato_Inventory[[#This Row],[Fin BSMT]]*Lookups!$B$19</f>
        <v>0</v>
      </c>
      <c r="BQ1242" s="7">
        <f>(Wapato_Inventory[[#This Row],[att_gar]]+Wapato_Inventory[[#This Row],[blt_gar]])*Lookups!$B$20</f>
        <v>0</v>
      </c>
      <c r="BR1242" s="7">
        <f>Wapato_Inventory[[#This Row],[Patio]]*Lookups!$B$21</f>
        <v>0</v>
      </c>
      <c r="BS1242" s="7">
        <f>SUM(Wapato_Inventory[[#This Row],[intercept]:[patio_value]])*Wapato_Inventory[[#This Row],[res_pct]]</f>
        <v>0</v>
      </c>
      <c r="BT1242" s="7">
        <f>Wapato_Inventory[[#This Row],[land_value]]</f>
        <v>54500</v>
      </c>
      <c r="BU1242" s="2">
        <f>_xlfn.IFNA(VLOOKUP(Wapato_Inventory[[#This Row],[quality]],Lookups!$A$28:$C$37,3,FALSE),1)</f>
        <v>1</v>
      </c>
      <c r="BV1242" s="2">
        <f>_xlfn.IFNA(VLOOKUP(Wapato_Inventory[[#This Row],[condition]],Lookups!$A$41:$C$48,3,FALSE),1)</f>
        <v>1</v>
      </c>
      <c r="BW1242" s="2">
        <f>IF(Wapato_Inventory[[#This Row],[decade]]="",1,_xlfn.IFNA(VLOOKUP(Wapato_Inventory[[#This Row],[decade]],Lookups!$F$28:$H$45,3,FALSE),1))</f>
        <v>1</v>
      </c>
      <c r="BX1242" s="2">
        <f>_xlfn.IFNA(VLOOKUP(Wapato_Inventory[[#This Row],[living_area_range]],Lookups!$K$28:$M$37,3,FALSE),1)</f>
        <v>1</v>
      </c>
      <c r="BY1242" s="2">
        <f>AVERAGE(Wapato_Inventory[[#This Row],[qual_adj]:[range_adj]])</f>
        <v>1</v>
      </c>
      <c r="BZ1242" s="7">
        <f>(Wapato_Inventory[[#This Row],[sum_land]]-IF(Wapato_Inventory[[#This Row],[no_utilities]]=1,12000,0))/IF(Wapato_Inventory[[#This Row],[unbuildable]]=1,2,1)</f>
        <v>27250</v>
      </c>
      <c r="CA1242" s="7">
        <f>Wapato_Inventory[[#This Row],[pre_res]]*Wapato_Inventory[[#This Row],[overall_adj]]</f>
        <v>0</v>
      </c>
      <c r="CB1242" s="3">
        <f>IF(ROUND(Wapato_Inventory[[#This Row],[adj_land]]*Lookups!$H$48,-2)&lt;Wapato_Inventory[[#This Row],[min_land]],Wapato_Inventory[[#This Row],[min_land]],ROUND(Wapato_Inventory[[#This Row],[adj_land]]*Lookups!$H$48,-2))</f>
        <v>25900</v>
      </c>
      <c r="CC124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42" s="3">
        <f>ROUND(Wapato_Inventory[[#This Row],[det_value]]*Lookups!$H$48,-2)</f>
        <v>0</v>
      </c>
      <c r="CE1242" s="3">
        <f>Wapato_Inventory[[#This Row],[final_res]]+Wapato_Inventory[[#This Row],[final_det]]</f>
        <v>0</v>
      </c>
      <c r="CF1242" s="3">
        <f>Wapato_Inventory[[#This Row],[crop_value]]+Wapato_Inventory[[#This Row],[final_land]]+Wapato_Inventory[[#This Row],[final_imp]]</f>
        <v>25900</v>
      </c>
      <c r="CH1242" t="str">
        <f t="shared" si="19"/>
        <v>update valuation set market_land =25900, market_bldg=0, market_total =25900, market_mdno =405, market_date ='9/10/2023' where link_id = (select link_id from parcel where parcel_year = '2024' and parcel_id = '19110944455');</v>
      </c>
    </row>
    <row r="1243" spans="1:86" x14ac:dyDescent="0.25">
      <c r="A1243">
        <v>19110944460</v>
      </c>
      <c r="B1243">
        <v>0.5</v>
      </c>
      <c r="C1243">
        <v>21783</v>
      </c>
      <c r="D1243" t="s">
        <v>144</v>
      </c>
      <c r="E1243" t="s">
        <v>54</v>
      </c>
      <c r="F1243" t="s">
        <v>54</v>
      </c>
      <c r="G1243">
        <v>3</v>
      </c>
      <c r="H1243" t="s">
        <v>55</v>
      </c>
      <c r="I1243">
        <v>0</v>
      </c>
      <c r="J1243">
        <v>42200</v>
      </c>
      <c r="K1243">
        <v>0.5</v>
      </c>
      <c r="L1243">
        <f>IF(Wapato_Inventory[[#This Row],[parcel_acres]]-Wapato_Inventory[[#This Row],[non_valued_acres]] =0,0,LN(Wapato_Inventory[[#This Row],[parcel_acres]]-Wapato_Inventory[[#This Row],[non_valued_acres]]))</f>
        <v>-0.69314718055994529</v>
      </c>
      <c r="M1243">
        <v>0</v>
      </c>
      <c r="N1243">
        <v>1</v>
      </c>
      <c r="O1243">
        <v>0</v>
      </c>
      <c r="P1243">
        <v>27904.037</v>
      </c>
      <c r="Q1243">
        <v>74398</v>
      </c>
      <c r="R1243" s="3">
        <f>(Wapato_Inventory[[#This Row],[ln_acres]]*Wapato_Inventory[[#This Row],[coeff]])+Wapato_Inventory[[#This Row],[const]]</f>
        <v>55056.395427209602</v>
      </c>
      <c r="AY1243">
        <v>0</v>
      </c>
      <c r="AZ1243">
        <v>0</v>
      </c>
      <c r="BE1243">
        <v>0</v>
      </c>
      <c r="BF1243">
        <v>12000</v>
      </c>
      <c r="BG1243">
        <v>0</v>
      </c>
      <c r="BH1243" s="7">
        <f>ROUND(Wapato_Inventory[[#This Row],[detatched_value]]*Lookups!$B$22*Lookups!$H$48,-2)</f>
        <v>0</v>
      </c>
      <c r="BI1243" s="7">
        <f>ROUND(((Wapato_Inventory[[#This Row],[land_extract]]*Lookups!$B$3) +(Lookups!$B$2*0.5))*Lookups!$H$48,-2)</f>
        <v>56400</v>
      </c>
      <c r="BJ1243" s="7">
        <f>IF(Wapato_Inventory[[#This Row],[bldg_style]]="",0,Lookups!$B$2*0.5)</f>
        <v>0</v>
      </c>
      <c r="BK1243" s="7">
        <f>_xlfn.IFNA(VLOOKUP(Wapato_Inventory[[#This Row],[quality]],Lookups!$H$2:$J$14,3,FALSE),0)</f>
        <v>0</v>
      </c>
      <c r="BL1243" s="7">
        <f>_xlfn.IFNA(VLOOKUP(Wapato_Inventory[[#This Row],[condition]],Lookups!$H$17:$J$24,3,FALSE),0)</f>
        <v>0</v>
      </c>
      <c r="BM1243" s="7">
        <f>Wapato_Inventory[[#This Row],[Age]]*Lookups!$B$16</f>
        <v>0</v>
      </c>
      <c r="BN1243" s="7">
        <f>Wapato_Inventory[[#This Row],[Main Floor]]*Lookups!$B$17</f>
        <v>0</v>
      </c>
      <c r="BO1243" s="7">
        <f>Wapato_Inventory[[#This Row],[Upper Floor]]*Lookups!$B$18</f>
        <v>0</v>
      </c>
      <c r="BP1243" s="7">
        <f>Wapato_Inventory[[#This Row],[Fin BSMT]]*Lookups!$B$19</f>
        <v>0</v>
      </c>
      <c r="BQ1243" s="7">
        <f>(Wapato_Inventory[[#This Row],[att_gar]]+Wapato_Inventory[[#This Row],[blt_gar]])*Lookups!$B$20</f>
        <v>0</v>
      </c>
      <c r="BR1243" s="7">
        <f>Wapato_Inventory[[#This Row],[Patio]]*Lookups!$B$21</f>
        <v>0</v>
      </c>
      <c r="BS1243" s="7">
        <f>SUM(Wapato_Inventory[[#This Row],[intercept]:[patio_value]])*Wapato_Inventory[[#This Row],[res_pct]]</f>
        <v>0</v>
      </c>
      <c r="BT1243" s="7">
        <f>Wapato_Inventory[[#This Row],[land_value]]</f>
        <v>56400</v>
      </c>
      <c r="BU1243" s="2">
        <f>_xlfn.IFNA(VLOOKUP(Wapato_Inventory[[#This Row],[quality]],Lookups!$A$28:$C$37,3,FALSE),1)</f>
        <v>1</v>
      </c>
      <c r="BV1243" s="2">
        <f>_xlfn.IFNA(VLOOKUP(Wapato_Inventory[[#This Row],[condition]],Lookups!$A$41:$C$48,3,FALSE),1)</f>
        <v>1</v>
      </c>
      <c r="BW1243" s="2">
        <f>IF(Wapato_Inventory[[#This Row],[decade]]="",1,_xlfn.IFNA(VLOOKUP(Wapato_Inventory[[#This Row],[decade]],Lookups!$F$28:$H$45,3,FALSE),1))</f>
        <v>1</v>
      </c>
      <c r="BX1243" s="2">
        <f>_xlfn.IFNA(VLOOKUP(Wapato_Inventory[[#This Row],[living_area_range]],Lookups!$K$28:$M$37,3,FALSE),1)</f>
        <v>1</v>
      </c>
      <c r="BY1243" s="2">
        <f>AVERAGE(Wapato_Inventory[[#This Row],[qual_adj]:[range_adj]])</f>
        <v>1</v>
      </c>
      <c r="BZ1243" s="7">
        <f>(Wapato_Inventory[[#This Row],[sum_land]]-IF(Wapato_Inventory[[#This Row],[no_utilities]]=1,12000,0))/IF(Wapato_Inventory[[#This Row],[unbuildable]]=1,2,1)</f>
        <v>28200</v>
      </c>
      <c r="CA1243" s="7">
        <f>Wapato_Inventory[[#This Row],[pre_res]]*Wapato_Inventory[[#This Row],[overall_adj]]</f>
        <v>0</v>
      </c>
      <c r="CB1243" s="3">
        <f>IF(ROUND(Wapato_Inventory[[#This Row],[adj_land]]*Lookups!$H$48,-2)&lt;Wapato_Inventory[[#This Row],[min_land]],Wapato_Inventory[[#This Row],[min_land]],ROUND(Wapato_Inventory[[#This Row],[adj_land]]*Lookups!$H$48,-2))</f>
        <v>26800</v>
      </c>
      <c r="CC124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43" s="3">
        <f>ROUND(Wapato_Inventory[[#This Row],[det_value]]*Lookups!$H$48,-2)</f>
        <v>0</v>
      </c>
      <c r="CE1243" s="3">
        <f>Wapato_Inventory[[#This Row],[final_res]]+Wapato_Inventory[[#This Row],[final_det]]</f>
        <v>0</v>
      </c>
      <c r="CF1243" s="3">
        <f>Wapato_Inventory[[#This Row],[crop_value]]+Wapato_Inventory[[#This Row],[final_land]]+Wapato_Inventory[[#This Row],[final_imp]]</f>
        <v>26800</v>
      </c>
      <c r="CH1243" t="str">
        <f t="shared" si="19"/>
        <v>update valuation set market_land =26800, market_bldg=0, market_total =26800, market_mdno =405, market_date ='9/10/2023' where link_id = (select link_id from parcel where parcel_year = '2024' and parcel_id = '19110944460');</v>
      </c>
    </row>
    <row r="1244" spans="1:86" x14ac:dyDescent="0.25">
      <c r="A1244">
        <v>19110944472</v>
      </c>
      <c r="B1244">
        <v>0.27</v>
      </c>
      <c r="C1244">
        <v>11892</v>
      </c>
      <c r="D1244" t="s">
        <v>144</v>
      </c>
      <c r="E1244" t="s">
        <v>54</v>
      </c>
      <c r="F1244" t="s">
        <v>54</v>
      </c>
      <c r="G1244">
        <v>3</v>
      </c>
      <c r="H1244" t="s">
        <v>55</v>
      </c>
      <c r="I1244">
        <v>0</v>
      </c>
      <c r="J1244">
        <v>37600</v>
      </c>
      <c r="K1244">
        <v>0.27</v>
      </c>
      <c r="L1244">
        <f>IF(Wapato_Inventory[[#This Row],[parcel_acres]]-Wapato_Inventory[[#This Row],[non_valued_acres]] =0,0,LN(Wapato_Inventory[[#This Row],[parcel_acres]]-Wapato_Inventory[[#This Row],[non_valued_acres]]))</f>
        <v>-1.3093333199837622</v>
      </c>
      <c r="M1244">
        <v>0</v>
      </c>
      <c r="N1244">
        <v>0</v>
      </c>
      <c r="O1244">
        <v>0</v>
      </c>
      <c r="P1244">
        <v>27904.037</v>
      </c>
      <c r="Q1244">
        <v>74398</v>
      </c>
      <c r="R1244" s="3">
        <f>(Wapato_Inventory[[#This Row],[ln_acres]]*Wapato_Inventory[[#This Row],[coeff]])+Wapato_Inventory[[#This Row],[const]]</f>
        <v>37862.314593840259</v>
      </c>
      <c r="AY1244">
        <v>0</v>
      </c>
      <c r="AZ1244">
        <v>0</v>
      </c>
      <c r="BE1244">
        <v>0</v>
      </c>
      <c r="BF1244">
        <v>15000</v>
      </c>
      <c r="BG1244">
        <v>0</v>
      </c>
      <c r="BH1244" s="7">
        <f>ROUND(Wapato_Inventory[[#This Row],[detatched_value]]*Lookups!$B$22*Lookups!$H$48,-2)</f>
        <v>0</v>
      </c>
      <c r="BI1244" s="7">
        <f>ROUND(((Wapato_Inventory[[#This Row],[land_extract]]*Lookups!$B$3) +(Lookups!$B$2*0.5))*Lookups!$H$48,-2)</f>
        <v>54700</v>
      </c>
      <c r="BJ1244" s="7">
        <f>IF(Wapato_Inventory[[#This Row],[bldg_style]]="",0,Lookups!$B$2*0.5)</f>
        <v>0</v>
      </c>
      <c r="BK1244" s="7">
        <f>_xlfn.IFNA(VLOOKUP(Wapato_Inventory[[#This Row],[quality]],Lookups!$H$2:$J$14,3,FALSE),0)</f>
        <v>0</v>
      </c>
      <c r="BL1244" s="7">
        <f>_xlfn.IFNA(VLOOKUP(Wapato_Inventory[[#This Row],[condition]],Lookups!$H$17:$J$24,3,FALSE),0)</f>
        <v>0</v>
      </c>
      <c r="BM1244" s="7">
        <f>Wapato_Inventory[[#This Row],[Age]]*Lookups!$B$16</f>
        <v>0</v>
      </c>
      <c r="BN1244" s="7">
        <f>Wapato_Inventory[[#This Row],[Main Floor]]*Lookups!$B$17</f>
        <v>0</v>
      </c>
      <c r="BO1244" s="7">
        <f>Wapato_Inventory[[#This Row],[Upper Floor]]*Lookups!$B$18</f>
        <v>0</v>
      </c>
      <c r="BP1244" s="7">
        <f>Wapato_Inventory[[#This Row],[Fin BSMT]]*Lookups!$B$19</f>
        <v>0</v>
      </c>
      <c r="BQ1244" s="7">
        <f>(Wapato_Inventory[[#This Row],[att_gar]]+Wapato_Inventory[[#This Row],[blt_gar]])*Lookups!$B$20</f>
        <v>0</v>
      </c>
      <c r="BR1244" s="7">
        <f>Wapato_Inventory[[#This Row],[Patio]]*Lookups!$B$21</f>
        <v>0</v>
      </c>
      <c r="BS1244" s="7">
        <f>SUM(Wapato_Inventory[[#This Row],[intercept]:[patio_value]])*Wapato_Inventory[[#This Row],[res_pct]]</f>
        <v>0</v>
      </c>
      <c r="BT1244" s="7">
        <f>Wapato_Inventory[[#This Row],[land_value]]</f>
        <v>54700</v>
      </c>
      <c r="BU1244" s="2">
        <f>_xlfn.IFNA(VLOOKUP(Wapato_Inventory[[#This Row],[quality]],Lookups!$A$28:$C$37,3,FALSE),1)</f>
        <v>1</v>
      </c>
      <c r="BV1244" s="2">
        <f>_xlfn.IFNA(VLOOKUP(Wapato_Inventory[[#This Row],[condition]],Lookups!$A$41:$C$48,3,FALSE),1)</f>
        <v>1</v>
      </c>
      <c r="BW1244" s="2">
        <f>IF(Wapato_Inventory[[#This Row],[decade]]="",1,_xlfn.IFNA(VLOOKUP(Wapato_Inventory[[#This Row],[decade]],Lookups!$F$28:$H$45,3,FALSE),1))</f>
        <v>1</v>
      </c>
      <c r="BX1244" s="2">
        <f>_xlfn.IFNA(VLOOKUP(Wapato_Inventory[[#This Row],[living_area_range]],Lookups!$K$28:$M$37,3,FALSE),1)</f>
        <v>1</v>
      </c>
      <c r="BY1244" s="2">
        <f>AVERAGE(Wapato_Inventory[[#This Row],[qual_adj]:[range_adj]])</f>
        <v>1</v>
      </c>
      <c r="BZ1244" s="7">
        <f>(Wapato_Inventory[[#This Row],[sum_land]]-IF(Wapato_Inventory[[#This Row],[no_utilities]]=1,12000,0))/IF(Wapato_Inventory[[#This Row],[unbuildable]]=1,2,1)</f>
        <v>54700</v>
      </c>
      <c r="CA1244" s="7">
        <f>Wapato_Inventory[[#This Row],[pre_res]]*Wapato_Inventory[[#This Row],[overall_adj]]</f>
        <v>0</v>
      </c>
      <c r="CB1244" s="3">
        <f>IF(ROUND(Wapato_Inventory[[#This Row],[adj_land]]*Lookups!$H$48,-2)&lt;Wapato_Inventory[[#This Row],[min_land]],Wapato_Inventory[[#This Row],[min_land]],ROUND(Wapato_Inventory[[#This Row],[adj_land]]*Lookups!$H$48,-2))</f>
        <v>52000</v>
      </c>
      <c r="CC124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44" s="3">
        <f>ROUND(Wapato_Inventory[[#This Row],[det_value]]*Lookups!$H$48,-2)</f>
        <v>0</v>
      </c>
      <c r="CE1244" s="3">
        <f>Wapato_Inventory[[#This Row],[final_res]]+Wapato_Inventory[[#This Row],[final_det]]</f>
        <v>0</v>
      </c>
      <c r="CF1244" s="3">
        <f>Wapato_Inventory[[#This Row],[crop_value]]+Wapato_Inventory[[#This Row],[final_land]]+Wapato_Inventory[[#This Row],[final_imp]]</f>
        <v>52000</v>
      </c>
      <c r="CH1244" t="str">
        <f t="shared" si="19"/>
        <v>update valuation set market_land =52000, market_bldg=0, market_total =52000, market_mdno =405, market_date ='9/10/2023' where link_id = (select link_id from parcel where parcel_year = '2024' and parcel_id = '19110944472');</v>
      </c>
    </row>
    <row r="1245" spans="1:86" x14ac:dyDescent="0.25">
      <c r="A1245">
        <v>19110944474</v>
      </c>
      <c r="B1245">
        <v>0.61</v>
      </c>
      <c r="C1245">
        <v>26566</v>
      </c>
      <c r="D1245" t="s">
        <v>144</v>
      </c>
      <c r="E1245" t="s">
        <v>54</v>
      </c>
      <c r="F1245" t="s">
        <v>54</v>
      </c>
      <c r="G1245">
        <v>3</v>
      </c>
      <c r="H1245" t="s">
        <v>55</v>
      </c>
      <c r="I1245">
        <v>0</v>
      </c>
      <c r="J1245">
        <v>43600</v>
      </c>
      <c r="K1245">
        <v>0.61</v>
      </c>
      <c r="L1245">
        <f>IF(Wapato_Inventory[[#This Row],[parcel_acres]]-Wapato_Inventory[[#This Row],[non_valued_acres]] =0,0,LN(Wapato_Inventory[[#This Row],[parcel_acres]]-Wapato_Inventory[[#This Row],[non_valued_acres]]))</f>
        <v>-0.49429632181478012</v>
      </c>
      <c r="M1245">
        <v>0</v>
      </c>
      <c r="N1245">
        <v>0</v>
      </c>
      <c r="O1245">
        <v>0</v>
      </c>
      <c r="P1245">
        <v>27904.037</v>
      </c>
      <c r="Q1245">
        <v>74398</v>
      </c>
      <c r="R1245" s="3">
        <f>(Wapato_Inventory[[#This Row],[ln_acres]]*Wapato_Inventory[[#This Row],[coeff]])+Wapato_Inventory[[#This Row],[const]]</f>
        <v>60605.137147116468</v>
      </c>
      <c r="AY1245">
        <v>0</v>
      </c>
      <c r="AZ1245">
        <v>0</v>
      </c>
      <c r="BE1245">
        <v>0</v>
      </c>
      <c r="BF1245">
        <v>15000</v>
      </c>
      <c r="BG1245">
        <v>0</v>
      </c>
      <c r="BH1245" s="7">
        <f>ROUND(Wapato_Inventory[[#This Row],[detatched_value]]*Lookups!$B$22*Lookups!$H$48,-2)</f>
        <v>0</v>
      </c>
      <c r="BI1245" s="7">
        <f>ROUND(((Wapato_Inventory[[#This Row],[land_extract]]*Lookups!$B$3) +(Lookups!$B$2*0.5))*Lookups!$H$48,-2)</f>
        <v>56900</v>
      </c>
      <c r="BJ1245" s="7">
        <f>IF(Wapato_Inventory[[#This Row],[bldg_style]]="",0,Lookups!$B$2*0.5)</f>
        <v>0</v>
      </c>
      <c r="BK1245" s="7">
        <f>_xlfn.IFNA(VLOOKUP(Wapato_Inventory[[#This Row],[quality]],Lookups!$H$2:$J$14,3,FALSE),0)</f>
        <v>0</v>
      </c>
      <c r="BL1245" s="7">
        <f>_xlfn.IFNA(VLOOKUP(Wapato_Inventory[[#This Row],[condition]],Lookups!$H$17:$J$24,3,FALSE),0)</f>
        <v>0</v>
      </c>
      <c r="BM1245" s="7">
        <f>Wapato_Inventory[[#This Row],[Age]]*Lookups!$B$16</f>
        <v>0</v>
      </c>
      <c r="BN1245" s="7">
        <f>Wapato_Inventory[[#This Row],[Main Floor]]*Lookups!$B$17</f>
        <v>0</v>
      </c>
      <c r="BO1245" s="7">
        <f>Wapato_Inventory[[#This Row],[Upper Floor]]*Lookups!$B$18</f>
        <v>0</v>
      </c>
      <c r="BP1245" s="7">
        <f>Wapato_Inventory[[#This Row],[Fin BSMT]]*Lookups!$B$19</f>
        <v>0</v>
      </c>
      <c r="BQ1245" s="7">
        <f>(Wapato_Inventory[[#This Row],[att_gar]]+Wapato_Inventory[[#This Row],[blt_gar]])*Lookups!$B$20</f>
        <v>0</v>
      </c>
      <c r="BR1245" s="7">
        <f>Wapato_Inventory[[#This Row],[Patio]]*Lookups!$B$21</f>
        <v>0</v>
      </c>
      <c r="BS1245" s="7">
        <f>SUM(Wapato_Inventory[[#This Row],[intercept]:[patio_value]])*Wapato_Inventory[[#This Row],[res_pct]]</f>
        <v>0</v>
      </c>
      <c r="BT1245" s="7">
        <f>Wapato_Inventory[[#This Row],[land_value]]</f>
        <v>56900</v>
      </c>
      <c r="BU1245" s="2">
        <f>_xlfn.IFNA(VLOOKUP(Wapato_Inventory[[#This Row],[quality]],Lookups!$A$28:$C$37,3,FALSE),1)</f>
        <v>1</v>
      </c>
      <c r="BV1245" s="2">
        <f>_xlfn.IFNA(VLOOKUP(Wapato_Inventory[[#This Row],[condition]],Lookups!$A$41:$C$48,3,FALSE),1)</f>
        <v>1</v>
      </c>
      <c r="BW1245" s="2">
        <f>IF(Wapato_Inventory[[#This Row],[decade]]="",1,_xlfn.IFNA(VLOOKUP(Wapato_Inventory[[#This Row],[decade]],Lookups!$F$28:$H$45,3,FALSE),1))</f>
        <v>1</v>
      </c>
      <c r="BX1245" s="2">
        <f>_xlfn.IFNA(VLOOKUP(Wapato_Inventory[[#This Row],[living_area_range]],Lookups!$K$28:$M$37,3,FALSE),1)</f>
        <v>1</v>
      </c>
      <c r="BY1245" s="2">
        <f>AVERAGE(Wapato_Inventory[[#This Row],[qual_adj]:[range_adj]])</f>
        <v>1</v>
      </c>
      <c r="BZ1245" s="7">
        <f>(Wapato_Inventory[[#This Row],[sum_land]]-IF(Wapato_Inventory[[#This Row],[no_utilities]]=1,12000,0))/IF(Wapato_Inventory[[#This Row],[unbuildable]]=1,2,1)</f>
        <v>56900</v>
      </c>
      <c r="CA1245" s="7">
        <f>Wapato_Inventory[[#This Row],[pre_res]]*Wapato_Inventory[[#This Row],[overall_adj]]</f>
        <v>0</v>
      </c>
      <c r="CB1245" s="3">
        <f>IF(ROUND(Wapato_Inventory[[#This Row],[adj_land]]*Lookups!$H$48,-2)&lt;Wapato_Inventory[[#This Row],[min_land]],Wapato_Inventory[[#This Row],[min_land]],ROUND(Wapato_Inventory[[#This Row],[adj_land]]*Lookups!$H$48,-2))</f>
        <v>54100</v>
      </c>
      <c r="CC124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45" s="3">
        <f>ROUND(Wapato_Inventory[[#This Row],[det_value]]*Lookups!$H$48,-2)</f>
        <v>0</v>
      </c>
      <c r="CE1245" s="3">
        <f>Wapato_Inventory[[#This Row],[final_res]]+Wapato_Inventory[[#This Row],[final_det]]</f>
        <v>0</v>
      </c>
      <c r="CF1245" s="3">
        <f>Wapato_Inventory[[#This Row],[crop_value]]+Wapato_Inventory[[#This Row],[final_land]]+Wapato_Inventory[[#This Row],[final_imp]]</f>
        <v>54100</v>
      </c>
      <c r="CH1245" t="str">
        <f t="shared" si="19"/>
        <v>update valuation set market_land =54100, market_bldg=0, market_total =54100, market_mdno =405, market_date ='9/10/2023' where link_id = (select link_id from parcel where parcel_year = '2024' and parcel_id = '19110944474');</v>
      </c>
    </row>
    <row r="1246" spans="1:86" x14ac:dyDescent="0.25">
      <c r="A1246">
        <v>19111013010</v>
      </c>
      <c r="B1246">
        <v>4.84</v>
      </c>
      <c r="C1246">
        <v>210701</v>
      </c>
      <c r="D1246" t="s">
        <v>144</v>
      </c>
      <c r="E1246" t="s">
        <v>54</v>
      </c>
      <c r="F1246" t="s">
        <v>54</v>
      </c>
      <c r="G1246">
        <v>3</v>
      </c>
      <c r="H1246" t="s">
        <v>55</v>
      </c>
      <c r="I1246">
        <v>0</v>
      </c>
      <c r="J1246">
        <v>58800</v>
      </c>
      <c r="K1246">
        <v>4.84</v>
      </c>
      <c r="L1246">
        <f>IF(Wapato_Inventory[[#This Row],[parcel_acres]]-Wapato_Inventory[[#This Row],[non_valued_acres]] =0,0,LN(Wapato_Inventory[[#This Row],[parcel_acres]]-Wapato_Inventory[[#This Row],[non_valued_acres]]))</f>
        <v>1.5769147207285403</v>
      </c>
      <c r="M1246">
        <v>0</v>
      </c>
      <c r="N1246">
        <v>0</v>
      </c>
      <c r="O1246">
        <v>1</v>
      </c>
      <c r="P1246">
        <v>27904.037</v>
      </c>
      <c r="Q1246">
        <v>74398</v>
      </c>
      <c r="R1246" s="3">
        <f>(Wapato_Inventory[[#This Row],[ln_acres]]*Wapato_Inventory[[#This Row],[coeff]])+Wapato_Inventory[[#This Row],[const]]</f>
        <v>118400.28671305385</v>
      </c>
      <c r="AY1246">
        <v>0</v>
      </c>
      <c r="AZ1246">
        <v>0</v>
      </c>
      <c r="BE1246">
        <v>0</v>
      </c>
      <c r="BF1246">
        <v>3000</v>
      </c>
      <c r="BG1246">
        <v>0</v>
      </c>
      <c r="BH1246" s="7">
        <f>ROUND(Wapato_Inventory[[#This Row],[detatched_value]]*Lookups!$B$22*Lookups!$H$48,-2)</f>
        <v>0</v>
      </c>
      <c r="BI1246" s="7">
        <f>ROUND(((Wapato_Inventory[[#This Row],[land_extract]]*Lookups!$B$3) +(Lookups!$B$2*0.5))*Lookups!$H$48,-2)</f>
        <v>62500</v>
      </c>
      <c r="BJ1246" s="7">
        <f>IF(Wapato_Inventory[[#This Row],[bldg_style]]="",0,Lookups!$B$2*0.5)</f>
        <v>0</v>
      </c>
      <c r="BK1246" s="7">
        <f>_xlfn.IFNA(VLOOKUP(Wapato_Inventory[[#This Row],[quality]],Lookups!$H$2:$J$14,3,FALSE),0)</f>
        <v>0</v>
      </c>
      <c r="BL1246" s="7">
        <f>_xlfn.IFNA(VLOOKUP(Wapato_Inventory[[#This Row],[condition]],Lookups!$H$17:$J$24,3,FALSE),0)</f>
        <v>0</v>
      </c>
      <c r="BM1246" s="7">
        <f>Wapato_Inventory[[#This Row],[Age]]*Lookups!$B$16</f>
        <v>0</v>
      </c>
      <c r="BN1246" s="7">
        <f>Wapato_Inventory[[#This Row],[Main Floor]]*Lookups!$B$17</f>
        <v>0</v>
      </c>
      <c r="BO1246" s="7">
        <f>Wapato_Inventory[[#This Row],[Upper Floor]]*Lookups!$B$18</f>
        <v>0</v>
      </c>
      <c r="BP1246" s="7">
        <f>Wapato_Inventory[[#This Row],[Fin BSMT]]*Lookups!$B$19</f>
        <v>0</v>
      </c>
      <c r="BQ1246" s="7">
        <f>(Wapato_Inventory[[#This Row],[att_gar]]+Wapato_Inventory[[#This Row],[blt_gar]])*Lookups!$B$20</f>
        <v>0</v>
      </c>
      <c r="BR1246" s="7">
        <f>Wapato_Inventory[[#This Row],[Patio]]*Lookups!$B$21</f>
        <v>0</v>
      </c>
      <c r="BS1246" s="7">
        <f>SUM(Wapato_Inventory[[#This Row],[intercept]:[patio_value]])*Wapato_Inventory[[#This Row],[res_pct]]</f>
        <v>0</v>
      </c>
      <c r="BT1246" s="7">
        <f>Wapato_Inventory[[#This Row],[land_value]]</f>
        <v>62500</v>
      </c>
      <c r="BU1246" s="2">
        <f>_xlfn.IFNA(VLOOKUP(Wapato_Inventory[[#This Row],[quality]],Lookups!$A$28:$C$37,3,FALSE),1)</f>
        <v>1</v>
      </c>
      <c r="BV1246" s="2">
        <f>_xlfn.IFNA(VLOOKUP(Wapato_Inventory[[#This Row],[condition]],Lookups!$A$41:$C$48,3,FALSE),1)</f>
        <v>1</v>
      </c>
      <c r="BW1246" s="2">
        <f>IF(Wapato_Inventory[[#This Row],[decade]]="",1,_xlfn.IFNA(VLOOKUP(Wapato_Inventory[[#This Row],[decade]],Lookups!$F$28:$H$45,3,FALSE),1))</f>
        <v>1</v>
      </c>
      <c r="BX1246" s="2">
        <f>_xlfn.IFNA(VLOOKUP(Wapato_Inventory[[#This Row],[living_area_range]],Lookups!$K$28:$M$37,3,FALSE),1)</f>
        <v>1</v>
      </c>
      <c r="BY1246" s="2">
        <f>AVERAGE(Wapato_Inventory[[#This Row],[qual_adj]:[range_adj]])</f>
        <v>1</v>
      </c>
      <c r="BZ1246" s="7">
        <f>(Wapato_Inventory[[#This Row],[sum_land]]-IF(Wapato_Inventory[[#This Row],[no_utilities]]=1,12000,0))/IF(Wapato_Inventory[[#This Row],[unbuildable]]=1,2,1)</f>
        <v>50500</v>
      </c>
      <c r="CA1246" s="7">
        <f>Wapato_Inventory[[#This Row],[pre_res]]*Wapato_Inventory[[#This Row],[overall_adj]]</f>
        <v>0</v>
      </c>
      <c r="CB1246" s="3">
        <f>IF(ROUND(Wapato_Inventory[[#This Row],[adj_land]]*Lookups!$H$48,-2)&lt;Wapato_Inventory[[#This Row],[min_land]],Wapato_Inventory[[#This Row],[min_land]],ROUND(Wapato_Inventory[[#This Row],[adj_land]]*Lookups!$H$48,-2))</f>
        <v>48000</v>
      </c>
      <c r="CC124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46" s="3">
        <f>ROUND(Wapato_Inventory[[#This Row],[det_value]]*Lookups!$H$48,-2)</f>
        <v>0</v>
      </c>
      <c r="CE1246" s="3">
        <f>Wapato_Inventory[[#This Row],[final_res]]+Wapato_Inventory[[#This Row],[final_det]]</f>
        <v>0</v>
      </c>
      <c r="CF1246" s="3">
        <f>Wapato_Inventory[[#This Row],[crop_value]]+Wapato_Inventory[[#This Row],[final_land]]+Wapato_Inventory[[#This Row],[final_imp]]</f>
        <v>48000</v>
      </c>
      <c r="CH1246" t="str">
        <f t="shared" si="19"/>
        <v>update valuation set market_land =48000, market_bldg=0, market_total =48000, market_mdno =405, market_date ='9/10/2023' where link_id = (select link_id from parcel where parcel_year = '2024' and parcel_id = '19111013010');</v>
      </c>
    </row>
    <row r="1247" spans="1:86" x14ac:dyDescent="0.25">
      <c r="A1247">
        <v>19111013018</v>
      </c>
      <c r="B1247">
        <v>1.89</v>
      </c>
      <c r="C1247">
        <v>82231</v>
      </c>
      <c r="D1247" t="s">
        <v>144</v>
      </c>
      <c r="E1247" t="s">
        <v>54</v>
      </c>
      <c r="F1247" t="s">
        <v>54</v>
      </c>
      <c r="G1247">
        <v>3</v>
      </c>
      <c r="H1247" t="s">
        <v>55</v>
      </c>
      <c r="I1247">
        <v>0</v>
      </c>
      <c r="J1247">
        <v>51900</v>
      </c>
      <c r="K1247">
        <v>1.89</v>
      </c>
      <c r="L1247">
        <f>IF(Wapato_Inventory[[#This Row],[parcel_acres]]-Wapato_Inventory[[#This Row],[non_valued_acres]] =0,0,LN(Wapato_Inventory[[#This Row],[parcel_acres]]-Wapato_Inventory[[#This Row],[non_valued_acres]]))</f>
        <v>0.636576829071551</v>
      </c>
      <c r="M1247">
        <v>0</v>
      </c>
      <c r="N1247">
        <v>0</v>
      </c>
      <c r="O1247">
        <v>0</v>
      </c>
      <c r="P1247">
        <v>27904.037</v>
      </c>
      <c r="Q1247">
        <v>74398</v>
      </c>
      <c r="R1247" s="3">
        <f>(Wapato_Inventory[[#This Row],[ln_acres]]*Wapato_Inventory[[#This Row],[coeff]])+Wapato_Inventory[[#This Row],[const]]</f>
        <v>92161.063391755233</v>
      </c>
      <c r="AY1247">
        <v>0</v>
      </c>
      <c r="AZ1247">
        <v>0</v>
      </c>
      <c r="BE1247">
        <v>0</v>
      </c>
      <c r="BF1247">
        <v>15000</v>
      </c>
      <c r="BG1247">
        <v>0</v>
      </c>
      <c r="BH1247" s="7">
        <f>ROUND(Wapato_Inventory[[#This Row],[detatched_value]]*Lookups!$B$22*Lookups!$H$48,-2)</f>
        <v>0</v>
      </c>
      <c r="BI1247" s="7">
        <f>ROUND(((Wapato_Inventory[[#This Row],[land_extract]]*Lookups!$B$3) +(Lookups!$B$2*0.5))*Lookups!$H$48,-2)</f>
        <v>60000</v>
      </c>
      <c r="BJ1247" s="7">
        <f>IF(Wapato_Inventory[[#This Row],[bldg_style]]="",0,Lookups!$B$2*0.5)</f>
        <v>0</v>
      </c>
      <c r="BK1247" s="7">
        <f>_xlfn.IFNA(VLOOKUP(Wapato_Inventory[[#This Row],[quality]],Lookups!$H$2:$J$14,3,FALSE),0)</f>
        <v>0</v>
      </c>
      <c r="BL1247" s="7">
        <f>_xlfn.IFNA(VLOOKUP(Wapato_Inventory[[#This Row],[condition]],Lookups!$H$17:$J$24,3,FALSE),0)</f>
        <v>0</v>
      </c>
      <c r="BM1247" s="7">
        <f>Wapato_Inventory[[#This Row],[Age]]*Lookups!$B$16</f>
        <v>0</v>
      </c>
      <c r="BN1247" s="7">
        <f>Wapato_Inventory[[#This Row],[Main Floor]]*Lookups!$B$17</f>
        <v>0</v>
      </c>
      <c r="BO1247" s="7">
        <f>Wapato_Inventory[[#This Row],[Upper Floor]]*Lookups!$B$18</f>
        <v>0</v>
      </c>
      <c r="BP1247" s="7">
        <f>Wapato_Inventory[[#This Row],[Fin BSMT]]*Lookups!$B$19</f>
        <v>0</v>
      </c>
      <c r="BQ1247" s="7">
        <f>(Wapato_Inventory[[#This Row],[att_gar]]+Wapato_Inventory[[#This Row],[blt_gar]])*Lookups!$B$20</f>
        <v>0</v>
      </c>
      <c r="BR1247" s="7">
        <f>Wapato_Inventory[[#This Row],[Patio]]*Lookups!$B$21</f>
        <v>0</v>
      </c>
      <c r="BS1247" s="7">
        <f>SUM(Wapato_Inventory[[#This Row],[intercept]:[patio_value]])*Wapato_Inventory[[#This Row],[res_pct]]</f>
        <v>0</v>
      </c>
      <c r="BT1247" s="7">
        <f>Wapato_Inventory[[#This Row],[land_value]]</f>
        <v>60000</v>
      </c>
      <c r="BU1247" s="2">
        <f>_xlfn.IFNA(VLOOKUP(Wapato_Inventory[[#This Row],[quality]],Lookups!$A$28:$C$37,3,FALSE),1)</f>
        <v>1</v>
      </c>
      <c r="BV1247" s="2">
        <f>_xlfn.IFNA(VLOOKUP(Wapato_Inventory[[#This Row],[condition]],Lookups!$A$41:$C$48,3,FALSE),1)</f>
        <v>1</v>
      </c>
      <c r="BW1247" s="2">
        <f>IF(Wapato_Inventory[[#This Row],[decade]]="",1,_xlfn.IFNA(VLOOKUP(Wapato_Inventory[[#This Row],[decade]],Lookups!$F$28:$H$45,3,FALSE),1))</f>
        <v>1</v>
      </c>
      <c r="BX1247" s="2">
        <f>_xlfn.IFNA(VLOOKUP(Wapato_Inventory[[#This Row],[living_area_range]],Lookups!$K$28:$M$37,3,FALSE),1)</f>
        <v>1</v>
      </c>
      <c r="BY1247" s="2">
        <f>AVERAGE(Wapato_Inventory[[#This Row],[qual_adj]:[range_adj]])</f>
        <v>1</v>
      </c>
      <c r="BZ1247" s="7">
        <f>(Wapato_Inventory[[#This Row],[sum_land]]-IF(Wapato_Inventory[[#This Row],[no_utilities]]=1,12000,0))/IF(Wapato_Inventory[[#This Row],[unbuildable]]=1,2,1)</f>
        <v>60000</v>
      </c>
      <c r="CA1247" s="7">
        <f>Wapato_Inventory[[#This Row],[pre_res]]*Wapato_Inventory[[#This Row],[overall_adj]]</f>
        <v>0</v>
      </c>
      <c r="CB1247" s="3">
        <f>IF(ROUND(Wapato_Inventory[[#This Row],[adj_land]]*Lookups!$H$48,-2)&lt;Wapato_Inventory[[#This Row],[min_land]],Wapato_Inventory[[#This Row],[min_land]],ROUND(Wapato_Inventory[[#This Row],[adj_land]]*Lookups!$H$48,-2))</f>
        <v>57000</v>
      </c>
      <c r="CC124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47" s="3">
        <f>ROUND(Wapato_Inventory[[#This Row],[det_value]]*Lookups!$H$48,-2)</f>
        <v>0</v>
      </c>
      <c r="CE1247" s="3">
        <f>Wapato_Inventory[[#This Row],[final_res]]+Wapato_Inventory[[#This Row],[final_det]]</f>
        <v>0</v>
      </c>
      <c r="CF1247" s="3">
        <f>Wapato_Inventory[[#This Row],[crop_value]]+Wapato_Inventory[[#This Row],[final_land]]+Wapato_Inventory[[#This Row],[final_imp]]</f>
        <v>57000</v>
      </c>
      <c r="CH1247" t="str">
        <f t="shared" si="19"/>
        <v>update valuation set market_land =57000, market_bldg=0, market_total =57000, market_mdno =405, market_date ='9/10/2023' where link_id = (select link_id from parcel where parcel_year = '2024' and parcel_id = '19111013018');</v>
      </c>
    </row>
    <row r="1248" spans="1:86" x14ac:dyDescent="0.25">
      <c r="A1248">
        <v>19111014002</v>
      </c>
      <c r="B1248">
        <v>1.1399999999999999</v>
      </c>
      <c r="C1248">
        <v>49505</v>
      </c>
      <c r="D1248" t="s">
        <v>144</v>
      </c>
      <c r="E1248" t="s">
        <v>54</v>
      </c>
      <c r="F1248" t="s">
        <v>54</v>
      </c>
      <c r="G1248">
        <v>3</v>
      </c>
      <c r="H1248" t="s">
        <v>55</v>
      </c>
      <c r="I1248">
        <v>0</v>
      </c>
      <c r="J1248">
        <v>500</v>
      </c>
      <c r="K1248">
        <v>1.1399999999999999</v>
      </c>
      <c r="L1248">
        <f>IF(Wapato_Inventory[[#This Row],[parcel_acres]]-Wapato_Inventory[[#This Row],[non_valued_acres]] =0,0,LN(Wapato_Inventory[[#This Row],[parcel_acres]]-Wapato_Inventory[[#This Row],[non_valued_acres]]))</f>
        <v>0.131028262406404</v>
      </c>
      <c r="M1248">
        <v>0</v>
      </c>
      <c r="N1248">
        <v>0</v>
      </c>
      <c r="O1248">
        <v>0</v>
      </c>
      <c r="P1248">
        <v>27904.037</v>
      </c>
      <c r="Q1248">
        <v>74398</v>
      </c>
      <c r="R1248" s="3">
        <f>(Wapato_Inventory[[#This Row],[ln_acres]]*Wapato_Inventory[[#This Row],[coeff]])+Wapato_Inventory[[#This Row],[const]]</f>
        <v>78054.217482234002</v>
      </c>
      <c r="AY1248">
        <v>0</v>
      </c>
      <c r="AZ1248">
        <v>0</v>
      </c>
      <c r="BE1248">
        <v>0</v>
      </c>
      <c r="BF1248">
        <v>15000</v>
      </c>
      <c r="BG1248">
        <v>0</v>
      </c>
      <c r="BH1248" s="7">
        <f>ROUND(Wapato_Inventory[[#This Row],[detatched_value]]*Lookups!$B$22*Lookups!$H$48,-2)</f>
        <v>0</v>
      </c>
      <c r="BI1248" s="7">
        <f>ROUND(((Wapato_Inventory[[#This Row],[land_extract]]*Lookups!$B$3) +(Lookups!$B$2*0.5))*Lookups!$H$48,-2)</f>
        <v>58600</v>
      </c>
      <c r="BJ1248" s="7">
        <f>IF(Wapato_Inventory[[#This Row],[bldg_style]]="",0,Lookups!$B$2*0.5)</f>
        <v>0</v>
      </c>
      <c r="BK1248" s="7">
        <f>_xlfn.IFNA(VLOOKUP(Wapato_Inventory[[#This Row],[quality]],Lookups!$H$2:$J$14,3,FALSE),0)</f>
        <v>0</v>
      </c>
      <c r="BL1248" s="7">
        <f>_xlfn.IFNA(VLOOKUP(Wapato_Inventory[[#This Row],[condition]],Lookups!$H$17:$J$24,3,FALSE),0)</f>
        <v>0</v>
      </c>
      <c r="BM1248" s="7">
        <f>Wapato_Inventory[[#This Row],[Age]]*Lookups!$B$16</f>
        <v>0</v>
      </c>
      <c r="BN1248" s="7">
        <f>Wapato_Inventory[[#This Row],[Main Floor]]*Lookups!$B$17</f>
        <v>0</v>
      </c>
      <c r="BO1248" s="7">
        <f>Wapato_Inventory[[#This Row],[Upper Floor]]*Lookups!$B$18</f>
        <v>0</v>
      </c>
      <c r="BP1248" s="7">
        <f>Wapato_Inventory[[#This Row],[Fin BSMT]]*Lookups!$B$19</f>
        <v>0</v>
      </c>
      <c r="BQ1248" s="7">
        <f>(Wapato_Inventory[[#This Row],[att_gar]]+Wapato_Inventory[[#This Row],[blt_gar]])*Lookups!$B$20</f>
        <v>0</v>
      </c>
      <c r="BR1248" s="7">
        <f>Wapato_Inventory[[#This Row],[Patio]]*Lookups!$B$21</f>
        <v>0</v>
      </c>
      <c r="BS1248" s="7">
        <f>SUM(Wapato_Inventory[[#This Row],[intercept]:[patio_value]])*Wapato_Inventory[[#This Row],[res_pct]]</f>
        <v>0</v>
      </c>
      <c r="BT1248" s="7">
        <f>Wapato_Inventory[[#This Row],[land_value]]</f>
        <v>58600</v>
      </c>
      <c r="BU1248" s="2">
        <f>_xlfn.IFNA(VLOOKUP(Wapato_Inventory[[#This Row],[quality]],Lookups!$A$28:$C$37,3,FALSE),1)</f>
        <v>1</v>
      </c>
      <c r="BV1248" s="2">
        <f>_xlfn.IFNA(VLOOKUP(Wapato_Inventory[[#This Row],[condition]],Lookups!$A$41:$C$48,3,FALSE),1)</f>
        <v>1</v>
      </c>
      <c r="BW1248" s="2">
        <f>IF(Wapato_Inventory[[#This Row],[decade]]="",1,_xlfn.IFNA(VLOOKUP(Wapato_Inventory[[#This Row],[decade]],Lookups!$F$28:$H$45,3,FALSE),1))</f>
        <v>1</v>
      </c>
      <c r="BX1248" s="2">
        <f>_xlfn.IFNA(VLOOKUP(Wapato_Inventory[[#This Row],[living_area_range]],Lookups!$K$28:$M$37,3,FALSE),1)</f>
        <v>1</v>
      </c>
      <c r="BY1248" s="2">
        <f>AVERAGE(Wapato_Inventory[[#This Row],[qual_adj]:[range_adj]])</f>
        <v>1</v>
      </c>
      <c r="BZ1248" s="7">
        <f>(Wapato_Inventory[[#This Row],[sum_land]]-IF(Wapato_Inventory[[#This Row],[no_utilities]]=1,12000,0))/IF(Wapato_Inventory[[#This Row],[unbuildable]]=1,2,1)</f>
        <v>58600</v>
      </c>
      <c r="CA1248" s="7">
        <f>Wapato_Inventory[[#This Row],[pre_res]]*Wapato_Inventory[[#This Row],[overall_adj]]</f>
        <v>0</v>
      </c>
      <c r="CB1248" s="3">
        <f>IF(ROUND(Wapato_Inventory[[#This Row],[adj_land]]*Lookups!$H$48,-2)&lt;Wapato_Inventory[[#This Row],[min_land]],Wapato_Inventory[[#This Row],[min_land]],ROUND(Wapato_Inventory[[#This Row],[adj_land]]*Lookups!$H$48,-2))</f>
        <v>55700</v>
      </c>
      <c r="CC124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48" s="3">
        <f>ROUND(Wapato_Inventory[[#This Row],[det_value]]*Lookups!$H$48,-2)</f>
        <v>0</v>
      </c>
      <c r="CE1248" s="3">
        <f>Wapato_Inventory[[#This Row],[final_res]]+Wapato_Inventory[[#This Row],[final_det]]</f>
        <v>0</v>
      </c>
      <c r="CF1248" s="3">
        <f>Wapato_Inventory[[#This Row],[crop_value]]+Wapato_Inventory[[#This Row],[final_land]]+Wapato_Inventory[[#This Row],[final_imp]]</f>
        <v>55700</v>
      </c>
      <c r="CH1248" t="str">
        <f t="shared" si="19"/>
        <v>update valuation set market_land =55700, market_bldg=0, market_total =55700, market_mdno =405, market_date ='9/10/2023' where link_id = (select link_id from parcel where parcel_year = '2024' and parcel_id = '19111014002');</v>
      </c>
    </row>
    <row r="1249" spans="1:86" x14ac:dyDescent="0.25">
      <c r="A1249">
        <v>19111014411</v>
      </c>
      <c r="B1249">
        <v>0.86</v>
      </c>
      <c r="C1249">
        <v>37579</v>
      </c>
      <c r="D1249" t="s">
        <v>144</v>
      </c>
      <c r="E1249" t="s">
        <v>54</v>
      </c>
      <c r="F1249" t="s">
        <v>54</v>
      </c>
      <c r="G1249">
        <v>3</v>
      </c>
      <c r="H1249" t="s">
        <v>55</v>
      </c>
      <c r="I1249">
        <v>0</v>
      </c>
      <c r="J1249">
        <v>46200</v>
      </c>
      <c r="K1249">
        <v>0.86</v>
      </c>
      <c r="L1249">
        <f>IF(Wapato_Inventory[[#This Row],[parcel_acres]]-Wapato_Inventory[[#This Row],[non_valued_acres]] =0,0,LN(Wapato_Inventory[[#This Row],[parcel_acres]]-Wapato_Inventory[[#This Row],[non_valued_acres]]))</f>
        <v>-0.15082288973458366</v>
      </c>
      <c r="M1249">
        <v>0</v>
      </c>
      <c r="N1249">
        <v>1</v>
      </c>
      <c r="O1249">
        <v>0</v>
      </c>
      <c r="P1249">
        <v>27904.037</v>
      </c>
      <c r="Q1249">
        <v>74398</v>
      </c>
      <c r="R1249" s="3">
        <f>(Wapato_Inventory[[#This Row],[ln_acres]]*Wapato_Inventory[[#This Row],[coeff]])+Wapato_Inventory[[#This Row],[const]]</f>
        <v>70189.432504399258</v>
      </c>
      <c r="AY1249">
        <v>0</v>
      </c>
      <c r="AZ1249">
        <v>0</v>
      </c>
      <c r="BE1249">
        <v>0</v>
      </c>
      <c r="BF1249">
        <v>12000</v>
      </c>
      <c r="BG1249">
        <v>0</v>
      </c>
      <c r="BH1249" s="7">
        <f>ROUND(Wapato_Inventory[[#This Row],[detatched_value]]*Lookups!$B$22*Lookups!$H$48,-2)</f>
        <v>0</v>
      </c>
      <c r="BI1249" s="7">
        <f>ROUND(((Wapato_Inventory[[#This Row],[land_extract]]*Lookups!$B$3) +(Lookups!$B$2*0.5))*Lookups!$H$48,-2)</f>
        <v>57900</v>
      </c>
      <c r="BJ1249" s="7">
        <f>IF(Wapato_Inventory[[#This Row],[bldg_style]]="",0,Lookups!$B$2*0.5)</f>
        <v>0</v>
      </c>
      <c r="BK1249" s="7">
        <f>_xlfn.IFNA(VLOOKUP(Wapato_Inventory[[#This Row],[quality]],Lookups!$H$2:$J$14,3,FALSE),0)</f>
        <v>0</v>
      </c>
      <c r="BL1249" s="7">
        <f>_xlfn.IFNA(VLOOKUP(Wapato_Inventory[[#This Row],[condition]],Lookups!$H$17:$J$24,3,FALSE),0)</f>
        <v>0</v>
      </c>
      <c r="BM1249" s="7">
        <f>Wapato_Inventory[[#This Row],[Age]]*Lookups!$B$16</f>
        <v>0</v>
      </c>
      <c r="BN1249" s="7">
        <f>Wapato_Inventory[[#This Row],[Main Floor]]*Lookups!$B$17</f>
        <v>0</v>
      </c>
      <c r="BO1249" s="7">
        <f>Wapato_Inventory[[#This Row],[Upper Floor]]*Lookups!$B$18</f>
        <v>0</v>
      </c>
      <c r="BP1249" s="7">
        <f>Wapato_Inventory[[#This Row],[Fin BSMT]]*Lookups!$B$19</f>
        <v>0</v>
      </c>
      <c r="BQ1249" s="7">
        <f>(Wapato_Inventory[[#This Row],[att_gar]]+Wapato_Inventory[[#This Row],[blt_gar]])*Lookups!$B$20</f>
        <v>0</v>
      </c>
      <c r="BR1249" s="7">
        <f>Wapato_Inventory[[#This Row],[Patio]]*Lookups!$B$21</f>
        <v>0</v>
      </c>
      <c r="BS1249" s="7">
        <f>SUM(Wapato_Inventory[[#This Row],[intercept]:[patio_value]])*Wapato_Inventory[[#This Row],[res_pct]]</f>
        <v>0</v>
      </c>
      <c r="BT1249" s="7">
        <f>Wapato_Inventory[[#This Row],[land_value]]</f>
        <v>57900</v>
      </c>
      <c r="BU1249" s="2">
        <f>_xlfn.IFNA(VLOOKUP(Wapato_Inventory[[#This Row],[quality]],Lookups!$A$28:$C$37,3,FALSE),1)</f>
        <v>1</v>
      </c>
      <c r="BV1249" s="2">
        <f>_xlfn.IFNA(VLOOKUP(Wapato_Inventory[[#This Row],[condition]],Lookups!$A$41:$C$48,3,FALSE),1)</f>
        <v>1</v>
      </c>
      <c r="BW1249" s="2">
        <f>IF(Wapato_Inventory[[#This Row],[decade]]="",1,_xlfn.IFNA(VLOOKUP(Wapato_Inventory[[#This Row],[decade]],Lookups!$F$28:$H$45,3,FALSE),1))</f>
        <v>1</v>
      </c>
      <c r="BX1249" s="2">
        <f>_xlfn.IFNA(VLOOKUP(Wapato_Inventory[[#This Row],[living_area_range]],Lookups!$K$28:$M$37,3,FALSE),1)</f>
        <v>1</v>
      </c>
      <c r="BY1249" s="2">
        <f>AVERAGE(Wapato_Inventory[[#This Row],[qual_adj]:[range_adj]])</f>
        <v>1</v>
      </c>
      <c r="BZ1249" s="7">
        <f>(Wapato_Inventory[[#This Row],[sum_land]]-IF(Wapato_Inventory[[#This Row],[no_utilities]]=1,12000,0))/IF(Wapato_Inventory[[#This Row],[unbuildable]]=1,2,1)</f>
        <v>28950</v>
      </c>
      <c r="CA1249" s="7">
        <f>Wapato_Inventory[[#This Row],[pre_res]]*Wapato_Inventory[[#This Row],[overall_adj]]</f>
        <v>0</v>
      </c>
      <c r="CB1249" s="3">
        <f>IF(ROUND(Wapato_Inventory[[#This Row],[adj_land]]*Lookups!$H$48,-2)&lt;Wapato_Inventory[[#This Row],[min_land]],Wapato_Inventory[[#This Row],[min_land]],ROUND(Wapato_Inventory[[#This Row],[adj_land]]*Lookups!$H$48,-2))</f>
        <v>27500</v>
      </c>
      <c r="CC124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49" s="3">
        <f>ROUND(Wapato_Inventory[[#This Row],[det_value]]*Lookups!$H$48,-2)</f>
        <v>0</v>
      </c>
      <c r="CE1249" s="3">
        <f>Wapato_Inventory[[#This Row],[final_res]]+Wapato_Inventory[[#This Row],[final_det]]</f>
        <v>0</v>
      </c>
      <c r="CF1249" s="3">
        <f>Wapato_Inventory[[#This Row],[crop_value]]+Wapato_Inventory[[#This Row],[final_land]]+Wapato_Inventory[[#This Row],[final_imp]]</f>
        <v>27500</v>
      </c>
      <c r="CH1249" t="str">
        <f t="shared" si="19"/>
        <v>update valuation set market_land =27500, market_bldg=0, market_total =27500, market_mdno =405, market_date ='9/10/2023' where link_id = (select link_id from parcel where parcel_year = '2024' and parcel_id = '19111014411');</v>
      </c>
    </row>
    <row r="1250" spans="1:86" x14ac:dyDescent="0.25">
      <c r="A1250">
        <v>19111014412</v>
      </c>
      <c r="B1250">
        <v>0.82</v>
      </c>
      <c r="C1250">
        <v>35707</v>
      </c>
      <c r="D1250" t="s">
        <v>144</v>
      </c>
      <c r="E1250" t="s">
        <v>54</v>
      </c>
      <c r="F1250" t="s">
        <v>54</v>
      </c>
      <c r="G1250">
        <v>3</v>
      </c>
      <c r="H1250" t="s">
        <v>55</v>
      </c>
      <c r="I1250">
        <v>0</v>
      </c>
      <c r="J1250">
        <v>500</v>
      </c>
      <c r="K1250">
        <v>0.82</v>
      </c>
      <c r="L1250">
        <f>IF(Wapato_Inventory[[#This Row],[parcel_acres]]-Wapato_Inventory[[#This Row],[non_valued_acres]] =0,0,LN(Wapato_Inventory[[#This Row],[parcel_acres]]-Wapato_Inventory[[#This Row],[non_valued_acres]]))</f>
        <v>-0.19845093872383832</v>
      </c>
      <c r="M1250">
        <v>0</v>
      </c>
      <c r="N1250">
        <v>0</v>
      </c>
      <c r="O1250">
        <v>0</v>
      </c>
      <c r="P1250">
        <v>27904.037</v>
      </c>
      <c r="Q1250">
        <v>74398</v>
      </c>
      <c r="R1250" s="3">
        <f>(Wapato_Inventory[[#This Row],[ln_acres]]*Wapato_Inventory[[#This Row],[coeff]])+Wapato_Inventory[[#This Row],[const]]</f>
        <v>68860.417663165281</v>
      </c>
      <c r="AY1250">
        <v>0</v>
      </c>
      <c r="AZ1250">
        <v>0</v>
      </c>
      <c r="BE1250">
        <v>0</v>
      </c>
      <c r="BF1250">
        <v>15000</v>
      </c>
      <c r="BG1250">
        <v>0</v>
      </c>
      <c r="BH1250" s="7">
        <f>ROUND(Wapato_Inventory[[#This Row],[detatched_value]]*Lookups!$B$22*Lookups!$H$48,-2)</f>
        <v>0</v>
      </c>
      <c r="BI1250" s="7">
        <f>ROUND(((Wapato_Inventory[[#This Row],[land_extract]]*Lookups!$B$3) +(Lookups!$B$2*0.5))*Lookups!$H$48,-2)</f>
        <v>57700</v>
      </c>
      <c r="BJ1250" s="7">
        <f>IF(Wapato_Inventory[[#This Row],[bldg_style]]="",0,Lookups!$B$2*0.5)</f>
        <v>0</v>
      </c>
      <c r="BK1250" s="7">
        <f>_xlfn.IFNA(VLOOKUP(Wapato_Inventory[[#This Row],[quality]],Lookups!$H$2:$J$14,3,FALSE),0)</f>
        <v>0</v>
      </c>
      <c r="BL1250" s="7">
        <f>_xlfn.IFNA(VLOOKUP(Wapato_Inventory[[#This Row],[condition]],Lookups!$H$17:$J$24,3,FALSE),0)</f>
        <v>0</v>
      </c>
      <c r="BM1250" s="7">
        <f>Wapato_Inventory[[#This Row],[Age]]*Lookups!$B$16</f>
        <v>0</v>
      </c>
      <c r="BN1250" s="7">
        <f>Wapato_Inventory[[#This Row],[Main Floor]]*Lookups!$B$17</f>
        <v>0</v>
      </c>
      <c r="BO1250" s="7">
        <f>Wapato_Inventory[[#This Row],[Upper Floor]]*Lookups!$B$18</f>
        <v>0</v>
      </c>
      <c r="BP1250" s="7">
        <f>Wapato_Inventory[[#This Row],[Fin BSMT]]*Lookups!$B$19</f>
        <v>0</v>
      </c>
      <c r="BQ1250" s="7">
        <f>(Wapato_Inventory[[#This Row],[att_gar]]+Wapato_Inventory[[#This Row],[blt_gar]])*Lookups!$B$20</f>
        <v>0</v>
      </c>
      <c r="BR1250" s="7">
        <f>Wapato_Inventory[[#This Row],[Patio]]*Lookups!$B$21</f>
        <v>0</v>
      </c>
      <c r="BS1250" s="7">
        <f>SUM(Wapato_Inventory[[#This Row],[intercept]:[patio_value]])*Wapato_Inventory[[#This Row],[res_pct]]</f>
        <v>0</v>
      </c>
      <c r="BT1250" s="7">
        <f>Wapato_Inventory[[#This Row],[land_value]]</f>
        <v>57700</v>
      </c>
      <c r="BU1250" s="2">
        <f>_xlfn.IFNA(VLOOKUP(Wapato_Inventory[[#This Row],[quality]],Lookups!$A$28:$C$37,3,FALSE),1)</f>
        <v>1</v>
      </c>
      <c r="BV1250" s="2">
        <f>_xlfn.IFNA(VLOOKUP(Wapato_Inventory[[#This Row],[condition]],Lookups!$A$41:$C$48,3,FALSE),1)</f>
        <v>1</v>
      </c>
      <c r="BW1250" s="2">
        <f>IF(Wapato_Inventory[[#This Row],[decade]]="",1,_xlfn.IFNA(VLOOKUP(Wapato_Inventory[[#This Row],[decade]],Lookups!$F$28:$H$45,3,FALSE),1))</f>
        <v>1</v>
      </c>
      <c r="BX1250" s="2">
        <f>_xlfn.IFNA(VLOOKUP(Wapato_Inventory[[#This Row],[living_area_range]],Lookups!$K$28:$M$37,3,FALSE),1)</f>
        <v>1</v>
      </c>
      <c r="BY1250" s="2">
        <f>AVERAGE(Wapato_Inventory[[#This Row],[qual_adj]:[range_adj]])</f>
        <v>1</v>
      </c>
      <c r="BZ1250" s="7">
        <f>(Wapato_Inventory[[#This Row],[sum_land]]-IF(Wapato_Inventory[[#This Row],[no_utilities]]=1,12000,0))/IF(Wapato_Inventory[[#This Row],[unbuildable]]=1,2,1)</f>
        <v>57700</v>
      </c>
      <c r="CA1250" s="7">
        <f>Wapato_Inventory[[#This Row],[pre_res]]*Wapato_Inventory[[#This Row],[overall_adj]]</f>
        <v>0</v>
      </c>
      <c r="CB1250" s="3">
        <f>IF(ROUND(Wapato_Inventory[[#This Row],[adj_land]]*Lookups!$H$48,-2)&lt;Wapato_Inventory[[#This Row],[min_land]],Wapato_Inventory[[#This Row],[min_land]],ROUND(Wapato_Inventory[[#This Row],[adj_land]]*Lookups!$H$48,-2))</f>
        <v>54800</v>
      </c>
      <c r="CC125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50" s="3">
        <f>ROUND(Wapato_Inventory[[#This Row],[det_value]]*Lookups!$H$48,-2)</f>
        <v>0</v>
      </c>
      <c r="CE1250" s="3">
        <f>Wapato_Inventory[[#This Row],[final_res]]+Wapato_Inventory[[#This Row],[final_det]]</f>
        <v>0</v>
      </c>
      <c r="CF1250" s="3">
        <f>Wapato_Inventory[[#This Row],[crop_value]]+Wapato_Inventory[[#This Row],[final_land]]+Wapato_Inventory[[#This Row],[final_imp]]</f>
        <v>54800</v>
      </c>
      <c r="CH1250" t="str">
        <f t="shared" si="19"/>
        <v>update valuation set market_land =54800, market_bldg=0, market_total =54800, market_mdno =405, market_date ='9/10/2023' where link_id = (select link_id from parcel where parcel_year = '2024' and parcel_id = '19111014412');</v>
      </c>
    </row>
    <row r="1251" spans="1:86" x14ac:dyDescent="0.25">
      <c r="A1251">
        <v>19111031017</v>
      </c>
      <c r="B1251">
        <v>1.03</v>
      </c>
      <c r="C1251">
        <v>44874</v>
      </c>
      <c r="D1251" t="s">
        <v>144</v>
      </c>
      <c r="E1251" t="s">
        <v>54</v>
      </c>
      <c r="F1251" t="s">
        <v>54</v>
      </c>
      <c r="G1251">
        <v>3</v>
      </c>
      <c r="H1251" t="s">
        <v>55</v>
      </c>
      <c r="I1251">
        <v>0</v>
      </c>
      <c r="J1251">
        <v>47500</v>
      </c>
      <c r="K1251">
        <v>1.03</v>
      </c>
      <c r="L1251">
        <f>IF(Wapato_Inventory[[#This Row],[parcel_acres]]-Wapato_Inventory[[#This Row],[non_valued_acres]] =0,0,LN(Wapato_Inventory[[#This Row],[parcel_acres]]-Wapato_Inventory[[#This Row],[non_valued_acres]]))</f>
        <v>2.9558802241544429E-2</v>
      </c>
      <c r="M1251">
        <v>0</v>
      </c>
      <c r="N1251">
        <v>0</v>
      </c>
      <c r="O1251">
        <v>1</v>
      </c>
      <c r="P1251">
        <v>27904.037</v>
      </c>
      <c r="Q1251">
        <v>74398</v>
      </c>
      <c r="R1251" s="3">
        <f>(Wapato_Inventory[[#This Row],[ln_acres]]*Wapato_Inventory[[#This Row],[coeff]])+Wapato_Inventory[[#This Row],[const]]</f>
        <v>75222.809911423741</v>
      </c>
      <c r="AY1251">
        <v>0</v>
      </c>
      <c r="AZ1251">
        <v>0</v>
      </c>
      <c r="BE1251">
        <v>0</v>
      </c>
      <c r="BF1251">
        <v>3000</v>
      </c>
      <c r="BG1251">
        <v>0</v>
      </c>
      <c r="BH1251" s="7">
        <f>ROUND(Wapato_Inventory[[#This Row],[detatched_value]]*Lookups!$B$22*Lookups!$H$48,-2)</f>
        <v>0</v>
      </c>
      <c r="BI1251" s="7">
        <f>ROUND(((Wapato_Inventory[[#This Row],[land_extract]]*Lookups!$B$3) +(Lookups!$B$2*0.5))*Lookups!$H$48,-2)</f>
        <v>58300</v>
      </c>
      <c r="BJ1251" s="7">
        <f>IF(Wapato_Inventory[[#This Row],[bldg_style]]="",0,Lookups!$B$2*0.5)</f>
        <v>0</v>
      </c>
      <c r="BK1251" s="7">
        <f>_xlfn.IFNA(VLOOKUP(Wapato_Inventory[[#This Row],[quality]],Lookups!$H$2:$J$14,3,FALSE),0)</f>
        <v>0</v>
      </c>
      <c r="BL1251" s="7">
        <f>_xlfn.IFNA(VLOOKUP(Wapato_Inventory[[#This Row],[condition]],Lookups!$H$17:$J$24,3,FALSE),0)</f>
        <v>0</v>
      </c>
      <c r="BM1251" s="7">
        <f>Wapato_Inventory[[#This Row],[Age]]*Lookups!$B$16</f>
        <v>0</v>
      </c>
      <c r="BN1251" s="7">
        <f>Wapato_Inventory[[#This Row],[Main Floor]]*Lookups!$B$17</f>
        <v>0</v>
      </c>
      <c r="BO1251" s="7">
        <f>Wapato_Inventory[[#This Row],[Upper Floor]]*Lookups!$B$18</f>
        <v>0</v>
      </c>
      <c r="BP1251" s="7">
        <f>Wapato_Inventory[[#This Row],[Fin BSMT]]*Lookups!$B$19</f>
        <v>0</v>
      </c>
      <c r="BQ1251" s="7">
        <f>(Wapato_Inventory[[#This Row],[att_gar]]+Wapato_Inventory[[#This Row],[blt_gar]])*Lookups!$B$20</f>
        <v>0</v>
      </c>
      <c r="BR1251" s="7">
        <f>Wapato_Inventory[[#This Row],[Patio]]*Lookups!$B$21</f>
        <v>0</v>
      </c>
      <c r="BS1251" s="7">
        <f>SUM(Wapato_Inventory[[#This Row],[intercept]:[patio_value]])*Wapato_Inventory[[#This Row],[res_pct]]</f>
        <v>0</v>
      </c>
      <c r="BT1251" s="7">
        <f>Wapato_Inventory[[#This Row],[land_value]]</f>
        <v>58300</v>
      </c>
      <c r="BU1251" s="2">
        <f>_xlfn.IFNA(VLOOKUP(Wapato_Inventory[[#This Row],[quality]],Lookups!$A$28:$C$37,3,FALSE),1)</f>
        <v>1</v>
      </c>
      <c r="BV1251" s="2">
        <f>_xlfn.IFNA(VLOOKUP(Wapato_Inventory[[#This Row],[condition]],Lookups!$A$41:$C$48,3,FALSE),1)</f>
        <v>1</v>
      </c>
      <c r="BW1251" s="2">
        <f>IF(Wapato_Inventory[[#This Row],[decade]]="",1,_xlfn.IFNA(VLOOKUP(Wapato_Inventory[[#This Row],[decade]],Lookups!$F$28:$H$45,3,FALSE),1))</f>
        <v>1</v>
      </c>
      <c r="BX1251" s="2">
        <f>_xlfn.IFNA(VLOOKUP(Wapato_Inventory[[#This Row],[living_area_range]],Lookups!$K$28:$M$37,3,FALSE),1)</f>
        <v>1</v>
      </c>
      <c r="BY1251" s="2">
        <f>AVERAGE(Wapato_Inventory[[#This Row],[qual_adj]:[range_adj]])</f>
        <v>1</v>
      </c>
      <c r="BZ1251" s="7">
        <f>(Wapato_Inventory[[#This Row],[sum_land]]-IF(Wapato_Inventory[[#This Row],[no_utilities]]=1,12000,0))/IF(Wapato_Inventory[[#This Row],[unbuildable]]=1,2,1)</f>
        <v>46300</v>
      </c>
      <c r="CA1251" s="7">
        <f>Wapato_Inventory[[#This Row],[pre_res]]*Wapato_Inventory[[#This Row],[overall_adj]]</f>
        <v>0</v>
      </c>
      <c r="CB1251" s="3">
        <f>IF(ROUND(Wapato_Inventory[[#This Row],[adj_land]]*Lookups!$H$48,-2)&lt;Wapato_Inventory[[#This Row],[min_land]],Wapato_Inventory[[#This Row],[min_land]],ROUND(Wapato_Inventory[[#This Row],[adj_land]]*Lookups!$H$48,-2))</f>
        <v>44000</v>
      </c>
      <c r="CC125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51" s="3">
        <f>ROUND(Wapato_Inventory[[#This Row],[det_value]]*Lookups!$H$48,-2)</f>
        <v>0</v>
      </c>
      <c r="CE1251" s="3">
        <f>Wapato_Inventory[[#This Row],[final_res]]+Wapato_Inventory[[#This Row],[final_det]]</f>
        <v>0</v>
      </c>
      <c r="CF1251" s="3">
        <f>Wapato_Inventory[[#This Row],[crop_value]]+Wapato_Inventory[[#This Row],[final_land]]+Wapato_Inventory[[#This Row],[final_imp]]</f>
        <v>44000</v>
      </c>
      <c r="CH1251" t="str">
        <f t="shared" si="19"/>
        <v>update valuation set market_land =44000, market_bldg=0, market_total =44000, market_mdno =405, market_date ='9/10/2023' where link_id = (select link_id from parcel where parcel_year = '2024' and parcel_id = '19111031017');</v>
      </c>
    </row>
    <row r="1252" spans="1:86" x14ac:dyDescent="0.25">
      <c r="A1252">
        <v>19111031020</v>
      </c>
      <c r="B1252">
        <v>0.55000000000000004</v>
      </c>
      <c r="C1252">
        <v>23767</v>
      </c>
      <c r="D1252" t="s">
        <v>144</v>
      </c>
      <c r="E1252" t="s">
        <v>54</v>
      </c>
      <c r="F1252" t="s">
        <v>54</v>
      </c>
      <c r="G1252">
        <v>3</v>
      </c>
      <c r="H1252" t="s">
        <v>55</v>
      </c>
      <c r="I1252">
        <v>3700</v>
      </c>
      <c r="J1252">
        <v>42900</v>
      </c>
      <c r="K1252">
        <v>0.55000000000000004</v>
      </c>
      <c r="L1252">
        <f>IF(Wapato_Inventory[[#This Row],[parcel_acres]]-Wapato_Inventory[[#This Row],[non_valued_acres]] =0,0,LN(Wapato_Inventory[[#This Row],[parcel_acres]]-Wapato_Inventory[[#This Row],[non_valued_acres]]))</f>
        <v>-0.59783700075562041</v>
      </c>
      <c r="M1252">
        <v>0</v>
      </c>
      <c r="N1252">
        <v>0</v>
      </c>
      <c r="O1252">
        <v>0</v>
      </c>
      <c r="P1252">
        <v>27904.037</v>
      </c>
      <c r="Q1252">
        <v>74398</v>
      </c>
      <c r="R1252" s="3">
        <f>(Wapato_Inventory[[#This Row],[ln_acres]]*Wapato_Inventory[[#This Row],[coeff]])+Wapato_Inventory[[#This Row],[const]]</f>
        <v>57715.934210946143</v>
      </c>
      <c r="AY1252">
        <v>0</v>
      </c>
      <c r="AZ1252">
        <v>4500</v>
      </c>
      <c r="BE1252">
        <v>0</v>
      </c>
      <c r="BF1252">
        <v>15000</v>
      </c>
      <c r="BG1252">
        <v>0</v>
      </c>
      <c r="BH1252" s="7">
        <f>ROUND(Wapato_Inventory[[#This Row],[detatched_value]]*Lookups!$B$22*Lookups!$H$48,-2)</f>
        <v>4000</v>
      </c>
      <c r="BI1252" s="7">
        <f>ROUND(((Wapato_Inventory[[#This Row],[land_extract]]*Lookups!$B$3) +(Lookups!$B$2*0.5))*Lookups!$H$48,-2)</f>
        <v>56600</v>
      </c>
      <c r="BJ1252" s="7">
        <f>IF(Wapato_Inventory[[#This Row],[bldg_style]]="",0,Lookups!$B$2*0.5)</f>
        <v>0</v>
      </c>
      <c r="BK1252" s="7">
        <f>_xlfn.IFNA(VLOOKUP(Wapato_Inventory[[#This Row],[quality]],Lookups!$H$2:$J$14,3,FALSE),0)</f>
        <v>0</v>
      </c>
      <c r="BL1252" s="7">
        <f>_xlfn.IFNA(VLOOKUP(Wapato_Inventory[[#This Row],[condition]],Lookups!$H$17:$J$24,3,FALSE),0)</f>
        <v>0</v>
      </c>
      <c r="BM1252" s="7">
        <f>Wapato_Inventory[[#This Row],[Age]]*Lookups!$B$16</f>
        <v>0</v>
      </c>
      <c r="BN1252" s="7">
        <f>Wapato_Inventory[[#This Row],[Main Floor]]*Lookups!$B$17</f>
        <v>0</v>
      </c>
      <c r="BO1252" s="7">
        <f>Wapato_Inventory[[#This Row],[Upper Floor]]*Lookups!$B$18</f>
        <v>0</v>
      </c>
      <c r="BP1252" s="7">
        <f>Wapato_Inventory[[#This Row],[Fin BSMT]]*Lookups!$B$19</f>
        <v>0</v>
      </c>
      <c r="BQ1252" s="7">
        <f>(Wapato_Inventory[[#This Row],[att_gar]]+Wapato_Inventory[[#This Row],[blt_gar]])*Lookups!$B$20</f>
        <v>0</v>
      </c>
      <c r="BR1252" s="7">
        <f>Wapato_Inventory[[#This Row],[Patio]]*Lookups!$B$21</f>
        <v>0</v>
      </c>
      <c r="BS1252" s="7">
        <f>SUM(Wapato_Inventory[[#This Row],[intercept]:[patio_value]])*Wapato_Inventory[[#This Row],[res_pct]]</f>
        <v>0</v>
      </c>
      <c r="BT1252" s="7">
        <f>Wapato_Inventory[[#This Row],[land_value]]</f>
        <v>56600</v>
      </c>
      <c r="BU1252" s="2">
        <f>_xlfn.IFNA(VLOOKUP(Wapato_Inventory[[#This Row],[quality]],Lookups!$A$28:$C$37,3,FALSE),1)</f>
        <v>1</v>
      </c>
      <c r="BV1252" s="2">
        <f>_xlfn.IFNA(VLOOKUP(Wapato_Inventory[[#This Row],[condition]],Lookups!$A$41:$C$48,3,FALSE),1)</f>
        <v>1</v>
      </c>
      <c r="BW1252" s="2">
        <f>IF(Wapato_Inventory[[#This Row],[decade]]="",1,_xlfn.IFNA(VLOOKUP(Wapato_Inventory[[#This Row],[decade]],Lookups!$F$28:$H$45,3,FALSE),1))</f>
        <v>1</v>
      </c>
      <c r="BX1252" s="2">
        <f>_xlfn.IFNA(VLOOKUP(Wapato_Inventory[[#This Row],[living_area_range]],Lookups!$K$28:$M$37,3,FALSE),1)</f>
        <v>1</v>
      </c>
      <c r="BY1252" s="2">
        <f>AVERAGE(Wapato_Inventory[[#This Row],[qual_adj]:[range_adj]])</f>
        <v>1</v>
      </c>
      <c r="BZ1252" s="7">
        <f>(Wapato_Inventory[[#This Row],[sum_land]]-IF(Wapato_Inventory[[#This Row],[no_utilities]]=1,12000,0))/IF(Wapato_Inventory[[#This Row],[unbuildable]]=1,2,1)</f>
        <v>56600</v>
      </c>
      <c r="CA1252" s="7">
        <f>Wapato_Inventory[[#This Row],[pre_res]]*Wapato_Inventory[[#This Row],[overall_adj]]</f>
        <v>0</v>
      </c>
      <c r="CB1252" s="3">
        <f>IF(ROUND(Wapato_Inventory[[#This Row],[adj_land]]*Lookups!$H$48,-2)&lt;Wapato_Inventory[[#This Row],[min_land]],Wapato_Inventory[[#This Row],[min_land]],ROUND(Wapato_Inventory[[#This Row],[adj_land]]*Lookups!$H$48,-2))</f>
        <v>53800</v>
      </c>
      <c r="CC125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52" s="3">
        <f>ROUND(Wapato_Inventory[[#This Row],[det_value]]*Lookups!$H$48,-2)</f>
        <v>3800</v>
      </c>
      <c r="CE1252" s="3">
        <f>Wapato_Inventory[[#This Row],[final_res]]+Wapato_Inventory[[#This Row],[final_det]]</f>
        <v>3800</v>
      </c>
      <c r="CF1252" s="3">
        <f>Wapato_Inventory[[#This Row],[crop_value]]+Wapato_Inventory[[#This Row],[final_land]]+Wapato_Inventory[[#This Row],[final_imp]]</f>
        <v>57600</v>
      </c>
      <c r="CH1252" t="str">
        <f t="shared" si="19"/>
        <v>update valuation set market_land =53800, market_bldg=3800, market_total =57600, market_mdno =405, market_date ='9/10/2023' where link_id = (select link_id from parcel where parcel_year = '2024' and parcel_id = '19111031020');</v>
      </c>
    </row>
    <row r="1253" spans="1:86" x14ac:dyDescent="0.25">
      <c r="A1253">
        <v>19111031022</v>
      </c>
      <c r="B1253">
        <v>1.81</v>
      </c>
      <c r="C1253" t="s">
        <v>144</v>
      </c>
      <c r="D1253" t="s">
        <v>144</v>
      </c>
      <c r="E1253" t="s">
        <v>54</v>
      </c>
      <c r="F1253" t="s">
        <v>54</v>
      </c>
      <c r="G1253">
        <v>3</v>
      </c>
      <c r="H1253" t="s">
        <v>55</v>
      </c>
      <c r="I1253">
        <v>0</v>
      </c>
      <c r="J1253">
        <v>51600</v>
      </c>
      <c r="K1253">
        <v>1.81</v>
      </c>
      <c r="L1253">
        <f>IF(Wapato_Inventory[[#This Row],[parcel_acres]]-Wapato_Inventory[[#This Row],[non_valued_acres]] =0,0,LN(Wapato_Inventory[[#This Row],[parcel_acres]]-Wapato_Inventory[[#This Row],[non_valued_acres]]))</f>
        <v>0.59332684527773438</v>
      </c>
      <c r="M1253">
        <v>0</v>
      </c>
      <c r="N1253">
        <v>0</v>
      </c>
      <c r="O1253">
        <v>0</v>
      </c>
      <c r="P1253">
        <v>27904.037</v>
      </c>
      <c r="Q1253">
        <v>74398</v>
      </c>
      <c r="R1253" s="3">
        <f>(Wapato_Inventory[[#This Row],[ln_acres]]*Wapato_Inventory[[#This Row],[coeff]])+Wapato_Inventory[[#This Row],[const]]</f>
        <v>90954.214243723167</v>
      </c>
      <c r="AY1253">
        <v>0</v>
      </c>
      <c r="AZ1253">
        <v>0</v>
      </c>
      <c r="BE1253">
        <v>0</v>
      </c>
      <c r="BF1253">
        <v>15000</v>
      </c>
      <c r="BG1253">
        <v>0</v>
      </c>
      <c r="BH1253" s="7">
        <f>ROUND(Wapato_Inventory[[#This Row],[detatched_value]]*Lookups!$B$22*Lookups!$H$48,-2)</f>
        <v>0</v>
      </c>
      <c r="BI1253" s="7">
        <f>ROUND(((Wapato_Inventory[[#This Row],[land_extract]]*Lookups!$B$3) +(Lookups!$B$2*0.5))*Lookups!$H$48,-2)</f>
        <v>59900</v>
      </c>
      <c r="BJ1253" s="7">
        <f>IF(Wapato_Inventory[[#This Row],[bldg_style]]="",0,Lookups!$B$2*0.5)</f>
        <v>0</v>
      </c>
      <c r="BK1253" s="7">
        <f>_xlfn.IFNA(VLOOKUP(Wapato_Inventory[[#This Row],[quality]],Lookups!$H$2:$J$14,3,FALSE),0)</f>
        <v>0</v>
      </c>
      <c r="BL1253" s="7">
        <f>_xlfn.IFNA(VLOOKUP(Wapato_Inventory[[#This Row],[condition]],Lookups!$H$17:$J$24,3,FALSE),0)</f>
        <v>0</v>
      </c>
      <c r="BM1253" s="7">
        <f>Wapato_Inventory[[#This Row],[Age]]*Lookups!$B$16</f>
        <v>0</v>
      </c>
      <c r="BN1253" s="7">
        <f>Wapato_Inventory[[#This Row],[Main Floor]]*Lookups!$B$17</f>
        <v>0</v>
      </c>
      <c r="BO1253" s="7">
        <f>Wapato_Inventory[[#This Row],[Upper Floor]]*Lookups!$B$18</f>
        <v>0</v>
      </c>
      <c r="BP1253" s="7">
        <f>Wapato_Inventory[[#This Row],[Fin BSMT]]*Lookups!$B$19</f>
        <v>0</v>
      </c>
      <c r="BQ1253" s="7">
        <f>(Wapato_Inventory[[#This Row],[att_gar]]+Wapato_Inventory[[#This Row],[blt_gar]])*Lookups!$B$20</f>
        <v>0</v>
      </c>
      <c r="BR1253" s="7">
        <f>Wapato_Inventory[[#This Row],[Patio]]*Lookups!$B$21</f>
        <v>0</v>
      </c>
      <c r="BS1253" s="7">
        <f>SUM(Wapato_Inventory[[#This Row],[intercept]:[patio_value]])*Wapato_Inventory[[#This Row],[res_pct]]</f>
        <v>0</v>
      </c>
      <c r="BT1253" s="7">
        <f>Wapato_Inventory[[#This Row],[land_value]]</f>
        <v>59900</v>
      </c>
      <c r="BU1253" s="2">
        <f>_xlfn.IFNA(VLOOKUP(Wapato_Inventory[[#This Row],[quality]],Lookups!$A$28:$C$37,3,FALSE),1)</f>
        <v>1</v>
      </c>
      <c r="BV1253" s="2">
        <f>_xlfn.IFNA(VLOOKUP(Wapato_Inventory[[#This Row],[condition]],Lookups!$A$41:$C$48,3,FALSE),1)</f>
        <v>1</v>
      </c>
      <c r="BW1253" s="2">
        <f>IF(Wapato_Inventory[[#This Row],[decade]]="",1,_xlfn.IFNA(VLOOKUP(Wapato_Inventory[[#This Row],[decade]],Lookups!$F$28:$H$45,3,FALSE),1))</f>
        <v>1</v>
      </c>
      <c r="BX1253" s="2">
        <f>_xlfn.IFNA(VLOOKUP(Wapato_Inventory[[#This Row],[living_area_range]],Lookups!$K$28:$M$37,3,FALSE),1)</f>
        <v>1</v>
      </c>
      <c r="BY1253" s="2">
        <f>AVERAGE(Wapato_Inventory[[#This Row],[qual_adj]:[range_adj]])</f>
        <v>1</v>
      </c>
      <c r="BZ1253" s="7">
        <f>(Wapato_Inventory[[#This Row],[sum_land]]-IF(Wapato_Inventory[[#This Row],[no_utilities]]=1,12000,0))/IF(Wapato_Inventory[[#This Row],[unbuildable]]=1,2,1)</f>
        <v>59900</v>
      </c>
      <c r="CA1253" s="7">
        <f>Wapato_Inventory[[#This Row],[pre_res]]*Wapato_Inventory[[#This Row],[overall_adj]]</f>
        <v>0</v>
      </c>
      <c r="CB1253" s="3">
        <f>IF(ROUND(Wapato_Inventory[[#This Row],[adj_land]]*Lookups!$H$48,-2)&lt;Wapato_Inventory[[#This Row],[min_land]],Wapato_Inventory[[#This Row],[min_land]],ROUND(Wapato_Inventory[[#This Row],[adj_land]]*Lookups!$H$48,-2))</f>
        <v>56900</v>
      </c>
      <c r="CC125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53" s="3">
        <f>ROUND(Wapato_Inventory[[#This Row],[det_value]]*Lookups!$H$48,-2)</f>
        <v>0</v>
      </c>
      <c r="CE1253" s="3">
        <f>Wapato_Inventory[[#This Row],[final_res]]+Wapato_Inventory[[#This Row],[final_det]]</f>
        <v>0</v>
      </c>
      <c r="CF1253" s="3">
        <f>Wapato_Inventory[[#This Row],[crop_value]]+Wapato_Inventory[[#This Row],[final_land]]+Wapato_Inventory[[#This Row],[final_imp]]</f>
        <v>56900</v>
      </c>
      <c r="CH1253" t="str">
        <f t="shared" si="19"/>
        <v>update valuation set market_land =56900, market_bldg=0, market_total =56900, market_mdno =405, market_date ='9/10/2023' where link_id = (select link_id from parcel where parcel_year = '2024' and parcel_id = '19111031022');</v>
      </c>
    </row>
    <row r="1254" spans="1:86" x14ac:dyDescent="0.25">
      <c r="A1254">
        <v>19111031023</v>
      </c>
      <c r="B1254">
        <v>1.8</v>
      </c>
      <c r="C1254" t="s">
        <v>144</v>
      </c>
      <c r="D1254" t="s">
        <v>144</v>
      </c>
      <c r="E1254" t="s">
        <v>54</v>
      </c>
      <c r="F1254" t="s">
        <v>54</v>
      </c>
      <c r="G1254">
        <v>3</v>
      </c>
      <c r="H1254" t="s">
        <v>55</v>
      </c>
      <c r="I1254">
        <v>0</v>
      </c>
      <c r="J1254">
        <v>51600</v>
      </c>
      <c r="K1254">
        <v>1.8</v>
      </c>
      <c r="L1254">
        <f>IF(Wapato_Inventory[[#This Row],[parcel_acres]]-Wapato_Inventory[[#This Row],[non_valued_acres]] =0,0,LN(Wapato_Inventory[[#This Row],[parcel_acres]]-Wapato_Inventory[[#This Row],[non_valued_acres]]))</f>
        <v>0.58778666490211906</v>
      </c>
      <c r="M1254">
        <v>0</v>
      </c>
      <c r="N1254">
        <v>0</v>
      </c>
      <c r="O1254">
        <v>1</v>
      </c>
      <c r="P1254">
        <v>27904.037</v>
      </c>
      <c r="Q1254">
        <v>74398</v>
      </c>
      <c r="R1254" s="3">
        <f>(Wapato_Inventory[[#This Row],[ln_acres]]*Wapato_Inventory[[#This Row],[coeff]])+Wapato_Inventory[[#This Row],[const]]</f>
        <v>90799.620845535334</v>
      </c>
      <c r="AY1254">
        <v>0</v>
      </c>
      <c r="AZ1254">
        <v>0</v>
      </c>
      <c r="BE1254">
        <v>0</v>
      </c>
      <c r="BF1254">
        <v>3000</v>
      </c>
      <c r="BG1254">
        <v>0</v>
      </c>
      <c r="BH1254" s="7">
        <f>ROUND(Wapato_Inventory[[#This Row],[detatched_value]]*Lookups!$B$22*Lookups!$H$48,-2)</f>
        <v>0</v>
      </c>
      <c r="BI1254" s="7">
        <f>ROUND(((Wapato_Inventory[[#This Row],[land_extract]]*Lookups!$B$3) +(Lookups!$B$2*0.5))*Lookups!$H$48,-2)</f>
        <v>59800</v>
      </c>
      <c r="BJ1254" s="7">
        <f>IF(Wapato_Inventory[[#This Row],[bldg_style]]="",0,Lookups!$B$2*0.5)</f>
        <v>0</v>
      </c>
      <c r="BK1254" s="7">
        <f>_xlfn.IFNA(VLOOKUP(Wapato_Inventory[[#This Row],[quality]],Lookups!$H$2:$J$14,3,FALSE),0)</f>
        <v>0</v>
      </c>
      <c r="BL1254" s="7">
        <f>_xlfn.IFNA(VLOOKUP(Wapato_Inventory[[#This Row],[condition]],Lookups!$H$17:$J$24,3,FALSE),0)</f>
        <v>0</v>
      </c>
      <c r="BM1254" s="7">
        <f>Wapato_Inventory[[#This Row],[Age]]*Lookups!$B$16</f>
        <v>0</v>
      </c>
      <c r="BN1254" s="7">
        <f>Wapato_Inventory[[#This Row],[Main Floor]]*Lookups!$B$17</f>
        <v>0</v>
      </c>
      <c r="BO1254" s="7">
        <f>Wapato_Inventory[[#This Row],[Upper Floor]]*Lookups!$B$18</f>
        <v>0</v>
      </c>
      <c r="BP1254" s="7">
        <f>Wapato_Inventory[[#This Row],[Fin BSMT]]*Lookups!$B$19</f>
        <v>0</v>
      </c>
      <c r="BQ1254" s="7">
        <f>(Wapato_Inventory[[#This Row],[att_gar]]+Wapato_Inventory[[#This Row],[blt_gar]])*Lookups!$B$20</f>
        <v>0</v>
      </c>
      <c r="BR1254" s="7">
        <f>Wapato_Inventory[[#This Row],[Patio]]*Lookups!$B$21</f>
        <v>0</v>
      </c>
      <c r="BS1254" s="7">
        <f>SUM(Wapato_Inventory[[#This Row],[intercept]:[patio_value]])*Wapato_Inventory[[#This Row],[res_pct]]</f>
        <v>0</v>
      </c>
      <c r="BT1254" s="7">
        <f>Wapato_Inventory[[#This Row],[land_value]]</f>
        <v>59800</v>
      </c>
      <c r="BU1254" s="2">
        <f>_xlfn.IFNA(VLOOKUP(Wapato_Inventory[[#This Row],[quality]],Lookups!$A$28:$C$37,3,FALSE),1)</f>
        <v>1</v>
      </c>
      <c r="BV1254" s="2">
        <f>_xlfn.IFNA(VLOOKUP(Wapato_Inventory[[#This Row],[condition]],Lookups!$A$41:$C$48,3,FALSE),1)</f>
        <v>1</v>
      </c>
      <c r="BW1254" s="2">
        <f>IF(Wapato_Inventory[[#This Row],[decade]]="",1,_xlfn.IFNA(VLOOKUP(Wapato_Inventory[[#This Row],[decade]],Lookups!$F$28:$H$45,3,FALSE),1))</f>
        <v>1</v>
      </c>
      <c r="BX1254" s="2">
        <f>_xlfn.IFNA(VLOOKUP(Wapato_Inventory[[#This Row],[living_area_range]],Lookups!$K$28:$M$37,3,FALSE),1)</f>
        <v>1</v>
      </c>
      <c r="BY1254" s="2">
        <f>AVERAGE(Wapato_Inventory[[#This Row],[qual_adj]:[range_adj]])</f>
        <v>1</v>
      </c>
      <c r="BZ1254" s="7">
        <f>(Wapato_Inventory[[#This Row],[sum_land]]-IF(Wapato_Inventory[[#This Row],[no_utilities]]=1,12000,0))/IF(Wapato_Inventory[[#This Row],[unbuildable]]=1,2,1)</f>
        <v>47800</v>
      </c>
      <c r="CA1254" s="7">
        <f>Wapato_Inventory[[#This Row],[pre_res]]*Wapato_Inventory[[#This Row],[overall_adj]]</f>
        <v>0</v>
      </c>
      <c r="CB1254" s="3">
        <f>IF(ROUND(Wapato_Inventory[[#This Row],[adj_land]]*Lookups!$H$48,-2)&lt;Wapato_Inventory[[#This Row],[min_land]],Wapato_Inventory[[#This Row],[min_land]],ROUND(Wapato_Inventory[[#This Row],[adj_land]]*Lookups!$H$48,-2))</f>
        <v>45400</v>
      </c>
      <c r="CC125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54" s="3">
        <f>ROUND(Wapato_Inventory[[#This Row],[det_value]]*Lookups!$H$48,-2)</f>
        <v>0</v>
      </c>
      <c r="CE1254" s="3">
        <f>Wapato_Inventory[[#This Row],[final_res]]+Wapato_Inventory[[#This Row],[final_det]]</f>
        <v>0</v>
      </c>
      <c r="CF1254" s="3">
        <f>Wapato_Inventory[[#This Row],[crop_value]]+Wapato_Inventory[[#This Row],[final_land]]+Wapato_Inventory[[#This Row],[final_imp]]</f>
        <v>45400</v>
      </c>
      <c r="CH1254" t="str">
        <f t="shared" si="19"/>
        <v>update valuation set market_land =45400, market_bldg=0, market_total =45400, market_mdno =405, market_date ='9/10/2023' where link_id = (select link_id from parcel where parcel_year = '2024' and parcel_id = '19111031023');</v>
      </c>
    </row>
    <row r="1255" spans="1:86" x14ac:dyDescent="0.25">
      <c r="A1255">
        <v>19111032014</v>
      </c>
      <c r="B1255">
        <v>5.74</v>
      </c>
      <c r="C1255">
        <v>250180</v>
      </c>
      <c r="D1255" t="s">
        <v>144</v>
      </c>
      <c r="E1255" t="s">
        <v>54</v>
      </c>
      <c r="F1255" t="s">
        <v>54</v>
      </c>
      <c r="G1255">
        <v>3</v>
      </c>
      <c r="H1255" t="s">
        <v>55</v>
      </c>
      <c r="I1255">
        <v>0</v>
      </c>
      <c r="J1255">
        <v>60100</v>
      </c>
      <c r="K1255">
        <v>5.74</v>
      </c>
      <c r="L1255">
        <f>IF(Wapato_Inventory[[#This Row],[parcel_acres]]-Wapato_Inventory[[#This Row],[non_valued_acres]] =0,0,LN(Wapato_Inventory[[#This Row],[parcel_acres]]-Wapato_Inventory[[#This Row],[non_valued_acres]]))</f>
        <v>1.747459210331475</v>
      </c>
      <c r="M1255">
        <v>0</v>
      </c>
      <c r="N1255">
        <v>0</v>
      </c>
      <c r="O1255">
        <v>1</v>
      </c>
      <c r="P1255">
        <v>27904.037</v>
      </c>
      <c r="Q1255">
        <v>74398</v>
      </c>
      <c r="R1255" s="3">
        <f>(Wapato_Inventory[[#This Row],[ln_acres]]*Wapato_Inventory[[#This Row],[coeff]])+Wapato_Inventory[[#This Row],[const]]</f>
        <v>123159.16646108025</v>
      </c>
      <c r="AY1255">
        <v>0</v>
      </c>
      <c r="AZ1255">
        <v>0</v>
      </c>
      <c r="BE1255">
        <v>0</v>
      </c>
      <c r="BF1255">
        <v>3000</v>
      </c>
      <c r="BG1255">
        <v>0</v>
      </c>
      <c r="BH1255" s="7">
        <f>ROUND(Wapato_Inventory[[#This Row],[detatched_value]]*Lookups!$B$22*Lookups!$H$48,-2)</f>
        <v>0</v>
      </c>
      <c r="BI1255" s="7">
        <f>ROUND(((Wapato_Inventory[[#This Row],[land_extract]]*Lookups!$B$3) +(Lookups!$B$2*0.5))*Lookups!$H$48,-2)</f>
        <v>63000</v>
      </c>
      <c r="BJ1255" s="7">
        <f>IF(Wapato_Inventory[[#This Row],[bldg_style]]="",0,Lookups!$B$2*0.5)</f>
        <v>0</v>
      </c>
      <c r="BK1255" s="7">
        <f>_xlfn.IFNA(VLOOKUP(Wapato_Inventory[[#This Row],[quality]],Lookups!$H$2:$J$14,3,FALSE),0)</f>
        <v>0</v>
      </c>
      <c r="BL1255" s="7">
        <f>_xlfn.IFNA(VLOOKUP(Wapato_Inventory[[#This Row],[condition]],Lookups!$H$17:$J$24,3,FALSE),0)</f>
        <v>0</v>
      </c>
      <c r="BM1255" s="7">
        <f>Wapato_Inventory[[#This Row],[Age]]*Lookups!$B$16</f>
        <v>0</v>
      </c>
      <c r="BN1255" s="7">
        <f>Wapato_Inventory[[#This Row],[Main Floor]]*Lookups!$B$17</f>
        <v>0</v>
      </c>
      <c r="BO1255" s="7">
        <f>Wapato_Inventory[[#This Row],[Upper Floor]]*Lookups!$B$18</f>
        <v>0</v>
      </c>
      <c r="BP1255" s="7">
        <f>Wapato_Inventory[[#This Row],[Fin BSMT]]*Lookups!$B$19</f>
        <v>0</v>
      </c>
      <c r="BQ1255" s="7">
        <f>(Wapato_Inventory[[#This Row],[att_gar]]+Wapato_Inventory[[#This Row],[blt_gar]])*Lookups!$B$20</f>
        <v>0</v>
      </c>
      <c r="BR1255" s="7">
        <f>Wapato_Inventory[[#This Row],[Patio]]*Lookups!$B$21</f>
        <v>0</v>
      </c>
      <c r="BS1255" s="7">
        <f>SUM(Wapato_Inventory[[#This Row],[intercept]:[patio_value]])*Wapato_Inventory[[#This Row],[res_pct]]</f>
        <v>0</v>
      </c>
      <c r="BT1255" s="7">
        <f>Wapato_Inventory[[#This Row],[land_value]]</f>
        <v>63000</v>
      </c>
      <c r="BU1255" s="2">
        <f>_xlfn.IFNA(VLOOKUP(Wapato_Inventory[[#This Row],[quality]],Lookups!$A$28:$C$37,3,FALSE),1)</f>
        <v>1</v>
      </c>
      <c r="BV1255" s="2">
        <f>_xlfn.IFNA(VLOOKUP(Wapato_Inventory[[#This Row],[condition]],Lookups!$A$41:$C$48,3,FALSE),1)</f>
        <v>1</v>
      </c>
      <c r="BW1255" s="2">
        <f>IF(Wapato_Inventory[[#This Row],[decade]]="",1,_xlfn.IFNA(VLOOKUP(Wapato_Inventory[[#This Row],[decade]],Lookups!$F$28:$H$45,3,FALSE),1))</f>
        <v>1</v>
      </c>
      <c r="BX1255" s="2">
        <f>_xlfn.IFNA(VLOOKUP(Wapato_Inventory[[#This Row],[living_area_range]],Lookups!$K$28:$M$37,3,FALSE),1)</f>
        <v>1</v>
      </c>
      <c r="BY1255" s="2">
        <f>AVERAGE(Wapato_Inventory[[#This Row],[qual_adj]:[range_adj]])</f>
        <v>1</v>
      </c>
      <c r="BZ1255" s="7">
        <f>(Wapato_Inventory[[#This Row],[sum_land]]-IF(Wapato_Inventory[[#This Row],[no_utilities]]=1,12000,0))/IF(Wapato_Inventory[[#This Row],[unbuildable]]=1,2,1)</f>
        <v>51000</v>
      </c>
      <c r="CA1255" s="7">
        <f>Wapato_Inventory[[#This Row],[pre_res]]*Wapato_Inventory[[#This Row],[overall_adj]]</f>
        <v>0</v>
      </c>
      <c r="CB1255" s="3">
        <f>IF(ROUND(Wapato_Inventory[[#This Row],[adj_land]]*Lookups!$H$48,-2)&lt;Wapato_Inventory[[#This Row],[min_land]],Wapato_Inventory[[#This Row],[min_land]],ROUND(Wapato_Inventory[[#This Row],[adj_land]]*Lookups!$H$48,-2))</f>
        <v>48500</v>
      </c>
      <c r="CC125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55" s="3">
        <f>ROUND(Wapato_Inventory[[#This Row],[det_value]]*Lookups!$H$48,-2)</f>
        <v>0</v>
      </c>
      <c r="CE1255" s="3">
        <f>Wapato_Inventory[[#This Row],[final_res]]+Wapato_Inventory[[#This Row],[final_det]]</f>
        <v>0</v>
      </c>
      <c r="CF1255" s="3">
        <f>Wapato_Inventory[[#This Row],[crop_value]]+Wapato_Inventory[[#This Row],[final_land]]+Wapato_Inventory[[#This Row],[final_imp]]</f>
        <v>48500</v>
      </c>
      <c r="CH1255" t="str">
        <f t="shared" si="19"/>
        <v>update valuation set market_land =48500, market_bldg=0, market_total =48500, market_mdno =405, market_date ='9/10/2023' where link_id = (select link_id from parcel where parcel_year = '2024' and parcel_id = '19111032014');</v>
      </c>
    </row>
    <row r="1256" spans="1:86" x14ac:dyDescent="0.25">
      <c r="A1256">
        <v>19111032404</v>
      </c>
      <c r="B1256">
        <v>0.5</v>
      </c>
      <c r="C1256" t="s">
        <v>144</v>
      </c>
      <c r="D1256" t="s">
        <v>144</v>
      </c>
      <c r="E1256" t="s">
        <v>54</v>
      </c>
      <c r="F1256" t="s">
        <v>54</v>
      </c>
      <c r="G1256">
        <v>3</v>
      </c>
      <c r="H1256" t="s">
        <v>55</v>
      </c>
      <c r="I1256">
        <v>0</v>
      </c>
      <c r="J1256">
        <v>42200</v>
      </c>
      <c r="K1256">
        <v>0.5</v>
      </c>
      <c r="L1256">
        <f>IF(Wapato_Inventory[[#This Row],[parcel_acres]]-Wapato_Inventory[[#This Row],[non_valued_acres]] =0,0,LN(Wapato_Inventory[[#This Row],[parcel_acres]]-Wapato_Inventory[[#This Row],[non_valued_acres]]))</f>
        <v>-0.69314718055994529</v>
      </c>
      <c r="M1256">
        <v>0</v>
      </c>
      <c r="N1256">
        <v>1</v>
      </c>
      <c r="O1256">
        <v>0</v>
      </c>
      <c r="P1256">
        <v>27904.037</v>
      </c>
      <c r="Q1256">
        <v>74398</v>
      </c>
      <c r="R1256" s="3">
        <f>(Wapato_Inventory[[#This Row],[ln_acres]]*Wapato_Inventory[[#This Row],[coeff]])+Wapato_Inventory[[#This Row],[const]]</f>
        <v>55056.395427209602</v>
      </c>
      <c r="AY1256">
        <v>0</v>
      </c>
      <c r="AZ1256">
        <v>0</v>
      </c>
      <c r="BE1256">
        <v>0</v>
      </c>
      <c r="BF1256">
        <v>12000</v>
      </c>
      <c r="BG1256">
        <v>0</v>
      </c>
      <c r="BH1256" s="7">
        <f>ROUND(Wapato_Inventory[[#This Row],[detatched_value]]*Lookups!$B$22*Lookups!$H$48,-2)</f>
        <v>0</v>
      </c>
      <c r="BI1256" s="7">
        <f>ROUND(((Wapato_Inventory[[#This Row],[land_extract]]*Lookups!$B$3) +(Lookups!$B$2*0.5))*Lookups!$H$48,-2)</f>
        <v>56400</v>
      </c>
      <c r="BJ1256" s="7">
        <f>IF(Wapato_Inventory[[#This Row],[bldg_style]]="",0,Lookups!$B$2*0.5)</f>
        <v>0</v>
      </c>
      <c r="BK1256" s="7">
        <f>_xlfn.IFNA(VLOOKUP(Wapato_Inventory[[#This Row],[quality]],Lookups!$H$2:$J$14,3,FALSE),0)</f>
        <v>0</v>
      </c>
      <c r="BL1256" s="7">
        <f>_xlfn.IFNA(VLOOKUP(Wapato_Inventory[[#This Row],[condition]],Lookups!$H$17:$J$24,3,FALSE),0)</f>
        <v>0</v>
      </c>
      <c r="BM1256" s="7">
        <f>Wapato_Inventory[[#This Row],[Age]]*Lookups!$B$16</f>
        <v>0</v>
      </c>
      <c r="BN1256" s="7">
        <f>Wapato_Inventory[[#This Row],[Main Floor]]*Lookups!$B$17</f>
        <v>0</v>
      </c>
      <c r="BO1256" s="7">
        <f>Wapato_Inventory[[#This Row],[Upper Floor]]*Lookups!$B$18</f>
        <v>0</v>
      </c>
      <c r="BP1256" s="7">
        <f>Wapato_Inventory[[#This Row],[Fin BSMT]]*Lookups!$B$19</f>
        <v>0</v>
      </c>
      <c r="BQ1256" s="7">
        <f>(Wapato_Inventory[[#This Row],[att_gar]]+Wapato_Inventory[[#This Row],[blt_gar]])*Lookups!$B$20</f>
        <v>0</v>
      </c>
      <c r="BR1256" s="7">
        <f>Wapato_Inventory[[#This Row],[Patio]]*Lookups!$B$21</f>
        <v>0</v>
      </c>
      <c r="BS1256" s="7">
        <f>SUM(Wapato_Inventory[[#This Row],[intercept]:[patio_value]])*Wapato_Inventory[[#This Row],[res_pct]]</f>
        <v>0</v>
      </c>
      <c r="BT1256" s="7">
        <f>Wapato_Inventory[[#This Row],[land_value]]</f>
        <v>56400</v>
      </c>
      <c r="BU1256" s="2">
        <f>_xlfn.IFNA(VLOOKUP(Wapato_Inventory[[#This Row],[quality]],Lookups!$A$28:$C$37,3,FALSE),1)</f>
        <v>1</v>
      </c>
      <c r="BV1256" s="2">
        <f>_xlfn.IFNA(VLOOKUP(Wapato_Inventory[[#This Row],[condition]],Lookups!$A$41:$C$48,3,FALSE),1)</f>
        <v>1</v>
      </c>
      <c r="BW1256" s="2">
        <f>IF(Wapato_Inventory[[#This Row],[decade]]="",1,_xlfn.IFNA(VLOOKUP(Wapato_Inventory[[#This Row],[decade]],Lookups!$F$28:$H$45,3,FALSE),1))</f>
        <v>1</v>
      </c>
      <c r="BX1256" s="2">
        <f>_xlfn.IFNA(VLOOKUP(Wapato_Inventory[[#This Row],[living_area_range]],Lookups!$K$28:$M$37,3,FALSE),1)</f>
        <v>1</v>
      </c>
      <c r="BY1256" s="2">
        <f>AVERAGE(Wapato_Inventory[[#This Row],[qual_adj]:[range_adj]])</f>
        <v>1</v>
      </c>
      <c r="BZ1256" s="7">
        <f>(Wapato_Inventory[[#This Row],[sum_land]]-IF(Wapato_Inventory[[#This Row],[no_utilities]]=1,12000,0))/IF(Wapato_Inventory[[#This Row],[unbuildable]]=1,2,1)</f>
        <v>28200</v>
      </c>
      <c r="CA1256" s="7">
        <f>Wapato_Inventory[[#This Row],[pre_res]]*Wapato_Inventory[[#This Row],[overall_adj]]</f>
        <v>0</v>
      </c>
      <c r="CB1256" s="3">
        <f>IF(ROUND(Wapato_Inventory[[#This Row],[adj_land]]*Lookups!$H$48,-2)&lt;Wapato_Inventory[[#This Row],[min_land]],Wapato_Inventory[[#This Row],[min_land]],ROUND(Wapato_Inventory[[#This Row],[adj_land]]*Lookups!$H$48,-2))</f>
        <v>26800</v>
      </c>
      <c r="CC125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56" s="3">
        <f>ROUND(Wapato_Inventory[[#This Row],[det_value]]*Lookups!$H$48,-2)</f>
        <v>0</v>
      </c>
      <c r="CE1256" s="3">
        <f>Wapato_Inventory[[#This Row],[final_res]]+Wapato_Inventory[[#This Row],[final_det]]</f>
        <v>0</v>
      </c>
      <c r="CF1256" s="3">
        <f>Wapato_Inventory[[#This Row],[crop_value]]+Wapato_Inventory[[#This Row],[final_land]]+Wapato_Inventory[[#This Row],[final_imp]]</f>
        <v>26800</v>
      </c>
      <c r="CH1256" t="str">
        <f t="shared" si="19"/>
        <v>update valuation set market_land =26800, market_bldg=0, market_total =26800, market_mdno =405, market_date ='9/10/2023' where link_id = (select link_id from parcel where parcel_year = '2024' and parcel_id = '19111032404');</v>
      </c>
    </row>
    <row r="1257" spans="1:86" x14ac:dyDescent="0.25">
      <c r="A1257">
        <v>19111033013</v>
      </c>
      <c r="B1257">
        <v>16.420000000000002</v>
      </c>
      <c r="C1257">
        <v>715346</v>
      </c>
      <c r="D1257" t="s">
        <v>144</v>
      </c>
      <c r="E1257" t="s">
        <v>54</v>
      </c>
      <c r="F1257" t="s">
        <v>54</v>
      </c>
      <c r="G1257">
        <v>3</v>
      </c>
      <c r="H1257" t="s">
        <v>177</v>
      </c>
      <c r="I1257">
        <v>0</v>
      </c>
      <c r="J1257">
        <v>103000</v>
      </c>
      <c r="K1257">
        <v>16.420000000000002</v>
      </c>
      <c r="L1257">
        <f>IF(Wapato_Inventory[[#This Row],[parcel_acres]]-Wapato_Inventory[[#This Row],[non_valued_acres]] =0,0,LN(Wapato_Inventory[[#This Row],[parcel_acres]]-Wapato_Inventory[[#This Row],[non_valued_acres]]))</f>
        <v>2.7985001040242823</v>
      </c>
      <c r="M1257">
        <v>0</v>
      </c>
      <c r="N1257">
        <v>0</v>
      </c>
      <c r="O1257">
        <v>0</v>
      </c>
      <c r="P1257">
        <v>27904.037</v>
      </c>
      <c r="Q1257">
        <v>74398</v>
      </c>
      <c r="R1257" s="3">
        <f>(Wapato_Inventory[[#This Row],[ln_acres]]*Wapato_Inventory[[#This Row],[coeff]])+Wapato_Inventory[[#This Row],[const]]</f>
        <v>152487.45044719742</v>
      </c>
      <c r="AY1257">
        <v>0</v>
      </c>
      <c r="AZ1257">
        <v>0</v>
      </c>
      <c r="BE1257">
        <v>0</v>
      </c>
      <c r="BF1257">
        <v>15000</v>
      </c>
      <c r="BG1257">
        <v>0</v>
      </c>
      <c r="BH1257" s="7">
        <f>ROUND(Wapato_Inventory[[#This Row],[detatched_value]]*Lookups!$B$22*Lookups!$H$48,-2)</f>
        <v>0</v>
      </c>
      <c r="BI1257" s="7">
        <f>ROUND(((Wapato_Inventory[[#This Row],[land_extract]]*Lookups!$B$3) +(Lookups!$B$2*0.5))*Lookups!$H$48,-2)</f>
        <v>65800</v>
      </c>
      <c r="BJ1257" s="7">
        <f>IF(Wapato_Inventory[[#This Row],[bldg_style]]="",0,Lookups!$B$2*0.5)</f>
        <v>0</v>
      </c>
      <c r="BK1257" s="7">
        <f>_xlfn.IFNA(VLOOKUP(Wapato_Inventory[[#This Row],[quality]],Lookups!$H$2:$J$14,3,FALSE),0)</f>
        <v>0</v>
      </c>
      <c r="BL1257" s="7">
        <f>_xlfn.IFNA(VLOOKUP(Wapato_Inventory[[#This Row],[condition]],Lookups!$H$17:$J$24,3,FALSE),0)</f>
        <v>0</v>
      </c>
      <c r="BM1257" s="7">
        <f>Wapato_Inventory[[#This Row],[Age]]*Lookups!$B$16</f>
        <v>0</v>
      </c>
      <c r="BN1257" s="7">
        <f>Wapato_Inventory[[#This Row],[Main Floor]]*Lookups!$B$17</f>
        <v>0</v>
      </c>
      <c r="BO1257" s="7">
        <f>Wapato_Inventory[[#This Row],[Upper Floor]]*Lookups!$B$18</f>
        <v>0</v>
      </c>
      <c r="BP1257" s="7">
        <f>Wapato_Inventory[[#This Row],[Fin BSMT]]*Lookups!$B$19</f>
        <v>0</v>
      </c>
      <c r="BQ1257" s="7">
        <f>(Wapato_Inventory[[#This Row],[att_gar]]+Wapato_Inventory[[#This Row],[blt_gar]])*Lookups!$B$20</f>
        <v>0</v>
      </c>
      <c r="BR1257" s="7">
        <f>Wapato_Inventory[[#This Row],[Patio]]*Lookups!$B$21</f>
        <v>0</v>
      </c>
      <c r="BS1257" s="7">
        <f>SUM(Wapato_Inventory[[#This Row],[intercept]:[patio_value]])*Wapato_Inventory[[#This Row],[res_pct]]</f>
        <v>0</v>
      </c>
      <c r="BT1257" s="7">
        <f>Wapato_Inventory[[#This Row],[land_value]]</f>
        <v>65800</v>
      </c>
      <c r="BU1257" s="2">
        <f>_xlfn.IFNA(VLOOKUP(Wapato_Inventory[[#This Row],[quality]],Lookups!$A$28:$C$37,3,FALSE),1)</f>
        <v>1</v>
      </c>
      <c r="BV1257" s="2">
        <f>_xlfn.IFNA(VLOOKUP(Wapato_Inventory[[#This Row],[condition]],Lookups!$A$41:$C$48,3,FALSE),1)</f>
        <v>1</v>
      </c>
      <c r="BW1257" s="2">
        <f>IF(Wapato_Inventory[[#This Row],[decade]]="",1,_xlfn.IFNA(VLOOKUP(Wapato_Inventory[[#This Row],[decade]],Lookups!$F$28:$H$45,3,FALSE),1))</f>
        <v>1</v>
      </c>
      <c r="BX1257" s="2">
        <f>_xlfn.IFNA(VLOOKUP(Wapato_Inventory[[#This Row],[living_area_range]],Lookups!$K$28:$M$37,3,FALSE),1)</f>
        <v>1</v>
      </c>
      <c r="BY1257" s="2">
        <f>AVERAGE(Wapato_Inventory[[#This Row],[qual_adj]:[range_adj]])</f>
        <v>1</v>
      </c>
      <c r="BZ1257" s="7">
        <f>(Wapato_Inventory[[#This Row],[sum_land]]-IF(Wapato_Inventory[[#This Row],[no_utilities]]=1,12000,0))/IF(Wapato_Inventory[[#This Row],[unbuildable]]=1,2,1)</f>
        <v>65800</v>
      </c>
      <c r="CA1257" s="7">
        <f>Wapato_Inventory[[#This Row],[pre_res]]*Wapato_Inventory[[#This Row],[overall_adj]]</f>
        <v>0</v>
      </c>
      <c r="CB1257" s="3">
        <f>IF(ROUND(Wapato_Inventory[[#This Row],[adj_land]]*Lookups!$H$48,-2)&lt;Wapato_Inventory[[#This Row],[min_land]],Wapato_Inventory[[#This Row],[min_land]],ROUND(Wapato_Inventory[[#This Row],[adj_land]]*Lookups!$H$48,-2))</f>
        <v>62500</v>
      </c>
      <c r="CC125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57" s="3">
        <f>ROUND(Wapato_Inventory[[#This Row],[det_value]]*Lookups!$H$48,-2)</f>
        <v>0</v>
      </c>
      <c r="CE1257" s="3">
        <f>Wapato_Inventory[[#This Row],[final_res]]+Wapato_Inventory[[#This Row],[final_det]]</f>
        <v>0</v>
      </c>
      <c r="CF1257" s="3">
        <f>Wapato_Inventory[[#This Row],[crop_value]]+Wapato_Inventory[[#This Row],[final_land]]+Wapato_Inventory[[#This Row],[final_imp]]</f>
        <v>62500</v>
      </c>
      <c r="CH1257" t="str">
        <f t="shared" si="19"/>
        <v>update valuation set market_land =62500, market_bldg=0, market_total =62500, market_mdno =405, market_date ='9/10/2023' where link_id = (select link_id from parcel where parcel_year = '2024' and parcel_id = '19111033013');</v>
      </c>
    </row>
    <row r="1258" spans="1:86" x14ac:dyDescent="0.25">
      <c r="A1258">
        <v>19111034400</v>
      </c>
      <c r="B1258">
        <v>0.43</v>
      </c>
      <c r="C1258">
        <v>18865</v>
      </c>
      <c r="D1258" t="s">
        <v>144</v>
      </c>
      <c r="E1258" t="s">
        <v>54</v>
      </c>
      <c r="F1258" t="s">
        <v>54</v>
      </c>
      <c r="G1258">
        <v>3</v>
      </c>
      <c r="H1258" t="s">
        <v>55</v>
      </c>
      <c r="I1258">
        <v>0</v>
      </c>
      <c r="J1258">
        <v>5000</v>
      </c>
      <c r="K1258">
        <v>0.43</v>
      </c>
      <c r="L1258">
        <f>IF(Wapato_Inventory[[#This Row],[parcel_acres]]-Wapato_Inventory[[#This Row],[non_valued_acres]] =0,0,LN(Wapato_Inventory[[#This Row],[parcel_acres]]-Wapato_Inventory[[#This Row],[non_valued_acres]]))</f>
        <v>-0.84397007029452897</v>
      </c>
      <c r="M1258">
        <v>0</v>
      </c>
      <c r="N1258">
        <v>1</v>
      </c>
      <c r="O1258">
        <v>0</v>
      </c>
      <c r="P1258">
        <v>27904.037</v>
      </c>
      <c r="Q1258">
        <v>74398</v>
      </c>
      <c r="R1258" s="3">
        <f>(Wapato_Inventory[[#This Row],[ln_acres]]*Wapato_Inventory[[#This Row],[coeff]])+Wapato_Inventory[[#This Row],[const]]</f>
        <v>50847.827931608859</v>
      </c>
      <c r="AY1258">
        <v>0</v>
      </c>
      <c r="AZ1258">
        <v>0</v>
      </c>
      <c r="BE1258">
        <v>0</v>
      </c>
      <c r="BF1258">
        <v>12000</v>
      </c>
      <c r="BG1258">
        <v>0</v>
      </c>
      <c r="BH1258" s="7">
        <f>ROUND(Wapato_Inventory[[#This Row],[detatched_value]]*Lookups!$B$22*Lookups!$H$48,-2)</f>
        <v>0</v>
      </c>
      <c r="BI1258" s="7">
        <f>ROUND(((Wapato_Inventory[[#This Row],[land_extract]]*Lookups!$B$3) +(Lookups!$B$2*0.5))*Lookups!$H$48,-2)</f>
        <v>56000</v>
      </c>
      <c r="BJ1258" s="7">
        <f>IF(Wapato_Inventory[[#This Row],[bldg_style]]="",0,Lookups!$B$2*0.5)</f>
        <v>0</v>
      </c>
      <c r="BK1258" s="7">
        <f>_xlfn.IFNA(VLOOKUP(Wapato_Inventory[[#This Row],[quality]],Lookups!$H$2:$J$14,3,FALSE),0)</f>
        <v>0</v>
      </c>
      <c r="BL1258" s="7">
        <f>_xlfn.IFNA(VLOOKUP(Wapato_Inventory[[#This Row],[condition]],Lookups!$H$17:$J$24,3,FALSE),0)</f>
        <v>0</v>
      </c>
      <c r="BM1258" s="7">
        <f>Wapato_Inventory[[#This Row],[Age]]*Lookups!$B$16</f>
        <v>0</v>
      </c>
      <c r="BN1258" s="7">
        <f>Wapato_Inventory[[#This Row],[Main Floor]]*Lookups!$B$17</f>
        <v>0</v>
      </c>
      <c r="BO1258" s="7">
        <f>Wapato_Inventory[[#This Row],[Upper Floor]]*Lookups!$B$18</f>
        <v>0</v>
      </c>
      <c r="BP1258" s="7">
        <f>Wapato_Inventory[[#This Row],[Fin BSMT]]*Lookups!$B$19</f>
        <v>0</v>
      </c>
      <c r="BQ1258" s="7">
        <f>(Wapato_Inventory[[#This Row],[att_gar]]+Wapato_Inventory[[#This Row],[blt_gar]])*Lookups!$B$20</f>
        <v>0</v>
      </c>
      <c r="BR1258" s="7">
        <f>Wapato_Inventory[[#This Row],[Patio]]*Lookups!$B$21</f>
        <v>0</v>
      </c>
      <c r="BS1258" s="7">
        <f>SUM(Wapato_Inventory[[#This Row],[intercept]:[patio_value]])*Wapato_Inventory[[#This Row],[res_pct]]</f>
        <v>0</v>
      </c>
      <c r="BT1258" s="7">
        <f>Wapato_Inventory[[#This Row],[land_value]]</f>
        <v>56000</v>
      </c>
      <c r="BU1258" s="2">
        <f>_xlfn.IFNA(VLOOKUP(Wapato_Inventory[[#This Row],[quality]],Lookups!$A$28:$C$37,3,FALSE),1)</f>
        <v>1</v>
      </c>
      <c r="BV1258" s="2">
        <f>_xlfn.IFNA(VLOOKUP(Wapato_Inventory[[#This Row],[condition]],Lookups!$A$41:$C$48,3,FALSE),1)</f>
        <v>1</v>
      </c>
      <c r="BW1258" s="2">
        <f>IF(Wapato_Inventory[[#This Row],[decade]]="",1,_xlfn.IFNA(VLOOKUP(Wapato_Inventory[[#This Row],[decade]],Lookups!$F$28:$H$45,3,FALSE),1))</f>
        <v>1</v>
      </c>
      <c r="BX1258" s="2">
        <f>_xlfn.IFNA(VLOOKUP(Wapato_Inventory[[#This Row],[living_area_range]],Lookups!$K$28:$M$37,3,FALSE),1)</f>
        <v>1</v>
      </c>
      <c r="BY1258" s="2">
        <f>AVERAGE(Wapato_Inventory[[#This Row],[qual_adj]:[range_adj]])</f>
        <v>1</v>
      </c>
      <c r="BZ1258" s="7">
        <f>(Wapato_Inventory[[#This Row],[sum_land]]-IF(Wapato_Inventory[[#This Row],[no_utilities]]=1,12000,0))/IF(Wapato_Inventory[[#This Row],[unbuildable]]=1,2,1)</f>
        <v>28000</v>
      </c>
      <c r="CA1258" s="7">
        <f>Wapato_Inventory[[#This Row],[pre_res]]*Wapato_Inventory[[#This Row],[overall_adj]]</f>
        <v>0</v>
      </c>
      <c r="CB1258" s="3">
        <f>IF(ROUND(Wapato_Inventory[[#This Row],[adj_land]]*Lookups!$H$48,-2)&lt;Wapato_Inventory[[#This Row],[min_land]],Wapato_Inventory[[#This Row],[min_land]],ROUND(Wapato_Inventory[[#This Row],[adj_land]]*Lookups!$H$48,-2))</f>
        <v>26600</v>
      </c>
      <c r="CC125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58" s="3">
        <f>ROUND(Wapato_Inventory[[#This Row],[det_value]]*Lookups!$H$48,-2)</f>
        <v>0</v>
      </c>
      <c r="CE1258" s="3">
        <f>Wapato_Inventory[[#This Row],[final_res]]+Wapato_Inventory[[#This Row],[final_det]]</f>
        <v>0</v>
      </c>
      <c r="CF1258" s="3">
        <f>Wapato_Inventory[[#This Row],[crop_value]]+Wapato_Inventory[[#This Row],[final_land]]+Wapato_Inventory[[#This Row],[final_imp]]</f>
        <v>26600</v>
      </c>
      <c r="CH1258" t="str">
        <f t="shared" si="19"/>
        <v>update valuation set market_land =26600, market_bldg=0, market_total =26600, market_mdno =405, market_date ='9/10/2023' where link_id = (select link_id from parcel where parcel_year = '2024' and parcel_id = '19111034400');</v>
      </c>
    </row>
    <row r="1259" spans="1:86" x14ac:dyDescent="0.25">
      <c r="A1259">
        <v>19111034401</v>
      </c>
      <c r="B1259">
        <v>0.44</v>
      </c>
      <c r="C1259">
        <v>19232</v>
      </c>
      <c r="D1259" t="s">
        <v>144</v>
      </c>
      <c r="E1259" t="s">
        <v>54</v>
      </c>
      <c r="F1259" t="s">
        <v>54</v>
      </c>
      <c r="G1259">
        <v>3</v>
      </c>
      <c r="H1259" t="s">
        <v>55</v>
      </c>
      <c r="I1259">
        <v>0</v>
      </c>
      <c r="J1259">
        <v>41200</v>
      </c>
      <c r="K1259">
        <v>0.44</v>
      </c>
      <c r="L1259">
        <f>IF(Wapato_Inventory[[#This Row],[parcel_acres]]-Wapato_Inventory[[#This Row],[non_valued_acres]] =0,0,LN(Wapato_Inventory[[#This Row],[parcel_acres]]-Wapato_Inventory[[#This Row],[non_valued_acres]]))</f>
        <v>-0.82098055206983023</v>
      </c>
      <c r="M1259">
        <v>0</v>
      </c>
      <c r="N1259">
        <v>0</v>
      </c>
      <c r="O1259">
        <v>0</v>
      </c>
      <c r="P1259">
        <v>27904.037</v>
      </c>
      <c r="Q1259">
        <v>74398</v>
      </c>
      <c r="R1259" s="3">
        <f>(Wapato_Inventory[[#This Row],[ln_acres]]*Wapato_Inventory[[#This Row],[coeff]])+Wapato_Inventory[[#This Row],[const]]</f>
        <v>51489.32829876303</v>
      </c>
      <c r="AY1259">
        <v>0</v>
      </c>
      <c r="AZ1259">
        <v>0</v>
      </c>
      <c r="BE1259">
        <v>0</v>
      </c>
      <c r="BF1259">
        <v>15000</v>
      </c>
      <c r="BG1259">
        <v>0</v>
      </c>
      <c r="BH1259" s="7">
        <f>ROUND(Wapato_Inventory[[#This Row],[detatched_value]]*Lookups!$B$22*Lookups!$H$48,-2)</f>
        <v>0</v>
      </c>
      <c r="BI1259" s="7">
        <f>ROUND(((Wapato_Inventory[[#This Row],[land_extract]]*Lookups!$B$3) +(Lookups!$B$2*0.5))*Lookups!$H$48,-2)</f>
        <v>56000</v>
      </c>
      <c r="BJ1259" s="7">
        <f>IF(Wapato_Inventory[[#This Row],[bldg_style]]="",0,Lookups!$B$2*0.5)</f>
        <v>0</v>
      </c>
      <c r="BK1259" s="7">
        <f>_xlfn.IFNA(VLOOKUP(Wapato_Inventory[[#This Row],[quality]],Lookups!$H$2:$J$14,3,FALSE),0)</f>
        <v>0</v>
      </c>
      <c r="BL1259" s="7">
        <f>_xlfn.IFNA(VLOOKUP(Wapato_Inventory[[#This Row],[condition]],Lookups!$H$17:$J$24,3,FALSE),0)</f>
        <v>0</v>
      </c>
      <c r="BM1259" s="7">
        <f>Wapato_Inventory[[#This Row],[Age]]*Lookups!$B$16</f>
        <v>0</v>
      </c>
      <c r="BN1259" s="7">
        <f>Wapato_Inventory[[#This Row],[Main Floor]]*Lookups!$B$17</f>
        <v>0</v>
      </c>
      <c r="BO1259" s="7">
        <f>Wapato_Inventory[[#This Row],[Upper Floor]]*Lookups!$B$18</f>
        <v>0</v>
      </c>
      <c r="BP1259" s="7">
        <f>Wapato_Inventory[[#This Row],[Fin BSMT]]*Lookups!$B$19</f>
        <v>0</v>
      </c>
      <c r="BQ1259" s="7">
        <f>(Wapato_Inventory[[#This Row],[att_gar]]+Wapato_Inventory[[#This Row],[blt_gar]])*Lookups!$B$20</f>
        <v>0</v>
      </c>
      <c r="BR1259" s="7">
        <f>Wapato_Inventory[[#This Row],[Patio]]*Lookups!$B$21</f>
        <v>0</v>
      </c>
      <c r="BS1259" s="7">
        <f>SUM(Wapato_Inventory[[#This Row],[intercept]:[patio_value]])*Wapato_Inventory[[#This Row],[res_pct]]</f>
        <v>0</v>
      </c>
      <c r="BT1259" s="7">
        <f>Wapato_Inventory[[#This Row],[land_value]]</f>
        <v>56000</v>
      </c>
      <c r="BU1259" s="2">
        <f>_xlfn.IFNA(VLOOKUP(Wapato_Inventory[[#This Row],[quality]],Lookups!$A$28:$C$37,3,FALSE),1)</f>
        <v>1</v>
      </c>
      <c r="BV1259" s="2">
        <f>_xlfn.IFNA(VLOOKUP(Wapato_Inventory[[#This Row],[condition]],Lookups!$A$41:$C$48,3,FALSE),1)</f>
        <v>1</v>
      </c>
      <c r="BW1259" s="2">
        <f>IF(Wapato_Inventory[[#This Row],[decade]]="",1,_xlfn.IFNA(VLOOKUP(Wapato_Inventory[[#This Row],[decade]],Lookups!$F$28:$H$45,3,FALSE),1))</f>
        <v>1</v>
      </c>
      <c r="BX1259" s="2">
        <f>_xlfn.IFNA(VLOOKUP(Wapato_Inventory[[#This Row],[living_area_range]],Lookups!$K$28:$M$37,3,FALSE),1)</f>
        <v>1</v>
      </c>
      <c r="BY1259" s="2">
        <f>AVERAGE(Wapato_Inventory[[#This Row],[qual_adj]:[range_adj]])</f>
        <v>1</v>
      </c>
      <c r="BZ1259" s="7">
        <f>(Wapato_Inventory[[#This Row],[sum_land]]-IF(Wapato_Inventory[[#This Row],[no_utilities]]=1,12000,0))/IF(Wapato_Inventory[[#This Row],[unbuildable]]=1,2,1)</f>
        <v>56000</v>
      </c>
      <c r="CA1259" s="7">
        <f>Wapato_Inventory[[#This Row],[pre_res]]*Wapato_Inventory[[#This Row],[overall_adj]]</f>
        <v>0</v>
      </c>
      <c r="CB1259" s="3">
        <f>IF(ROUND(Wapato_Inventory[[#This Row],[adj_land]]*Lookups!$H$48,-2)&lt;Wapato_Inventory[[#This Row],[min_land]],Wapato_Inventory[[#This Row],[min_land]],ROUND(Wapato_Inventory[[#This Row],[adj_land]]*Lookups!$H$48,-2))</f>
        <v>53200</v>
      </c>
      <c r="CC125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59" s="3">
        <f>ROUND(Wapato_Inventory[[#This Row],[det_value]]*Lookups!$H$48,-2)</f>
        <v>0</v>
      </c>
      <c r="CE1259" s="3">
        <f>Wapato_Inventory[[#This Row],[final_res]]+Wapato_Inventory[[#This Row],[final_det]]</f>
        <v>0</v>
      </c>
      <c r="CF1259" s="3">
        <f>Wapato_Inventory[[#This Row],[crop_value]]+Wapato_Inventory[[#This Row],[final_land]]+Wapato_Inventory[[#This Row],[final_imp]]</f>
        <v>53200</v>
      </c>
      <c r="CH1259" t="str">
        <f t="shared" si="19"/>
        <v>update valuation set market_land =53200, market_bldg=0, market_total =53200, market_mdno =405, market_date ='9/10/2023' where link_id = (select link_id from parcel where parcel_year = '2024' and parcel_id = '19111034401');</v>
      </c>
    </row>
    <row r="1260" spans="1:86" x14ac:dyDescent="0.25">
      <c r="A1260">
        <v>19111034417</v>
      </c>
      <c r="B1260">
        <v>0.13</v>
      </c>
      <c r="C1260">
        <v>5687</v>
      </c>
      <c r="D1260">
        <v>0.13</v>
      </c>
      <c r="E1260" t="s">
        <v>54</v>
      </c>
      <c r="F1260" t="s">
        <v>54</v>
      </c>
      <c r="G1260">
        <v>3</v>
      </c>
      <c r="H1260" t="s">
        <v>55</v>
      </c>
      <c r="I1260">
        <v>0</v>
      </c>
      <c r="J1260">
        <v>32300</v>
      </c>
      <c r="K1260">
        <v>0.13</v>
      </c>
      <c r="L1260">
        <f>IF(Wapato_Inventory[[#This Row],[parcel_acres]]-Wapato_Inventory[[#This Row],[non_valued_acres]] =0,0,LN(Wapato_Inventory[[#This Row],[parcel_acres]]-Wapato_Inventory[[#This Row],[non_valued_acres]]))</f>
        <v>-2.0402208285265546</v>
      </c>
      <c r="M1260">
        <v>0</v>
      </c>
      <c r="N1260">
        <v>1</v>
      </c>
      <c r="O1260">
        <v>0</v>
      </c>
      <c r="P1260">
        <v>27904.037</v>
      </c>
      <c r="Q1260">
        <v>74398</v>
      </c>
      <c r="R1260" s="3">
        <f>(Wapato_Inventory[[#This Row],[ln_acres]]*Wapato_Inventory[[#This Row],[coeff]])+Wapato_Inventory[[#This Row],[const]]</f>
        <v>17467.602512624362</v>
      </c>
      <c r="AY1260">
        <v>0</v>
      </c>
      <c r="AZ1260">
        <v>0</v>
      </c>
      <c r="BE1260">
        <v>0</v>
      </c>
      <c r="BF1260">
        <v>12000</v>
      </c>
      <c r="BG1260">
        <v>0</v>
      </c>
      <c r="BH1260" s="7">
        <f>ROUND(Wapato_Inventory[[#This Row],[detatched_value]]*Lookups!$B$22*Lookups!$H$48,-2)</f>
        <v>0</v>
      </c>
      <c r="BI1260" s="7">
        <f>ROUND(((Wapato_Inventory[[#This Row],[land_extract]]*Lookups!$B$3) +(Lookups!$B$2*0.5))*Lookups!$H$48,-2)</f>
        <v>52800</v>
      </c>
      <c r="BJ1260" s="7">
        <f>IF(Wapato_Inventory[[#This Row],[bldg_style]]="",0,Lookups!$B$2*0.5)</f>
        <v>0</v>
      </c>
      <c r="BK1260" s="7">
        <f>_xlfn.IFNA(VLOOKUP(Wapato_Inventory[[#This Row],[quality]],Lookups!$H$2:$J$14,3,FALSE),0)</f>
        <v>0</v>
      </c>
      <c r="BL1260" s="7">
        <f>_xlfn.IFNA(VLOOKUP(Wapato_Inventory[[#This Row],[condition]],Lookups!$H$17:$J$24,3,FALSE),0)</f>
        <v>0</v>
      </c>
      <c r="BM1260" s="7">
        <f>Wapato_Inventory[[#This Row],[Age]]*Lookups!$B$16</f>
        <v>0</v>
      </c>
      <c r="BN1260" s="7">
        <f>Wapato_Inventory[[#This Row],[Main Floor]]*Lookups!$B$17</f>
        <v>0</v>
      </c>
      <c r="BO1260" s="7">
        <f>Wapato_Inventory[[#This Row],[Upper Floor]]*Lookups!$B$18</f>
        <v>0</v>
      </c>
      <c r="BP1260" s="7">
        <f>Wapato_Inventory[[#This Row],[Fin BSMT]]*Lookups!$B$19</f>
        <v>0</v>
      </c>
      <c r="BQ1260" s="7">
        <f>(Wapato_Inventory[[#This Row],[att_gar]]+Wapato_Inventory[[#This Row],[blt_gar]])*Lookups!$B$20</f>
        <v>0</v>
      </c>
      <c r="BR1260" s="7">
        <f>Wapato_Inventory[[#This Row],[Patio]]*Lookups!$B$21</f>
        <v>0</v>
      </c>
      <c r="BS1260" s="7">
        <f>SUM(Wapato_Inventory[[#This Row],[intercept]:[patio_value]])*Wapato_Inventory[[#This Row],[res_pct]]</f>
        <v>0</v>
      </c>
      <c r="BT1260" s="7">
        <f>Wapato_Inventory[[#This Row],[land_value]]</f>
        <v>52800</v>
      </c>
      <c r="BU1260" s="2">
        <f>_xlfn.IFNA(VLOOKUP(Wapato_Inventory[[#This Row],[quality]],Lookups!$A$28:$C$37,3,FALSE),1)</f>
        <v>1</v>
      </c>
      <c r="BV1260" s="2">
        <f>_xlfn.IFNA(VLOOKUP(Wapato_Inventory[[#This Row],[condition]],Lookups!$A$41:$C$48,3,FALSE),1)</f>
        <v>1</v>
      </c>
      <c r="BW1260" s="2">
        <f>IF(Wapato_Inventory[[#This Row],[decade]]="",1,_xlfn.IFNA(VLOOKUP(Wapato_Inventory[[#This Row],[decade]],Lookups!$F$28:$H$45,3,FALSE),1))</f>
        <v>1</v>
      </c>
      <c r="BX1260" s="2">
        <f>_xlfn.IFNA(VLOOKUP(Wapato_Inventory[[#This Row],[living_area_range]],Lookups!$K$28:$M$37,3,FALSE),1)</f>
        <v>1</v>
      </c>
      <c r="BY1260" s="2">
        <f>AVERAGE(Wapato_Inventory[[#This Row],[qual_adj]:[range_adj]])</f>
        <v>1</v>
      </c>
      <c r="BZ1260" s="7">
        <f>(Wapato_Inventory[[#This Row],[sum_land]]-IF(Wapato_Inventory[[#This Row],[no_utilities]]=1,12000,0))/IF(Wapato_Inventory[[#This Row],[unbuildable]]=1,2,1)</f>
        <v>26400</v>
      </c>
      <c r="CA1260" s="7">
        <f>Wapato_Inventory[[#This Row],[pre_res]]*Wapato_Inventory[[#This Row],[overall_adj]]</f>
        <v>0</v>
      </c>
      <c r="CB1260" s="3">
        <f>IF(ROUND(Wapato_Inventory[[#This Row],[adj_land]]*Lookups!$H$48,-2)&lt;Wapato_Inventory[[#This Row],[min_land]],Wapato_Inventory[[#This Row],[min_land]],ROUND(Wapato_Inventory[[#This Row],[adj_land]]*Lookups!$H$48,-2))</f>
        <v>25100</v>
      </c>
      <c r="CC126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60" s="3">
        <f>ROUND(Wapato_Inventory[[#This Row],[det_value]]*Lookups!$H$48,-2)</f>
        <v>0</v>
      </c>
      <c r="CE1260" s="3">
        <f>Wapato_Inventory[[#This Row],[final_res]]+Wapato_Inventory[[#This Row],[final_det]]</f>
        <v>0</v>
      </c>
      <c r="CF1260" s="3">
        <f>Wapato_Inventory[[#This Row],[crop_value]]+Wapato_Inventory[[#This Row],[final_land]]+Wapato_Inventory[[#This Row],[final_imp]]</f>
        <v>25100</v>
      </c>
      <c r="CH1260" t="str">
        <f t="shared" si="19"/>
        <v>update valuation set market_land =25100, market_bldg=0, market_total =25100, market_mdno =405, market_date ='9/10/2023' where link_id = (select link_id from parcel where parcel_year = '2024' and parcel_id = '19111034417');</v>
      </c>
    </row>
    <row r="1261" spans="1:86" x14ac:dyDescent="0.25">
      <c r="A1261">
        <v>19111034420</v>
      </c>
      <c r="B1261">
        <v>0.3</v>
      </c>
      <c r="C1261">
        <v>13078</v>
      </c>
      <c r="D1261" t="s">
        <v>144</v>
      </c>
      <c r="E1261" t="s">
        <v>54</v>
      </c>
      <c r="F1261" t="s">
        <v>54</v>
      </c>
      <c r="G1261">
        <v>3</v>
      </c>
      <c r="H1261" t="s">
        <v>55</v>
      </c>
      <c r="I1261">
        <v>0</v>
      </c>
      <c r="J1261">
        <v>38400</v>
      </c>
      <c r="K1261">
        <v>0.3</v>
      </c>
      <c r="L1261">
        <f>IF(Wapato_Inventory[[#This Row],[parcel_acres]]-Wapato_Inventory[[#This Row],[non_valued_acres]] =0,0,LN(Wapato_Inventory[[#This Row],[parcel_acres]]-Wapato_Inventory[[#This Row],[non_valued_acres]]))</f>
        <v>-1.2039728043259361</v>
      </c>
      <c r="M1261">
        <v>0</v>
      </c>
      <c r="N1261">
        <v>0</v>
      </c>
      <c r="O1261">
        <v>0</v>
      </c>
      <c r="P1261">
        <v>27904.037</v>
      </c>
      <c r="Q1261">
        <v>74398</v>
      </c>
      <c r="R1261" s="3">
        <f>(Wapato_Inventory[[#This Row],[ln_acres]]*Wapato_Inventory[[#This Row],[coeff]])+Wapato_Inventory[[#This Row],[const]]</f>
        <v>40802.298321095317</v>
      </c>
      <c r="AY1261">
        <v>0</v>
      </c>
      <c r="AZ1261">
        <v>0</v>
      </c>
      <c r="BE1261">
        <v>0</v>
      </c>
      <c r="BF1261">
        <v>15000</v>
      </c>
      <c r="BG1261">
        <v>0</v>
      </c>
      <c r="BH1261" s="7">
        <f>ROUND(Wapato_Inventory[[#This Row],[detatched_value]]*Lookups!$B$22*Lookups!$H$48,-2)</f>
        <v>0</v>
      </c>
      <c r="BI1261" s="7">
        <f>ROUND(((Wapato_Inventory[[#This Row],[land_extract]]*Lookups!$B$3) +(Lookups!$B$2*0.5))*Lookups!$H$48,-2)</f>
        <v>55000</v>
      </c>
      <c r="BJ1261" s="7">
        <f>IF(Wapato_Inventory[[#This Row],[bldg_style]]="",0,Lookups!$B$2*0.5)</f>
        <v>0</v>
      </c>
      <c r="BK1261" s="7">
        <f>_xlfn.IFNA(VLOOKUP(Wapato_Inventory[[#This Row],[quality]],Lookups!$H$2:$J$14,3,FALSE),0)</f>
        <v>0</v>
      </c>
      <c r="BL1261" s="7">
        <f>_xlfn.IFNA(VLOOKUP(Wapato_Inventory[[#This Row],[condition]],Lookups!$H$17:$J$24,3,FALSE),0)</f>
        <v>0</v>
      </c>
      <c r="BM1261" s="7">
        <f>Wapato_Inventory[[#This Row],[Age]]*Lookups!$B$16</f>
        <v>0</v>
      </c>
      <c r="BN1261" s="7">
        <f>Wapato_Inventory[[#This Row],[Main Floor]]*Lookups!$B$17</f>
        <v>0</v>
      </c>
      <c r="BO1261" s="7">
        <f>Wapato_Inventory[[#This Row],[Upper Floor]]*Lookups!$B$18</f>
        <v>0</v>
      </c>
      <c r="BP1261" s="7">
        <f>Wapato_Inventory[[#This Row],[Fin BSMT]]*Lookups!$B$19</f>
        <v>0</v>
      </c>
      <c r="BQ1261" s="7">
        <f>(Wapato_Inventory[[#This Row],[att_gar]]+Wapato_Inventory[[#This Row],[blt_gar]])*Lookups!$B$20</f>
        <v>0</v>
      </c>
      <c r="BR1261" s="7">
        <f>Wapato_Inventory[[#This Row],[Patio]]*Lookups!$B$21</f>
        <v>0</v>
      </c>
      <c r="BS1261" s="7">
        <f>SUM(Wapato_Inventory[[#This Row],[intercept]:[patio_value]])*Wapato_Inventory[[#This Row],[res_pct]]</f>
        <v>0</v>
      </c>
      <c r="BT1261" s="7">
        <f>Wapato_Inventory[[#This Row],[land_value]]</f>
        <v>55000</v>
      </c>
      <c r="BU1261" s="2">
        <f>_xlfn.IFNA(VLOOKUP(Wapato_Inventory[[#This Row],[quality]],Lookups!$A$28:$C$37,3,FALSE),1)</f>
        <v>1</v>
      </c>
      <c r="BV1261" s="2">
        <f>_xlfn.IFNA(VLOOKUP(Wapato_Inventory[[#This Row],[condition]],Lookups!$A$41:$C$48,3,FALSE),1)</f>
        <v>1</v>
      </c>
      <c r="BW1261" s="2">
        <f>IF(Wapato_Inventory[[#This Row],[decade]]="",1,_xlfn.IFNA(VLOOKUP(Wapato_Inventory[[#This Row],[decade]],Lookups!$F$28:$H$45,3,FALSE),1))</f>
        <v>1</v>
      </c>
      <c r="BX1261" s="2">
        <f>_xlfn.IFNA(VLOOKUP(Wapato_Inventory[[#This Row],[living_area_range]],Lookups!$K$28:$M$37,3,FALSE),1)</f>
        <v>1</v>
      </c>
      <c r="BY1261" s="2">
        <f>AVERAGE(Wapato_Inventory[[#This Row],[qual_adj]:[range_adj]])</f>
        <v>1</v>
      </c>
      <c r="BZ1261" s="7">
        <f>(Wapato_Inventory[[#This Row],[sum_land]]-IF(Wapato_Inventory[[#This Row],[no_utilities]]=1,12000,0))/IF(Wapato_Inventory[[#This Row],[unbuildable]]=1,2,1)</f>
        <v>55000</v>
      </c>
      <c r="CA1261" s="7">
        <f>Wapato_Inventory[[#This Row],[pre_res]]*Wapato_Inventory[[#This Row],[overall_adj]]</f>
        <v>0</v>
      </c>
      <c r="CB1261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126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61" s="3">
        <f>ROUND(Wapato_Inventory[[#This Row],[det_value]]*Lookups!$H$48,-2)</f>
        <v>0</v>
      </c>
      <c r="CE1261" s="3">
        <f>Wapato_Inventory[[#This Row],[final_res]]+Wapato_Inventory[[#This Row],[final_det]]</f>
        <v>0</v>
      </c>
      <c r="CF1261" s="3">
        <f>Wapato_Inventory[[#This Row],[crop_value]]+Wapato_Inventory[[#This Row],[final_land]]+Wapato_Inventory[[#This Row],[final_imp]]</f>
        <v>52300</v>
      </c>
      <c r="CH1261" t="str">
        <f t="shared" si="19"/>
        <v>update valuation set market_land =52300, market_bldg=0, market_total =52300, market_mdno =405, market_date ='9/10/2023' where link_id = (select link_id from parcel where parcel_year = '2024' and parcel_id = '19111034420');</v>
      </c>
    </row>
    <row r="1262" spans="1:86" x14ac:dyDescent="0.25">
      <c r="A1262">
        <v>19111034421</v>
      </c>
      <c r="B1262">
        <v>0.3</v>
      </c>
      <c r="C1262">
        <v>12922</v>
      </c>
      <c r="D1262" t="s">
        <v>144</v>
      </c>
      <c r="E1262" t="s">
        <v>54</v>
      </c>
      <c r="F1262" t="s">
        <v>54</v>
      </c>
      <c r="G1262">
        <v>3</v>
      </c>
      <c r="H1262" t="s">
        <v>55</v>
      </c>
      <c r="I1262">
        <v>0</v>
      </c>
      <c r="J1262">
        <v>38400</v>
      </c>
      <c r="K1262">
        <v>0.3</v>
      </c>
      <c r="L1262">
        <f>IF(Wapato_Inventory[[#This Row],[parcel_acres]]-Wapato_Inventory[[#This Row],[non_valued_acres]] =0,0,LN(Wapato_Inventory[[#This Row],[parcel_acres]]-Wapato_Inventory[[#This Row],[non_valued_acres]]))</f>
        <v>-1.2039728043259361</v>
      </c>
      <c r="M1262">
        <v>0</v>
      </c>
      <c r="N1262">
        <v>0</v>
      </c>
      <c r="O1262">
        <v>0</v>
      </c>
      <c r="P1262">
        <v>27904.037</v>
      </c>
      <c r="Q1262">
        <v>74398</v>
      </c>
      <c r="R1262" s="3">
        <f>(Wapato_Inventory[[#This Row],[ln_acres]]*Wapato_Inventory[[#This Row],[coeff]])+Wapato_Inventory[[#This Row],[const]]</f>
        <v>40802.298321095317</v>
      </c>
      <c r="AY1262">
        <v>0</v>
      </c>
      <c r="AZ1262">
        <v>0</v>
      </c>
      <c r="BE1262">
        <v>0</v>
      </c>
      <c r="BF1262">
        <v>15000</v>
      </c>
      <c r="BG1262">
        <v>0</v>
      </c>
      <c r="BH1262" s="7">
        <f>ROUND(Wapato_Inventory[[#This Row],[detatched_value]]*Lookups!$B$22*Lookups!$H$48,-2)</f>
        <v>0</v>
      </c>
      <c r="BI1262" s="7">
        <f>ROUND(((Wapato_Inventory[[#This Row],[land_extract]]*Lookups!$B$3) +(Lookups!$B$2*0.5))*Lookups!$H$48,-2)</f>
        <v>55000</v>
      </c>
      <c r="BJ1262" s="7">
        <f>IF(Wapato_Inventory[[#This Row],[bldg_style]]="",0,Lookups!$B$2*0.5)</f>
        <v>0</v>
      </c>
      <c r="BK1262" s="7">
        <f>_xlfn.IFNA(VLOOKUP(Wapato_Inventory[[#This Row],[quality]],Lookups!$H$2:$J$14,3,FALSE),0)</f>
        <v>0</v>
      </c>
      <c r="BL1262" s="7">
        <f>_xlfn.IFNA(VLOOKUP(Wapato_Inventory[[#This Row],[condition]],Lookups!$H$17:$J$24,3,FALSE),0)</f>
        <v>0</v>
      </c>
      <c r="BM1262" s="7">
        <f>Wapato_Inventory[[#This Row],[Age]]*Lookups!$B$16</f>
        <v>0</v>
      </c>
      <c r="BN1262" s="7">
        <f>Wapato_Inventory[[#This Row],[Main Floor]]*Lookups!$B$17</f>
        <v>0</v>
      </c>
      <c r="BO1262" s="7">
        <f>Wapato_Inventory[[#This Row],[Upper Floor]]*Lookups!$B$18</f>
        <v>0</v>
      </c>
      <c r="BP1262" s="7">
        <f>Wapato_Inventory[[#This Row],[Fin BSMT]]*Lookups!$B$19</f>
        <v>0</v>
      </c>
      <c r="BQ1262" s="7">
        <f>(Wapato_Inventory[[#This Row],[att_gar]]+Wapato_Inventory[[#This Row],[blt_gar]])*Lookups!$B$20</f>
        <v>0</v>
      </c>
      <c r="BR1262" s="7">
        <f>Wapato_Inventory[[#This Row],[Patio]]*Lookups!$B$21</f>
        <v>0</v>
      </c>
      <c r="BS1262" s="7">
        <f>SUM(Wapato_Inventory[[#This Row],[intercept]:[patio_value]])*Wapato_Inventory[[#This Row],[res_pct]]</f>
        <v>0</v>
      </c>
      <c r="BT1262" s="7">
        <f>Wapato_Inventory[[#This Row],[land_value]]</f>
        <v>55000</v>
      </c>
      <c r="BU1262" s="2">
        <f>_xlfn.IFNA(VLOOKUP(Wapato_Inventory[[#This Row],[quality]],Lookups!$A$28:$C$37,3,FALSE),1)</f>
        <v>1</v>
      </c>
      <c r="BV1262" s="2">
        <f>_xlfn.IFNA(VLOOKUP(Wapato_Inventory[[#This Row],[condition]],Lookups!$A$41:$C$48,3,FALSE),1)</f>
        <v>1</v>
      </c>
      <c r="BW1262" s="2">
        <f>IF(Wapato_Inventory[[#This Row],[decade]]="",1,_xlfn.IFNA(VLOOKUP(Wapato_Inventory[[#This Row],[decade]],Lookups!$F$28:$H$45,3,FALSE),1))</f>
        <v>1</v>
      </c>
      <c r="BX1262" s="2">
        <f>_xlfn.IFNA(VLOOKUP(Wapato_Inventory[[#This Row],[living_area_range]],Lookups!$K$28:$M$37,3,FALSE),1)</f>
        <v>1</v>
      </c>
      <c r="BY1262" s="2">
        <f>AVERAGE(Wapato_Inventory[[#This Row],[qual_adj]:[range_adj]])</f>
        <v>1</v>
      </c>
      <c r="BZ1262" s="7">
        <f>(Wapato_Inventory[[#This Row],[sum_land]]-IF(Wapato_Inventory[[#This Row],[no_utilities]]=1,12000,0))/IF(Wapato_Inventory[[#This Row],[unbuildable]]=1,2,1)</f>
        <v>55000</v>
      </c>
      <c r="CA1262" s="7">
        <f>Wapato_Inventory[[#This Row],[pre_res]]*Wapato_Inventory[[#This Row],[overall_adj]]</f>
        <v>0</v>
      </c>
      <c r="CB1262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126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62" s="3">
        <f>ROUND(Wapato_Inventory[[#This Row],[det_value]]*Lookups!$H$48,-2)</f>
        <v>0</v>
      </c>
      <c r="CE1262" s="3">
        <f>Wapato_Inventory[[#This Row],[final_res]]+Wapato_Inventory[[#This Row],[final_det]]</f>
        <v>0</v>
      </c>
      <c r="CF1262" s="3">
        <f>Wapato_Inventory[[#This Row],[crop_value]]+Wapato_Inventory[[#This Row],[final_land]]+Wapato_Inventory[[#This Row],[final_imp]]</f>
        <v>52300</v>
      </c>
      <c r="CH1262" t="str">
        <f t="shared" si="19"/>
        <v>update valuation set market_land =52300, market_bldg=0, market_total =52300, market_mdno =405, market_date ='9/10/2023' where link_id = (select link_id from parcel where parcel_year = '2024' and parcel_id = '19111034421');</v>
      </c>
    </row>
    <row r="1263" spans="1:86" x14ac:dyDescent="0.25">
      <c r="A1263">
        <v>19111034433</v>
      </c>
      <c r="B1263">
        <v>0.01</v>
      </c>
      <c r="C1263">
        <v>301</v>
      </c>
      <c r="D1263" t="s">
        <v>144</v>
      </c>
      <c r="E1263" t="s">
        <v>54</v>
      </c>
      <c r="F1263" t="s">
        <v>54</v>
      </c>
      <c r="G1263">
        <v>3</v>
      </c>
      <c r="H1263" t="s">
        <v>55</v>
      </c>
      <c r="I1263">
        <v>0</v>
      </c>
      <c r="J1263">
        <v>300</v>
      </c>
      <c r="K1263">
        <v>0.01</v>
      </c>
      <c r="L1263">
        <f>IF(Wapato_Inventory[[#This Row],[parcel_acres]]-Wapato_Inventory[[#This Row],[non_valued_acres]] =0,0,LN(Wapato_Inventory[[#This Row],[parcel_acres]]-Wapato_Inventory[[#This Row],[non_valued_acres]]))</f>
        <v>-4.6051701859880909</v>
      </c>
      <c r="M1263">
        <v>0</v>
      </c>
      <c r="N1263">
        <v>1</v>
      </c>
      <c r="O1263">
        <v>0</v>
      </c>
      <c r="P1263">
        <v>27904.037</v>
      </c>
      <c r="Q1263">
        <v>74398</v>
      </c>
      <c r="R1263" s="3">
        <f>(Wapato_Inventory[[#This Row],[ln_acres]]*Wapato_Inventory[[#This Row],[coeff]])+Wapato_Inventory[[#This Row],[const]]</f>
        <v>-54104.839261108573</v>
      </c>
      <c r="AY1263">
        <v>0</v>
      </c>
      <c r="AZ1263">
        <v>0</v>
      </c>
      <c r="BE1263">
        <v>0</v>
      </c>
      <c r="BF1263">
        <v>12000</v>
      </c>
      <c r="BG1263">
        <v>0</v>
      </c>
      <c r="BH1263" s="7">
        <f>ROUND(Wapato_Inventory[[#This Row],[detatched_value]]*Lookups!$B$22*Lookups!$H$48,-2)</f>
        <v>0</v>
      </c>
      <c r="BI1263" s="7">
        <f>ROUND(((Wapato_Inventory[[#This Row],[land_extract]]*Lookups!$B$3) +(Lookups!$B$2*0.5))*Lookups!$H$48,-2)</f>
        <v>45900</v>
      </c>
      <c r="BJ1263" s="7">
        <f>IF(Wapato_Inventory[[#This Row],[bldg_style]]="",0,Lookups!$B$2*0.5)</f>
        <v>0</v>
      </c>
      <c r="BK1263" s="7">
        <f>_xlfn.IFNA(VLOOKUP(Wapato_Inventory[[#This Row],[quality]],Lookups!$H$2:$J$14,3,FALSE),0)</f>
        <v>0</v>
      </c>
      <c r="BL1263" s="7">
        <f>_xlfn.IFNA(VLOOKUP(Wapato_Inventory[[#This Row],[condition]],Lookups!$H$17:$J$24,3,FALSE),0)</f>
        <v>0</v>
      </c>
      <c r="BM1263" s="7">
        <f>Wapato_Inventory[[#This Row],[Age]]*Lookups!$B$16</f>
        <v>0</v>
      </c>
      <c r="BN1263" s="7">
        <f>Wapato_Inventory[[#This Row],[Main Floor]]*Lookups!$B$17</f>
        <v>0</v>
      </c>
      <c r="BO1263" s="7">
        <f>Wapato_Inventory[[#This Row],[Upper Floor]]*Lookups!$B$18</f>
        <v>0</v>
      </c>
      <c r="BP1263" s="7">
        <f>Wapato_Inventory[[#This Row],[Fin BSMT]]*Lookups!$B$19</f>
        <v>0</v>
      </c>
      <c r="BQ1263" s="7">
        <f>(Wapato_Inventory[[#This Row],[att_gar]]+Wapato_Inventory[[#This Row],[blt_gar]])*Lookups!$B$20</f>
        <v>0</v>
      </c>
      <c r="BR1263" s="7">
        <f>Wapato_Inventory[[#This Row],[Patio]]*Lookups!$B$21</f>
        <v>0</v>
      </c>
      <c r="BS1263" s="7">
        <f>SUM(Wapato_Inventory[[#This Row],[intercept]:[patio_value]])*Wapato_Inventory[[#This Row],[res_pct]]</f>
        <v>0</v>
      </c>
      <c r="BT1263" s="7">
        <f>Wapato_Inventory[[#This Row],[land_value]]</f>
        <v>45900</v>
      </c>
      <c r="BU1263" s="2">
        <f>_xlfn.IFNA(VLOOKUP(Wapato_Inventory[[#This Row],[quality]],Lookups!$A$28:$C$37,3,FALSE),1)</f>
        <v>1</v>
      </c>
      <c r="BV1263" s="2">
        <f>_xlfn.IFNA(VLOOKUP(Wapato_Inventory[[#This Row],[condition]],Lookups!$A$41:$C$48,3,FALSE),1)</f>
        <v>1</v>
      </c>
      <c r="BW1263" s="2">
        <f>IF(Wapato_Inventory[[#This Row],[decade]]="",1,_xlfn.IFNA(VLOOKUP(Wapato_Inventory[[#This Row],[decade]],Lookups!$F$28:$H$45,3,FALSE),1))</f>
        <v>1</v>
      </c>
      <c r="BX1263" s="2">
        <f>_xlfn.IFNA(VLOOKUP(Wapato_Inventory[[#This Row],[living_area_range]],Lookups!$K$28:$M$37,3,FALSE),1)</f>
        <v>1</v>
      </c>
      <c r="BY1263" s="2">
        <f>AVERAGE(Wapato_Inventory[[#This Row],[qual_adj]:[range_adj]])</f>
        <v>1</v>
      </c>
      <c r="BZ1263" s="7">
        <f>(Wapato_Inventory[[#This Row],[sum_land]]-IF(Wapato_Inventory[[#This Row],[no_utilities]]=1,12000,0))/IF(Wapato_Inventory[[#This Row],[unbuildable]]=1,2,1)</f>
        <v>22950</v>
      </c>
      <c r="CA1263" s="7">
        <f>Wapato_Inventory[[#This Row],[pre_res]]*Wapato_Inventory[[#This Row],[overall_adj]]</f>
        <v>0</v>
      </c>
      <c r="CB1263" s="3">
        <f>IF(ROUND(Wapato_Inventory[[#This Row],[adj_land]]*Lookups!$H$48,-2)&lt;Wapato_Inventory[[#This Row],[min_land]],Wapato_Inventory[[#This Row],[min_land]],ROUND(Wapato_Inventory[[#This Row],[adj_land]]*Lookups!$H$48,-2))</f>
        <v>21800</v>
      </c>
      <c r="CC126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63" s="3">
        <f>ROUND(Wapato_Inventory[[#This Row],[det_value]]*Lookups!$H$48,-2)</f>
        <v>0</v>
      </c>
      <c r="CE1263" s="3">
        <f>Wapato_Inventory[[#This Row],[final_res]]+Wapato_Inventory[[#This Row],[final_det]]</f>
        <v>0</v>
      </c>
      <c r="CF1263" s="3">
        <f>Wapato_Inventory[[#This Row],[crop_value]]+Wapato_Inventory[[#This Row],[final_land]]+Wapato_Inventory[[#This Row],[final_imp]]</f>
        <v>21800</v>
      </c>
      <c r="CH1263" t="str">
        <f t="shared" si="19"/>
        <v>update valuation set market_land =21800, market_bldg=0, market_total =21800, market_mdno =405, market_date ='9/10/2023' where link_id = (select link_id from parcel where parcel_year = '2024' and parcel_id = '19111034433');</v>
      </c>
    </row>
    <row r="1264" spans="1:86" x14ac:dyDescent="0.25">
      <c r="A1264">
        <v>19111041415</v>
      </c>
      <c r="B1264">
        <v>0.06</v>
      </c>
      <c r="C1264">
        <v>2801</v>
      </c>
      <c r="D1264" t="s">
        <v>144</v>
      </c>
      <c r="E1264" t="s">
        <v>54</v>
      </c>
      <c r="F1264" t="s">
        <v>54</v>
      </c>
      <c r="G1264">
        <v>3</v>
      </c>
      <c r="H1264" t="s">
        <v>55</v>
      </c>
      <c r="I1264">
        <v>0</v>
      </c>
      <c r="J1264">
        <v>26600</v>
      </c>
      <c r="K1264">
        <v>0.06</v>
      </c>
      <c r="L1264">
        <f>IF(Wapato_Inventory[[#This Row],[parcel_acres]]-Wapato_Inventory[[#This Row],[non_valued_acres]] =0,0,LN(Wapato_Inventory[[#This Row],[parcel_acres]]-Wapato_Inventory[[#This Row],[non_valued_acres]]))</f>
        <v>-2.8134107167600364</v>
      </c>
      <c r="M1264">
        <v>0</v>
      </c>
      <c r="N1264">
        <v>1</v>
      </c>
      <c r="O1264">
        <v>0</v>
      </c>
      <c r="P1264">
        <v>27904.037</v>
      </c>
      <c r="Q1264">
        <v>74398</v>
      </c>
      <c r="R1264" s="3">
        <f>(Wapato_Inventory[[#This Row],[ln_acres]]*Wapato_Inventory[[#This Row],[coeff]])+Wapato_Inventory[[#This Row],[const]]</f>
        <v>-4107.5167366685782</v>
      </c>
      <c r="AY1264">
        <v>0</v>
      </c>
      <c r="AZ1264">
        <v>0</v>
      </c>
      <c r="BE1264">
        <v>0</v>
      </c>
      <c r="BF1264">
        <v>12000</v>
      </c>
      <c r="BG1264">
        <v>0</v>
      </c>
      <c r="BH1264" s="7">
        <f>ROUND(Wapato_Inventory[[#This Row],[detatched_value]]*Lookups!$B$22*Lookups!$H$48,-2)</f>
        <v>0</v>
      </c>
      <c r="BI1264" s="7">
        <f>ROUND(((Wapato_Inventory[[#This Row],[land_extract]]*Lookups!$B$3) +(Lookups!$B$2*0.5))*Lookups!$H$48,-2)</f>
        <v>50700</v>
      </c>
      <c r="BJ1264" s="7">
        <f>IF(Wapato_Inventory[[#This Row],[bldg_style]]="",0,Lookups!$B$2*0.5)</f>
        <v>0</v>
      </c>
      <c r="BK1264" s="7">
        <f>_xlfn.IFNA(VLOOKUP(Wapato_Inventory[[#This Row],[quality]],Lookups!$H$2:$J$14,3,FALSE),0)</f>
        <v>0</v>
      </c>
      <c r="BL1264" s="7">
        <f>_xlfn.IFNA(VLOOKUP(Wapato_Inventory[[#This Row],[condition]],Lookups!$H$17:$J$24,3,FALSE),0)</f>
        <v>0</v>
      </c>
      <c r="BM1264" s="7">
        <f>Wapato_Inventory[[#This Row],[Age]]*Lookups!$B$16</f>
        <v>0</v>
      </c>
      <c r="BN1264" s="7">
        <f>Wapato_Inventory[[#This Row],[Main Floor]]*Lookups!$B$17</f>
        <v>0</v>
      </c>
      <c r="BO1264" s="7">
        <f>Wapato_Inventory[[#This Row],[Upper Floor]]*Lookups!$B$18</f>
        <v>0</v>
      </c>
      <c r="BP1264" s="7">
        <f>Wapato_Inventory[[#This Row],[Fin BSMT]]*Lookups!$B$19</f>
        <v>0</v>
      </c>
      <c r="BQ1264" s="7">
        <f>(Wapato_Inventory[[#This Row],[att_gar]]+Wapato_Inventory[[#This Row],[blt_gar]])*Lookups!$B$20</f>
        <v>0</v>
      </c>
      <c r="BR1264" s="7">
        <f>Wapato_Inventory[[#This Row],[Patio]]*Lookups!$B$21</f>
        <v>0</v>
      </c>
      <c r="BS1264" s="7">
        <f>SUM(Wapato_Inventory[[#This Row],[intercept]:[patio_value]])*Wapato_Inventory[[#This Row],[res_pct]]</f>
        <v>0</v>
      </c>
      <c r="BT1264" s="7">
        <f>Wapato_Inventory[[#This Row],[land_value]]</f>
        <v>50700</v>
      </c>
      <c r="BU1264" s="2">
        <f>_xlfn.IFNA(VLOOKUP(Wapato_Inventory[[#This Row],[quality]],Lookups!$A$28:$C$37,3,FALSE),1)</f>
        <v>1</v>
      </c>
      <c r="BV1264" s="2">
        <f>_xlfn.IFNA(VLOOKUP(Wapato_Inventory[[#This Row],[condition]],Lookups!$A$41:$C$48,3,FALSE),1)</f>
        <v>1</v>
      </c>
      <c r="BW1264" s="2">
        <f>IF(Wapato_Inventory[[#This Row],[decade]]="",1,_xlfn.IFNA(VLOOKUP(Wapato_Inventory[[#This Row],[decade]],Lookups!$F$28:$H$45,3,FALSE),1))</f>
        <v>1</v>
      </c>
      <c r="BX1264" s="2">
        <f>_xlfn.IFNA(VLOOKUP(Wapato_Inventory[[#This Row],[living_area_range]],Lookups!$K$28:$M$37,3,FALSE),1)</f>
        <v>1</v>
      </c>
      <c r="BY1264" s="2">
        <f>AVERAGE(Wapato_Inventory[[#This Row],[qual_adj]:[range_adj]])</f>
        <v>1</v>
      </c>
      <c r="BZ1264" s="7">
        <f>(Wapato_Inventory[[#This Row],[sum_land]]-IF(Wapato_Inventory[[#This Row],[no_utilities]]=1,12000,0))/IF(Wapato_Inventory[[#This Row],[unbuildable]]=1,2,1)</f>
        <v>25350</v>
      </c>
      <c r="CA1264" s="7">
        <f>Wapato_Inventory[[#This Row],[pre_res]]*Wapato_Inventory[[#This Row],[overall_adj]]</f>
        <v>0</v>
      </c>
      <c r="CB1264" s="3">
        <f>IF(ROUND(Wapato_Inventory[[#This Row],[adj_land]]*Lookups!$H$48,-2)&lt;Wapato_Inventory[[#This Row],[min_land]],Wapato_Inventory[[#This Row],[min_land]],ROUND(Wapato_Inventory[[#This Row],[adj_land]]*Lookups!$H$48,-2))</f>
        <v>24100</v>
      </c>
      <c r="CC126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64" s="3">
        <f>ROUND(Wapato_Inventory[[#This Row],[det_value]]*Lookups!$H$48,-2)</f>
        <v>0</v>
      </c>
      <c r="CE1264" s="3">
        <f>Wapato_Inventory[[#This Row],[final_res]]+Wapato_Inventory[[#This Row],[final_det]]</f>
        <v>0</v>
      </c>
      <c r="CF1264" s="3">
        <f>Wapato_Inventory[[#This Row],[crop_value]]+Wapato_Inventory[[#This Row],[final_land]]+Wapato_Inventory[[#This Row],[final_imp]]</f>
        <v>24100</v>
      </c>
      <c r="CH1264" t="str">
        <f t="shared" si="19"/>
        <v>update valuation set market_land =24100, market_bldg=0, market_total =24100, market_mdno =405, market_date ='9/10/2023' where link_id = (select link_id from parcel where parcel_year = '2024' and parcel_id = '19111041415');</v>
      </c>
    </row>
    <row r="1265" spans="1:86" x14ac:dyDescent="0.25">
      <c r="A1265">
        <v>19111041416</v>
      </c>
      <c r="B1265">
        <v>0.05</v>
      </c>
      <c r="C1265">
        <v>2207</v>
      </c>
      <c r="D1265" t="s">
        <v>144</v>
      </c>
      <c r="E1265" t="s">
        <v>54</v>
      </c>
      <c r="F1265" t="s">
        <v>54</v>
      </c>
      <c r="G1265">
        <v>3</v>
      </c>
      <c r="H1265" t="s">
        <v>55</v>
      </c>
      <c r="I1265">
        <v>0</v>
      </c>
      <c r="J1265">
        <v>25300</v>
      </c>
      <c r="K1265">
        <v>0.05</v>
      </c>
      <c r="L1265">
        <f>IF(Wapato_Inventory[[#This Row],[parcel_acres]]-Wapato_Inventory[[#This Row],[non_valued_acres]] =0,0,LN(Wapato_Inventory[[#This Row],[parcel_acres]]-Wapato_Inventory[[#This Row],[non_valued_acres]]))</f>
        <v>-2.9957322735539909</v>
      </c>
      <c r="M1265">
        <v>0</v>
      </c>
      <c r="N1265">
        <v>1</v>
      </c>
      <c r="O1265">
        <v>0</v>
      </c>
      <c r="P1265">
        <v>27904.037</v>
      </c>
      <c r="Q1265">
        <v>74398</v>
      </c>
      <c r="R1265" s="3">
        <f>(Wapato_Inventory[[#This Row],[ln_acres]]*Wapato_Inventory[[#This Row],[coeff]])+Wapato_Inventory[[#This Row],[const]]</f>
        <v>-9195.0242033446848</v>
      </c>
      <c r="AY1265">
        <v>0</v>
      </c>
      <c r="AZ1265">
        <v>0</v>
      </c>
      <c r="BE1265">
        <v>0</v>
      </c>
      <c r="BF1265">
        <v>12000</v>
      </c>
      <c r="BG1265">
        <v>0</v>
      </c>
      <c r="BH1265" s="7">
        <f>ROUND(Wapato_Inventory[[#This Row],[detatched_value]]*Lookups!$B$22*Lookups!$H$48,-2)</f>
        <v>0</v>
      </c>
      <c r="BI1265" s="7">
        <f>ROUND(((Wapato_Inventory[[#This Row],[land_extract]]*Lookups!$B$3) +(Lookups!$B$2*0.5))*Lookups!$H$48,-2)</f>
        <v>50200</v>
      </c>
      <c r="BJ1265" s="7">
        <f>IF(Wapato_Inventory[[#This Row],[bldg_style]]="",0,Lookups!$B$2*0.5)</f>
        <v>0</v>
      </c>
      <c r="BK1265" s="7">
        <f>_xlfn.IFNA(VLOOKUP(Wapato_Inventory[[#This Row],[quality]],Lookups!$H$2:$J$14,3,FALSE),0)</f>
        <v>0</v>
      </c>
      <c r="BL1265" s="7">
        <f>_xlfn.IFNA(VLOOKUP(Wapato_Inventory[[#This Row],[condition]],Lookups!$H$17:$J$24,3,FALSE),0)</f>
        <v>0</v>
      </c>
      <c r="BM1265" s="7">
        <f>Wapato_Inventory[[#This Row],[Age]]*Lookups!$B$16</f>
        <v>0</v>
      </c>
      <c r="BN1265" s="7">
        <f>Wapato_Inventory[[#This Row],[Main Floor]]*Lookups!$B$17</f>
        <v>0</v>
      </c>
      <c r="BO1265" s="7">
        <f>Wapato_Inventory[[#This Row],[Upper Floor]]*Lookups!$B$18</f>
        <v>0</v>
      </c>
      <c r="BP1265" s="7">
        <f>Wapato_Inventory[[#This Row],[Fin BSMT]]*Lookups!$B$19</f>
        <v>0</v>
      </c>
      <c r="BQ1265" s="7">
        <f>(Wapato_Inventory[[#This Row],[att_gar]]+Wapato_Inventory[[#This Row],[blt_gar]])*Lookups!$B$20</f>
        <v>0</v>
      </c>
      <c r="BR1265" s="7">
        <f>Wapato_Inventory[[#This Row],[Patio]]*Lookups!$B$21</f>
        <v>0</v>
      </c>
      <c r="BS1265" s="7">
        <f>SUM(Wapato_Inventory[[#This Row],[intercept]:[patio_value]])*Wapato_Inventory[[#This Row],[res_pct]]</f>
        <v>0</v>
      </c>
      <c r="BT1265" s="7">
        <f>Wapato_Inventory[[#This Row],[land_value]]</f>
        <v>50200</v>
      </c>
      <c r="BU1265" s="2">
        <f>_xlfn.IFNA(VLOOKUP(Wapato_Inventory[[#This Row],[quality]],Lookups!$A$28:$C$37,3,FALSE),1)</f>
        <v>1</v>
      </c>
      <c r="BV1265" s="2">
        <f>_xlfn.IFNA(VLOOKUP(Wapato_Inventory[[#This Row],[condition]],Lookups!$A$41:$C$48,3,FALSE),1)</f>
        <v>1</v>
      </c>
      <c r="BW1265" s="2">
        <f>IF(Wapato_Inventory[[#This Row],[decade]]="",1,_xlfn.IFNA(VLOOKUP(Wapato_Inventory[[#This Row],[decade]],Lookups!$F$28:$H$45,3,FALSE),1))</f>
        <v>1</v>
      </c>
      <c r="BX1265" s="2">
        <f>_xlfn.IFNA(VLOOKUP(Wapato_Inventory[[#This Row],[living_area_range]],Lookups!$K$28:$M$37,3,FALSE),1)</f>
        <v>1</v>
      </c>
      <c r="BY1265" s="2">
        <f>AVERAGE(Wapato_Inventory[[#This Row],[qual_adj]:[range_adj]])</f>
        <v>1</v>
      </c>
      <c r="BZ1265" s="7">
        <f>(Wapato_Inventory[[#This Row],[sum_land]]-IF(Wapato_Inventory[[#This Row],[no_utilities]]=1,12000,0))/IF(Wapato_Inventory[[#This Row],[unbuildable]]=1,2,1)</f>
        <v>25100</v>
      </c>
      <c r="CA1265" s="7">
        <f>Wapato_Inventory[[#This Row],[pre_res]]*Wapato_Inventory[[#This Row],[overall_adj]]</f>
        <v>0</v>
      </c>
      <c r="CB1265" s="3">
        <f>IF(ROUND(Wapato_Inventory[[#This Row],[adj_land]]*Lookups!$H$48,-2)&lt;Wapato_Inventory[[#This Row],[min_land]],Wapato_Inventory[[#This Row],[min_land]],ROUND(Wapato_Inventory[[#This Row],[adj_land]]*Lookups!$H$48,-2))</f>
        <v>23800</v>
      </c>
      <c r="CC126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65" s="3">
        <f>ROUND(Wapato_Inventory[[#This Row],[det_value]]*Lookups!$H$48,-2)</f>
        <v>0</v>
      </c>
      <c r="CE1265" s="3">
        <f>Wapato_Inventory[[#This Row],[final_res]]+Wapato_Inventory[[#This Row],[final_det]]</f>
        <v>0</v>
      </c>
      <c r="CF1265" s="3">
        <f>Wapato_Inventory[[#This Row],[crop_value]]+Wapato_Inventory[[#This Row],[final_land]]+Wapato_Inventory[[#This Row],[final_imp]]</f>
        <v>23800</v>
      </c>
      <c r="CH1265" t="str">
        <f t="shared" si="19"/>
        <v>update valuation set market_land =23800, market_bldg=0, market_total =23800, market_mdno =405, market_date ='9/10/2023' where link_id = (select link_id from parcel where parcel_year = '2024' and parcel_id = '19111041416');</v>
      </c>
    </row>
    <row r="1266" spans="1:86" x14ac:dyDescent="0.25">
      <c r="A1266">
        <v>19111041427</v>
      </c>
      <c r="B1266">
        <v>7.0000000000000007E-2</v>
      </c>
      <c r="C1266">
        <v>3044</v>
      </c>
      <c r="D1266" t="s">
        <v>144</v>
      </c>
      <c r="E1266" t="s">
        <v>54</v>
      </c>
      <c r="F1266" t="s">
        <v>54</v>
      </c>
      <c r="G1266">
        <v>3</v>
      </c>
      <c r="H1266" t="s">
        <v>55</v>
      </c>
      <c r="I1266">
        <v>5000</v>
      </c>
      <c r="J1266">
        <v>27700</v>
      </c>
      <c r="K1266">
        <v>7.0000000000000007E-2</v>
      </c>
      <c r="L1266">
        <f>IF(Wapato_Inventory[[#This Row],[parcel_acres]]-Wapato_Inventory[[#This Row],[non_valued_acres]] =0,0,LN(Wapato_Inventory[[#This Row],[parcel_acres]]-Wapato_Inventory[[#This Row],[non_valued_acres]]))</f>
        <v>-2.6592600369327779</v>
      </c>
      <c r="M1266">
        <v>0</v>
      </c>
      <c r="N1266">
        <v>1</v>
      </c>
      <c r="O1266">
        <v>0</v>
      </c>
      <c r="P1266">
        <v>27904.037</v>
      </c>
      <c r="Q1266">
        <v>74398</v>
      </c>
      <c r="R1266" s="3">
        <f>(Wapato_Inventory[[#This Row],[ln_acres]]*Wapato_Inventory[[#This Row],[coeff]])+Wapato_Inventory[[#This Row],[const]]</f>
        <v>193.90953680640087</v>
      </c>
      <c r="AY1266">
        <v>0</v>
      </c>
      <c r="AZ1266">
        <v>6000</v>
      </c>
      <c r="BE1266">
        <v>0</v>
      </c>
      <c r="BF1266">
        <v>12000</v>
      </c>
      <c r="BG1266">
        <v>0</v>
      </c>
      <c r="BH1266" s="7">
        <f>ROUND(Wapato_Inventory[[#This Row],[detatched_value]]*Lookups!$B$22*Lookups!$H$48,-2)</f>
        <v>5400</v>
      </c>
      <c r="BI1266" s="7">
        <f>ROUND(((Wapato_Inventory[[#This Row],[land_extract]]*Lookups!$B$3) +(Lookups!$B$2*0.5))*Lookups!$H$48,-2)</f>
        <v>51100</v>
      </c>
      <c r="BJ1266" s="7">
        <f>IF(Wapato_Inventory[[#This Row],[bldg_style]]="",0,Lookups!$B$2*0.5)</f>
        <v>0</v>
      </c>
      <c r="BK1266" s="7">
        <f>_xlfn.IFNA(VLOOKUP(Wapato_Inventory[[#This Row],[quality]],Lookups!$H$2:$J$14,3,FALSE),0)</f>
        <v>0</v>
      </c>
      <c r="BL1266" s="7">
        <f>_xlfn.IFNA(VLOOKUP(Wapato_Inventory[[#This Row],[condition]],Lookups!$H$17:$J$24,3,FALSE),0)</f>
        <v>0</v>
      </c>
      <c r="BM1266" s="7">
        <f>Wapato_Inventory[[#This Row],[Age]]*Lookups!$B$16</f>
        <v>0</v>
      </c>
      <c r="BN1266" s="7">
        <f>Wapato_Inventory[[#This Row],[Main Floor]]*Lookups!$B$17</f>
        <v>0</v>
      </c>
      <c r="BO1266" s="7">
        <f>Wapato_Inventory[[#This Row],[Upper Floor]]*Lookups!$B$18</f>
        <v>0</v>
      </c>
      <c r="BP1266" s="7">
        <f>Wapato_Inventory[[#This Row],[Fin BSMT]]*Lookups!$B$19</f>
        <v>0</v>
      </c>
      <c r="BQ1266" s="7">
        <f>(Wapato_Inventory[[#This Row],[att_gar]]+Wapato_Inventory[[#This Row],[blt_gar]])*Lookups!$B$20</f>
        <v>0</v>
      </c>
      <c r="BR1266" s="7">
        <f>Wapato_Inventory[[#This Row],[Patio]]*Lookups!$B$21</f>
        <v>0</v>
      </c>
      <c r="BS1266" s="7">
        <f>SUM(Wapato_Inventory[[#This Row],[intercept]:[patio_value]])*Wapato_Inventory[[#This Row],[res_pct]]</f>
        <v>0</v>
      </c>
      <c r="BT1266" s="7">
        <f>Wapato_Inventory[[#This Row],[land_value]]</f>
        <v>51100</v>
      </c>
      <c r="BU1266" s="2">
        <f>_xlfn.IFNA(VLOOKUP(Wapato_Inventory[[#This Row],[quality]],Lookups!$A$28:$C$37,3,FALSE),1)</f>
        <v>1</v>
      </c>
      <c r="BV1266" s="2">
        <f>_xlfn.IFNA(VLOOKUP(Wapato_Inventory[[#This Row],[condition]],Lookups!$A$41:$C$48,3,FALSE),1)</f>
        <v>1</v>
      </c>
      <c r="BW1266" s="2">
        <f>IF(Wapato_Inventory[[#This Row],[decade]]="",1,_xlfn.IFNA(VLOOKUP(Wapato_Inventory[[#This Row],[decade]],Lookups!$F$28:$H$45,3,FALSE),1))</f>
        <v>1</v>
      </c>
      <c r="BX1266" s="2">
        <f>_xlfn.IFNA(VLOOKUP(Wapato_Inventory[[#This Row],[living_area_range]],Lookups!$K$28:$M$37,3,FALSE),1)</f>
        <v>1</v>
      </c>
      <c r="BY1266" s="2">
        <f>AVERAGE(Wapato_Inventory[[#This Row],[qual_adj]:[range_adj]])</f>
        <v>1</v>
      </c>
      <c r="BZ1266" s="7">
        <f>(Wapato_Inventory[[#This Row],[sum_land]]-IF(Wapato_Inventory[[#This Row],[no_utilities]]=1,12000,0))/IF(Wapato_Inventory[[#This Row],[unbuildable]]=1,2,1)</f>
        <v>25550</v>
      </c>
      <c r="CA1266" s="7">
        <f>Wapato_Inventory[[#This Row],[pre_res]]*Wapato_Inventory[[#This Row],[overall_adj]]</f>
        <v>0</v>
      </c>
      <c r="CB1266" s="3">
        <f>IF(ROUND(Wapato_Inventory[[#This Row],[adj_land]]*Lookups!$H$48,-2)&lt;Wapato_Inventory[[#This Row],[min_land]],Wapato_Inventory[[#This Row],[min_land]],ROUND(Wapato_Inventory[[#This Row],[adj_land]]*Lookups!$H$48,-2))</f>
        <v>24300</v>
      </c>
      <c r="CC126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66" s="3">
        <f>ROUND(Wapato_Inventory[[#This Row],[det_value]]*Lookups!$H$48,-2)</f>
        <v>5100</v>
      </c>
      <c r="CE1266" s="3">
        <f>Wapato_Inventory[[#This Row],[final_res]]+Wapato_Inventory[[#This Row],[final_det]]</f>
        <v>5100</v>
      </c>
      <c r="CF1266" s="3">
        <f>Wapato_Inventory[[#This Row],[crop_value]]+Wapato_Inventory[[#This Row],[final_land]]+Wapato_Inventory[[#This Row],[final_imp]]</f>
        <v>29400</v>
      </c>
      <c r="CH1266" t="str">
        <f t="shared" si="19"/>
        <v>update valuation set market_land =24300, market_bldg=5100, market_total =29400, market_mdno =405, market_date ='9/10/2023' where link_id = (select link_id from parcel where parcel_year = '2024' and parcel_id = '19111041427');</v>
      </c>
    </row>
    <row r="1267" spans="1:86" x14ac:dyDescent="0.25">
      <c r="A1267">
        <v>19111041437</v>
      </c>
      <c r="B1267">
        <v>7.0000000000000007E-2</v>
      </c>
      <c r="C1267">
        <v>3022</v>
      </c>
      <c r="D1267" t="s">
        <v>144</v>
      </c>
      <c r="E1267" t="s">
        <v>54</v>
      </c>
      <c r="F1267" t="s">
        <v>54</v>
      </c>
      <c r="G1267">
        <v>3</v>
      </c>
      <c r="H1267" t="s">
        <v>55</v>
      </c>
      <c r="I1267">
        <v>1000</v>
      </c>
      <c r="J1267">
        <v>27700</v>
      </c>
      <c r="K1267">
        <v>7.0000000000000007E-2</v>
      </c>
      <c r="L1267">
        <f>IF(Wapato_Inventory[[#This Row],[parcel_acres]]-Wapato_Inventory[[#This Row],[non_valued_acres]] =0,0,LN(Wapato_Inventory[[#This Row],[parcel_acres]]-Wapato_Inventory[[#This Row],[non_valued_acres]]))</f>
        <v>-2.6592600369327779</v>
      </c>
      <c r="M1267">
        <v>0</v>
      </c>
      <c r="N1267">
        <v>0</v>
      </c>
      <c r="O1267">
        <v>1</v>
      </c>
      <c r="P1267">
        <v>27904.037</v>
      </c>
      <c r="Q1267">
        <v>74398</v>
      </c>
      <c r="R1267" s="3">
        <f>(Wapato_Inventory[[#This Row],[ln_acres]]*Wapato_Inventory[[#This Row],[coeff]])+Wapato_Inventory[[#This Row],[const]]</f>
        <v>193.90953680640087</v>
      </c>
      <c r="AY1267">
        <v>0</v>
      </c>
      <c r="AZ1267">
        <v>1200</v>
      </c>
      <c r="BE1267">
        <v>0</v>
      </c>
      <c r="BF1267">
        <v>3000</v>
      </c>
      <c r="BG1267">
        <v>0</v>
      </c>
      <c r="BH1267" s="7">
        <f>ROUND(Wapato_Inventory[[#This Row],[detatched_value]]*Lookups!$B$22*Lookups!$H$48,-2)</f>
        <v>1100</v>
      </c>
      <c r="BI1267" s="7">
        <f>ROUND(((Wapato_Inventory[[#This Row],[land_extract]]*Lookups!$B$3) +(Lookups!$B$2*0.5))*Lookups!$H$48,-2)</f>
        <v>51100</v>
      </c>
      <c r="BJ1267" s="7">
        <f>IF(Wapato_Inventory[[#This Row],[bldg_style]]="",0,Lookups!$B$2*0.5)</f>
        <v>0</v>
      </c>
      <c r="BK1267" s="7">
        <f>_xlfn.IFNA(VLOOKUP(Wapato_Inventory[[#This Row],[quality]],Lookups!$H$2:$J$14,3,FALSE),0)</f>
        <v>0</v>
      </c>
      <c r="BL1267" s="7">
        <f>_xlfn.IFNA(VLOOKUP(Wapato_Inventory[[#This Row],[condition]],Lookups!$H$17:$J$24,3,FALSE),0)</f>
        <v>0</v>
      </c>
      <c r="BM1267" s="7">
        <f>Wapato_Inventory[[#This Row],[Age]]*Lookups!$B$16</f>
        <v>0</v>
      </c>
      <c r="BN1267" s="7">
        <f>Wapato_Inventory[[#This Row],[Main Floor]]*Lookups!$B$17</f>
        <v>0</v>
      </c>
      <c r="BO1267" s="7">
        <f>Wapato_Inventory[[#This Row],[Upper Floor]]*Lookups!$B$18</f>
        <v>0</v>
      </c>
      <c r="BP1267" s="7">
        <f>Wapato_Inventory[[#This Row],[Fin BSMT]]*Lookups!$B$19</f>
        <v>0</v>
      </c>
      <c r="BQ1267" s="7">
        <f>(Wapato_Inventory[[#This Row],[att_gar]]+Wapato_Inventory[[#This Row],[blt_gar]])*Lookups!$B$20</f>
        <v>0</v>
      </c>
      <c r="BR1267" s="7">
        <f>Wapato_Inventory[[#This Row],[Patio]]*Lookups!$B$21</f>
        <v>0</v>
      </c>
      <c r="BS1267" s="7">
        <f>SUM(Wapato_Inventory[[#This Row],[intercept]:[patio_value]])*Wapato_Inventory[[#This Row],[res_pct]]</f>
        <v>0</v>
      </c>
      <c r="BT1267" s="7">
        <f>Wapato_Inventory[[#This Row],[land_value]]</f>
        <v>51100</v>
      </c>
      <c r="BU1267" s="2">
        <f>_xlfn.IFNA(VLOOKUP(Wapato_Inventory[[#This Row],[quality]],Lookups!$A$28:$C$37,3,FALSE),1)</f>
        <v>1</v>
      </c>
      <c r="BV1267" s="2">
        <f>_xlfn.IFNA(VLOOKUP(Wapato_Inventory[[#This Row],[condition]],Lookups!$A$41:$C$48,3,FALSE),1)</f>
        <v>1</v>
      </c>
      <c r="BW1267" s="2">
        <f>IF(Wapato_Inventory[[#This Row],[decade]]="",1,_xlfn.IFNA(VLOOKUP(Wapato_Inventory[[#This Row],[decade]],Lookups!$F$28:$H$45,3,FALSE),1))</f>
        <v>1</v>
      </c>
      <c r="BX1267" s="2">
        <f>_xlfn.IFNA(VLOOKUP(Wapato_Inventory[[#This Row],[living_area_range]],Lookups!$K$28:$M$37,3,FALSE),1)</f>
        <v>1</v>
      </c>
      <c r="BY1267" s="2">
        <f>AVERAGE(Wapato_Inventory[[#This Row],[qual_adj]:[range_adj]])</f>
        <v>1</v>
      </c>
      <c r="BZ1267" s="7">
        <f>(Wapato_Inventory[[#This Row],[sum_land]]-IF(Wapato_Inventory[[#This Row],[no_utilities]]=1,12000,0))/IF(Wapato_Inventory[[#This Row],[unbuildable]]=1,2,1)</f>
        <v>39100</v>
      </c>
      <c r="CA1267" s="7">
        <f>Wapato_Inventory[[#This Row],[pre_res]]*Wapato_Inventory[[#This Row],[overall_adj]]</f>
        <v>0</v>
      </c>
      <c r="CB1267" s="3">
        <f>IF(ROUND(Wapato_Inventory[[#This Row],[adj_land]]*Lookups!$H$48,-2)&lt;Wapato_Inventory[[#This Row],[min_land]],Wapato_Inventory[[#This Row],[min_land]],ROUND(Wapato_Inventory[[#This Row],[adj_land]]*Lookups!$H$48,-2))</f>
        <v>37100</v>
      </c>
      <c r="CC126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67" s="3">
        <f>ROUND(Wapato_Inventory[[#This Row],[det_value]]*Lookups!$H$48,-2)</f>
        <v>1000</v>
      </c>
      <c r="CE1267" s="3">
        <f>Wapato_Inventory[[#This Row],[final_res]]+Wapato_Inventory[[#This Row],[final_det]]</f>
        <v>1000</v>
      </c>
      <c r="CF1267" s="3">
        <f>Wapato_Inventory[[#This Row],[crop_value]]+Wapato_Inventory[[#This Row],[final_land]]+Wapato_Inventory[[#This Row],[final_imp]]</f>
        <v>38100</v>
      </c>
      <c r="CH1267" t="str">
        <f t="shared" si="19"/>
        <v>update valuation set market_land =37100, market_bldg=1000, market_total =38100, market_mdno =405, market_date ='9/10/2023' where link_id = (select link_id from parcel where parcel_year = '2024' and parcel_id = '19111041437');</v>
      </c>
    </row>
    <row r="1268" spans="1:86" x14ac:dyDescent="0.25">
      <c r="A1268">
        <v>19111041464</v>
      </c>
      <c r="B1268">
        <v>0.12</v>
      </c>
      <c r="C1268">
        <v>5135</v>
      </c>
      <c r="D1268" t="s">
        <v>144</v>
      </c>
      <c r="E1268" t="s">
        <v>54</v>
      </c>
      <c r="F1268" t="s">
        <v>54</v>
      </c>
      <c r="G1268">
        <v>3</v>
      </c>
      <c r="H1268" t="s">
        <v>55</v>
      </c>
      <c r="I1268">
        <v>0</v>
      </c>
      <c r="J1268">
        <v>31700</v>
      </c>
      <c r="K1268">
        <v>0.12</v>
      </c>
      <c r="L1268">
        <f>IF(Wapato_Inventory[[#This Row],[parcel_acres]]-Wapato_Inventory[[#This Row],[non_valued_acres]] =0,0,LN(Wapato_Inventory[[#This Row],[parcel_acres]]-Wapato_Inventory[[#This Row],[non_valued_acres]]))</f>
        <v>-2.120263536200091</v>
      </c>
      <c r="M1268">
        <v>0</v>
      </c>
      <c r="N1268">
        <v>0</v>
      </c>
      <c r="O1268">
        <v>0</v>
      </c>
      <c r="P1268">
        <v>27904.037</v>
      </c>
      <c r="Q1268">
        <v>74398</v>
      </c>
      <c r="R1268" s="3">
        <f>(Wapato_Inventory[[#This Row],[ln_acres]]*Wapato_Inventory[[#This Row],[coeff]])+Wapato_Inventory[[#This Row],[const]]</f>
        <v>15234.08783612182</v>
      </c>
      <c r="AY1268">
        <v>0</v>
      </c>
      <c r="AZ1268">
        <v>0</v>
      </c>
      <c r="BE1268">
        <v>0</v>
      </c>
      <c r="BF1268">
        <v>15000</v>
      </c>
      <c r="BG1268">
        <v>0</v>
      </c>
      <c r="BH1268" s="7">
        <f>ROUND(Wapato_Inventory[[#This Row],[detatched_value]]*Lookups!$B$22*Lookups!$H$48,-2)</f>
        <v>0</v>
      </c>
      <c r="BI1268" s="7">
        <f>ROUND(((Wapato_Inventory[[#This Row],[land_extract]]*Lookups!$B$3) +(Lookups!$B$2*0.5))*Lookups!$H$48,-2)</f>
        <v>52500</v>
      </c>
      <c r="BJ1268" s="7">
        <f>IF(Wapato_Inventory[[#This Row],[bldg_style]]="",0,Lookups!$B$2*0.5)</f>
        <v>0</v>
      </c>
      <c r="BK1268" s="7">
        <f>_xlfn.IFNA(VLOOKUP(Wapato_Inventory[[#This Row],[quality]],Lookups!$H$2:$J$14,3,FALSE),0)</f>
        <v>0</v>
      </c>
      <c r="BL1268" s="7">
        <f>_xlfn.IFNA(VLOOKUP(Wapato_Inventory[[#This Row],[condition]],Lookups!$H$17:$J$24,3,FALSE),0)</f>
        <v>0</v>
      </c>
      <c r="BM1268" s="7">
        <f>Wapato_Inventory[[#This Row],[Age]]*Lookups!$B$16</f>
        <v>0</v>
      </c>
      <c r="BN1268" s="7">
        <f>Wapato_Inventory[[#This Row],[Main Floor]]*Lookups!$B$17</f>
        <v>0</v>
      </c>
      <c r="BO1268" s="7">
        <f>Wapato_Inventory[[#This Row],[Upper Floor]]*Lookups!$B$18</f>
        <v>0</v>
      </c>
      <c r="BP1268" s="7">
        <f>Wapato_Inventory[[#This Row],[Fin BSMT]]*Lookups!$B$19</f>
        <v>0</v>
      </c>
      <c r="BQ1268" s="7">
        <f>(Wapato_Inventory[[#This Row],[att_gar]]+Wapato_Inventory[[#This Row],[blt_gar]])*Lookups!$B$20</f>
        <v>0</v>
      </c>
      <c r="BR1268" s="7">
        <f>Wapato_Inventory[[#This Row],[Patio]]*Lookups!$B$21</f>
        <v>0</v>
      </c>
      <c r="BS1268" s="7">
        <f>SUM(Wapato_Inventory[[#This Row],[intercept]:[patio_value]])*Wapato_Inventory[[#This Row],[res_pct]]</f>
        <v>0</v>
      </c>
      <c r="BT1268" s="7">
        <f>Wapato_Inventory[[#This Row],[land_value]]</f>
        <v>52500</v>
      </c>
      <c r="BU1268" s="2">
        <f>_xlfn.IFNA(VLOOKUP(Wapato_Inventory[[#This Row],[quality]],Lookups!$A$28:$C$37,3,FALSE),1)</f>
        <v>1</v>
      </c>
      <c r="BV1268" s="2">
        <f>_xlfn.IFNA(VLOOKUP(Wapato_Inventory[[#This Row],[condition]],Lookups!$A$41:$C$48,3,FALSE),1)</f>
        <v>1</v>
      </c>
      <c r="BW1268" s="2">
        <f>IF(Wapato_Inventory[[#This Row],[decade]]="",1,_xlfn.IFNA(VLOOKUP(Wapato_Inventory[[#This Row],[decade]],Lookups!$F$28:$H$45,3,FALSE),1))</f>
        <v>1</v>
      </c>
      <c r="BX1268" s="2">
        <f>_xlfn.IFNA(VLOOKUP(Wapato_Inventory[[#This Row],[living_area_range]],Lookups!$K$28:$M$37,3,FALSE),1)</f>
        <v>1</v>
      </c>
      <c r="BY1268" s="2">
        <f>AVERAGE(Wapato_Inventory[[#This Row],[qual_adj]:[range_adj]])</f>
        <v>1</v>
      </c>
      <c r="BZ1268" s="7">
        <f>(Wapato_Inventory[[#This Row],[sum_land]]-IF(Wapato_Inventory[[#This Row],[no_utilities]]=1,12000,0))/IF(Wapato_Inventory[[#This Row],[unbuildable]]=1,2,1)</f>
        <v>52500</v>
      </c>
      <c r="CA1268" s="7">
        <f>Wapato_Inventory[[#This Row],[pre_res]]*Wapato_Inventory[[#This Row],[overall_adj]]</f>
        <v>0</v>
      </c>
      <c r="CB1268" s="3">
        <f>IF(ROUND(Wapato_Inventory[[#This Row],[adj_land]]*Lookups!$H$48,-2)&lt;Wapato_Inventory[[#This Row],[min_land]],Wapato_Inventory[[#This Row],[min_land]],ROUND(Wapato_Inventory[[#This Row],[adj_land]]*Lookups!$H$48,-2))</f>
        <v>49900</v>
      </c>
      <c r="CC126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68" s="3">
        <f>ROUND(Wapato_Inventory[[#This Row],[det_value]]*Lookups!$H$48,-2)</f>
        <v>0</v>
      </c>
      <c r="CE1268" s="3">
        <f>Wapato_Inventory[[#This Row],[final_res]]+Wapato_Inventory[[#This Row],[final_det]]</f>
        <v>0</v>
      </c>
      <c r="CF1268" s="3">
        <f>Wapato_Inventory[[#This Row],[crop_value]]+Wapato_Inventory[[#This Row],[final_land]]+Wapato_Inventory[[#This Row],[final_imp]]</f>
        <v>49900</v>
      </c>
      <c r="CH1268" t="str">
        <f t="shared" si="19"/>
        <v>update valuation set market_land =49900, market_bldg=0, market_total =49900, market_mdno =405, market_date ='9/10/2023' where link_id = (select link_id from parcel where parcel_year = '2024' and parcel_id = '19111041464');</v>
      </c>
    </row>
    <row r="1269" spans="1:86" x14ac:dyDescent="0.25">
      <c r="A1269">
        <v>19111041480</v>
      </c>
      <c r="B1269">
        <v>0.14000000000000001</v>
      </c>
      <c r="C1269">
        <v>6250</v>
      </c>
      <c r="D1269" t="s">
        <v>144</v>
      </c>
      <c r="E1269" t="s">
        <v>54</v>
      </c>
      <c r="F1269" t="s">
        <v>54</v>
      </c>
      <c r="G1269">
        <v>3</v>
      </c>
      <c r="H1269" t="s">
        <v>55</v>
      </c>
      <c r="I1269">
        <v>0</v>
      </c>
      <c r="J1269">
        <v>32800</v>
      </c>
      <c r="K1269">
        <v>0.14000000000000001</v>
      </c>
      <c r="L1269">
        <f>IF(Wapato_Inventory[[#This Row],[parcel_acres]]-Wapato_Inventory[[#This Row],[non_valued_acres]] =0,0,LN(Wapato_Inventory[[#This Row],[parcel_acres]]-Wapato_Inventory[[#This Row],[non_valued_acres]]))</f>
        <v>-1.9661128563728327</v>
      </c>
      <c r="M1269">
        <v>0</v>
      </c>
      <c r="N1269">
        <v>0</v>
      </c>
      <c r="O1269">
        <v>0</v>
      </c>
      <c r="P1269">
        <v>27904.037</v>
      </c>
      <c r="Q1269">
        <v>74398</v>
      </c>
      <c r="R1269" s="3">
        <f>(Wapato_Inventory[[#This Row],[ln_acres]]*Wapato_Inventory[[#This Row],[coeff]])+Wapato_Inventory[[#This Row],[const]]</f>
        <v>19535.514109596792</v>
      </c>
      <c r="AY1269">
        <v>0</v>
      </c>
      <c r="AZ1269">
        <v>0</v>
      </c>
      <c r="BE1269">
        <v>0</v>
      </c>
      <c r="BF1269">
        <v>15000</v>
      </c>
      <c r="BG1269">
        <v>0</v>
      </c>
      <c r="BH1269" s="7">
        <f>ROUND(Wapato_Inventory[[#This Row],[detatched_value]]*Lookups!$B$22*Lookups!$H$48,-2)</f>
        <v>0</v>
      </c>
      <c r="BI1269" s="7">
        <f>ROUND(((Wapato_Inventory[[#This Row],[land_extract]]*Lookups!$B$3) +(Lookups!$B$2*0.5))*Lookups!$H$48,-2)</f>
        <v>53000</v>
      </c>
      <c r="BJ1269" s="7">
        <f>IF(Wapato_Inventory[[#This Row],[bldg_style]]="",0,Lookups!$B$2*0.5)</f>
        <v>0</v>
      </c>
      <c r="BK1269" s="7">
        <f>_xlfn.IFNA(VLOOKUP(Wapato_Inventory[[#This Row],[quality]],Lookups!$H$2:$J$14,3,FALSE),0)</f>
        <v>0</v>
      </c>
      <c r="BL1269" s="7">
        <f>_xlfn.IFNA(VLOOKUP(Wapato_Inventory[[#This Row],[condition]],Lookups!$H$17:$J$24,3,FALSE),0)</f>
        <v>0</v>
      </c>
      <c r="BM1269" s="7">
        <f>Wapato_Inventory[[#This Row],[Age]]*Lookups!$B$16</f>
        <v>0</v>
      </c>
      <c r="BN1269" s="7">
        <f>Wapato_Inventory[[#This Row],[Main Floor]]*Lookups!$B$17</f>
        <v>0</v>
      </c>
      <c r="BO1269" s="7">
        <f>Wapato_Inventory[[#This Row],[Upper Floor]]*Lookups!$B$18</f>
        <v>0</v>
      </c>
      <c r="BP1269" s="7">
        <f>Wapato_Inventory[[#This Row],[Fin BSMT]]*Lookups!$B$19</f>
        <v>0</v>
      </c>
      <c r="BQ1269" s="7">
        <f>(Wapato_Inventory[[#This Row],[att_gar]]+Wapato_Inventory[[#This Row],[blt_gar]])*Lookups!$B$20</f>
        <v>0</v>
      </c>
      <c r="BR1269" s="7">
        <f>Wapato_Inventory[[#This Row],[Patio]]*Lookups!$B$21</f>
        <v>0</v>
      </c>
      <c r="BS1269" s="7">
        <f>SUM(Wapato_Inventory[[#This Row],[intercept]:[patio_value]])*Wapato_Inventory[[#This Row],[res_pct]]</f>
        <v>0</v>
      </c>
      <c r="BT1269" s="7">
        <f>Wapato_Inventory[[#This Row],[land_value]]</f>
        <v>53000</v>
      </c>
      <c r="BU1269" s="2">
        <f>_xlfn.IFNA(VLOOKUP(Wapato_Inventory[[#This Row],[quality]],Lookups!$A$28:$C$37,3,FALSE),1)</f>
        <v>1</v>
      </c>
      <c r="BV1269" s="2">
        <f>_xlfn.IFNA(VLOOKUP(Wapato_Inventory[[#This Row],[condition]],Lookups!$A$41:$C$48,3,FALSE),1)</f>
        <v>1</v>
      </c>
      <c r="BW1269" s="2">
        <f>IF(Wapato_Inventory[[#This Row],[decade]]="",1,_xlfn.IFNA(VLOOKUP(Wapato_Inventory[[#This Row],[decade]],Lookups!$F$28:$H$45,3,FALSE),1))</f>
        <v>1</v>
      </c>
      <c r="BX1269" s="2">
        <f>_xlfn.IFNA(VLOOKUP(Wapato_Inventory[[#This Row],[living_area_range]],Lookups!$K$28:$M$37,3,FALSE),1)</f>
        <v>1</v>
      </c>
      <c r="BY1269" s="2">
        <f>AVERAGE(Wapato_Inventory[[#This Row],[qual_adj]:[range_adj]])</f>
        <v>1</v>
      </c>
      <c r="BZ1269" s="7">
        <f>(Wapato_Inventory[[#This Row],[sum_land]]-IF(Wapato_Inventory[[#This Row],[no_utilities]]=1,12000,0))/IF(Wapato_Inventory[[#This Row],[unbuildable]]=1,2,1)</f>
        <v>53000</v>
      </c>
      <c r="CA1269" s="7">
        <f>Wapato_Inventory[[#This Row],[pre_res]]*Wapato_Inventory[[#This Row],[overall_adj]]</f>
        <v>0</v>
      </c>
      <c r="CB126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26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69" s="3">
        <f>ROUND(Wapato_Inventory[[#This Row],[det_value]]*Lookups!$H$48,-2)</f>
        <v>0</v>
      </c>
      <c r="CE1269" s="3">
        <f>Wapato_Inventory[[#This Row],[final_res]]+Wapato_Inventory[[#This Row],[final_det]]</f>
        <v>0</v>
      </c>
      <c r="CF1269" s="3">
        <f>Wapato_Inventory[[#This Row],[crop_value]]+Wapato_Inventory[[#This Row],[final_land]]+Wapato_Inventory[[#This Row],[final_imp]]</f>
        <v>50400</v>
      </c>
      <c r="CH1269" t="str">
        <f t="shared" si="19"/>
        <v>update valuation set market_land =50400, market_bldg=0, market_total =50400, market_mdno =405, market_date ='9/10/2023' where link_id = (select link_id from parcel where parcel_year = '2024' and parcel_id = '19111041480');</v>
      </c>
    </row>
    <row r="1270" spans="1:86" x14ac:dyDescent="0.25">
      <c r="A1270">
        <v>19111041482</v>
      </c>
      <c r="B1270">
        <v>0.14000000000000001</v>
      </c>
      <c r="C1270">
        <v>6250</v>
      </c>
      <c r="D1270" t="s">
        <v>144</v>
      </c>
      <c r="E1270" t="s">
        <v>54</v>
      </c>
      <c r="F1270" t="s">
        <v>54</v>
      </c>
      <c r="G1270">
        <v>3</v>
      </c>
      <c r="H1270" t="s">
        <v>55</v>
      </c>
      <c r="I1270">
        <v>16100</v>
      </c>
      <c r="J1270">
        <v>32800</v>
      </c>
      <c r="K1270">
        <v>0.14000000000000001</v>
      </c>
      <c r="L1270">
        <f>IF(Wapato_Inventory[[#This Row],[parcel_acres]]-Wapato_Inventory[[#This Row],[non_valued_acres]] =0,0,LN(Wapato_Inventory[[#This Row],[parcel_acres]]-Wapato_Inventory[[#This Row],[non_valued_acres]]))</f>
        <v>-1.9661128563728327</v>
      </c>
      <c r="M1270">
        <v>0</v>
      </c>
      <c r="N1270">
        <v>0</v>
      </c>
      <c r="O1270">
        <v>0</v>
      </c>
      <c r="P1270">
        <v>27904.037</v>
      </c>
      <c r="Q1270">
        <v>74398</v>
      </c>
      <c r="R1270" s="3">
        <f>(Wapato_Inventory[[#This Row],[ln_acres]]*Wapato_Inventory[[#This Row],[coeff]])+Wapato_Inventory[[#This Row],[const]]</f>
        <v>19535.514109596792</v>
      </c>
      <c r="AY1270">
        <v>0</v>
      </c>
      <c r="AZ1270">
        <v>19000</v>
      </c>
      <c r="BE1270">
        <v>0</v>
      </c>
      <c r="BF1270">
        <v>15000</v>
      </c>
      <c r="BG1270">
        <v>0</v>
      </c>
      <c r="BH1270" s="7">
        <f>ROUND(Wapato_Inventory[[#This Row],[detatched_value]]*Lookups!$B$22*Lookups!$H$48,-2)</f>
        <v>17000</v>
      </c>
      <c r="BI1270" s="7">
        <f>ROUND(((Wapato_Inventory[[#This Row],[land_extract]]*Lookups!$B$3) +(Lookups!$B$2*0.5))*Lookups!$H$48,-2)</f>
        <v>53000</v>
      </c>
      <c r="BJ1270" s="7">
        <f>IF(Wapato_Inventory[[#This Row],[bldg_style]]="",0,Lookups!$B$2*0.5)</f>
        <v>0</v>
      </c>
      <c r="BK1270" s="7">
        <f>_xlfn.IFNA(VLOOKUP(Wapato_Inventory[[#This Row],[quality]],Lookups!$H$2:$J$14,3,FALSE),0)</f>
        <v>0</v>
      </c>
      <c r="BL1270" s="7">
        <f>_xlfn.IFNA(VLOOKUP(Wapato_Inventory[[#This Row],[condition]],Lookups!$H$17:$J$24,3,FALSE),0)</f>
        <v>0</v>
      </c>
      <c r="BM1270" s="7">
        <f>Wapato_Inventory[[#This Row],[Age]]*Lookups!$B$16</f>
        <v>0</v>
      </c>
      <c r="BN1270" s="7">
        <f>Wapato_Inventory[[#This Row],[Main Floor]]*Lookups!$B$17</f>
        <v>0</v>
      </c>
      <c r="BO1270" s="7">
        <f>Wapato_Inventory[[#This Row],[Upper Floor]]*Lookups!$B$18</f>
        <v>0</v>
      </c>
      <c r="BP1270" s="7">
        <f>Wapato_Inventory[[#This Row],[Fin BSMT]]*Lookups!$B$19</f>
        <v>0</v>
      </c>
      <c r="BQ1270" s="7">
        <f>(Wapato_Inventory[[#This Row],[att_gar]]+Wapato_Inventory[[#This Row],[blt_gar]])*Lookups!$B$20</f>
        <v>0</v>
      </c>
      <c r="BR1270" s="7">
        <f>Wapato_Inventory[[#This Row],[Patio]]*Lookups!$B$21</f>
        <v>0</v>
      </c>
      <c r="BS1270" s="7">
        <f>SUM(Wapato_Inventory[[#This Row],[intercept]:[patio_value]])*Wapato_Inventory[[#This Row],[res_pct]]</f>
        <v>0</v>
      </c>
      <c r="BT1270" s="7">
        <f>Wapato_Inventory[[#This Row],[land_value]]</f>
        <v>53000</v>
      </c>
      <c r="BU1270" s="2">
        <f>_xlfn.IFNA(VLOOKUP(Wapato_Inventory[[#This Row],[quality]],Lookups!$A$28:$C$37,3,FALSE),1)</f>
        <v>1</v>
      </c>
      <c r="BV1270" s="2">
        <f>_xlfn.IFNA(VLOOKUP(Wapato_Inventory[[#This Row],[condition]],Lookups!$A$41:$C$48,3,FALSE),1)</f>
        <v>1</v>
      </c>
      <c r="BW1270" s="2">
        <f>IF(Wapato_Inventory[[#This Row],[decade]]="",1,_xlfn.IFNA(VLOOKUP(Wapato_Inventory[[#This Row],[decade]],Lookups!$F$28:$H$45,3,FALSE),1))</f>
        <v>1</v>
      </c>
      <c r="BX1270" s="2">
        <f>_xlfn.IFNA(VLOOKUP(Wapato_Inventory[[#This Row],[living_area_range]],Lookups!$K$28:$M$37,3,FALSE),1)</f>
        <v>1</v>
      </c>
      <c r="BY1270" s="2">
        <f>AVERAGE(Wapato_Inventory[[#This Row],[qual_adj]:[range_adj]])</f>
        <v>1</v>
      </c>
      <c r="BZ1270" s="7">
        <f>(Wapato_Inventory[[#This Row],[sum_land]]-IF(Wapato_Inventory[[#This Row],[no_utilities]]=1,12000,0))/IF(Wapato_Inventory[[#This Row],[unbuildable]]=1,2,1)</f>
        <v>53000</v>
      </c>
      <c r="CA1270" s="7">
        <f>Wapato_Inventory[[#This Row],[pre_res]]*Wapato_Inventory[[#This Row],[overall_adj]]</f>
        <v>0</v>
      </c>
      <c r="CB1270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27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70" s="3">
        <f>ROUND(Wapato_Inventory[[#This Row],[det_value]]*Lookups!$H$48,-2)</f>
        <v>16200</v>
      </c>
      <c r="CE1270" s="3">
        <f>Wapato_Inventory[[#This Row],[final_res]]+Wapato_Inventory[[#This Row],[final_det]]</f>
        <v>16200</v>
      </c>
      <c r="CF1270" s="3">
        <f>Wapato_Inventory[[#This Row],[crop_value]]+Wapato_Inventory[[#This Row],[final_land]]+Wapato_Inventory[[#This Row],[final_imp]]</f>
        <v>66600</v>
      </c>
      <c r="CH1270" t="str">
        <f t="shared" si="19"/>
        <v>update valuation set market_land =50400, market_bldg=16200, market_total =66600, market_mdno =405, market_date ='9/10/2023' where link_id = (select link_id from parcel where parcel_year = '2024' and parcel_id = '19111041482');</v>
      </c>
    </row>
    <row r="1271" spans="1:86" x14ac:dyDescent="0.25">
      <c r="A1271">
        <v>19111041493</v>
      </c>
      <c r="B1271">
        <v>0.14000000000000001</v>
      </c>
      <c r="C1271">
        <v>6244</v>
      </c>
      <c r="D1271" t="s">
        <v>144</v>
      </c>
      <c r="E1271" t="s">
        <v>54</v>
      </c>
      <c r="F1271" t="s">
        <v>54</v>
      </c>
      <c r="G1271">
        <v>3</v>
      </c>
      <c r="H1271" t="s">
        <v>55</v>
      </c>
      <c r="I1271">
        <v>0</v>
      </c>
      <c r="J1271">
        <v>32800</v>
      </c>
      <c r="K1271">
        <v>0.14000000000000001</v>
      </c>
      <c r="L1271">
        <f>IF(Wapato_Inventory[[#This Row],[parcel_acres]]-Wapato_Inventory[[#This Row],[non_valued_acres]] =0,0,LN(Wapato_Inventory[[#This Row],[parcel_acres]]-Wapato_Inventory[[#This Row],[non_valued_acres]]))</f>
        <v>-1.9661128563728327</v>
      </c>
      <c r="M1271">
        <v>0</v>
      </c>
      <c r="N1271">
        <v>0</v>
      </c>
      <c r="O1271">
        <v>0</v>
      </c>
      <c r="P1271">
        <v>27904.037</v>
      </c>
      <c r="Q1271">
        <v>74398</v>
      </c>
      <c r="R1271" s="3">
        <f>(Wapato_Inventory[[#This Row],[ln_acres]]*Wapato_Inventory[[#This Row],[coeff]])+Wapato_Inventory[[#This Row],[const]]</f>
        <v>19535.514109596792</v>
      </c>
      <c r="AY1271">
        <v>0</v>
      </c>
      <c r="AZ1271">
        <v>0</v>
      </c>
      <c r="BE1271">
        <v>0</v>
      </c>
      <c r="BF1271">
        <v>15000</v>
      </c>
      <c r="BG1271">
        <v>0</v>
      </c>
      <c r="BH1271" s="7">
        <f>ROUND(Wapato_Inventory[[#This Row],[detatched_value]]*Lookups!$B$22*Lookups!$H$48,-2)</f>
        <v>0</v>
      </c>
      <c r="BI1271" s="7">
        <f>ROUND(((Wapato_Inventory[[#This Row],[land_extract]]*Lookups!$B$3) +(Lookups!$B$2*0.5))*Lookups!$H$48,-2)</f>
        <v>53000</v>
      </c>
      <c r="BJ1271" s="7">
        <f>IF(Wapato_Inventory[[#This Row],[bldg_style]]="",0,Lookups!$B$2*0.5)</f>
        <v>0</v>
      </c>
      <c r="BK1271" s="7">
        <f>_xlfn.IFNA(VLOOKUP(Wapato_Inventory[[#This Row],[quality]],Lookups!$H$2:$J$14,3,FALSE),0)</f>
        <v>0</v>
      </c>
      <c r="BL1271" s="7">
        <f>_xlfn.IFNA(VLOOKUP(Wapato_Inventory[[#This Row],[condition]],Lookups!$H$17:$J$24,3,FALSE),0)</f>
        <v>0</v>
      </c>
      <c r="BM1271" s="7">
        <f>Wapato_Inventory[[#This Row],[Age]]*Lookups!$B$16</f>
        <v>0</v>
      </c>
      <c r="BN1271" s="7">
        <f>Wapato_Inventory[[#This Row],[Main Floor]]*Lookups!$B$17</f>
        <v>0</v>
      </c>
      <c r="BO1271" s="7">
        <f>Wapato_Inventory[[#This Row],[Upper Floor]]*Lookups!$B$18</f>
        <v>0</v>
      </c>
      <c r="BP1271" s="7">
        <f>Wapato_Inventory[[#This Row],[Fin BSMT]]*Lookups!$B$19</f>
        <v>0</v>
      </c>
      <c r="BQ1271" s="7">
        <f>(Wapato_Inventory[[#This Row],[att_gar]]+Wapato_Inventory[[#This Row],[blt_gar]])*Lookups!$B$20</f>
        <v>0</v>
      </c>
      <c r="BR1271" s="7">
        <f>Wapato_Inventory[[#This Row],[Patio]]*Lookups!$B$21</f>
        <v>0</v>
      </c>
      <c r="BS1271" s="7">
        <f>SUM(Wapato_Inventory[[#This Row],[intercept]:[patio_value]])*Wapato_Inventory[[#This Row],[res_pct]]</f>
        <v>0</v>
      </c>
      <c r="BT1271" s="7">
        <f>Wapato_Inventory[[#This Row],[land_value]]</f>
        <v>53000</v>
      </c>
      <c r="BU1271" s="2">
        <f>_xlfn.IFNA(VLOOKUP(Wapato_Inventory[[#This Row],[quality]],Lookups!$A$28:$C$37,3,FALSE),1)</f>
        <v>1</v>
      </c>
      <c r="BV1271" s="2">
        <f>_xlfn.IFNA(VLOOKUP(Wapato_Inventory[[#This Row],[condition]],Lookups!$A$41:$C$48,3,FALSE),1)</f>
        <v>1</v>
      </c>
      <c r="BW1271" s="2">
        <f>IF(Wapato_Inventory[[#This Row],[decade]]="",1,_xlfn.IFNA(VLOOKUP(Wapato_Inventory[[#This Row],[decade]],Lookups!$F$28:$H$45,3,FALSE),1))</f>
        <v>1</v>
      </c>
      <c r="BX1271" s="2">
        <f>_xlfn.IFNA(VLOOKUP(Wapato_Inventory[[#This Row],[living_area_range]],Lookups!$K$28:$M$37,3,FALSE),1)</f>
        <v>1</v>
      </c>
      <c r="BY1271" s="2">
        <f>AVERAGE(Wapato_Inventory[[#This Row],[qual_adj]:[range_adj]])</f>
        <v>1</v>
      </c>
      <c r="BZ1271" s="7">
        <f>(Wapato_Inventory[[#This Row],[sum_land]]-IF(Wapato_Inventory[[#This Row],[no_utilities]]=1,12000,0))/IF(Wapato_Inventory[[#This Row],[unbuildable]]=1,2,1)</f>
        <v>53000</v>
      </c>
      <c r="CA1271" s="7">
        <f>Wapato_Inventory[[#This Row],[pre_res]]*Wapato_Inventory[[#This Row],[overall_adj]]</f>
        <v>0</v>
      </c>
      <c r="CB127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27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71" s="3">
        <f>ROUND(Wapato_Inventory[[#This Row],[det_value]]*Lookups!$H$48,-2)</f>
        <v>0</v>
      </c>
      <c r="CE1271" s="3">
        <f>Wapato_Inventory[[#This Row],[final_res]]+Wapato_Inventory[[#This Row],[final_det]]</f>
        <v>0</v>
      </c>
      <c r="CF1271" s="3">
        <f>Wapato_Inventory[[#This Row],[crop_value]]+Wapato_Inventory[[#This Row],[final_land]]+Wapato_Inventory[[#This Row],[final_imp]]</f>
        <v>50400</v>
      </c>
      <c r="CH1271" t="str">
        <f t="shared" si="19"/>
        <v>update valuation set market_land =50400, market_bldg=0, market_total =50400, market_mdno =405, market_date ='9/10/2023' where link_id = (select link_id from parcel where parcel_year = '2024' and parcel_id = '19111041493');</v>
      </c>
    </row>
    <row r="1272" spans="1:86" x14ac:dyDescent="0.25">
      <c r="A1272">
        <v>19111041508</v>
      </c>
      <c r="B1272">
        <v>0.14000000000000001</v>
      </c>
      <c r="C1272">
        <v>6244</v>
      </c>
      <c r="D1272" t="s">
        <v>144</v>
      </c>
      <c r="E1272" t="s">
        <v>54</v>
      </c>
      <c r="F1272" t="s">
        <v>54</v>
      </c>
      <c r="G1272">
        <v>3</v>
      </c>
      <c r="H1272" t="s">
        <v>55</v>
      </c>
      <c r="I1272">
        <v>0</v>
      </c>
      <c r="J1272">
        <v>500</v>
      </c>
      <c r="K1272">
        <v>0.14000000000000001</v>
      </c>
      <c r="L1272">
        <f>IF(Wapato_Inventory[[#This Row],[parcel_acres]]-Wapato_Inventory[[#This Row],[non_valued_acres]] =0,0,LN(Wapato_Inventory[[#This Row],[parcel_acres]]-Wapato_Inventory[[#This Row],[non_valued_acres]]))</f>
        <v>-1.9661128563728327</v>
      </c>
      <c r="M1272">
        <v>0</v>
      </c>
      <c r="N1272">
        <v>0</v>
      </c>
      <c r="O1272">
        <v>0</v>
      </c>
      <c r="P1272">
        <v>27904.037</v>
      </c>
      <c r="Q1272">
        <v>74398</v>
      </c>
      <c r="R1272" s="3">
        <f>(Wapato_Inventory[[#This Row],[ln_acres]]*Wapato_Inventory[[#This Row],[coeff]])+Wapato_Inventory[[#This Row],[const]]</f>
        <v>19535.514109596792</v>
      </c>
      <c r="AY1272">
        <v>0</v>
      </c>
      <c r="AZ1272">
        <v>0</v>
      </c>
      <c r="BE1272">
        <v>0</v>
      </c>
      <c r="BF1272">
        <v>15000</v>
      </c>
      <c r="BG1272">
        <v>0</v>
      </c>
      <c r="BH1272" s="7">
        <f>ROUND(Wapato_Inventory[[#This Row],[detatched_value]]*Lookups!$B$22*Lookups!$H$48,-2)</f>
        <v>0</v>
      </c>
      <c r="BI1272" s="7">
        <f>ROUND(((Wapato_Inventory[[#This Row],[land_extract]]*Lookups!$B$3) +(Lookups!$B$2*0.5))*Lookups!$H$48,-2)</f>
        <v>53000</v>
      </c>
      <c r="BJ1272" s="7">
        <f>IF(Wapato_Inventory[[#This Row],[bldg_style]]="",0,Lookups!$B$2*0.5)</f>
        <v>0</v>
      </c>
      <c r="BK1272" s="7">
        <f>_xlfn.IFNA(VLOOKUP(Wapato_Inventory[[#This Row],[quality]],Lookups!$H$2:$J$14,3,FALSE),0)</f>
        <v>0</v>
      </c>
      <c r="BL1272" s="7">
        <f>_xlfn.IFNA(VLOOKUP(Wapato_Inventory[[#This Row],[condition]],Lookups!$H$17:$J$24,3,FALSE),0)</f>
        <v>0</v>
      </c>
      <c r="BM1272" s="7">
        <f>Wapato_Inventory[[#This Row],[Age]]*Lookups!$B$16</f>
        <v>0</v>
      </c>
      <c r="BN1272" s="7">
        <f>Wapato_Inventory[[#This Row],[Main Floor]]*Lookups!$B$17</f>
        <v>0</v>
      </c>
      <c r="BO1272" s="7">
        <f>Wapato_Inventory[[#This Row],[Upper Floor]]*Lookups!$B$18</f>
        <v>0</v>
      </c>
      <c r="BP1272" s="7">
        <f>Wapato_Inventory[[#This Row],[Fin BSMT]]*Lookups!$B$19</f>
        <v>0</v>
      </c>
      <c r="BQ1272" s="7">
        <f>(Wapato_Inventory[[#This Row],[att_gar]]+Wapato_Inventory[[#This Row],[blt_gar]])*Lookups!$B$20</f>
        <v>0</v>
      </c>
      <c r="BR1272" s="7">
        <f>Wapato_Inventory[[#This Row],[Patio]]*Lookups!$B$21</f>
        <v>0</v>
      </c>
      <c r="BS1272" s="7">
        <f>SUM(Wapato_Inventory[[#This Row],[intercept]:[patio_value]])*Wapato_Inventory[[#This Row],[res_pct]]</f>
        <v>0</v>
      </c>
      <c r="BT1272" s="7">
        <f>Wapato_Inventory[[#This Row],[land_value]]</f>
        <v>53000</v>
      </c>
      <c r="BU1272" s="2">
        <f>_xlfn.IFNA(VLOOKUP(Wapato_Inventory[[#This Row],[quality]],Lookups!$A$28:$C$37,3,FALSE),1)</f>
        <v>1</v>
      </c>
      <c r="BV1272" s="2">
        <f>_xlfn.IFNA(VLOOKUP(Wapato_Inventory[[#This Row],[condition]],Lookups!$A$41:$C$48,3,FALSE),1)</f>
        <v>1</v>
      </c>
      <c r="BW1272" s="2">
        <f>IF(Wapato_Inventory[[#This Row],[decade]]="",1,_xlfn.IFNA(VLOOKUP(Wapato_Inventory[[#This Row],[decade]],Lookups!$F$28:$H$45,3,FALSE),1))</f>
        <v>1</v>
      </c>
      <c r="BX1272" s="2">
        <f>_xlfn.IFNA(VLOOKUP(Wapato_Inventory[[#This Row],[living_area_range]],Lookups!$K$28:$M$37,3,FALSE),1)</f>
        <v>1</v>
      </c>
      <c r="BY1272" s="2">
        <f>AVERAGE(Wapato_Inventory[[#This Row],[qual_adj]:[range_adj]])</f>
        <v>1</v>
      </c>
      <c r="BZ1272" s="7">
        <f>(Wapato_Inventory[[#This Row],[sum_land]]-IF(Wapato_Inventory[[#This Row],[no_utilities]]=1,12000,0))/IF(Wapato_Inventory[[#This Row],[unbuildable]]=1,2,1)</f>
        <v>53000</v>
      </c>
      <c r="CA1272" s="7">
        <f>Wapato_Inventory[[#This Row],[pre_res]]*Wapato_Inventory[[#This Row],[overall_adj]]</f>
        <v>0</v>
      </c>
      <c r="CB1272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27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72" s="3">
        <f>ROUND(Wapato_Inventory[[#This Row],[det_value]]*Lookups!$H$48,-2)</f>
        <v>0</v>
      </c>
      <c r="CE1272" s="3">
        <f>Wapato_Inventory[[#This Row],[final_res]]+Wapato_Inventory[[#This Row],[final_det]]</f>
        <v>0</v>
      </c>
      <c r="CF1272" s="3">
        <f>Wapato_Inventory[[#This Row],[crop_value]]+Wapato_Inventory[[#This Row],[final_land]]+Wapato_Inventory[[#This Row],[final_imp]]</f>
        <v>50400</v>
      </c>
      <c r="CH1272" t="str">
        <f t="shared" si="19"/>
        <v>update valuation set market_land =50400, market_bldg=0, market_total =50400, market_mdno =405, market_date ='9/10/2023' where link_id = (select link_id from parcel where parcel_year = '2024' and parcel_id = '19111041508');</v>
      </c>
    </row>
    <row r="1273" spans="1:86" x14ac:dyDescent="0.25">
      <c r="A1273">
        <v>19111041519</v>
      </c>
      <c r="B1273">
        <v>0.11</v>
      </c>
      <c r="C1273">
        <v>4776</v>
      </c>
      <c r="D1273" t="s">
        <v>144</v>
      </c>
      <c r="E1273" t="s">
        <v>54</v>
      </c>
      <c r="F1273" t="s">
        <v>54</v>
      </c>
      <c r="G1273">
        <v>3</v>
      </c>
      <c r="H1273" t="s">
        <v>55</v>
      </c>
      <c r="I1273">
        <v>0</v>
      </c>
      <c r="J1273">
        <v>500</v>
      </c>
      <c r="K1273">
        <v>0.11</v>
      </c>
      <c r="L1273">
        <f>IF(Wapato_Inventory[[#This Row],[parcel_acres]]-Wapato_Inventory[[#This Row],[non_valued_acres]] =0,0,LN(Wapato_Inventory[[#This Row],[parcel_acres]]-Wapato_Inventory[[#This Row],[non_valued_acres]]))</f>
        <v>-2.2072749131897207</v>
      </c>
      <c r="M1273">
        <v>0</v>
      </c>
      <c r="N1273">
        <v>0</v>
      </c>
      <c r="O1273">
        <v>0</v>
      </c>
      <c r="P1273">
        <v>27904.037</v>
      </c>
      <c r="Q1273">
        <v>74398</v>
      </c>
      <c r="R1273" s="3">
        <f>(Wapato_Inventory[[#This Row],[ln_acres]]*Wapato_Inventory[[#This Row],[coeff]])+Wapato_Inventory[[#This Row],[const]]</f>
        <v>12806.119153182248</v>
      </c>
      <c r="AY1273">
        <v>0</v>
      </c>
      <c r="AZ1273">
        <v>0</v>
      </c>
      <c r="BE1273">
        <v>0</v>
      </c>
      <c r="BF1273">
        <v>15000</v>
      </c>
      <c r="BG1273">
        <v>0</v>
      </c>
      <c r="BH1273" s="7">
        <f>ROUND(Wapato_Inventory[[#This Row],[detatched_value]]*Lookups!$B$22*Lookups!$H$48,-2)</f>
        <v>0</v>
      </c>
      <c r="BI1273" s="7">
        <f>ROUND(((Wapato_Inventory[[#This Row],[land_extract]]*Lookups!$B$3) +(Lookups!$B$2*0.5))*Lookups!$H$48,-2)</f>
        <v>52300</v>
      </c>
      <c r="BJ1273" s="7">
        <f>IF(Wapato_Inventory[[#This Row],[bldg_style]]="",0,Lookups!$B$2*0.5)</f>
        <v>0</v>
      </c>
      <c r="BK1273" s="7">
        <f>_xlfn.IFNA(VLOOKUP(Wapato_Inventory[[#This Row],[quality]],Lookups!$H$2:$J$14,3,FALSE),0)</f>
        <v>0</v>
      </c>
      <c r="BL1273" s="7">
        <f>_xlfn.IFNA(VLOOKUP(Wapato_Inventory[[#This Row],[condition]],Lookups!$H$17:$J$24,3,FALSE),0)</f>
        <v>0</v>
      </c>
      <c r="BM1273" s="7">
        <f>Wapato_Inventory[[#This Row],[Age]]*Lookups!$B$16</f>
        <v>0</v>
      </c>
      <c r="BN1273" s="7">
        <f>Wapato_Inventory[[#This Row],[Main Floor]]*Lookups!$B$17</f>
        <v>0</v>
      </c>
      <c r="BO1273" s="7">
        <f>Wapato_Inventory[[#This Row],[Upper Floor]]*Lookups!$B$18</f>
        <v>0</v>
      </c>
      <c r="BP1273" s="7">
        <f>Wapato_Inventory[[#This Row],[Fin BSMT]]*Lookups!$B$19</f>
        <v>0</v>
      </c>
      <c r="BQ1273" s="7">
        <f>(Wapato_Inventory[[#This Row],[att_gar]]+Wapato_Inventory[[#This Row],[blt_gar]])*Lookups!$B$20</f>
        <v>0</v>
      </c>
      <c r="BR1273" s="7">
        <f>Wapato_Inventory[[#This Row],[Patio]]*Lookups!$B$21</f>
        <v>0</v>
      </c>
      <c r="BS1273" s="7">
        <f>SUM(Wapato_Inventory[[#This Row],[intercept]:[patio_value]])*Wapato_Inventory[[#This Row],[res_pct]]</f>
        <v>0</v>
      </c>
      <c r="BT1273" s="7">
        <f>Wapato_Inventory[[#This Row],[land_value]]</f>
        <v>52300</v>
      </c>
      <c r="BU1273" s="2">
        <f>_xlfn.IFNA(VLOOKUP(Wapato_Inventory[[#This Row],[quality]],Lookups!$A$28:$C$37,3,FALSE),1)</f>
        <v>1</v>
      </c>
      <c r="BV1273" s="2">
        <f>_xlfn.IFNA(VLOOKUP(Wapato_Inventory[[#This Row],[condition]],Lookups!$A$41:$C$48,3,FALSE),1)</f>
        <v>1</v>
      </c>
      <c r="BW1273" s="2">
        <f>IF(Wapato_Inventory[[#This Row],[decade]]="",1,_xlfn.IFNA(VLOOKUP(Wapato_Inventory[[#This Row],[decade]],Lookups!$F$28:$H$45,3,FALSE),1))</f>
        <v>1</v>
      </c>
      <c r="BX1273" s="2">
        <f>_xlfn.IFNA(VLOOKUP(Wapato_Inventory[[#This Row],[living_area_range]],Lookups!$K$28:$M$37,3,FALSE),1)</f>
        <v>1</v>
      </c>
      <c r="BY1273" s="2">
        <f>AVERAGE(Wapato_Inventory[[#This Row],[qual_adj]:[range_adj]])</f>
        <v>1</v>
      </c>
      <c r="BZ1273" s="7">
        <f>(Wapato_Inventory[[#This Row],[sum_land]]-IF(Wapato_Inventory[[#This Row],[no_utilities]]=1,12000,0))/IF(Wapato_Inventory[[#This Row],[unbuildable]]=1,2,1)</f>
        <v>52300</v>
      </c>
      <c r="CA1273" s="7">
        <f>Wapato_Inventory[[#This Row],[pre_res]]*Wapato_Inventory[[#This Row],[overall_adj]]</f>
        <v>0</v>
      </c>
      <c r="CB1273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127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73" s="3">
        <f>ROUND(Wapato_Inventory[[#This Row],[det_value]]*Lookups!$H$48,-2)</f>
        <v>0</v>
      </c>
      <c r="CE1273" s="3">
        <f>Wapato_Inventory[[#This Row],[final_res]]+Wapato_Inventory[[#This Row],[final_det]]</f>
        <v>0</v>
      </c>
      <c r="CF1273" s="3">
        <f>Wapato_Inventory[[#This Row],[crop_value]]+Wapato_Inventory[[#This Row],[final_land]]+Wapato_Inventory[[#This Row],[final_imp]]</f>
        <v>49700</v>
      </c>
      <c r="CH1273" t="str">
        <f t="shared" si="19"/>
        <v>update valuation set market_land =49700, market_bldg=0, market_total =49700, market_mdno =405, market_date ='9/10/2023' where link_id = (select link_id from parcel where parcel_year = '2024' and parcel_id = '19111041519');</v>
      </c>
    </row>
    <row r="1274" spans="1:86" x14ac:dyDescent="0.25">
      <c r="A1274">
        <v>19111041520</v>
      </c>
      <c r="B1274">
        <v>0.14000000000000001</v>
      </c>
      <c r="C1274">
        <v>5970</v>
      </c>
      <c r="D1274" t="s">
        <v>144</v>
      </c>
      <c r="E1274" t="s">
        <v>54</v>
      </c>
      <c r="F1274" t="s">
        <v>54</v>
      </c>
      <c r="G1274">
        <v>3</v>
      </c>
      <c r="H1274" t="s">
        <v>55</v>
      </c>
      <c r="I1274">
        <v>0</v>
      </c>
      <c r="J1274">
        <v>500</v>
      </c>
      <c r="K1274">
        <v>0.14000000000000001</v>
      </c>
      <c r="L1274">
        <f>IF(Wapato_Inventory[[#This Row],[parcel_acres]]-Wapato_Inventory[[#This Row],[non_valued_acres]] =0,0,LN(Wapato_Inventory[[#This Row],[parcel_acres]]-Wapato_Inventory[[#This Row],[non_valued_acres]]))</f>
        <v>-1.9661128563728327</v>
      </c>
      <c r="M1274">
        <v>0</v>
      </c>
      <c r="N1274">
        <v>0</v>
      </c>
      <c r="O1274">
        <v>0</v>
      </c>
      <c r="P1274">
        <v>27904.037</v>
      </c>
      <c r="Q1274">
        <v>74398</v>
      </c>
      <c r="R1274" s="3">
        <f>(Wapato_Inventory[[#This Row],[ln_acres]]*Wapato_Inventory[[#This Row],[coeff]])+Wapato_Inventory[[#This Row],[const]]</f>
        <v>19535.514109596792</v>
      </c>
      <c r="AY1274">
        <v>0</v>
      </c>
      <c r="AZ1274">
        <v>0</v>
      </c>
      <c r="BE1274">
        <v>0</v>
      </c>
      <c r="BF1274">
        <v>15000</v>
      </c>
      <c r="BG1274">
        <v>0</v>
      </c>
      <c r="BH1274" s="7">
        <f>ROUND(Wapato_Inventory[[#This Row],[detatched_value]]*Lookups!$B$22*Lookups!$H$48,-2)</f>
        <v>0</v>
      </c>
      <c r="BI1274" s="7">
        <f>ROUND(((Wapato_Inventory[[#This Row],[land_extract]]*Lookups!$B$3) +(Lookups!$B$2*0.5))*Lookups!$H$48,-2)</f>
        <v>53000</v>
      </c>
      <c r="BJ1274" s="7">
        <f>IF(Wapato_Inventory[[#This Row],[bldg_style]]="",0,Lookups!$B$2*0.5)</f>
        <v>0</v>
      </c>
      <c r="BK1274" s="7">
        <f>_xlfn.IFNA(VLOOKUP(Wapato_Inventory[[#This Row],[quality]],Lookups!$H$2:$J$14,3,FALSE),0)</f>
        <v>0</v>
      </c>
      <c r="BL1274" s="7">
        <f>_xlfn.IFNA(VLOOKUP(Wapato_Inventory[[#This Row],[condition]],Lookups!$H$17:$J$24,3,FALSE),0)</f>
        <v>0</v>
      </c>
      <c r="BM1274" s="7">
        <f>Wapato_Inventory[[#This Row],[Age]]*Lookups!$B$16</f>
        <v>0</v>
      </c>
      <c r="BN1274" s="7">
        <f>Wapato_Inventory[[#This Row],[Main Floor]]*Lookups!$B$17</f>
        <v>0</v>
      </c>
      <c r="BO1274" s="7">
        <f>Wapato_Inventory[[#This Row],[Upper Floor]]*Lookups!$B$18</f>
        <v>0</v>
      </c>
      <c r="BP1274" s="7">
        <f>Wapato_Inventory[[#This Row],[Fin BSMT]]*Lookups!$B$19</f>
        <v>0</v>
      </c>
      <c r="BQ1274" s="7">
        <f>(Wapato_Inventory[[#This Row],[att_gar]]+Wapato_Inventory[[#This Row],[blt_gar]])*Lookups!$B$20</f>
        <v>0</v>
      </c>
      <c r="BR1274" s="7">
        <f>Wapato_Inventory[[#This Row],[Patio]]*Lookups!$B$21</f>
        <v>0</v>
      </c>
      <c r="BS1274" s="7">
        <f>SUM(Wapato_Inventory[[#This Row],[intercept]:[patio_value]])*Wapato_Inventory[[#This Row],[res_pct]]</f>
        <v>0</v>
      </c>
      <c r="BT1274" s="7">
        <f>Wapato_Inventory[[#This Row],[land_value]]</f>
        <v>53000</v>
      </c>
      <c r="BU1274" s="2">
        <f>_xlfn.IFNA(VLOOKUP(Wapato_Inventory[[#This Row],[quality]],Lookups!$A$28:$C$37,3,FALSE),1)</f>
        <v>1</v>
      </c>
      <c r="BV1274" s="2">
        <f>_xlfn.IFNA(VLOOKUP(Wapato_Inventory[[#This Row],[condition]],Lookups!$A$41:$C$48,3,FALSE),1)</f>
        <v>1</v>
      </c>
      <c r="BW1274" s="2">
        <f>IF(Wapato_Inventory[[#This Row],[decade]]="",1,_xlfn.IFNA(VLOOKUP(Wapato_Inventory[[#This Row],[decade]],Lookups!$F$28:$H$45,3,FALSE),1))</f>
        <v>1</v>
      </c>
      <c r="BX1274" s="2">
        <f>_xlfn.IFNA(VLOOKUP(Wapato_Inventory[[#This Row],[living_area_range]],Lookups!$K$28:$M$37,3,FALSE),1)</f>
        <v>1</v>
      </c>
      <c r="BY1274" s="2">
        <f>AVERAGE(Wapato_Inventory[[#This Row],[qual_adj]:[range_adj]])</f>
        <v>1</v>
      </c>
      <c r="BZ1274" s="7">
        <f>(Wapato_Inventory[[#This Row],[sum_land]]-IF(Wapato_Inventory[[#This Row],[no_utilities]]=1,12000,0))/IF(Wapato_Inventory[[#This Row],[unbuildable]]=1,2,1)</f>
        <v>53000</v>
      </c>
      <c r="CA1274" s="7">
        <f>Wapato_Inventory[[#This Row],[pre_res]]*Wapato_Inventory[[#This Row],[overall_adj]]</f>
        <v>0</v>
      </c>
      <c r="CB1274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27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74" s="3">
        <f>ROUND(Wapato_Inventory[[#This Row],[det_value]]*Lookups!$H$48,-2)</f>
        <v>0</v>
      </c>
      <c r="CE1274" s="3">
        <f>Wapato_Inventory[[#This Row],[final_res]]+Wapato_Inventory[[#This Row],[final_det]]</f>
        <v>0</v>
      </c>
      <c r="CF1274" s="3">
        <f>Wapato_Inventory[[#This Row],[crop_value]]+Wapato_Inventory[[#This Row],[final_land]]+Wapato_Inventory[[#This Row],[final_imp]]</f>
        <v>50400</v>
      </c>
      <c r="CH1274" t="str">
        <f t="shared" si="19"/>
        <v>update valuation set market_land =50400, market_bldg=0, market_total =50400, market_mdno =405, market_date ='9/10/2023' where link_id = (select link_id from parcel where parcel_year = '2024' and parcel_id = '19111041520');</v>
      </c>
    </row>
    <row r="1275" spans="1:86" x14ac:dyDescent="0.25">
      <c r="A1275">
        <v>19111041543</v>
      </c>
      <c r="B1275">
        <v>0.14000000000000001</v>
      </c>
      <c r="C1275">
        <v>6250</v>
      </c>
      <c r="D1275" t="s">
        <v>144</v>
      </c>
      <c r="E1275" t="s">
        <v>54</v>
      </c>
      <c r="F1275" t="s">
        <v>54</v>
      </c>
      <c r="G1275">
        <v>3</v>
      </c>
      <c r="H1275" t="s">
        <v>55</v>
      </c>
      <c r="I1275">
        <v>0</v>
      </c>
      <c r="J1275">
        <v>500</v>
      </c>
      <c r="K1275">
        <v>0.14000000000000001</v>
      </c>
      <c r="L1275">
        <f>IF(Wapato_Inventory[[#This Row],[parcel_acres]]-Wapato_Inventory[[#This Row],[non_valued_acres]] =0,0,LN(Wapato_Inventory[[#This Row],[parcel_acres]]-Wapato_Inventory[[#This Row],[non_valued_acres]]))</f>
        <v>-1.9661128563728327</v>
      </c>
      <c r="M1275">
        <v>0</v>
      </c>
      <c r="N1275">
        <v>1</v>
      </c>
      <c r="O1275">
        <v>0</v>
      </c>
      <c r="P1275">
        <v>27904.037</v>
      </c>
      <c r="Q1275">
        <v>74398</v>
      </c>
      <c r="R1275" s="3">
        <f>(Wapato_Inventory[[#This Row],[ln_acres]]*Wapato_Inventory[[#This Row],[coeff]])+Wapato_Inventory[[#This Row],[const]]</f>
        <v>19535.514109596792</v>
      </c>
      <c r="AY1275">
        <v>0</v>
      </c>
      <c r="AZ1275">
        <v>0</v>
      </c>
      <c r="BE1275">
        <v>0</v>
      </c>
      <c r="BF1275">
        <v>12000</v>
      </c>
      <c r="BG1275">
        <v>0</v>
      </c>
      <c r="BH1275" s="7">
        <f>ROUND(Wapato_Inventory[[#This Row],[detatched_value]]*Lookups!$B$22*Lookups!$H$48,-2)</f>
        <v>0</v>
      </c>
      <c r="BI1275" s="7">
        <f>ROUND(((Wapato_Inventory[[#This Row],[land_extract]]*Lookups!$B$3) +(Lookups!$B$2*0.5))*Lookups!$H$48,-2)</f>
        <v>53000</v>
      </c>
      <c r="BJ1275" s="7">
        <f>IF(Wapato_Inventory[[#This Row],[bldg_style]]="",0,Lookups!$B$2*0.5)</f>
        <v>0</v>
      </c>
      <c r="BK1275" s="7">
        <f>_xlfn.IFNA(VLOOKUP(Wapato_Inventory[[#This Row],[quality]],Lookups!$H$2:$J$14,3,FALSE),0)</f>
        <v>0</v>
      </c>
      <c r="BL1275" s="7">
        <f>_xlfn.IFNA(VLOOKUP(Wapato_Inventory[[#This Row],[condition]],Lookups!$H$17:$J$24,3,FALSE),0)</f>
        <v>0</v>
      </c>
      <c r="BM1275" s="7">
        <f>Wapato_Inventory[[#This Row],[Age]]*Lookups!$B$16</f>
        <v>0</v>
      </c>
      <c r="BN1275" s="7">
        <f>Wapato_Inventory[[#This Row],[Main Floor]]*Lookups!$B$17</f>
        <v>0</v>
      </c>
      <c r="BO1275" s="7">
        <f>Wapato_Inventory[[#This Row],[Upper Floor]]*Lookups!$B$18</f>
        <v>0</v>
      </c>
      <c r="BP1275" s="7">
        <f>Wapato_Inventory[[#This Row],[Fin BSMT]]*Lookups!$B$19</f>
        <v>0</v>
      </c>
      <c r="BQ1275" s="7">
        <f>(Wapato_Inventory[[#This Row],[att_gar]]+Wapato_Inventory[[#This Row],[blt_gar]])*Lookups!$B$20</f>
        <v>0</v>
      </c>
      <c r="BR1275" s="7">
        <f>Wapato_Inventory[[#This Row],[Patio]]*Lookups!$B$21</f>
        <v>0</v>
      </c>
      <c r="BS1275" s="7">
        <f>SUM(Wapato_Inventory[[#This Row],[intercept]:[patio_value]])*Wapato_Inventory[[#This Row],[res_pct]]</f>
        <v>0</v>
      </c>
      <c r="BT1275" s="7">
        <f>Wapato_Inventory[[#This Row],[land_value]]</f>
        <v>53000</v>
      </c>
      <c r="BU1275" s="2">
        <f>_xlfn.IFNA(VLOOKUP(Wapato_Inventory[[#This Row],[quality]],Lookups!$A$28:$C$37,3,FALSE),1)</f>
        <v>1</v>
      </c>
      <c r="BV1275" s="2">
        <f>_xlfn.IFNA(VLOOKUP(Wapato_Inventory[[#This Row],[condition]],Lookups!$A$41:$C$48,3,FALSE),1)</f>
        <v>1</v>
      </c>
      <c r="BW1275" s="2">
        <f>IF(Wapato_Inventory[[#This Row],[decade]]="",1,_xlfn.IFNA(VLOOKUP(Wapato_Inventory[[#This Row],[decade]],Lookups!$F$28:$H$45,3,FALSE),1))</f>
        <v>1</v>
      </c>
      <c r="BX1275" s="2">
        <f>_xlfn.IFNA(VLOOKUP(Wapato_Inventory[[#This Row],[living_area_range]],Lookups!$K$28:$M$37,3,FALSE),1)</f>
        <v>1</v>
      </c>
      <c r="BY1275" s="2">
        <f>AVERAGE(Wapato_Inventory[[#This Row],[qual_adj]:[range_adj]])</f>
        <v>1</v>
      </c>
      <c r="BZ1275" s="7">
        <f>(Wapato_Inventory[[#This Row],[sum_land]]-IF(Wapato_Inventory[[#This Row],[no_utilities]]=1,12000,0))/IF(Wapato_Inventory[[#This Row],[unbuildable]]=1,2,1)</f>
        <v>26500</v>
      </c>
      <c r="CA1275" s="7">
        <f>Wapato_Inventory[[#This Row],[pre_res]]*Wapato_Inventory[[#This Row],[overall_adj]]</f>
        <v>0</v>
      </c>
      <c r="CB1275" s="3">
        <f>IF(ROUND(Wapato_Inventory[[#This Row],[adj_land]]*Lookups!$H$48,-2)&lt;Wapato_Inventory[[#This Row],[min_land]],Wapato_Inventory[[#This Row],[min_land]],ROUND(Wapato_Inventory[[#This Row],[adj_land]]*Lookups!$H$48,-2))</f>
        <v>25200</v>
      </c>
      <c r="CC127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75" s="3">
        <f>ROUND(Wapato_Inventory[[#This Row],[det_value]]*Lookups!$H$48,-2)</f>
        <v>0</v>
      </c>
      <c r="CE1275" s="3">
        <f>Wapato_Inventory[[#This Row],[final_res]]+Wapato_Inventory[[#This Row],[final_det]]</f>
        <v>0</v>
      </c>
      <c r="CF1275" s="3">
        <f>Wapato_Inventory[[#This Row],[crop_value]]+Wapato_Inventory[[#This Row],[final_land]]+Wapato_Inventory[[#This Row],[final_imp]]</f>
        <v>25200</v>
      </c>
      <c r="CH1275" t="str">
        <f t="shared" si="19"/>
        <v>update valuation set market_land =25200, market_bldg=0, market_total =25200, market_mdno =405, market_date ='9/10/2023' where link_id = (select link_id from parcel where parcel_year = '2024' and parcel_id = '19111041543');</v>
      </c>
    </row>
    <row r="1276" spans="1:86" x14ac:dyDescent="0.25">
      <c r="A1276">
        <v>19111041557</v>
      </c>
      <c r="B1276">
        <v>0.15</v>
      </c>
      <c r="C1276">
        <v>6331</v>
      </c>
      <c r="D1276" t="s">
        <v>144</v>
      </c>
      <c r="E1276" t="s">
        <v>54</v>
      </c>
      <c r="F1276" t="s">
        <v>54</v>
      </c>
      <c r="G1276">
        <v>3</v>
      </c>
      <c r="H1276" t="s">
        <v>55</v>
      </c>
      <c r="I1276">
        <v>0</v>
      </c>
      <c r="J1276">
        <v>33300</v>
      </c>
      <c r="K1276">
        <v>0.15</v>
      </c>
      <c r="L1276">
        <f>IF(Wapato_Inventory[[#This Row],[parcel_acres]]-Wapato_Inventory[[#This Row],[non_valued_acres]] =0,0,LN(Wapato_Inventory[[#This Row],[parcel_acres]]-Wapato_Inventory[[#This Row],[non_valued_acres]]))</f>
        <v>-1.8971199848858813</v>
      </c>
      <c r="M1276">
        <v>0</v>
      </c>
      <c r="N1276">
        <v>0</v>
      </c>
      <c r="O1276">
        <v>0</v>
      </c>
      <c r="P1276">
        <v>27904.037</v>
      </c>
      <c r="Q1276">
        <v>74398</v>
      </c>
      <c r="R1276" s="3">
        <f>(Wapato_Inventory[[#This Row],[ln_acres]]*Wapato_Inventory[[#This Row],[coeff]])+Wapato_Inventory[[#This Row],[const]]</f>
        <v>21460.693748304926</v>
      </c>
      <c r="AY1276">
        <v>0</v>
      </c>
      <c r="AZ1276">
        <v>0</v>
      </c>
      <c r="BE1276">
        <v>0</v>
      </c>
      <c r="BF1276">
        <v>15000</v>
      </c>
      <c r="BG1276">
        <v>0</v>
      </c>
      <c r="BH1276" s="7">
        <f>ROUND(Wapato_Inventory[[#This Row],[detatched_value]]*Lookups!$B$22*Lookups!$H$48,-2)</f>
        <v>0</v>
      </c>
      <c r="BI1276" s="7">
        <f>ROUND(((Wapato_Inventory[[#This Row],[land_extract]]*Lookups!$B$3) +(Lookups!$B$2*0.5))*Lookups!$H$48,-2)</f>
        <v>53100</v>
      </c>
      <c r="BJ1276" s="7">
        <f>IF(Wapato_Inventory[[#This Row],[bldg_style]]="",0,Lookups!$B$2*0.5)</f>
        <v>0</v>
      </c>
      <c r="BK1276" s="7">
        <f>_xlfn.IFNA(VLOOKUP(Wapato_Inventory[[#This Row],[quality]],Lookups!$H$2:$J$14,3,FALSE),0)</f>
        <v>0</v>
      </c>
      <c r="BL1276" s="7">
        <f>_xlfn.IFNA(VLOOKUP(Wapato_Inventory[[#This Row],[condition]],Lookups!$H$17:$J$24,3,FALSE),0)</f>
        <v>0</v>
      </c>
      <c r="BM1276" s="7">
        <f>Wapato_Inventory[[#This Row],[Age]]*Lookups!$B$16</f>
        <v>0</v>
      </c>
      <c r="BN1276" s="7">
        <f>Wapato_Inventory[[#This Row],[Main Floor]]*Lookups!$B$17</f>
        <v>0</v>
      </c>
      <c r="BO1276" s="7">
        <f>Wapato_Inventory[[#This Row],[Upper Floor]]*Lookups!$B$18</f>
        <v>0</v>
      </c>
      <c r="BP1276" s="7">
        <f>Wapato_Inventory[[#This Row],[Fin BSMT]]*Lookups!$B$19</f>
        <v>0</v>
      </c>
      <c r="BQ1276" s="7">
        <f>(Wapato_Inventory[[#This Row],[att_gar]]+Wapato_Inventory[[#This Row],[blt_gar]])*Lookups!$B$20</f>
        <v>0</v>
      </c>
      <c r="BR1276" s="7">
        <f>Wapato_Inventory[[#This Row],[Patio]]*Lookups!$B$21</f>
        <v>0</v>
      </c>
      <c r="BS1276" s="7">
        <f>SUM(Wapato_Inventory[[#This Row],[intercept]:[patio_value]])*Wapato_Inventory[[#This Row],[res_pct]]</f>
        <v>0</v>
      </c>
      <c r="BT1276" s="7">
        <f>Wapato_Inventory[[#This Row],[land_value]]</f>
        <v>53100</v>
      </c>
      <c r="BU1276" s="2">
        <f>_xlfn.IFNA(VLOOKUP(Wapato_Inventory[[#This Row],[quality]],Lookups!$A$28:$C$37,3,FALSE),1)</f>
        <v>1</v>
      </c>
      <c r="BV1276" s="2">
        <f>_xlfn.IFNA(VLOOKUP(Wapato_Inventory[[#This Row],[condition]],Lookups!$A$41:$C$48,3,FALSE),1)</f>
        <v>1</v>
      </c>
      <c r="BW1276" s="2">
        <f>IF(Wapato_Inventory[[#This Row],[decade]]="",1,_xlfn.IFNA(VLOOKUP(Wapato_Inventory[[#This Row],[decade]],Lookups!$F$28:$H$45,3,FALSE),1))</f>
        <v>1</v>
      </c>
      <c r="BX1276" s="2">
        <f>_xlfn.IFNA(VLOOKUP(Wapato_Inventory[[#This Row],[living_area_range]],Lookups!$K$28:$M$37,3,FALSE),1)</f>
        <v>1</v>
      </c>
      <c r="BY1276" s="2">
        <f>AVERAGE(Wapato_Inventory[[#This Row],[qual_adj]:[range_adj]])</f>
        <v>1</v>
      </c>
      <c r="BZ1276" s="7">
        <f>(Wapato_Inventory[[#This Row],[sum_land]]-IF(Wapato_Inventory[[#This Row],[no_utilities]]=1,12000,0))/IF(Wapato_Inventory[[#This Row],[unbuildable]]=1,2,1)</f>
        <v>53100</v>
      </c>
      <c r="CA1276" s="7">
        <f>Wapato_Inventory[[#This Row],[pre_res]]*Wapato_Inventory[[#This Row],[overall_adj]]</f>
        <v>0</v>
      </c>
      <c r="CB1276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27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76" s="3">
        <f>ROUND(Wapato_Inventory[[#This Row],[det_value]]*Lookups!$H$48,-2)</f>
        <v>0</v>
      </c>
      <c r="CE1276" s="3">
        <f>Wapato_Inventory[[#This Row],[final_res]]+Wapato_Inventory[[#This Row],[final_det]]</f>
        <v>0</v>
      </c>
      <c r="CF1276" s="3">
        <f>Wapato_Inventory[[#This Row],[crop_value]]+Wapato_Inventory[[#This Row],[final_land]]+Wapato_Inventory[[#This Row],[final_imp]]</f>
        <v>50400</v>
      </c>
      <c r="CH1276" t="str">
        <f t="shared" si="19"/>
        <v>update valuation set market_land =50400, market_bldg=0, market_total =50400, market_mdno =405, market_date ='9/10/2023' where link_id = (select link_id from parcel where parcel_year = '2024' and parcel_id = '19111041557');</v>
      </c>
    </row>
    <row r="1277" spans="1:86" x14ac:dyDescent="0.25">
      <c r="A1277">
        <v>19111041566</v>
      </c>
      <c r="B1277">
        <v>0.14000000000000001</v>
      </c>
      <c r="C1277">
        <v>6226</v>
      </c>
      <c r="D1277" t="s">
        <v>144</v>
      </c>
      <c r="E1277" t="s">
        <v>54</v>
      </c>
      <c r="F1277" t="s">
        <v>54</v>
      </c>
      <c r="G1277">
        <v>3</v>
      </c>
      <c r="H1277" t="s">
        <v>55</v>
      </c>
      <c r="I1277">
        <v>0</v>
      </c>
      <c r="J1277">
        <v>32800</v>
      </c>
      <c r="K1277">
        <v>0.14000000000000001</v>
      </c>
      <c r="L1277">
        <f>IF(Wapato_Inventory[[#This Row],[parcel_acres]]-Wapato_Inventory[[#This Row],[non_valued_acres]] =0,0,LN(Wapato_Inventory[[#This Row],[parcel_acres]]-Wapato_Inventory[[#This Row],[non_valued_acres]]))</f>
        <v>-1.9661128563728327</v>
      </c>
      <c r="M1277">
        <v>0</v>
      </c>
      <c r="N1277">
        <v>1</v>
      </c>
      <c r="O1277">
        <v>0</v>
      </c>
      <c r="P1277">
        <v>27904.037</v>
      </c>
      <c r="Q1277">
        <v>74398</v>
      </c>
      <c r="R1277" s="3">
        <f>(Wapato_Inventory[[#This Row],[ln_acres]]*Wapato_Inventory[[#This Row],[coeff]])+Wapato_Inventory[[#This Row],[const]]</f>
        <v>19535.514109596792</v>
      </c>
      <c r="AY1277">
        <v>0</v>
      </c>
      <c r="AZ1277">
        <v>0</v>
      </c>
      <c r="BE1277">
        <v>0</v>
      </c>
      <c r="BF1277">
        <v>12000</v>
      </c>
      <c r="BG1277">
        <v>0</v>
      </c>
      <c r="BH1277" s="7">
        <f>ROUND(Wapato_Inventory[[#This Row],[detatched_value]]*Lookups!$B$22*Lookups!$H$48,-2)</f>
        <v>0</v>
      </c>
      <c r="BI1277" s="7">
        <f>ROUND(((Wapato_Inventory[[#This Row],[land_extract]]*Lookups!$B$3) +(Lookups!$B$2*0.5))*Lookups!$H$48,-2)</f>
        <v>53000</v>
      </c>
      <c r="BJ1277" s="7">
        <f>IF(Wapato_Inventory[[#This Row],[bldg_style]]="",0,Lookups!$B$2*0.5)</f>
        <v>0</v>
      </c>
      <c r="BK1277" s="7">
        <f>_xlfn.IFNA(VLOOKUP(Wapato_Inventory[[#This Row],[quality]],Lookups!$H$2:$J$14,3,FALSE),0)</f>
        <v>0</v>
      </c>
      <c r="BL1277" s="7">
        <f>_xlfn.IFNA(VLOOKUP(Wapato_Inventory[[#This Row],[condition]],Lookups!$H$17:$J$24,3,FALSE),0)</f>
        <v>0</v>
      </c>
      <c r="BM1277" s="7">
        <f>Wapato_Inventory[[#This Row],[Age]]*Lookups!$B$16</f>
        <v>0</v>
      </c>
      <c r="BN1277" s="7">
        <f>Wapato_Inventory[[#This Row],[Main Floor]]*Lookups!$B$17</f>
        <v>0</v>
      </c>
      <c r="BO1277" s="7">
        <f>Wapato_Inventory[[#This Row],[Upper Floor]]*Lookups!$B$18</f>
        <v>0</v>
      </c>
      <c r="BP1277" s="7">
        <f>Wapato_Inventory[[#This Row],[Fin BSMT]]*Lookups!$B$19</f>
        <v>0</v>
      </c>
      <c r="BQ1277" s="7">
        <f>(Wapato_Inventory[[#This Row],[att_gar]]+Wapato_Inventory[[#This Row],[blt_gar]])*Lookups!$B$20</f>
        <v>0</v>
      </c>
      <c r="BR1277" s="7">
        <f>Wapato_Inventory[[#This Row],[Patio]]*Lookups!$B$21</f>
        <v>0</v>
      </c>
      <c r="BS1277" s="7">
        <f>SUM(Wapato_Inventory[[#This Row],[intercept]:[patio_value]])*Wapato_Inventory[[#This Row],[res_pct]]</f>
        <v>0</v>
      </c>
      <c r="BT1277" s="7">
        <f>Wapato_Inventory[[#This Row],[land_value]]</f>
        <v>53000</v>
      </c>
      <c r="BU1277" s="2">
        <f>_xlfn.IFNA(VLOOKUP(Wapato_Inventory[[#This Row],[quality]],Lookups!$A$28:$C$37,3,FALSE),1)</f>
        <v>1</v>
      </c>
      <c r="BV1277" s="2">
        <f>_xlfn.IFNA(VLOOKUP(Wapato_Inventory[[#This Row],[condition]],Lookups!$A$41:$C$48,3,FALSE),1)</f>
        <v>1</v>
      </c>
      <c r="BW1277" s="2">
        <f>IF(Wapato_Inventory[[#This Row],[decade]]="",1,_xlfn.IFNA(VLOOKUP(Wapato_Inventory[[#This Row],[decade]],Lookups!$F$28:$H$45,3,FALSE),1))</f>
        <v>1</v>
      </c>
      <c r="BX1277" s="2">
        <f>_xlfn.IFNA(VLOOKUP(Wapato_Inventory[[#This Row],[living_area_range]],Lookups!$K$28:$M$37,3,FALSE),1)</f>
        <v>1</v>
      </c>
      <c r="BY1277" s="2">
        <f>AVERAGE(Wapato_Inventory[[#This Row],[qual_adj]:[range_adj]])</f>
        <v>1</v>
      </c>
      <c r="BZ1277" s="7">
        <f>(Wapato_Inventory[[#This Row],[sum_land]]-IF(Wapato_Inventory[[#This Row],[no_utilities]]=1,12000,0))/IF(Wapato_Inventory[[#This Row],[unbuildable]]=1,2,1)</f>
        <v>26500</v>
      </c>
      <c r="CA1277" s="7">
        <f>Wapato_Inventory[[#This Row],[pre_res]]*Wapato_Inventory[[#This Row],[overall_adj]]</f>
        <v>0</v>
      </c>
      <c r="CB1277" s="3">
        <f>IF(ROUND(Wapato_Inventory[[#This Row],[adj_land]]*Lookups!$H$48,-2)&lt;Wapato_Inventory[[#This Row],[min_land]],Wapato_Inventory[[#This Row],[min_land]],ROUND(Wapato_Inventory[[#This Row],[adj_land]]*Lookups!$H$48,-2))</f>
        <v>25200</v>
      </c>
      <c r="CC127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77" s="3">
        <f>ROUND(Wapato_Inventory[[#This Row],[det_value]]*Lookups!$H$48,-2)</f>
        <v>0</v>
      </c>
      <c r="CE1277" s="3">
        <f>Wapato_Inventory[[#This Row],[final_res]]+Wapato_Inventory[[#This Row],[final_det]]</f>
        <v>0</v>
      </c>
      <c r="CF1277" s="3">
        <f>Wapato_Inventory[[#This Row],[crop_value]]+Wapato_Inventory[[#This Row],[final_land]]+Wapato_Inventory[[#This Row],[final_imp]]</f>
        <v>25200</v>
      </c>
      <c r="CH1277" t="str">
        <f t="shared" si="19"/>
        <v>update valuation set market_land =25200, market_bldg=0, market_total =25200, market_mdno =405, market_date ='9/10/2023' where link_id = (select link_id from parcel where parcel_year = '2024' and parcel_id = '19111041566');</v>
      </c>
    </row>
    <row r="1278" spans="1:86" x14ac:dyDescent="0.25">
      <c r="A1278">
        <v>19111041589</v>
      </c>
      <c r="B1278">
        <v>0.14000000000000001</v>
      </c>
      <c r="C1278">
        <v>6250</v>
      </c>
      <c r="D1278" t="s">
        <v>144</v>
      </c>
      <c r="E1278" t="s">
        <v>54</v>
      </c>
      <c r="F1278" t="s">
        <v>54</v>
      </c>
      <c r="G1278">
        <v>3</v>
      </c>
      <c r="H1278" t="s">
        <v>55</v>
      </c>
      <c r="I1278">
        <v>0</v>
      </c>
      <c r="J1278">
        <v>32800</v>
      </c>
      <c r="K1278">
        <v>0.14000000000000001</v>
      </c>
      <c r="L1278">
        <f>IF(Wapato_Inventory[[#This Row],[parcel_acres]]-Wapato_Inventory[[#This Row],[non_valued_acres]] =0,0,LN(Wapato_Inventory[[#This Row],[parcel_acres]]-Wapato_Inventory[[#This Row],[non_valued_acres]]))</f>
        <v>-1.9661128563728327</v>
      </c>
      <c r="M1278">
        <v>0</v>
      </c>
      <c r="N1278">
        <v>0</v>
      </c>
      <c r="O1278">
        <v>0</v>
      </c>
      <c r="P1278">
        <v>27904.037</v>
      </c>
      <c r="Q1278">
        <v>74398</v>
      </c>
      <c r="R1278" s="3">
        <f>(Wapato_Inventory[[#This Row],[ln_acres]]*Wapato_Inventory[[#This Row],[coeff]])+Wapato_Inventory[[#This Row],[const]]</f>
        <v>19535.514109596792</v>
      </c>
      <c r="AY1278">
        <v>0</v>
      </c>
      <c r="AZ1278">
        <v>0</v>
      </c>
      <c r="BE1278">
        <v>0</v>
      </c>
      <c r="BF1278">
        <v>15000</v>
      </c>
      <c r="BG1278">
        <v>0</v>
      </c>
      <c r="BH1278" s="7">
        <f>ROUND(Wapato_Inventory[[#This Row],[detatched_value]]*Lookups!$B$22*Lookups!$H$48,-2)</f>
        <v>0</v>
      </c>
      <c r="BI1278" s="7">
        <f>ROUND(((Wapato_Inventory[[#This Row],[land_extract]]*Lookups!$B$3) +(Lookups!$B$2*0.5))*Lookups!$H$48,-2)</f>
        <v>53000</v>
      </c>
      <c r="BJ1278" s="7">
        <f>IF(Wapato_Inventory[[#This Row],[bldg_style]]="",0,Lookups!$B$2*0.5)</f>
        <v>0</v>
      </c>
      <c r="BK1278" s="7">
        <f>_xlfn.IFNA(VLOOKUP(Wapato_Inventory[[#This Row],[quality]],Lookups!$H$2:$J$14,3,FALSE),0)</f>
        <v>0</v>
      </c>
      <c r="BL1278" s="7">
        <f>_xlfn.IFNA(VLOOKUP(Wapato_Inventory[[#This Row],[condition]],Lookups!$H$17:$J$24,3,FALSE),0)</f>
        <v>0</v>
      </c>
      <c r="BM1278" s="7">
        <f>Wapato_Inventory[[#This Row],[Age]]*Lookups!$B$16</f>
        <v>0</v>
      </c>
      <c r="BN1278" s="7">
        <f>Wapato_Inventory[[#This Row],[Main Floor]]*Lookups!$B$17</f>
        <v>0</v>
      </c>
      <c r="BO1278" s="7">
        <f>Wapato_Inventory[[#This Row],[Upper Floor]]*Lookups!$B$18</f>
        <v>0</v>
      </c>
      <c r="BP1278" s="7">
        <f>Wapato_Inventory[[#This Row],[Fin BSMT]]*Lookups!$B$19</f>
        <v>0</v>
      </c>
      <c r="BQ1278" s="7">
        <f>(Wapato_Inventory[[#This Row],[att_gar]]+Wapato_Inventory[[#This Row],[blt_gar]])*Lookups!$B$20</f>
        <v>0</v>
      </c>
      <c r="BR1278" s="7">
        <f>Wapato_Inventory[[#This Row],[Patio]]*Lookups!$B$21</f>
        <v>0</v>
      </c>
      <c r="BS1278" s="7">
        <f>SUM(Wapato_Inventory[[#This Row],[intercept]:[patio_value]])*Wapato_Inventory[[#This Row],[res_pct]]</f>
        <v>0</v>
      </c>
      <c r="BT1278" s="7">
        <f>Wapato_Inventory[[#This Row],[land_value]]</f>
        <v>53000</v>
      </c>
      <c r="BU1278" s="2">
        <f>_xlfn.IFNA(VLOOKUP(Wapato_Inventory[[#This Row],[quality]],Lookups!$A$28:$C$37,3,FALSE),1)</f>
        <v>1</v>
      </c>
      <c r="BV1278" s="2">
        <f>_xlfn.IFNA(VLOOKUP(Wapato_Inventory[[#This Row],[condition]],Lookups!$A$41:$C$48,3,FALSE),1)</f>
        <v>1</v>
      </c>
      <c r="BW1278" s="2">
        <f>IF(Wapato_Inventory[[#This Row],[decade]]="",1,_xlfn.IFNA(VLOOKUP(Wapato_Inventory[[#This Row],[decade]],Lookups!$F$28:$H$45,3,FALSE),1))</f>
        <v>1</v>
      </c>
      <c r="BX1278" s="2">
        <f>_xlfn.IFNA(VLOOKUP(Wapato_Inventory[[#This Row],[living_area_range]],Lookups!$K$28:$M$37,3,FALSE),1)</f>
        <v>1</v>
      </c>
      <c r="BY1278" s="2">
        <f>AVERAGE(Wapato_Inventory[[#This Row],[qual_adj]:[range_adj]])</f>
        <v>1</v>
      </c>
      <c r="BZ1278" s="7">
        <f>(Wapato_Inventory[[#This Row],[sum_land]]-IF(Wapato_Inventory[[#This Row],[no_utilities]]=1,12000,0))/IF(Wapato_Inventory[[#This Row],[unbuildable]]=1,2,1)</f>
        <v>53000</v>
      </c>
      <c r="CA1278" s="7">
        <f>Wapato_Inventory[[#This Row],[pre_res]]*Wapato_Inventory[[#This Row],[overall_adj]]</f>
        <v>0</v>
      </c>
      <c r="CB1278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27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78" s="3">
        <f>ROUND(Wapato_Inventory[[#This Row],[det_value]]*Lookups!$H$48,-2)</f>
        <v>0</v>
      </c>
      <c r="CE1278" s="3">
        <f>Wapato_Inventory[[#This Row],[final_res]]+Wapato_Inventory[[#This Row],[final_det]]</f>
        <v>0</v>
      </c>
      <c r="CF1278" s="3">
        <f>Wapato_Inventory[[#This Row],[crop_value]]+Wapato_Inventory[[#This Row],[final_land]]+Wapato_Inventory[[#This Row],[final_imp]]</f>
        <v>50400</v>
      </c>
      <c r="CH1278" t="str">
        <f t="shared" si="19"/>
        <v>update valuation set market_land =50400, market_bldg=0, market_total =50400, market_mdno =405, market_date ='9/10/2023' where link_id = (select link_id from parcel where parcel_year = '2024' and parcel_id = '19111041589');</v>
      </c>
    </row>
    <row r="1279" spans="1:86" x14ac:dyDescent="0.25">
      <c r="A1279">
        <v>19111042419</v>
      </c>
      <c r="B1279">
        <v>0.14000000000000001</v>
      </c>
      <c r="C1279">
        <v>6282</v>
      </c>
      <c r="D1279" t="s">
        <v>144</v>
      </c>
      <c r="E1279" t="s">
        <v>54</v>
      </c>
      <c r="F1279" t="s">
        <v>54</v>
      </c>
      <c r="G1279">
        <v>3</v>
      </c>
      <c r="H1279" t="s">
        <v>55</v>
      </c>
      <c r="I1279">
        <v>0</v>
      </c>
      <c r="J1279">
        <v>32800</v>
      </c>
      <c r="K1279">
        <v>0.14000000000000001</v>
      </c>
      <c r="L1279">
        <f>IF(Wapato_Inventory[[#This Row],[parcel_acres]]-Wapato_Inventory[[#This Row],[non_valued_acres]] =0,0,LN(Wapato_Inventory[[#This Row],[parcel_acres]]-Wapato_Inventory[[#This Row],[non_valued_acres]]))</f>
        <v>-1.9661128563728327</v>
      </c>
      <c r="M1279">
        <v>0</v>
      </c>
      <c r="N1279">
        <v>0</v>
      </c>
      <c r="O1279">
        <v>0</v>
      </c>
      <c r="P1279">
        <v>27904.037</v>
      </c>
      <c r="Q1279">
        <v>74398</v>
      </c>
      <c r="R1279" s="3">
        <f>(Wapato_Inventory[[#This Row],[ln_acres]]*Wapato_Inventory[[#This Row],[coeff]])+Wapato_Inventory[[#This Row],[const]]</f>
        <v>19535.514109596792</v>
      </c>
      <c r="AY1279">
        <v>0</v>
      </c>
      <c r="AZ1279">
        <v>0</v>
      </c>
      <c r="BE1279">
        <v>0</v>
      </c>
      <c r="BF1279">
        <v>15000</v>
      </c>
      <c r="BG1279">
        <v>0</v>
      </c>
      <c r="BH1279" s="7">
        <f>ROUND(Wapato_Inventory[[#This Row],[detatched_value]]*Lookups!$B$22*Lookups!$H$48,-2)</f>
        <v>0</v>
      </c>
      <c r="BI1279" s="7">
        <f>ROUND(((Wapato_Inventory[[#This Row],[land_extract]]*Lookups!$B$3) +(Lookups!$B$2*0.5))*Lookups!$H$48,-2)</f>
        <v>53000</v>
      </c>
      <c r="BJ1279" s="7">
        <f>IF(Wapato_Inventory[[#This Row],[bldg_style]]="",0,Lookups!$B$2*0.5)</f>
        <v>0</v>
      </c>
      <c r="BK1279" s="7">
        <f>_xlfn.IFNA(VLOOKUP(Wapato_Inventory[[#This Row],[quality]],Lookups!$H$2:$J$14,3,FALSE),0)</f>
        <v>0</v>
      </c>
      <c r="BL1279" s="7">
        <f>_xlfn.IFNA(VLOOKUP(Wapato_Inventory[[#This Row],[condition]],Lookups!$H$17:$J$24,3,FALSE),0)</f>
        <v>0</v>
      </c>
      <c r="BM1279" s="7">
        <f>Wapato_Inventory[[#This Row],[Age]]*Lookups!$B$16</f>
        <v>0</v>
      </c>
      <c r="BN1279" s="7">
        <f>Wapato_Inventory[[#This Row],[Main Floor]]*Lookups!$B$17</f>
        <v>0</v>
      </c>
      <c r="BO1279" s="7">
        <f>Wapato_Inventory[[#This Row],[Upper Floor]]*Lookups!$B$18</f>
        <v>0</v>
      </c>
      <c r="BP1279" s="7">
        <f>Wapato_Inventory[[#This Row],[Fin BSMT]]*Lookups!$B$19</f>
        <v>0</v>
      </c>
      <c r="BQ1279" s="7">
        <f>(Wapato_Inventory[[#This Row],[att_gar]]+Wapato_Inventory[[#This Row],[blt_gar]])*Lookups!$B$20</f>
        <v>0</v>
      </c>
      <c r="BR1279" s="7">
        <f>Wapato_Inventory[[#This Row],[Patio]]*Lookups!$B$21</f>
        <v>0</v>
      </c>
      <c r="BS1279" s="7">
        <f>SUM(Wapato_Inventory[[#This Row],[intercept]:[patio_value]])*Wapato_Inventory[[#This Row],[res_pct]]</f>
        <v>0</v>
      </c>
      <c r="BT1279" s="7">
        <f>Wapato_Inventory[[#This Row],[land_value]]</f>
        <v>53000</v>
      </c>
      <c r="BU1279" s="2">
        <f>_xlfn.IFNA(VLOOKUP(Wapato_Inventory[[#This Row],[quality]],Lookups!$A$28:$C$37,3,FALSE),1)</f>
        <v>1</v>
      </c>
      <c r="BV1279" s="2">
        <f>_xlfn.IFNA(VLOOKUP(Wapato_Inventory[[#This Row],[condition]],Lookups!$A$41:$C$48,3,FALSE),1)</f>
        <v>1</v>
      </c>
      <c r="BW1279" s="2">
        <f>IF(Wapato_Inventory[[#This Row],[decade]]="",1,_xlfn.IFNA(VLOOKUP(Wapato_Inventory[[#This Row],[decade]],Lookups!$F$28:$H$45,3,FALSE),1))</f>
        <v>1</v>
      </c>
      <c r="BX1279" s="2">
        <f>_xlfn.IFNA(VLOOKUP(Wapato_Inventory[[#This Row],[living_area_range]],Lookups!$K$28:$M$37,3,FALSE),1)</f>
        <v>1</v>
      </c>
      <c r="BY1279" s="2">
        <f>AVERAGE(Wapato_Inventory[[#This Row],[qual_adj]:[range_adj]])</f>
        <v>1</v>
      </c>
      <c r="BZ1279" s="7">
        <f>(Wapato_Inventory[[#This Row],[sum_land]]-IF(Wapato_Inventory[[#This Row],[no_utilities]]=1,12000,0))/IF(Wapato_Inventory[[#This Row],[unbuildable]]=1,2,1)</f>
        <v>53000</v>
      </c>
      <c r="CA1279" s="7">
        <f>Wapato_Inventory[[#This Row],[pre_res]]*Wapato_Inventory[[#This Row],[overall_adj]]</f>
        <v>0</v>
      </c>
      <c r="CB1279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27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79" s="3">
        <f>ROUND(Wapato_Inventory[[#This Row],[det_value]]*Lookups!$H$48,-2)</f>
        <v>0</v>
      </c>
      <c r="CE1279" s="3">
        <f>Wapato_Inventory[[#This Row],[final_res]]+Wapato_Inventory[[#This Row],[final_det]]</f>
        <v>0</v>
      </c>
      <c r="CF1279" s="3">
        <f>Wapato_Inventory[[#This Row],[crop_value]]+Wapato_Inventory[[#This Row],[final_land]]+Wapato_Inventory[[#This Row],[final_imp]]</f>
        <v>50400</v>
      </c>
      <c r="CH1279" t="str">
        <f t="shared" si="19"/>
        <v>update valuation set market_land =50400, market_bldg=0, market_total =50400, market_mdno =405, market_date ='9/10/2023' where link_id = (select link_id from parcel where parcel_year = '2024' and parcel_id = '19111042419');</v>
      </c>
    </row>
    <row r="1280" spans="1:86" x14ac:dyDescent="0.25">
      <c r="A1280">
        <v>19111042420</v>
      </c>
      <c r="B1280">
        <v>0.19</v>
      </c>
      <c r="C1280">
        <v>8142</v>
      </c>
      <c r="D1280" t="s">
        <v>144</v>
      </c>
      <c r="E1280" t="s">
        <v>54</v>
      </c>
      <c r="F1280" t="s">
        <v>54</v>
      </c>
      <c r="G1280">
        <v>3</v>
      </c>
      <c r="H1280" t="s">
        <v>55</v>
      </c>
      <c r="I1280">
        <v>0</v>
      </c>
      <c r="J1280">
        <v>35100</v>
      </c>
      <c r="K1280">
        <v>0.19</v>
      </c>
      <c r="L1280">
        <f>IF(Wapato_Inventory[[#This Row],[parcel_acres]]-Wapato_Inventory[[#This Row],[non_valued_acres]] =0,0,LN(Wapato_Inventory[[#This Row],[parcel_acres]]-Wapato_Inventory[[#This Row],[non_valued_acres]]))</f>
        <v>-1.6607312068216509</v>
      </c>
      <c r="M1280">
        <v>0</v>
      </c>
      <c r="N1280">
        <v>0</v>
      </c>
      <c r="O1280">
        <v>0</v>
      </c>
      <c r="P1280">
        <v>27904.037</v>
      </c>
      <c r="Q1280">
        <v>74398</v>
      </c>
      <c r="R1280" s="3">
        <f>(Wapato_Inventory[[#This Row],[ln_acres]]*Wapato_Inventory[[#This Row],[coeff]])+Wapato_Inventory[[#This Row],[const]]</f>
        <v>28056.894957794</v>
      </c>
      <c r="AY1280">
        <v>0</v>
      </c>
      <c r="AZ1280">
        <v>0</v>
      </c>
      <c r="BE1280">
        <v>0</v>
      </c>
      <c r="BF1280">
        <v>15000</v>
      </c>
      <c r="BG1280">
        <v>0</v>
      </c>
      <c r="BH1280" s="7">
        <f>ROUND(Wapato_Inventory[[#This Row],[detatched_value]]*Lookups!$B$22*Lookups!$H$48,-2)</f>
        <v>0</v>
      </c>
      <c r="BI1280" s="7">
        <f>ROUND(((Wapato_Inventory[[#This Row],[land_extract]]*Lookups!$B$3) +(Lookups!$B$2*0.5))*Lookups!$H$48,-2)</f>
        <v>53800</v>
      </c>
      <c r="BJ1280" s="7">
        <f>IF(Wapato_Inventory[[#This Row],[bldg_style]]="",0,Lookups!$B$2*0.5)</f>
        <v>0</v>
      </c>
      <c r="BK1280" s="7">
        <f>_xlfn.IFNA(VLOOKUP(Wapato_Inventory[[#This Row],[quality]],Lookups!$H$2:$J$14,3,FALSE),0)</f>
        <v>0</v>
      </c>
      <c r="BL1280" s="7">
        <f>_xlfn.IFNA(VLOOKUP(Wapato_Inventory[[#This Row],[condition]],Lookups!$H$17:$J$24,3,FALSE),0)</f>
        <v>0</v>
      </c>
      <c r="BM1280" s="7">
        <f>Wapato_Inventory[[#This Row],[Age]]*Lookups!$B$16</f>
        <v>0</v>
      </c>
      <c r="BN1280" s="7">
        <f>Wapato_Inventory[[#This Row],[Main Floor]]*Lookups!$B$17</f>
        <v>0</v>
      </c>
      <c r="BO1280" s="7">
        <f>Wapato_Inventory[[#This Row],[Upper Floor]]*Lookups!$B$18</f>
        <v>0</v>
      </c>
      <c r="BP1280" s="7">
        <f>Wapato_Inventory[[#This Row],[Fin BSMT]]*Lookups!$B$19</f>
        <v>0</v>
      </c>
      <c r="BQ1280" s="7">
        <f>(Wapato_Inventory[[#This Row],[att_gar]]+Wapato_Inventory[[#This Row],[blt_gar]])*Lookups!$B$20</f>
        <v>0</v>
      </c>
      <c r="BR1280" s="7">
        <f>Wapato_Inventory[[#This Row],[Patio]]*Lookups!$B$21</f>
        <v>0</v>
      </c>
      <c r="BS1280" s="7">
        <f>SUM(Wapato_Inventory[[#This Row],[intercept]:[patio_value]])*Wapato_Inventory[[#This Row],[res_pct]]</f>
        <v>0</v>
      </c>
      <c r="BT1280" s="7">
        <f>Wapato_Inventory[[#This Row],[land_value]]</f>
        <v>53800</v>
      </c>
      <c r="BU1280" s="2">
        <f>_xlfn.IFNA(VLOOKUP(Wapato_Inventory[[#This Row],[quality]],Lookups!$A$28:$C$37,3,FALSE),1)</f>
        <v>1</v>
      </c>
      <c r="BV1280" s="2">
        <f>_xlfn.IFNA(VLOOKUP(Wapato_Inventory[[#This Row],[condition]],Lookups!$A$41:$C$48,3,FALSE),1)</f>
        <v>1</v>
      </c>
      <c r="BW1280" s="2">
        <f>IF(Wapato_Inventory[[#This Row],[decade]]="",1,_xlfn.IFNA(VLOOKUP(Wapato_Inventory[[#This Row],[decade]],Lookups!$F$28:$H$45,3,FALSE),1))</f>
        <v>1</v>
      </c>
      <c r="BX1280" s="2">
        <f>_xlfn.IFNA(VLOOKUP(Wapato_Inventory[[#This Row],[living_area_range]],Lookups!$K$28:$M$37,3,FALSE),1)</f>
        <v>1</v>
      </c>
      <c r="BY1280" s="2">
        <f>AVERAGE(Wapato_Inventory[[#This Row],[qual_adj]:[range_adj]])</f>
        <v>1</v>
      </c>
      <c r="BZ1280" s="7">
        <f>(Wapato_Inventory[[#This Row],[sum_land]]-IF(Wapato_Inventory[[#This Row],[no_utilities]]=1,12000,0))/IF(Wapato_Inventory[[#This Row],[unbuildable]]=1,2,1)</f>
        <v>53800</v>
      </c>
      <c r="CA1280" s="7">
        <f>Wapato_Inventory[[#This Row],[pre_res]]*Wapato_Inventory[[#This Row],[overall_adj]]</f>
        <v>0</v>
      </c>
      <c r="CB1280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28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80" s="3">
        <f>ROUND(Wapato_Inventory[[#This Row],[det_value]]*Lookups!$H$48,-2)</f>
        <v>0</v>
      </c>
      <c r="CE1280" s="3">
        <f>Wapato_Inventory[[#This Row],[final_res]]+Wapato_Inventory[[#This Row],[final_det]]</f>
        <v>0</v>
      </c>
      <c r="CF1280" s="3">
        <f>Wapato_Inventory[[#This Row],[crop_value]]+Wapato_Inventory[[#This Row],[final_land]]+Wapato_Inventory[[#This Row],[final_imp]]</f>
        <v>51100</v>
      </c>
      <c r="CH1280" t="str">
        <f t="shared" si="19"/>
        <v>update valuation set market_land =51100, market_bldg=0, market_total =51100, market_mdno =405, market_date ='9/10/2023' where link_id = (select link_id from parcel where parcel_year = '2024' and parcel_id = '19111042420');</v>
      </c>
    </row>
    <row r="1281" spans="1:86" x14ac:dyDescent="0.25">
      <c r="A1281">
        <v>19111042450</v>
      </c>
      <c r="B1281">
        <v>0.21</v>
      </c>
      <c r="C1281" t="s">
        <v>144</v>
      </c>
      <c r="D1281" t="s">
        <v>144</v>
      </c>
      <c r="E1281" t="s">
        <v>54</v>
      </c>
      <c r="F1281" t="s">
        <v>54</v>
      </c>
      <c r="G1281">
        <v>3</v>
      </c>
      <c r="H1281" t="s">
        <v>55</v>
      </c>
      <c r="I1281">
        <v>0</v>
      </c>
      <c r="J1281">
        <v>35800</v>
      </c>
      <c r="K1281">
        <v>0.21</v>
      </c>
      <c r="L1281">
        <f>IF(Wapato_Inventory[[#This Row],[parcel_acres]]-Wapato_Inventory[[#This Row],[non_valued_acres]] =0,0,LN(Wapato_Inventory[[#This Row],[parcel_acres]]-Wapato_Inventory[[#This Row],[non_valued_acres]]))</f>
        <v>-1.5606477482646683</v>
      </c>
      <c r="M1281">
        <v>0</v>
      </c>
      <c r="N1281">
        <v>0</v>
      </c>
      <c r="O1281">
        <v>1</v>
      </c>
      <c r="P1281">
        <v>27904.037</v>
      </c>
      <c r="Q1281">
        <v>74398</v>
      </c>
      <c r="R1281" s="3">
        <f>(Wapato_Inventory[[#This Row],[ln_acres]]*Wapato_Inventory[[#This Row],[coeff]])+Wapato_Inventory[[#This Row],[const]]</f>
        <v>30849.627488456012</v>
      </c>
      <c r="AY1281">
        <v>0</v>
      </c>
      <c r="AZ1281">
        <v>0</v>
      </c>
      <c r="BE1281">
        <v>0</v>
      </c>
      <c r="BF1281">
        <v>3000</v>
      </c>
      <c r="BG1281">
        <v>0</v>
      </c>
      <c r="BH1281" s="7">
        <f>ROUND(Wapato_Inventory[[#This Row],[detatched_value]]*Lookups!$B$22*Lookups!$H$48,-2)</f>
        <v>0</v>
      </c>
      <c r="BI1281" s="7">
        <f>ROUND(((Wapato_Inventory[[#This Row],[land_extract]]*Lookups!$B$3) +(Lookups!$B$2*0.5))*Lookups!$H$48,-2)</f>
        <v>54100</v>
      </c>
      <c r="BJ1281" s="7">
        <f>IF(Wapato_Inventory[[#This Row],[bldg_style]]="",0,Lookups!$B$2*0.5)</f>
        <v>0</v>
      </c>
      <c r="BK1281" s="7">
        <f>_xlfn.IFNA(VLOOKUP(Wapato_Inventory[[#This Row],[quality]],Lookups!$H$2:$J$14,3,FALSE),0)</f>
        <v>0</v>
      </c>
      <c r="BL1281" s="7">
        <f>_xlfn.IFNA(VLOOKUP(Wapato_Inventory[[#This Row],[condition]],Lookups!$H$17:$J$24,3,FALSE),0)</f>
        <v>0</v>
      </c>
      <c r="BM1281" s="7">
        <f>Wapato_Inventory[[#This Row],[Age]]*Lookups!$B$16</f>
        <v>0</v>
      </c>
      <c r="BN1281" s="7">
        <f>Wapato_Inventory[[#This Row],[Main Floor]]*Lookups!$B$17</f>
        <v>0</v>
      </c>
      <c r="BO1281" s="7">
        <f>Wapato_Inventory[[#This Row],[Upper Floor]]*Lookups!$B$18</f>
        <v>0</v>
      </c>
      <c r="BP1281" s="7">
        <f>Wapato_Inventory[[#This Row],[Fin BSMT]]*Lookups!$B$19</f>
        <v>0</v>
      </c>
      <c r="BQ1281" s="7">
        <f>(Wapato_Inventory[[#This Row],[att_gar]]+Wapato_Inventory[[#This Row],[blt_gar]])*Lookups!$B$20</f>
        <v>0</v>
      </c>
      <c r="BR1281" s="7">
        <f>Wapato_Inventory[[#This Row],[Patio]]*Lookups!$B$21</f>
        <v>0</v>
      </c>
      <c r="BS1281" s="7">
        <f>SUM(Wapato_Inventory[[#This Row],[intercept]:[patio_value]])*Wapato_Inventory[[#This Row],[res_pct]]</f>
        <v>0</v>
      </c>
      <c r="BT1281" s="7">
        <f>Wapato_Inventory[[#This Row],[land_value]]</f>
        <v>54100</v>
      </c>
      <c r="BU1281" s="2">
        <f>_xlfn.IFNA(VLOOKUP(Wapato_Inventory[[#This Row],[quality]],Lookups!$A$28:$C$37,3,FALSE),1)</f>
        <v>1</v>
      </c>
      <c r="BV1281" s="2">
        <f>_xlfn.IFNA(VLOOKUP(Wapato_Inventory[[#This Row],[condition]],Lookups!$A$41:$C$48,3,FALSE),1)</f>
        <v>1</v>
      </c>
      <c r="BW1281" s="2">
        <f>IF(Wapato_Inventory[[#This Row],[decade]]="",1,_xlfn.IFNA(VLOOKUP(Wapato_Inventory[[#This Row],[decade]],Lookups!$F$28:$H$45,3,FALSE),1))</f>
        <v>1</v>
      </c>
      <c r="BX1281" s="2">
        <f>_xlfn.IFNA(VLOOKUP(Wapato_Inventory[[#This Row],[living_area_range]],Lookups!$K$28:$M$37,3,FALSE),1)</f>
        <v>1</v>
      </c>
      <c r="BY1281" s="2">
        <f>AVERAGE(Wapato_Inventory[[#This Row],[qual_adj]:[range_adj]])</f>
        <v>1</v>
      </c>
      <c r="BZ1281" s="7">
        <f>(Wapato_Inventory[[#This Row],[sum_land]]-IF(Wapato_Inventory[[#This Row],[no_utilities]]=1,12000,0))/IF(Wapato_Inventory[[#This Row],[unbuildable]]=1,2,1)</f>
        <v>42100</v>
      </c>
      <c r="CA1281" s="7">
        <f>Wapato_Inventory[[#This Row],[pre_res]]*Wapato_Inventory[[#This Row],[overall_adj]]</f>
        <v>0</v>
      </c>
      <c r="CB1281" s="3">
        <f>IF(ROUND(Wapato_Inventory[[#This Row],[adj_land]]*Lookups!$H$48,-2)&lt;Wapato_Inventory[[#This Row],[min_land]],Wapato_Inventory[[#This Row],[min_land]],ROUND(Wapato_Inventory[[#This Row],[adj_land]]*Lookups!$H$48,-2))</f>
        <v>40000</v>
      </c>
      <c r="CC128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81" s="3">
        <f>ROUND(Wapato_Inventory[[#This Row],[det_value]]*Lookups!$H$48,-2)</f>
        <v>0</v>
      </c>
      <c r="CE1281" s="3">
        <f>Wapato_Inventory[[#This Row],[final_res]]+Wapato_Inventory[[#This Row],[final_det]]</f>
        <v>0</v>
      </c>
      <c r="CF1281" s="3">
        <f>Wapato_Inventory[[#This Row],[crop_value]]+Wapato_Inventory[[#This Row],[final_land]]+Wapato_Inventory[[#This Row],[final_imp]]</f>
        <v>40000</v>
      </c>
      <c r="CH1281" t="str">
        <f t="shared" si="19"/>
        <v>update valuation set market_land =40000, market_bldg=0, market_total =40000, market_mdno =405, market_date ='9/10/2023' where link_id = (select link_id from parcel where parcel_year = '2024' and parcel_id = '19111042450');</v>
      </c>
    </row>
    <row r="1282" spans="1:86" x14ac:dyDescent="0.25">
      <c r="A1282">
        <v>19111042453</v>
      </c>
      <c r="B1282">
        <v>0.31</v>
      </c>
      <c r="C1282">
        <v>13542</v>
      </c>
      <c r="D1282" t="s">
        <v>144</v>
      </c>
      <c r="E1282" t="s">
        <v>54</v>
      </c>
      <c r="F1282" t="s">
        <v>54</v>
      </c>
      <c r="G1282">
        <v>3</v>
      </c>
      <c r="H1282" t="s">
        <v>55</v>
      </c>
      <c r="I1282">
        <v>0</v>
      </c>
      <c r="J1282">
        <v>38700</v>
      </c>
      <c r="K1282">
        <v>0.31</v>
      </c>
      <c r="L1282">
        <f>IF(Wapato_Inventory[[#This Row],[parcel_acres]]-Wapato_Inventory[[#This Row],[non_valued_acres]] =0,0,LN(Wapato_Inventory[[#This Row],[parcel_acres]]-Wapato_Inventory[[#This Row],[non_valued_acres]]))</f>
        <v>-1.1711829815029451</v>
      </c>
      <c r="M1282">
        <v>0</v>
      </c>
      <c r="N1282">
        <v>0</v>
      </c>
      <c r="O1282">
        <v>0</v>
      </c>
      <c r="P1282">
        <v>27904.037</v>
      </c>
      <c r="Q1282">
        <v>74398</v>
      </c>
      <c r="R1282" s="3">
        <f>(Wapato_Inventory[[#This Row],[ln_acres]]*Wapato_Inventory[[#This Row],[coeff]])+Wapato_Inventory[[#This Row],[const]]</f>
        <v>41717.266750371506</v>
      </c>
      <c r="AY1282">
        <v>0</v>
      </c>
      <c r="AZ1282">
        <v>0</v>
      </c>
      <c r="BE1282">
        <v>0</v>
      </c>
      <c r="BF1282">
        <v>15000</v>
      </c>
      <c r="BG1282">
        <v>0</v>
      </c>
      <c r="BH1282" s="7">
        <f>ROUND(Wapato_Inventory[[#This Row],[detatched_value]]*Lookups!$B$22*Lookups!$H$48,-2)</f>
        <v>0</v>
      </c>
      <c r="BI1282" s="7">
        <f>ROUND(((Wapato_Inventory[[#This Row],[land_extract]]*Lookups!$B$3) +(Lookups!$B$2*0.5))*Lookups!$H$48,-2)</f>
        <v>55100</v>
      </c>
      <c r="BJ1282" s="7">
        <f>IF(Wapato_Inventory[[#This Row],[bldg_style]]="",0,Lookups!$B$2*0.5)</f>
        <v>0</v>
      </c>
      <c r="BK1282" s="7">
        <f>_xlfn.IFNA(VLOOKUP(Wapato_Inventory[[#This Row],[quality]],Lookups!$H$2:$J$14,3,FALSE),0)</f>
        <v>0</v>
      </c>
      <c r="BL1282" s="7">
        <f>_xlfn.IFNA(VLOOKUP(Wapato_Inventory[[#This Row],[condition]],Lookups!$H$17:$J$24,3,FALSE),0)</f>
        <v>0</v>
      </c>
      <c r="BM1282" s="7">
        <f>Wapato_Inventory[[#This Row],[Age]]*Lookups!$B$16</f>
        <v>0</v>
      </c>
      <c r="BN1282" s="7">
        <f>Wapato_Inventory[[#This Row],[Main Floor]]*Lookups!$B$17</f>
        <v>0</v>
      </c>
      <c r="BO1282" s="7">
        <f>Wapato_Inventory[[#This Row],[Upper Floor]]*Lookups!$B$18</f>
        <v>0</v>
      </c>
      <c r="BP1282" s="7">
        <f>Wapato_Inventory[[#This Row],[Fin BSMT]]*Lookups!$B$19</f>
        <v>0</v>
      </c>
      <c r="BQ1282" s="7">
        <f>(Wapato_Inventory[[#This Row],[att_gar]]+Wapato_Inventory[[#This Row],[blt_gar]])*Lookups!$B$20</f>
        <v>0</v>
      </c>
      <c r="BR1282" s="7">
        <f>Wapato_Inventory[[#This Row],[Patio]]*Lookups!$B$21</f>
        <v>0</v>
      </c>
      <c r="BS1282" s="7">
        <f>SUM(Wapato_Inventory[[#This Row],[intercept]:[patio_value]])*Wapato_Inventory[[#This Row],[res_pct]]</f>
        <v>0</v>
      </c>
      <c r="BT1282" s="7">
        <f>Wapato_Inventory[[#This Row],[land_value]]</f>
        <v>55100</v>
      </c>
      <c r="BU1282" s="2">
        <f>_xlfn.IFNA(VLOOKUP(Wapato_Inventory[[#This Row],[quality]],Lookups!$A$28:$C$37,3,FALSE),1)</f>
        <v>1</v>
      </c>
      <c r="BV1282" s="2">
        <f>_xlfn.IFNA(VLOOKUP(Wapato_Inventory[[#This Row],[condition]],Lookups!$A$41:$C$48,3,FALSE),1)</f>
        <v>1</v>
      </c>
      <c r="BW1282" s="2">
        <f>IF(Wapato_Inventory[[#This Row],[decade]]="",1,_xlfn.IFNA(VLOOKUP(Wapato_Inventory[[#This Row],[decade]],Lookups!$F$28:$H$45,3,FALSE),1))</f>
        <v>1</v>
      </c>
      <c r="BX1282" s="2">
        <f>_xlfn.IFNA(VLOOKUP(Wapato_Inventory[[#This Row],[living_area_range]],Lookups!$K$28:$M$37,3,FALSE),1)</f>
        <v>1</v>
      </c>
      <c r="BY1282" s="2">
        <f>AVERAGE(Wapato_Inventory[[#This Row],[qual_adj]:[range_adj]])</f>
        <v>1</v>
      </c>
      <c r="BZ1282" s="7">
        <f>(Wapato_Inventory[[#This Row],[sum_land]]-IF(Wapato_Inventory[[#This Row],[no_utilities]]=1,12000,0))/IF(Wapato_Inventory[[#This Row],[unbuildable]]=1,2,1)</f>
        <v>55100</v>
      </c>
      <c r="CA1282" s="7">
        <f>Wapato_Inventory[[#This Row],[pre_res]]*Wapato_Inventory[[#This Row],[overall_adj]]</f>
        <v>0</v>
      </c>
      <c r="CB1282" s="3">
        <f>IF(ROUND(Wapato_Inventory[[#This Row],[adj_land]]*Lookups!$H$48,-2)&lt;Wapato_Inventory[[#This Row],[min_land]],Wapato_Inventory[[#This Row],[min_land]],ROUND(Wapato_Inventory[[#This Row],[adj_land]]*Lookups!$H$48,-2))</f>
        <v>52300</v>
      </c>
      <c r="CC128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82" s="3">
        <f>ROUND(Wapato_Inventory[[#This Row],[det_value]]*Lookups!$H$48,-2)</f>
        <v>0</v>
      </c>
      <c r="CE1282" s="3">
        <f>Wapato_Inventory[[#This Row],[final_res]]+Wapato_Inventory[[#This Row],[final_det]]</f>
        <v>0</v>
      </c>
      <c r="CF1282" s="3">
        <f>Wapato_Inventory[[#This Row],[crop_value]]+Wapato_Inventory[[#This Row],[final_land]]+Wapato_Inventory[[#This Row],[final_imp]]</f>
        <v>52300</v>
      </c>
      <c r="CH1282" t="str">
        <f t="shared" ref="CH1282:CH1292" si="20">"update valuation set market_land ="&amp;CB1282&amp;", market_bldg="&amp;CE1282&amp;", market_total ="&amp;CF1282&amp;", market_mdno ="&amp;$CH$1&amp;", market_date ='"&amp;TEXT($CI$1,"m/d/yyyy")&amp;"' where link_id = (select link_id from parcel where parcel_year = '2024' and parcel_id = '"&amp;A1282&amp;"');"</f>
        <v>update valuation set market_land =52300, market_bldg=0, market_total =52300, market_mdno =405, market_date ='9/10/2023' where link_id = (select link_id from parcel where parcel_year = '2024' and parcel_id = '19111042453');</v>
      </c>
    </row>
    <row r="1283" spans="1:86" x14ac:dyDescent="0.25">
      <c r="A1283">
        <v>19111042454</v>
      </c>
      <c r="B1283">
        <v>0.16</v>
      </c>
      <c r="C1283">
        <v>6771</v>
      </c>
      <c r="D1283" t="s">
        <v>144</v>
      </c>
      <c r="E1283" t="s">
        <v>54</v>
      </c>
      <c r="F1283" t="s">
        <v>54</v>
      </c>
      <c r="G1283">
        <v>3</v>
      </c>
      <c r="H1283" t="s">
        <v>55</v>
      </c>
      <c r="I1283">
        <v>0</v>
      </c>
      <c r="J1283">
        <v>33800</v>
      </c>
      <c r="K1283">
        <v>0.16</v>
      </c>
      <c r="L1283">
        <f>IF(Wapato_Inventory[[#This Row],[parcel_acres]]-Wapato_Inventory[[#This Row],[non_valued_acres]] =0,0,LN(Wapato_Inventory[[#This Row],[parcel_acres]]-Wapato_Inventory[[#This Row],[non_valued_acres]]))</f>
        <v>-1.8325814637483102</v>
      </c>
      <c r="M1283">
        <v>0</v>
      </c>
      <c r="N1283">
        <v>0</v>
      </c>
      <c r="O1283">
        <v>1</v>
      </c>
      <c r="P1283">
        <v>27904.037</v>
      </c>
      <c r="Q1283">
        <v>74398</v>
      </c>
      <c r="R1283" s="3">
        <f>(Wapato_Inventory[[#This Row],[ln_acres]]*Wapato_Inventory[[#This Row],[coeff]])+Wapato_Inventory[[#This Row],[const]]</f>
        <v>23261.579030052992</v>
      </c>
      <c r="AY1283">
        <v>0</v>
      </c>
      <c r="AZ1283">
        <v>0</v>
      </c>
      <c r="BE1283">
        <v>0</v>
      </c>
      <c r="BF1283">
        <v>3000</v>
      </c>
      <c r="BG1283">
        <v>0</v>
      </c>
      <c r="BH1283" s="7">
        <f>ROUND(Wapato_Inventory[[#This Row],[detatched_value]]*Lookups!$B$22*Lookups!$H$48,-2)</f>
        <v>0</v>
      </c>
      <c r="BI1283" s="7">
        <f>ROUND(((Wapato_Inventory[[#This Row],[land_extract]]*Lookups!$B$3) +(Lookups!$B$2*0.5))*Lookups!$H$48,-2)</f>
        <v>53300</v>
      </c>
      <c r="BJ1283" s="7">
        <f>IF(Wapato_Inventory[[#This Row],[bldg_style]]="",0,Lookups!$B$2*0.5)</f>
        <v>0</v>
      </c>
      <c r="BK1283" s="7">
        <f>_xlfn.IFNA(VLOOKUP(Wapato_Inventory[[#This Row],[quality]],Lookups!$H$2:$J$14,3,FALSE),0)</f>
        <v>0</v>
      </c>
      <c r="BL1283" s="7">
        <f>_xlfn.IFNA(VLOOKUP(Wapato_Inventory[[#This Row],[condition]],Lookups!$H$17:$J$24,3,FALSE),0)</f>
        <v>0</v>
      </c>
      <c r="BM1283" s="7">
        <f>Wapato_Inventory[[#This Row],[Age]]*Lookups!$B$16</f>
        <v>0</v>
      </c>
      <c r="BN1283" s="7">
        <f>Wapato_Inventory[[#This Row],[Main Floor]]*Lookups!$B$17</f>
        <v>0</v>
      </c>
      <c r="BO1283" s="7">
        <f>Wapato_Inventory[[#This Row],[Upper Floor]]*Lookups!$B$18</f>
        <v>0</v>
      </c>
      <c r="BP1283" s="7">
        <f>Wapato_Inventory[[#This Row],[Fin BSMT]]*Lookups!$B$19</f>
        <v>0</v>
      </c>
      <c r="BQ1283" s="7">
        <f>(Wapato_Inventory[[#This Row],[att_gar]]+Wapato_Inventory[[#This Row],[blt_gar]])*Lookups!$B$20</f>
        <v>0</v>
      </c>
      <c r="BR1283" s="7">
        <f>Wapato_Inventory[[#This Row],[Patio]]*Lookups!$B$21</f>
        <v>0</v>
      </c>
      <c r="BS1283" s="7">
        <f>SUM(Wapato_Inventory[[#This Row],[intercept]:[patio_value]])*Wapato_Inventory[[#This Row],[res_pct]]</f>
        <v>0</v>
      </c>
      <c r="BT1283" s="7">
        <f>Wapato_Inventory[[#This Row],[land_value]]</f>
        <v>53300</v>
      </c>
      <c r="BU1283" s="2">
        <f>_xlfn.IFNA(VLOOKUP(Wapato_Inventory[[#This Row],[quality]],Lookups!$A$28:$C$37,3,FALSE),1)</f>
        <v>1</v>
      </c>
      <c r="BV1283" s="2">
        <f>_xlfn.IFNA(VLOOKUP(Wapato_Inventory[[#This Row],[condition]],Lookups!$A$41:$C$48,3,FALSE),1)</f>
        <v>1</v>
      </c>
      <c r="BW1283" s="2">
        <f>IF(Wapato_Inventory[[#This Row],[decade]]="",1,_xlfn.IFNA(VLOOKUP(Wapato_Inventory[[#This Row],[decade]],Lookups!$F$28:$H$45,3,FALSE),1))</f>
        <v>1</v>
      </c>
      <c r="BX1283" s="2">
        <f>_xlfn.IFNA(VLOOKUP(Wapato_Inventory[[#This Row],[living_area_range]],Lookups!$K$28:$M$37,3,FALSE),1)</f>
        <v>1</v>
      </c>
      <c r="BY1283" s="2">
        <f>AVERAGE(Wapato_Inventory[[#This Row],[qual_adj]:[range_adj]])</f>
        <v>1</v>
      </c>
      <c r="BZ1283" s="7">
        <f>(Wapato_Inventory[[#This Row],[sum_land]]-IF(Wapato_Inventory[[#This Row],[no_utilities]]=1,12000,0))/IF(Wapato_Inventory[[#This Row],[unbuildable]]=1,2,1)</f>
        <v>41300</v>
      </c>
      <c r="CA1283" s="7">
        <f>Wapato_Inventory[[#This Row],[pre_res]]*Wapato_Inventory[[#This Row],[overall_adj]]</f>
        <v>0</v>
      </c>
      <c r="CB1283" s="3">
        <f>IF(ROUND(Wapato_Inventory[[#This Row],[adj_land]]*Lookups!$H$48,-2)&lt;Wapato_Inventory[[#This Row],[min_land]],Wapato_Inventory[[#This Row],[min_land]],ROUND(Wapato_Inventory[[#This Row],[adj_land]]*Lookups!$H$48,-2))</f>
        <v>39200</v>
      </c>
      <c r="CC128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83" s="3">
        <f>ROUND(Wapato_Inventory[[#This Row],[det_value]]*Lookups!$H$48,-2)</f>
        <v>0</v>
      </c>
      <c r="CE1283" s="3">
        <f>Wapato_Inventory[[#This Row],[final_res]]+Wapato_Inventory[[#This Row],[final_det]]</f>
        <v>0</v>
      </c>
      <c r="CF1283" s="3">
        <f>Wapato_Inventory[[#This Row],[crop_value]]+Wapato_Inventory[[#This Row],[final_land]]+Wapato_Inventory[[#This Row],[final_imp]]</f>
        <v>39200</v>
      </c>
      <c r="CH1283" t="str">
        <f t="shared" si="20"/>
        <v>update valuation set market_land =39200, market_bldg=0, market_total =39200, market_mdno =405, market_date ='9/10/2023' where link_id = (select link_id from parcel where parcel_year = '2024' and parcel_id = '19111042454');</v>
      </c>
    </row>
    <row r="1284" spans="1:86" x14ac:dyDescent="0.25">
      <c r="A1284">
        <v>19111042456</v>
      </c>
      <c r="B1284">
        <v>0.17</v>
      </c>
      <c r="C1284">
        <v>7273</v>
      </c>
      <c r="D1284" t="s">
        <v>144</v>
      </c>
      <c r="E1284" t="s">
        <v>54</v>
      </c>
      <c r="F1284" t="s">
        <v>54</v>
      </c>
      <c r="G1284">
        <v>3</v>
      </c>
      <c r="H1284" t="s">
        <v>55</v>
      </c>
      <c r="I1284">
        <v>0</v>
      </c>
      <c r="J1284">
        <v>34200</v>
      </c>
      <c r="K1284">
        <v>0.17</v>
      </c>
      <c r="L1284">
        <f>IF(Wapato_Inventory[[#This Row],[parcel_acres]]-Wapato_Inventory[[#This Row],[non_valued_acres]] =0,0,LN(Wapato_Inventory[[#This Row],[parcel_acres]]-Wapato_Inventory[[#This Row],[non_valued_acres]]))</f>
        <v>-1.7719568419318752</v>
      </c>
      <c r="M1284">
        <v>0</v>
      </c>
      <c r="N1284">
        <v>0</v>
      </c>
      <c r="O1284">
        <v>0</v>
      </c>
      <c r="P1284">
        <v>27904.037</v>
      </c>
      <c r="Q1284">
        <v>74398</v>
      </c>
      <c r="R1284" s="3">
        <f>(Wapato_Inventory[[#This Row],[ln_acres]]*Wapato_Inventory[[#This Row],[coeff]])+Wapato_Inventory[[#This Row],[const]]</f>
        <v>24953.250720329801</v>
      </c>
      <c r="AY1284">
        <v>0</v>
      </c>
      <c r="AZ1284">
        <v>0</v>
      </c>
      <c r="BE1284">
        <v>0</v>
      </c>
      <c r="BF1284">
        <v>15000</v>
      </c>
      <c r="BG1284">
        <v>0</v>
      </c>
      <c r="BH1284" s="7">
        <f>ROUND(Wapato_Inventory[[#This Row],[detatched_value]]*Lookups!$B$22*Lookups!$H$48,-2)</f>
        <v>0</v>
      </c>
      <c r="BI1284" s="7">
        <f>ROUND(((Wapato_Inventory[[#This Row],[land_extract]]*Lookups!$B$3) +(Lookups!$B$2*0.5))*Lookups!$H$48,-2)</f>
        <v>53500</v>
      </c>
      <c r="BJ1284" s="7">
        <f>IF(Wapato_Inventory[[#This Row],[bldg_style]]="",0,Lookups!$B$2*0.5)</f>
        <v>0</v>
      </c>
      <c r="BK1284" s="7">
        <f>_xlfn.IFNA(VLOOKUP(Wapato_Inventory[[#This Row],[quality]],Lookups!$H$2:$J$14,3,FALSE),0)</f>
        <v>0</v>
      </c>
      <c r="BL1284" s="7">
        <f>_xlfn.IFNA(VLOOKUP(Wapato_Inventory[[#This Row],[condition]],Lookups!$H$17:$J$24,3,FALSE),0)</f>
        <v>0</v>
      </c>
      <c r="BM1284" s="7">
        <f>Wapato_Inventory[[#This Row],[Age]]*Lookups!$B$16</f>
        <v>0</v>
      </c>
      <c r="BN1284" s="7">
        <f>Wapato_Inventory[[#This Row],[Main Floor]]*Lookups!$B$17</f>
        <v>0</v>
      </c>
      <c r="BO1284" s="7">
        <f>Wapato_Inventory[[#This Row],[Upper Floor]]*Lookups!$B$18</f>
        <v>0</v>
      </c>
      <c r="BP1284" s="7">
        <f>Wapato_Inventory[[#This Row],[Fin BSMT]]*Lookups!$B$19</f>
        <v>0</v>
      </c>
      <c r="BQ1284" s="7">
        <f>(Wapato_Inventory[[#This Row],[att_gar]]+Wapato_Inventory[[#This Row],[blt_gar]])*Lookups!$B$20</f>
        <v>0</v>
      </c>
      <c r="BR1284" s="7">
        <f>Wapato_Inventory[[#This Row],[Patio]]*Lookups!$B$21</f>
        <v>0</v>
      </c>
      <c r="BS1284" s="7">
        <f>SUM(Wapato_Inventory[[#This Row],[intercept]:[patio_value]])*Wapato_Inventory[[#This Row],[res_pct]]</f>
        <v>0</v>
      </c>
      <c r="BT1284" s="7">
        <f>Wapato_Inventory[[#This Row],[land_value]]</f>
        <v>53500</v>
      </c>
      <c r="BU1284" s="2">
        <f>_xlfn.IFNA(VLOOKUP(Wapato_Inventory[[#This Row],[quality]],Lookups!$A$28:$C$37,3,FALSE),1)</f>
        <v>1</v>
      </c>
      <c r="BV1284" s="2">
        <f>_xlfn.IFNA(VLOOKUP(Wapato_Inventory[[#This Row],[condition]],Lookups!$A$41:$C$48,3,FALSE),1)</f>
        <v>1</v>
      </c>
      <c r="BW1284" s="2">
        <f>IF(Wapato_Inventory[[#This Row],[decade]]="",1,_xlfn.IFNA(VLOOKUP(Wapato_Inventory[[#This Row],[decade]],Lookups!$F$28:$H$45,3,FALSE),1))</f>
        <v>1</v>
      </c>
      <c r="BX1284" s="2">
        <f>_xlfn.IFNA(VLOOKUP(Wapato_Inventory[[#This Row],[living_area_range]],Lookups!$K$28:$M$37,3,FALSE),1)</f>
        <v>1</v>
      </c>
      <c r="BY1284" s="2">
        <f>AVERAGE(Wapato_Inventory[[#This Row],[qual_adj]:[range_adj]])</f>
        <v>1</v>
      </c>
      <c r="BZ1284" s="7">
        <f>(Wapato_Inventory[[#This Row],[sum_land]]-IF(Wapato_Inventory[[#This Row],[no_utilities]]=1,12000,0))/IF(Wapato_Inventory[[#This Row],[unbuildable]]=1,2,1)</f>
        <v>53500</v>
      </c>
      <c r="CA1284" s="7">
        <f>Wapato_Inventory[[#This Row],[pre_res]]*Wapato_Inventory[[#This Row],[overall_adj]]</f>
        <v>0</v>
      </c>
      <c r="CB1284" s="3">
        <f>IF(ROUND(Wapato_Inventory[[#This Row],[adj_land]]*Lookups!$H$48,-2)&lt;Wapato_Inventory[[#This Row],[min_land]],Wapato_Inventory[[#This Row],[min_land]],ROUND(Wapato_Inventory[[#This Row],[adj_land]]*Lookups!$H$48,-2))</f>
        <v>50800</v>
      </c>
      <c r="CC128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84" s="3">
        <f>ROUND(Wapato_Inventory[[#This Row],[det_value]]*Lookups!$H$48,-2)</f>
        <v>0</v>
      </c>
      <c r="CE1284" s="3">
        <f>Wapato_Inventory[[#This Row],[final_res]]+Wapato_Inventory[[#This Row],[final_det]]</f>
        <v>0</v>
      </c>
      <c r="CF1284" s="3">
        <f>Wapato_Inventory[[#This Row],[crop_value]]+Wapato_Inventory[[#This Row],[final_land]]+Wapato_Inventory[[#This Row],[final_imp]]</f>
        <v>50800</v>
      </c>
      <c r="CH1284" t="str">
        <f t="shared" si="20"/>
        <v>update valuation set market_land =50800, market_bldg=0, market_total =50800, market_mdno =405, market_date ='9/10/2023' where link_id = (select link_id from parcel where parcel_year = '2024' and parcel_id = '19111042456');</v>
      </c>
    </row>
    <row r="1285" spans="1:86" x14ac:dyDescent="0.25">
      <c r="A1285">
        <v>19111044478</v>
      </c>
      <c r="B1285">
        <v>0.06</v>
      </c>
      <c r="C1285">
        <v>2625</v>
      </c>
      <c r="D1285" t="s">
        <v>144</v>
      </c>
      <c r="E1285" t="s">
        <v>54</v>
      </c>
      <c r="F1285" t="s">
        <v>54</v>
      </c>
      <c r="G1285">
        <v>3</v>
      </c>
      <c r="H1285" t="s">
        <v>55</v>
      </c>
      <c r="I1285">
        <v>0</v>
      </c>
      <c r="J1285">
        <v>26600</v>
      </c>
      <c r="K1285">
        <v>0.06</v>
      </c>
      <c r="L1285">
        <f>IF(Wapato_Inventory[[#This Row],[parcel_acres]]-Wapato_Inventory[[#This Row],[non_valued_acres]] =0,0,LN(Wapato_Inventory[[#This Row],[parcel_acres]]-Wapato_Inventory[[#This Row],[non_valued_acres]]))</f>
        <v>-2.8134107167600364</v>
      </c>
      <c r="M1285">
        <v>0</v>
      </c>
      <c r="N1285">
        <v>1</v>
      </c>
      <c r="O1285">
        <v>0</v>
      </c>
      <c r="P1285">
        <v>27904.037</v>
      </c>
      <c r="Q1285">
        <v>74398</v>
      </c>
      <c r="R1285" s="3">
        <f>(Wapato_Inventory[[#This Row],[ln_acres]]*Wapato_Inventory[[#This Row],[coeff]])+Wapato_Inventory[[#This Row],[const]]</f>
        <v>-4107.5167366685782</v>
      </c>
      <c r="AY1285">
        <v>0</v>
      </c>
      <c r="AZ1285">
        <v>0</v>
      </c>
      <c r="BE1285">
        <v>0</v>
      </c>
      <c r="BF1285">
        <v>12000</v>
      </c>
      <c r="BG1285">
        <v>0</v>
      </c>
      <c r="BH1285" s="7">
        <f>ROUND(Wapato_Inventory[[#This Row],[detatched_value]]*Lookups!$B$22*Lookups!$H$48,-2)</f>
        <v>0</v>
      </c>
      <c r="BI1285" s="7">
        <f>ROUND(((Wapato_Inventory[[#This Row],[land_extract]]*Lookups!$B$3) +(Lookups!$B$2*0.5))*Lookups!$H$48,-2)</f>
        <v>50700</v>
      </c>
      <c r="BJ1285" s="7">
        <f>IF(Wapato_Inventory[[#This Row],[bldg_style]]="",0,Lookups!$B$2*0.5)</f>
        <v>0</v>
      </c>
      <c r="BK1285" s="7">
        <f>_xlfn.IFNA(VLOOKUP(Wapato_Inventory[[#This Row],[quality]],Lookups!$H$2:$J$14,3,FALSE),0)</f>
        <v>0</v>
      </c>
      <c r="BL1285" s="7">
        <f>_xlfn.IFNA(VLOOKUP(Wapato_Inventory[[#This Row],[condition]],Lookups!$H$17:$J$24,3,FALSE),0)</f>
        <v>0</v>
      </c>
      <c r="BM1285" s="7">
        <f>Wapato_Inventory[[#This Row],[Age]]*Lookups!$B$16</f>
        <v>0</v>
      </c>
      <c r="BN1285" s="7">
        <f>Wapato_Inventory[[#This Row],[Main Floor]]*Lookups!$B$17</f>
        <v>0</v>
      </c>
      <c r="BO1285" s="7">
        <f>Wapato_Inventory[[#This Row],[Upper Floor]]*Lookups!$B$18</f>
        <v>0</v>
      </c>
      <c r="BP1285" s="7">
        <f>Wapato_Inventory[[#This Row],[Fin BSMT]]*Lookups!$B$19</f>
        <v>0</v>
      </c>
      <c r="BQ1285" s="7">
        <f>(Wapato_Inventory[[#This Row],[att_gar]]+Wapato_Inventory[[#This Row],[blt_gar]])*Lookups!$B$20</f>
        <v>0</v>
      </c>
      <c r="BR1285" s="7">
        <f>Wapato_Inventory[[#This Row],[Patio]]*Lookups!$B$21</f>
        <v>0</v>
      </c>
      <c r="BS1285" s="7">
        <f>SUM(Wapato_Inventory[[#This Row],[intercept]:[patio_value]])*Wapato_Inventory[[#This Row],[res_pct]]</f>
        <v>0</v>
      </c>
      <c r="BT1285" s="7">
        <f>Wapato_Inventory[[#This Row],[land_value]]</f>
        <v>50700</v>
      </c>
      <c r="BU1285" s="2">
        <f>_xlfn.IFNA(VLOOKUP(Wapato_Inventory[[#This Row],[quality]],Lookups!$A$28:$C$37,3,FALSE),1)</f>
        <v>1</v>
      </c>
      <c r="BV1285" s="2">
        <f>_xlfn.IFNA(VLOOKUP(Wapato_Inventory[[#This Row],[condition]],Lookups!$A$41:$C$48,3,FALSE),1)</f>
        <v>1</v>
      </c>
      <c r="BW1285" s="2">
        <f>IF(Wapato_Inventory[[#This Row],[decade]]="",1,_xlfn.IFNA(VLOOKUP(Wapato_Inventory[[#This Row],[decade]],Lookups!$F$28:$H$45,3,FALSE),1))</f>
        <v>1</v>
      </c>
      <c r="BX1285" s="2">
        <f>_xlfn.IFNA(VLOOKUP(Wapato_Inventory[[#This Row],[living_area_range]],Lookups!$K$28:$M$37,3,FALSE),1)</f>
        <v>1</v>
      </c>
      <c r="BY1285" s="2">
        <f>AVERAGE(Wapato_Inventory[[#This Row],[qual_adj]:[range_adj]])</f>
        <v>1</v>
      </c>
      <c r="BZ1285" s="7">
        <f>(Wapato_Inventory[[#This Row],[sum_land]]-IF(Wapato_Inventory[[#This Row],[no_utilities]]=1,12000,0))/IF(Wapato_Inventory[[#This Row],[unbuildable]]=1,2,1)</f>
        <v>25350</v>
      </c>
      <c r="CA1285" s="7">
        <f>Wapato_Inventory[[#This Row],[pre_res]]*Wapato_Inventory[[#This Row],[overall_adj]]</f>
        <v>0</v>
      </c>
      <c r="CB1285" s="3">
        <f>IF(ROUND(Wapato_Inventory[[#This Row],[adj_land]]*Lookups!$H$48,-2)&lt;Wapato_Inventory[[#This Row],[min_land]],Wapato_Inventory[[#This Row],[min_land]],ROUND(Wapato_Inventory[[#This Row],[adj_land]]*Lookups!$H$48,-2))</f>
        <v>24100</v>
      </c>
      <c r="CC128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85" s="3">
        <f>ROUND(Wapato_Inventory[[#This Row],[det_value]]*Lookups!$H$48,-2)</f>
        <v>0</v>
      </c>
      <c r="CE1285" s="3">
        <f>Wapato_Inventory[[#This Row],[final_res]]+Wapato_Inventory[[#This Row],[final_det]]</f>
        <v>0</v>
      </c>
      <c r="CF1285" s="3">
        <f>Wapato_Inventory[[#This Row],[crop_value]]+Wapato_Inventory[[#This Row],[final_land]]+Wapato_Inventory[[#This Row],[final_imp]]</f>
        <v>24100</v>
      </c>
      <c r="CH1285" t="str">
        <f t="shared" si="20"/>
        <v>update valuation set market_land =24100, market_bldg=0, market_total =24100, market_mdno =405, market_date ='9/10/2023' where link_id = (select link_id from parcel where parcel_year = '2024' and parcel_id = '19111044478');</v>
      </c>
    </row>
    <row r="1286" spans="1:86" x14ac:dyDescent="0.25">
      <c r="A1286">
        <v>19111044480</v>
      </c>
      <c r="B1286">
        <v>0.06</v>
      </c>
      <c r="C1286">
        <v>2625</v>
      </c>
      <c r="D1286" t="s">
        <v>144</v>
      </c>
      <c r="E1286" t="s">
        <v>54</v>
      </c>
      <c r="F1286" t="s">
        <v>54</v>
      </c>
      <c r="G1286">
        <v>3</v>
      </c>
      <c r="H1286" t="s">
        <v>55</v>
      </c>
      <c r="I1286">
        <v>0</v>
      </c>
      <c r="J1286">
        <v>26600</v>
      </c>
      <c r="K1286">
        <v>0.06</v>
      </c>
      <c r="L1286">
        <f>IF(Wapato_Inventory[[#This Row],[parcel_acres]]-Wapato_Inventory[[#This Row],[non_valued_acres]] =0,0,LN(Wapato_Inventory[[#This Row],[parcel_acres]]-Wapato_Inventory[[#This Row],[non_valued_acres]]))</f>
        <v>-2.8134107167600364</v>
      </c>
      <c r="M1286">
        <v>0</v>
      </c>
      <c r="N1286">
        <v>1</v>
      </c>
      <c r="O1286">
        <v>0</v>
      </c>
      <c r="P1286">
        <v>27904.037</v>
      </c>
      <c r="Q1286">
        <v>74398</v>
      </c>
      <c r="R1286" s="3">
        <f>(Wapato_Inventory[[#This Row],[ln_acres]]*Wapato_Inventory[[#This Row],[coeff]])+Wapato_Inventory[[#This Row],[const]]</f>
        <v>-4107.5167366685782</v>
      </c>
      <c r="AY1286">
        <v>0</v>
      </c>
      <c r="AZ1286">
        <v>0</v>
      </c>
      <c r="BE1286">
        <v>0</v>
      </c>
      <c r="BF1286">
        <v>12000</v>
      </c>
      <c r="BG1286">
        <v>0</v>
      </c>
      <c r="BH1286" s="7">
        <f>ROUND(Wapato_Inventory[[#This Row],[detatched_value]]*Lookups!$B$22*Lookups!$H$48,-2)</f>
        <v>0</v>
      </c>
      <c r="BI1286" s="7">
        <f>ROUND(((Wapato_Inventory[[#This Row],[land_extract]]*Lookups!$B$3) +(Lookups!$B$2*0.5))*Lookups!$H$48,-2)</f>
        <v>50700</v>
      </c>
      <c r="BJ1286" s="7">
        <f>IF(Wapato_Inventory[[#This Row],[bldg_style]]="",0,Lookups!$B$2*0.5)</f>
        <v>0</v>
      </c>
      <c r="BK1286" s="7">
        <f>_xlfn.IFNA(VLOOKUP(Wapato_Inventory[[#This Row],[quality]],Lookups!$H$2:$J$14,3,FALSE),0)</f>
        <v>0</v>
      </c>
      <c r="BL1286" s="7">
        <f>_xlfn.IFNA(VLOOKUP(Wapato_Inventory[[#This Row],[condition]],Lookups!$H$17:$J$24,3,FALSE),0)</f>
        <v>0</v>
      </c>
      <c r="BM1286" s="7">
        <f>Wapato_Inventory[[#This Row],[Age]]*Lookups!$B$16</f>
        <v>0</v>
      </c>
      <c r="BN1286" s="7">
        <f>Wapato_Inventory[[#This Row],[Main Floor]]*Lookups!$B$17</f>
        <v>0</v>
      </c>
      <c r="BO1286" s="7">
        <f>Wapato_Inventory[[#This Row],[Upper Floor]]*Lookups!$B$18</f>
        <v>0</v>
      </c>
      <c r="BP1286" s="7">
        <f>Wapato_Inventory[[#This Row],[Fin BSMT]]*Lookups!$B$19</f>
        <v>0</v>
      </c>
      <c r="BQ1286" s="7">
        <f>(Wapato_Inventory[[#This Row],[att_gar]]+Wapato_Inventory[[#This Row],[blt_gar]])*Lookups!$B$20</f>
        <v>0</v>
      </c>
      <c r="BR1286" s="7">
        <f>Wapato_Inventory[[#This Row],[Patio]]*Lookups!$B$21</f>
        <v>0</v>
      </c>
      <c r="BS1286" s="7">
        <f>SUM(Wapato_Inventory[[#This Row],[intercept]:[patio_value]])*Wapato_Inventory[[#This Row],[res_pct]]</f>
        <v>0</v>
      </c>
      <c r="BT1286" s="7">
        <f>Wapato_Inventory[[#This Row],[land_value]]</f>
        <v>50700</v>
      </c>
      <c r="BU1286" s="2">
        <f>_xlfn.IFNA(VLOOKUP(Wapato_Inventory[[#This Row],[quality]],Lookups!$A$28:$C$37,3,FALSE),1)</f>
        <v>1</v>
      </c>
      <c r="BV1286" s="2">
        <f>_xlfn.IFNA(VLOOKUP(Wapato_Inventory[[#This Row],[condition]],Lookups!$A$41:$C$48,3,FALSE),1)</f>
        <v>1</v>
      </c>
      <c r="BW1286" s="2">
        <f>IF(Wapato_Inventory[[#This Row],[decade]]="",1,_xlfn.IFNA(VLOOKUP(Wapato_Inventory[[#This Row],[decade]],Lookups!$F$28:$H$45,3,FALSE),1))</f>
        <v>1</v>
      </c>
      <c r="BX1286" s="2">
        <f>_xlfn.IFNA(VLOOKUP(Wapato_Inventory[[#This Row],[living_area_range]],Lookups!$K$28:$M$37,3,FALSE),1)</f>
        <v>1</v>
      </c>
      <c r="BY1286" s="2">
        <f>AVERAGE(Wapato_Inventory[[#This Row],[qual_adj]:[range_adj]])</f>
        <v>1</v>
      </c>
      <c r="BZ1286" s="7">
        <f>(Wapato_Inventory[[#This Row],[sum_land]]-IF(Wapato_Inventory[[#This Row],[no_utilities]]=1,12000,0))/IF(Wapato_Inventory[[#This Row],[unbuildable]]=1,2,1)</f>
        <v>25350</v>
      </c>
      <c r="CA1286" s="7">
        <f>Wapato_Inventory[[#This Row],[pre_res]]*Wapato_Inventory[[#This Row],[overall_adj]]</f>
        <v>0</v>
      </c>
      <c r="CB1286" s="3">
        <f>IF(ROUND(Wapato_Inventory[[#This Row],[adj_land]]*Lookups!$H$48,-2)&lt;Wapato_Inventory[[#This Row],[min_land]],Wapato_Inventory[[#This Row],[min_land]],ROUND(Wapato_Inventory[[#This Row],[adj_land]]*Lookups!$H$48,-2))</f>
        <v>24100</v>
      </c>
      <c r="CC128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86" s="3">
        <f>ROUND(Wapato_Inventory[[#This Row],[det_value]]*Lookups!$H$48,-2)</f>
        <v>0</v>
      </c>
      <c r="CE1286" s="3">
        <f>Wapato_Inventory[[#This Row],[final_res]]+Wapato_Inventory[[#This Row],[final_det]]</f>
        <v>0</v>
      </c>
      <c r="CF1286" s="3">
        <f>Wapato_Inventory[[#This Row],[crop_value]]+Wapato_Inventory[[#This Row],[final_land]]+Wapato_Inventory[[#This Row],[final_imp]]</f>
        <v>24100</v>
      </c>
      <c r="CH1286" t="str">
        <f t="shared" si="20"/>
        <v>update valuation set market_land =24100, market_bldg=0, market_total =24100, market_mdno =405, market_date ='9/10/2023' where link_id = (select link_id from parcel where parcel_year = '2024' and parcel_id = '19111044480');</v>
      </c>
    </row>
    <row r="1287" spans="1:86" x14ac:dyDescent="0.25">
      <c r="A1287">
        <v>19111133003</v>
      </c>
      <c r="B1287">
        <v>0.36</v>
      </c>
      <c r="C1287">
        <v>15515</v>
      </c>
      <c r="D1287" t="s">
        <v>144</v>
      </c>
      <c r="E1287" t="s">
        <v>54</v>
      </c>
      <c r="F1287" t="s">
        <v>54</v>
      </c>
      <c r="G1287">
        <v>3</v>
      </c>
      <c r="H1287" t="s">
        <v>55</v>
      </c>
      <c r="I1287">
        <v>0</v>
      </c>
      <c r="J1287">
        <v>39800</v>
      </c>
      <c r="K1287">
        <v>0.36</v>
      </c>
      <c r="L1287">
        <f>IF(Wapato_Inventory[[#This Row],[parcel_acres]]-Wapato_Inventory[[#This Row],[non_valued_acres]] =0,0,LN(Wapato_Inventory[[#This Row],[parcel_acres]]-Wapato_Inventory[[#This Row],[non_valued_acres]]))</f>
        <v>-1.0216512475319814</v>
      </c>
      <c r="M1287">
        <v>0</v>
      </c>
      <c r="N1287">
        <v>0</v>
      </c>
      <c r="O1287">
        <v>0</v>
      </c>
      <c r="P1287">
        <v>27904.037</v>
      </c>
      <c r="Q1287">
        <v>74398</v>
      </c>
      <c r="R1287" s="3">
        <f>(Wapato_Inventory[[#This Row],[ln_acres]]*Wapato_Inventory[[#This Row],[coeff]])+Wapato_Inventory[[#This Row],[const]]</f>
        <v>45889.805787771431</v>
      </c>
      <c r="AY1287">
        <v>0</v>
      </c>
      <c r="AZ1287">
        <v>0</v>
      </c>
      <c r="BE1287">
        <v>0</v>
      </c>
      <c r="BF1287">
        <v>15000</v>
      </c>
      <c r="BG1287">
        <v>0</v>
      </c>
      <c r="BH1287" s="7">
        <f>ROUND(Wapato_Inventory[[#This Row],[detatched_value]]*Lookups!$B$22*Lookups!$H$48,-2)</f>
        <v>0</v>
      </c>
      <c r="BI1287" s="7">
        <f>ROUND(((Wapato_Inventory[[#This Row],[land_extract]]*Lookups!$B$3) +(Lookups!$B$2*0.5))*Lookups!$H$48,-2)</f>
        <v>55500</v>
      </c>
      <c r="BJ1287" s="7">
        <f>IF(Wapato_Inventory[[#This Row],[bldg_style]]="",0,Lookups!$B$2*0.5)</f>
        <v>0</v>
      </c>
      <c r="BK1287" s="7">
        <f>_xlfn.IFNA(VLOOKUP(Wapato_Inventory[[#This Row],[quality]],Lookups!$H$2:$J$14,3,FALSE),0)</f>
        <v>0</v>
      </c>
      <c r="BL1287" s="7">
        <f>_xlfn.IFNA(VLOOKUP(Wapato_Inventory[[#This Row],[condition]],Lookups!$H$17:$J$24,3,FALSE),0)</f>
        <v>0</v>
      </c>
      <c r="BM1287" s="7">
        <f>Wapato_Inventory[[#This Row],[Age]]*Lookups!$B$16</f>
        <v>0</v>
      </c>
      <c r="BN1287" s="7">
        <f>Wapato_Inventory[[#This Row],[Main Floor]]*Lookups!$B$17</f>
        <v>0</v>
      </c>
      <c r="BO1287" s="7">
        <f>Wapato_Inventory[[#This Row],[Upper Floor]]*Lookups!$B$18</f>
        <v>0</v>
      </c>
      <c r="BP1287" s="7">
        <f>Wapato_Inventory[[#This Row],[Fin BSMT]]*Lookups!$B$19</f>
        <v>0</v>
      </c>
      <c r="BQ1287" s="7">
        <f>(Wapato_Inventory[[#This Row],[att_gar]]+Wapato_Inventory[[#This Row],[blt_gar]])*Lookups!$B$20</f>
        <v>0</v>
      </c>
      <c r="BR1287" s="7">
        <f>Wapato_Inventory[[#This Row],[Patio]]*Lookups!$B$21</f>
        <v>0</v>
      </c>
      <c r="BS1287" s="7">
        <f>SUM(Wapato_Inventory[[#This Row],[intercept]:[patio_value]])*Wapato_Inventory[[#This Row],[res_pct]]</f>
        <v>0</v>
      </c>
      <c r="BT1287" s="7">
        <f>Wapato_Inventory[[#This Row],[land_value]]</f>
        <v>55500</v>
      </c>
      <c r="BU1287" s="2">
        <f>_xlfn.IFNA(VLOOKUP(Wapato_Inventory[[#This Row],[quality]],Lookups!$A$28:$C$37,3,FALSE),1)</f>
        <v>1</v>
      </c>
      <c r="BV1287" s="2">
        <f>_xlfn.IFNA(VLOOKUP(Wapato_Inventory[[#This Row],[condition]],Lookups!$A$41:$C$48,3,FALSE),1)</f>
        <v>1</v>
      </c>
      <c r="BW1287" s="2">
        <f>IF(Wapato_Inventory[[#This Row],[decade]]="",1,_xlfn.IFNA(VLOOKUP(Wapato_Inventory[[#This Row],[decade]],Lookups!$F$28:$H$45,3,FALSE),1))</f>
        <v>1</v>
      </c>
      <c r="BX1287" s="2">
        <f>_xlfn.IFNA(VLOOKUP(Wapato_Inventory[[#This Row],[living_area_range]],Lookups!$K$28:$M$37,3,FALSE),1)</f>
        <v>1</v>
      </c>
      <c r="BY1287" s="2">
        <f>AVERAGE(Wapato_Inventory[[#This Row],[qual_adj]:[range_adj]])</f>
        <v>1</v>
      </c>
      <c r="BZ1287" s="7">
        <f>(Wapato_Inventory[[#This Row],[sum_land]]-IF(Wapato_Inventory[[#This Row],[no_utilities]]=1,12000,0))/IF(Wapato_Inventory[[#This Row],[unbuildable]]=1,2,1)</f>
        <v>55500</v>
      </c>
      <c r="CA1287" s="7">
        <f>Wapato_Inventory[[#This Row],[pre_res]]*Wapato_Inventory[[#This Row],[overall_adj]]</f>
        <v>0</v>
      </c>
      <c r="CB1287" s="3">
        <f>IF(ROUND(Wapato_Inventory[[#This Row],[adj_land]]*Lookups!$H$48,-2)&lt;Wapato_Inventory[[#This Row],[min_land]],Wapato_Inventory[[#This Row],[min_land]],ROUND(Wapato_Inventory[[#This Row],[adj_land]]*Lookups!$H$48,-2))</f>
        <v>52700</v>
      </c>
      <c r="CC128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87" s="3">
        <f>ROUND(Wapato_Inventory[[#This Row],[det_value]]*Lookups!$H$48,-2)</f>
        <v>0</v>
      </c>
      <c r="CE1287" s="3">
        <f>Wapato_Inventory[[#This Row],[final_res]]+Wapato_Inventory[[#This Row],[final_det]]</f>
        <v>0</v>
      </c>
      <c r="CF1287" s="3">
        <f>Wapato_Inventory[[#This Row],[crop_value]]+Wapato_Inventory[[#This Row],[final_land]]+Wapato_Inventory[[#This Row],[final_imp]]</f>
        <v>52700</v>
      </c>
      <c r="CH1287" t="str">
        <f t="shared" si="20"/>
        <v>update valuation set market_land =52700, market_bldg=0, market_total =52700, market_mdno =405, market_date ='9/10/2023' where link_id = (select link_id from parcel where parcel_year = '2024' and parcel_id = '19111133003');</v>
      </c>
    </row>
    <row r="1288" spans="1:86" x14ac:dyDescent="0.25">
      <c r="A1288">
        <v>19111133405</v>
      </c>
      <c r="B1288">
        <v>0.18</v>
      </c>
      <c r="C1288">
        <v>7865</v>
      </c>
      <c r="D1288" t="s">
        <v>144</v>
      </c>
      <c r="E1288" t="s">
        <v>54</v>
      </c>
      <c r="F1288" t="s">
        <v>54</v>
      </c>
      <c r="G1288">
        <v>3</v>
      </c>
      <c r="H1288" t="s">
        <v>55</v>
      </c>
      <c r="I1288">
        <v>0</v>
      </c>
      <c r="J1288">
        <v>34700</v>
      </c>
      <c r="K1288">
        <v>0.18</v>
      </c>
      <c r="L1288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88">
        <v>0</v>
      </c>
      <c r="N1288">
        <v>0</v>
      </c>
      <c r="O1288">
        <v>0</v>
      </c>
      <c r="P1288">
        <v>27904.037</v>
      </c>
      <c r="Q1288">
        <v>74398</v>
      </c>
      <c r="R1288" s="3">
        <f>(Wapato_Inventory[[#This Row],[ln_acres]]*Wapato_Inventory[[#This Row],[coeff]])+Wapato_Inventory[[#This Row],[const]]</f>
        <v>26548.20121498104</v>
      </c>
      <c r="AY1288">
        <v>0</v>
      </c>
      <c r="AZ1288">
        <v>0</v>
      </c>
      <c r="BE1288">
        <v>0</v>
      </c>
      <c r="BF1288">
        <v>15000</v>
      </c>
      <c r="BG1288">
        <v>0</v>
      </c>
      <c r="BH1288" s="7">
        <f>ROUND(Wapato_Inventory[[#This Row],[detatched_value]]*Lookups!$B$22*Lookups!$H$48,-2)</f>
        <v>0</v>
      </c>
      <c r="BI1288" s="7">
        <f>ROUND(((Wapato_Inventory[[#This Row],[land_extract]]*Lookups!$B$3) +(Lookups!$B$2*0.5))*Lookups!$H$48,-2)</f>
        <v>53600</v>
      </c>
      <c r="BJ1288" s="7">
        <f>IF(Wapato_Inventory[[#This Row],[bldg_style]]="",0,Lookups!$B$2*0.5)</f>
        <v>0</v>
      </c>
      <c r="BK1288" s="7">
        <f>_xlfn.IFNA(VLOOKUP(Wapato_Inventory[[#This Row],[quality]],Lookups!$H$2:$J$14,3,FALSE),0)</f>
        <v>0</v>
      </c>
      <c r="BL1288" s="7">
        <f>_xlfn.IFNA(VLOOKUP(Wapato_Inventory[[#This Row],[condition]],Lookups!$H$17:$J$24,3,FALSE),0)</f>
        <v>0</v>
      </c>
      <c r="BM1288" s="7">
        <f>Wapato_Inventory[[#This Row],[Age]]*Lookups!$B$16</f>
        <v>0</v>
      </c>
      <c r="BN1288" s="7">
        <f>Wapato_Inventory[[#This Row],[Main Floor]]*Lookups!$B$17</f>
        <v>0</v>
      </c>
      <c r="BO1288" s="7">
        <f>Wapato_Inventory[[#This Row],[Upper Floor]]*Lookups!$B$18</f>
        <v>0</v>
      </c>
      <c r="BP1288" s="7">
        <f>Wapato_Inventory[[#This Row],[Fin BSMT]]*Lookups!$B$19</f>
        <v>0</v>
      </c>
      <c r="BQ1288" s="7">
        <f>(Wapato_Inventory[[#This Row],[att_gar]]+Wapato_Inventory[[#This Row],[blt_gar]])*Lookups!$B$20</f>
        <v>0</v>
      </c>
      <c r="BR1288" s="7">
        <f>Wapato_Inventory[[#This Row],[Patio]]*Lookups!$B$21</f>
        <v>0</v>
      </c>
      <c r="BS1288" s="7">
        <f>SUM(Wapato_Inventory[[#This Row],[intercept]:[patio_value]])*Wapato_Inventory[[#This Row],[res_pct]]</f>
        <v>0</v>
      </c>
      <c r="BT1288" s="7">
        <f>Wapato_Inventory[[#This Row],[land_value]]</f>
        <v>53600</v>
      </c>
      <c r="BU1288" s="2">
        <f>_xlfn.IFNA(VLOOKUP(Wapato_Inventory[[#This Row],[quality]],Lookups!$A$28:$C$37,3,FALSE),1)</f>
        <v>1</v>
      </c>
      <c r="BV1288" s="2">
        <f>_xlfn.IFNA(VLOOKUP(Wapato_Inventory[[#This Row],[condition]],Lookups!$A$41:$C$48,3,FALSE),1)</f>
        <v>1</v>
      </c>
      <c r="BW1288" s="2">
        <f>IF(Wapato_Inventory[[#This Row],[decade]]="",1,_xlfn.IFNA(VLOOKUP(Wapato_Inventory[[#This Row],[decade]],Lookups!$F$28:$H$45,3,FALSE),1))</f>
        <v>1</v>
      </c>
      <c r="BX1288" s="2">
        <f>_xlfn.IFNA(VLOOKUP(Wapato_Inventory[[#This Row],[living_area_range]],Lookups!$K$28:$M$37,3,FALSE),1)</f>
        <v>1</v>
      </c>
      <c r="BY1288" s="2">
        <f>AVERAGE(Wapato_Inventory[[#This Row],[qual_adj]:[range_adj]])</f>
        <v>1</v>
      </c>
      <c r="BZ1288" s="7">
        <f>(Wapato_Inventory[[#This Row],[sum_land]]-IF(Wapato_Inventory[[#This Row],[no_utilities]]=1,12000,0))/IF(Wapato_Inventory[[#This Row],[unbuildable]]=1,2,1)</f>
        <v>53600</v>
      </c>
      <c r="CA1288" s="7">
        <f>Wapato_Inventory[[#This Row],[pre_res]]*Wapato_Inventory[[#This Row],[overall_adj]]</f>
        <v>0</v>
      </c>
      <c r="CB1288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8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88" s="3">
        <f>ROUND(Wapato_Inventory[[#This Row],[det_value]]*Lookups!$H$48,-2)</f>
        <v>0</v>
      </c>
      <c r="CE1288" s="3">
        <f>Wapato_Inventory[[#This Row],[final_res]]+Wapato_Inventory[[#This Row],[final_det]]</f>
        <v>0</v>
      </c>
      <c r="CF1288" s="3">
        <f>Wapato_Inventory[[#This Row],[crop_value]]+Wapato_Inventory[[#This Row],[final_land]]+Wapato_Inventory[[#This Row],[final_imp]]</f>
        <v>50900</v>
      </c>
      <c r="CH1288" t="str">
        <f t="shared" si="20"/>
        <v>update valuation set market_land =50900, market_bldg=0, market_total =50900, market_mdno =405, market_date ='9/10/2023' where link_id = (select link_id from parcel where parcel_year = '2024' and parcel_id = '19111133405');</v>
      </c>
    </row>
    <row r="1289" spans="1:86" x14ac:dyDescent="0.25">
      <c r="A1289">
        <v>19111133415</v>
      </c>
      <c r="B1289">
        <v>0.13</v>
      </c>
      <c r="C1289">
        <v>5521</v>
      </c>
      <c r="D1289" t="s">
        <v>144</v>
      </c>
      <c r="E1289" t="s">
        <v>54</v>
      </c>
      <c r="F1289" t="s">
        <v>54</v>
      </c>
      <c r="G1289">
        <v>3</v>
      </c>
      <c r="H1289" t="s">
        <v>55</v>
      </c>
      <c r="I1289">
        <v>0</v>
      </c>
      <c r="J1289">
        <v>32300</v>
      </c>
      <c r="K1289">
        <v>0.13</v>
      </c>
      <c r="L1289">
        <f>IF(Wapato_Inventory[[#This Row],[parcel_acres]]-Wapato_Inventory[[#This Row],[non_valued_acres]] =0,0,LN(Wapato_Inventory[[#This Row],[parcel_acres]]-Wapato_Inventory[[#This Row],[non_valued_acres]]))</f>
        <v>-2.0402208285265546</v>
      </c>
      <c r="M1289">
        <v>0</v>
      </c>
      <c r="N1289">
        <v>0</v>
      </c>
      <c r="O1289">
        <v>0</v>
      </c>
      <c r="P1289">
        <v>27904.037</v>
      </c>
      <c r="Q1289">
        <v>74398</v>
      </c>
      <c r="R1289" s="3">
        <f>(Wapato_Inventory[[#This Row],[ln_acres]]*Wapato_Inventory[[#This Row],[coeff]])+Wapato_Inventory[[#This Row],[const]]</f>
        <v>17467.602512624362</v>
      </c>
      <c r="AY1289">
        <v>0</v>
      </c>
      <c r="AZ1289">
        <v>0</v>
      </c>
      <c r="BE1289">
        <v>0</v>
      </c>
      <c r="BF1289">
        <v>15000</v>
      </c>
      <c r="BG1289">
        <v>0</v>
      </c>
      <c r="BH1289" s="7">
        <f>ROUND(Wapato_Inventory[[#This Row],[detatched_value]]*Lookups!$B$22*Lookups!$H$48,-2)</f>
        <v>0</v>
      </c>
      <c r="BI1289" s="7">
        <f>ROUND(((Wapato_Inventory[[#This Row],[land_extract]]*Lookups!$B$3) +(Lookups!$B$2*0.5))*Lookups!$H$48,-2)</f>
        <v>52800</v>
      </c>
      <c r="BJ1289" s="7">
        <f>IF(Wapato_Inventory[[#This Row],[bldg_style]]="",0,Lookups!$B$2*0.5)</f>
        <v>0</v>
      </c>
      <c r="BK1289" s="7">
        <f>_xlfn.IFNA(VLOOKUP(Wapato_Inventory[[#This Row],[quality]],Lookups!$H$2:$J$14,3,FALSE),0)</f>
        <v>0</v>
      </c>
      <c r="BL1289" s="7">
        <f>_xlfn.IFNA(VLOOKUP(Wapato_Inventory[[#This Row],[condition]],Lookups!$H$17:$J$24,3,FALSE),0)</f>
        <v>0</v>
      </c>
      <c r="BM1289" s="7">
        <f>Wapato_Inventory[[#This Row],[Age]]*Lookups!$B$16</f>
        <v>0</v>
      </c>
      <c r="BN1289" s="7">
        <f>Wapato_Inventory[[#This Row],[Main Floor]]*Lookups!$B$17</f>
        <v>0</v>
      </c>
      <c r="BO1289" s="7">
        <f>Wapato_Inventory[[#This Row],[Upper Floor]]*Lookups!$B$18</f>
        <v>0</v>
      </c>
      <c r="BP1289" s="7">
        <f>Wapato_Inventory[[#This Row],[Fin BSMT]]*Lookups!$B$19</f>
        <v>0</v>
      </c>
      <c r="BQ1289" s="7">
        <f>(Wapato_Inventory[[#This Row],[att_gar]]+Wapato_Inventory[[#This Row],[blt_gar]])*Lookups!$B$20</f>
        <v>0</v>
      </c>
      <c r="BR1289" s="7">
        <f>Wapato_Inventory[[#This Row],[Patio]]*Lookups!$B$21</f>
        <v>0</v>
      </c>
      <c r="BS1289" s="7">
        <f>SUM(Wapato_Inventory[[#This Row],[intercept]:[patio_value]])*Wapato_Inventory[[#This Row],[res_pct]]</f>
        <v>0</v>
      </c>
      <c r="BT1289" s="7">
        <f>Wapato_Inventory[[#This Row],[land_value]]</f>
        <v>52800</v>
      </c>
      <c r="BU1289" s="2">
        <f>_xlfn.IFNA(VLOOKUP(Wapato_Inventory[[#This Row],[quality]],Lookups!$A$28:$C$37,3,FALSE),1)</f>
        <v>1</v>
      </c>
      <c r="BV1289" s="2">
        <f>_xlfn.IFNA(VLOOKUP(Wapato_Inventory[[#This Row],[condition]],Lookups!$A$41:$C$48,3,FALSE),1)</f>
        <v>1</v>
      </c>
      <c r="BW1289" s="2">
        <f>IF(Wapato_Inventory[[#This Row],[decade]]="",1,_xlfn.IFNA(VLOOKUP(Wapato_Inventory[[#This Row],[decade]],Lookups!$F$28:$H$45,3,FALSE),1))</f>
        <v>1</v>
      </c>
      <c r="BX1289" s="2">
        <f>_xlfn.IFNA(VLOOKUP(Wapato_Inventory[[#This Row],[living_area_range]],Lookups!$K$28:$M$37,3,FALSE),1)</f>
        <v>1</v>
      </c>
      <c r="BY1289" s="2">
        <f>AVERAGE(Wapato_Inventory[[#This Row],[qual_adj]:[range_adj]])</f>
        <v>1</v>
      </c>
      <c r="BZ1289" s="7">
        <f>(Wapato_Inventory[[#This Row],[sum_land]]-IF(Wapato_Inventory[[#This Row],[no_utilities]]=1,12000,0))/IF(Wapato_Inventory[[#This Row],[unbuildable]]=1,2,1)</f>
        <v>52800</v>
      </c>
      <c r="CA1289" s="7">
        <f>Wapato_Inventory[[#This Row],[pre_res]]*Wapato_Inventory[[#This Row],[overall_adj]]</f>
        <v>0</v>
      </c>
      <c r="CB1289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128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89" s="3">
        <f>ROUND(Wapato_Inventory[[#This Row],[det_value]]*Lookups!$H$48,-2)</f>
        <v>0</v>
      </c>
      <c r="CE1289" s="3">
        <f>Wapato_Inventory[[#This Row],[final_res]]+Wapato_Inventory[[#This Row],[final_det]]</f>
        <v>0</v>
      </c>
      <c r="CF1289" s="3">
        <f>Wapato_Inventory[[#This Row],[crop_value]]+Wapato_Inventory[[#This Row],[final_land]]+Wapato_Inventory[[#This Row],[final_imp]]</f>
        <v>50200</v>
      </c>
      <c r="CH1289" t="str">
        <f t="shared" si="20"/>
        <v>update valuation set market_land =50200, market_bldg=0, market_total =50200, market_mdno =405, market_date ='9/10/2023' where link_id = (select link_id from parcel where parcel_year = '2024' and parcel_id = '19111133415');</v>
      </c>
    </row>
    <row r="1290" spans="1:86" x14ac:dyDescent="0.25">
      <c r="A1290">
        <v>19111133445</v>
      </c>
      <c r="B1290">
        <v>0.12</v>
      </c>
      <c r="C1290">
        <v>5354</v>
      </c>
      <c r="D1290" t="s">
        <v>144</v>
      </c>
      <c r="E1290" t="s">
        <v>54</v>
      </c>
      <c r="F1290" t="s">
        <v>54</v>
      </c>
      <c r="G1290">
        <v>3</v>
      </c>
      <c r="H1290" t="s">
        <v>55</v>
      </c>
      <c r="I1290">
        <v>0</v>
      </c>
      <c r="J1290">
        <v>31700</v>
      </c>
      <c r="K1290">
        <v>0.12</v>
      </c>
      <c r="L1290">
        <f>IF(Wapato_Inventory[[#This Row],[parcel_acres]]-Wapato_Inventory[[#This Row],[non_valued_acres]] =0,0,LN(Wapato_Inventory[[#This Row],[parcel_acres]]-Wapato_Inventory[[#This Row],[non_valued_acres]]))</f>
        <v>-2.120263536200091</v>
      </c>
      <c r="M1290">
        <v>0</v>
      </c>
      <c r="N1290">
        <v>1</v>
      </c>
      <c r="O1290">
        <v>0</v>
      </c>
      <c r="P1290">
        <v>27904.037</v>
      </c>
      <c r="Q1290">
        <v>74398</v>
      </c>
      <c r="R1290" s="3">
        <f>(Wapato_Inventory[[#This Row],[ln_acres]]*Wapato_Inventory[[#This Row],[coeff]])+Wapato_Inventory[[#This Row],[const]]</f>
        <v>15234.08783612182</v>
      </c>
      <c r="AY1290">
        <v>0</v>
      </c>
      <c r="AZ1290">
        <v>0</v>
      </c>
      <c r="BE1290">
        <v>0</v>
      </c>
      <c r="BF1290">
        <v>12000</v>
      </c>
      <c r="BG1290">
        <v>0</v>
      </c>
      <c r="BH1290" s="7">
        <f>ROUND(Wapato_Inventory[[#This Row],[detatched_value]]*Lookups!$B$22*Lookups!$H$48,-2)</f>
        <v>0</v>
      </c>
      <c r="BI1290" s="7">
        <f>ROUND(((Wapato_Inventory[[#This Row],[land_extract]]*Lookups!$B$3) +(Lookups!$B$2*0.5))*Lookups!$H$48,-2)</f>
        <v>52500</v>
      </c>
      <c r="BJ1290" s="7">
        <f>IF(Wapato_Inventory[[#This Row],[bldg_style]]="",0,Lookups!$B$2*0.5)</f>
        <v>0</v>
      </c>
      <c r="BK1290" s="7">
        <f>_xlfn.IFNA(VLOOKUP(Wapato_Inventory[[#This Row],[quality]],Lookups!$H$2:$J$14,3,FALSE),0)</f>
        <v>0</v>
      </c>
      <c r="BL1290" s="7">
        <f>_xlfn.IFNA(VLOOKUP(Wapato_Inventory[[#This Row],[condition]],Lookups!$H$17:$J$24,3,FALSE),0)</f>
        <v>0</v>
      </c>
      <c r="BM1290" s="7">
        <f>Wapato_Inventory[[#This Row],[Age]]*Lookups!$B$16</f>
        <v>0</v>
      </c>
      <c r="BN1290" s="7">
        <f>Wapato_Inventory[[#This Row],[Main Floor]]*Lookups!$B$17</f>
        <v>0</v>
      </c>
      <c r="BO1290" s="7">
        <f>Wapato_Inventory[[#This Row],[Upper Floor]]*Lookups!$B$18</f>
        <v>0</v>
      </c>
      <c r="BP1290" s="7">
        <f>Wapato_Inventory[[#This Row],[Fin BSMT]]*Lookups!$B$19</f>
        <v>0</v>
      </c>
      <c r="BQ1290" s="7">
        <f>(Wapato_Inventory[[#This Row],[att_gar]]+Wapato_Inventory[[#This Row],[blt_gar]])*Lookups!$B$20</f>
        <v>0</v>
      </c>
      <c r="BR1290" s="7">
        <f>Wapato_Inventory[[#This Row],[Patio]]*Lookups!$B$21</f>
        <v>0</v>
      </c>
      <c r="BS1290" s="7">
        <f>SUM(Wapato_Inventory[[#This Row],[intercept]:[patio_value]])*Wapato_Inventory[[#This Row],[res_pct]]</f>
        <v>0</v>
      </c>
      <c r="BT1290" s="7">
        <f>Wapato_Inventory[[#This Row],[land_value]]</f>
        <v>52500</v>
      </c>
      <c r="BU1290" s="2">
        <f>_xlfn.IFNA(VLOOKUP(Wapato_Inventory[[#This Row],[quality]],Lookups!$A$28:$C$37,3,FALSE),1)</f>
        <v>1</v>
      </c>
      <c r="BV1290" s="2">
        <f>_xlfn.IFNA(VLOOKUP(Wapato_Inventory[[#This Row],[condition]],Lookups!$A$41:$C$48,3,FALSE),1)</f>
        <v>1</v>
      </c>
      <c r="BW1290" s="2">
        <f>IF(Wapato_Inventory[[#This Row],[decade]]="",1,_xlfn.IFNA(VLOOKUP(Wapato_Inventory[[#This Row],[decade]],Lookups!$F$28:$H$45,3,FALSE),1))</f>
        <v>1</v>
      </c>
      <c r="BX1290" s="2">
        <f>_xlfn.IFNA(VLOOKUP(Wapato_Inventory[[#This Row],[living_area_range]],Lookups!$K$28:$M$37,3,FALSE),1)</f>
        <v>1</v>
      </c>
      <c r="BY1290" s="2">
        <f>AVERAGE(Wapato_Inventory[[#This Row],[qual_adj]:[range_adj]])</f>
        <v>1</v>
      </c>
      <c r="BZ1290" s="7">
        <f>(Wapato_Inventory[[#This Row],[sum_land]]-IF(Wapato_Inventory[[#This Row],[no_utilities]]=1,12000,0))/IF(Wapato_Inventory[[#This Row],[unbuildable]]=1,2,1)</f>
        <v>26250</v>
      </c>
      <c r="CA1290" s="7">
        <f>Wapato_Inventory[[#This Row],[pre_res]]*Wapato_Inventory[[#This Row],[overall_adj]]</f>
        <v>0</v>
      </c>
      <c r="CB1290" s="3">
        <f>IF(ROUND(Wapato_Inventory[[#This Row],[adj_land]]*Lookups!$H$48,-2)&lt;Wapato_Inventory[[#This Row],[min_land]],Wapato_Inventory[[#This Row],[min_land]],ROUND(Wapato_Inventory[[#This Row],[adj_land]]*Lookups!$H$48,-2))</f>
        <v>24900</v>
      </c>
      <c r="CC129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90" s="3">
        <f>ROUND(Wapato_Inventory[[#This Row],[det_value]]*Lookups!$H$48,-2)</f>
        <v>0</v>
      </c>
      <c r="CE1290" s="3">
        <f>Wapato_Inventory[[#This Row],[final_res]]+Wapato_Inventory[[#This Row],[final_det]]</f>
        <v>0</v>
      </c>
      <c r="CF1290" s="3">
        <f>Wapato_Inventory[[#This Row],[crop_value]]+Wapato_Inventory[[#This Row],[final_land]]+Wapato_Inventory[[#This Row],[final_imp]]</f>
        <v>24900</v>
      </c>
      <c r="CH1290" t="str">
        <f t="shared" si="20"/>
        <v>update valuation set market_land =24900, market_bldg=0, market_total =24900, market_mdno =405, market_date ='9/10/2023' where link_id = (select link_id from parcel where parcel_year = '2024' and parcel_id = '19111133445');</v>
      </c>
    </row>
    <row r="1291" spans="1:86" x14ac:dyDescent="0.25">
      <c r="A1291">
        <v>19111133447</v>
      </c>
      <c r="B1291">
        <v>0.24</v>
      </c>
      <c r="C1291">
        <v>10280</v>
      </c>
      <c r="D1291" t="s">
        <v>144</v>
      </c>
      <c r="E1291" t="s">
        <v>54</v>
      </c>
      <c r="F1291" t="s">
        <v>54</v>
      </c>
      <c r="G1291">
        <v>3</v>
      </c>
      <c r="H1291" t="s">
        <v>55</v>
      </c>
      <c r="I1291">
        <v>0</v>
      </c>
      <c r="J1291">
        <v>36800</v>
      </c>
      <c r="K1291">
        <v>0.24</v>
      </c>
      <c r="L1291">
        <f>IF(Wapato_Inventory[[#This Row],[parcel_acres]]-Wapato_Inventory[[#This Row],[non_valued_acres]] =0,0,LN(Wapato_Inventory[[#This Row],[parcel_acres]]-Wapato_Inventory[[#This Row],[non_valued_acres]]))</f>
        <v>-1.4271163556401458</v>
      </c>
      <c r="M1291">
        <v>0</v>
      </c>
      <c r="N1291">
        <v>0</v>
      </c>
      <c r="O1291">
        <v>0</v>
      </c>
      <c r="P1291">
        <v>27904.037</v>
      </c>
      <c r="Q1291">
        <v>74398</v>
      </c>
      <c r="R1291" s="3">
        <f>(Wapato_Inventory[[#This Row],[ln_acres]]*Wapato_Inventory[[#This Row],[coeff]])+Wapato_Inventory[[#This Row],[const]]</f>
        <v>34575.692408912211</v>
      </c>
      <c r="AY1291">
        <v>0</v>
      </c>
      <c r="AZ1291">
        <v>0</v>
      </c>
      <c r="BE1291">
        <v>0</v>
      </c>
      <c r="BF1291">
        <v>15000</v>
      </c>
      <c r="BG1291">
        <v>0</v>
      </c>
      <c r="BH1291" s="7">
        <f>ROUND(Wapato_Inventory[[#This Row],[detatched_value]]*Lookups!$B$22*Lookups!$H$48,-2)</f>
        <v>0</v>
      </c>
      <c r="BI1291" s="7">
        <f>ROUND(((Wapato_Inventory[[#This Row],[land_extract]]*Lookups!$B$3) +(Lookups!$B$2*0.5))*Lookups!$H$48,-2)</f>
        <v>54400</v>
      </c>
      <c r="BJ1291" s="7">
        <f>IF(Wapato_Inventory[[#This Row],[bldg_style]]="",0,Lookups!$B$2*0.5)</f>
        <v>0</v>
      </c>
      <c r="BK1291" s="7">
        <f>_xlfn.IFNA(VLOOKUP(Wapato_Inventory[[#This Row],[quality]],Lookups!$H$2:$J$14,3,FALSE),0)</f>
        <v>0</v>
      </c>
      <c r="BL1291" s="7">
        <f>_xlfn.IFNA(VLOOKUP(Wapato_Inventory[[#This Row],[condition]],Lookups!$H$17:$J$24,3,FALSE),0)</f>
        <v>0</v>
      </c>
      <c r="BM1291" s="7">
        <f>Wapato_Inventory[[#This Row],[Age]]*Lookups!$B$16</f>
        <v>0</v>
      </c>
      <c r="BN1291" s="7">
        <f>Wapato_Inventory[[#This Row],[Main Floor]]*Lookups!$B$17</f>
        <v>0</v>
      </c>
      <c r="BO1291" s="7">
        <f>Wapato_Inventory[[#This Row],[Upper Floor]]*Lookups!$B$18</f>
        <v>0</v>
      </c>
      <c r="BP1291" s="7">
        <f>Wapato_Inventory[[#This Row],[Fin BSMT]]*Lookups!$B$19</f>
        <v>0</v>
      </c>
      <c r="BQ1291" s="7">
        <f>(Wapato_Inventory[[#This Row],[att_gar]]+Wapato_Inventory[[#This Row],[blt_gar]])*Lookups!$B$20</f>
        <v>0</v>
      </c>
      <c r="BR1291" s="7">
        <f>Wapato_Inventory[[#This Row],[Patio]]*Lookups!$B$21</f>
        <v>0</v>
      </c>
      <c r="BS1291" s="7">
        <f>SUM(Wapato_Inventory[[#This Row],[intercept]:[patio_value]])*Wapato_Inventory[[#This Row],[res_pct]]</f>
        <v>0</v>
      </c>
      <c r="BT1291" s="7">
        <f>Wapato_Inventory[[#This Row],[land_value]]</f>
        <v>54400</v>
      </c>
      <c r="BU1291" s="2">
        <f>_xlfn.IFNA(VLOOKUP(Wapato_Inventory[[#This Row],[quality]],Lookups!$A$28:$C$37,3,FALSE),1)</f>
        <v>1</v>
      </c>
      <c r="BV1291" s="2">
        <f>_xlfn.IFNA(VLOOKUP(Wapato_Inventory[[#This Row],[condition]],Lookups!$A$41:$C$48,3,FALSE),1)</f>
        <v>1</v>
      </c>
      <c r="BW1291" s="2">
        <f>IF(Wapato_Inventory[[#This Row],[decade]]="",1,_xlfn.IFNA(VLOOKUP(Wapato_Inventory[[#This Row],[decade]],Lookups!$F$28:$H$45,3,FALSE),1))</f>
        <v>1</v>
      </c>
      <c r="BX1291" s="2">
        <f>_xlfn.IFNA(VLOOKUP(Wapato_Inventory[[#This Row],[living_area_range]],Lookups!$K$28:$M$37,3,FALSE),1)</f>
        <v>1</v>
      </c>
      <c r="BY1291" s="2">
        <f>AVERAGE(Wapato_Inventory[[#This Row],[qual_adj]:[range_adj]])</f>
        <v>1</v>
      </c>
      <c r="BZ1291" s="7">
        <f>(Wapato_Inventory[[#This Row],[sum_land]]-IF(Wapato_Inventory[[#This Row],[no_utilities]]=1,12000,0))/IF(Wapato_Inventory[[#This Row],[unbuildable]]=1,2,1)</f>
        <v>54400</v>
      </c>
      <c r="CA1291" s="7">
        <f>Wapato_Inventory[[#This Row],[pre_res]]*Wapato_Inventory[[#This Row],[overall_adj]]</f>
        <v>0</v>
      </c>
      <c r="CB1291" s="3">
        <f>IF(ROUND(Wapato_Inventory[[#This Row],[adj_land]]*Lookups!$H$48,-2)&lt;Wapato_Inventory[[#This Row],[min_land]],Wapato_Inventory[[#This Row],[min_land]],ROUND(Wapato_Inventory[[#This Row],[adj_land]]*Lookups!$H$48,-2))</f>
        <v>51700</v>
      </c>
      <c r="CC129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91" s="3">
        <f>ROUND(Wapato_Inventory[[#This Row],[det_value]]*Lookups!$H$48,-2)</f>
        <v>0</v>
      </c>
      <c r="CE1291" s="3">
        <f>Wapato_Inventory[[#This Row],[final_res]]+Wapato_Inventory[[#This Row],[final_det]]</f>
        <v>0</v>
      </c>
      <c r="CF1291" s="3">
        <f>Wapato_Inventory[[#This Row],[crop_value]]+Wapato_Inventory[[#This Row],[final_land]]+Wapato_Inventory[[#This Row],[final_imp]]</f>
        <v>51700</v>
      </c>
      <c r="CH1291" t="str">
        <f t="shared" si="20"/>
        <v>update valuation set market_land =51700, market_bldg=0, market_total =51700, market_mdno =405, market_date ='9/10/2023' where link_id = (select link_id from parcel where parcel_year = '2024' and parcel_id = '19111133447');</v>
      </c>
    </row>
    <row r="1292" spans="1:86" x14ac:dyDescent="0.25">
      <c r="A1292">
        <v>19111133450</v>
      </c>
      <c r="B1292">
        <v>0.24</v>
      </c>
      <c r="C1292">
        <v>10374</v>
      </c>
      <c r="D1292" t="s">
        <v>144</v>
      </c>
      <c r="E1292" t="s">
        <v>54</v>
      </c>
      <c r="F1292" t="s">
        <v>54</v>
      </c>
      <c r="G1292">
        <v>3</v>
      </c>
      <c r="H1292" t="s">
        <v>55</v>
      </c>
      <c r="I1292">
        <v>0</v>
      </c>
      <c r="J1292">
        <v>36800</v>
      </c>
      <c r="K1292">
        <v>0.24</v>
      </c>
      <c r="L1292">
        <f>IF(Wapato_Inventory[[#This Row],[parcel_acres]]-Wapato_Inventory[[#This Row],[non_valued_acres]] =0,0,LN(Wapato_Inventory[[#This Row],[parcel_acres]]-Wapato_Inventory[[#This Row],[non_valued_acres]]))</f>
        <v>-1.4271163556401458</v>
      </c>
      <c r="M1292">
        <v>0</v>
      </c>
      <c r="N1292">
        <v>0</v>
      </c>
      <c r="O1292">
        <v>0</v>
      </c>
      <c r="P1292">
        <v>27904.037</v>
      </c>
      <c r="Q1292">
        <v>74398</v>
      </c>
      <c r="R1292" s="3">
        <f>(Wapato_Inventory[[#This Row],[ln_acres]]*Wapato_Inventory[[#This Row],[coeff]])+Wapato_Inventory[[#This Row],[const]]</f>
        <v>34575.692408912211</v>
      </c>
      <c r="AY1292">
        <v>0</v>
      </c>
      <c r="AZ1292">
        <v>0</v>
      </c>
      <c r="BE1292">
        <v>0</v>
      </c>
      <c r="BF1292">
        <v>15000</v>
      </c>
      <c r="BG1292">
        <v>0</v>
      </c>
      <c r="BH1292" s="7">
        <f>ROUND(Wapato_Inventory[[#This Row],[detatched_value]]*Lookups!$B$22*Lookups!$H$48,-2)</f>
        <v>0</v>
      </c>
      <c r="BI1292" s="7">
        <f>ROUND(((Wapato_Inventory[[#This Row],[land_extract]]*Lookups!$B$3) +(Lookups!$B$2*0.5))*Lookups!$H$48,-2)</f>
        <v>54400</v>
      </c>
      <c r="BJ1292" s="7">
        <f>IF(Wapato_Inventory[[#This Row],[bldg_style]]="",0,Lookups!$B$2*0.5)</f>
        <v>0</v>
      </c>
      <c r="BK1292" s="7">
        <f>_xlfn.IFNA(VLOOKUP(Wapato_Inventory[[#This Row],[quality]],Lookups!$H$2:$J$14,3,FALSE),0)</f>
        <v>0</v>
      </c>
      <c r="BL1292" s="7">
        <f>_xlfn.IFNA(VLOOKUP(Wapato_Inventory[[#This Row],[condition]],Lookups!$H$17:$J$24,3,FALSE),0)</f>
        <v>0</v>
      </c>
      <c r="BM1292" s="7">
        <f>Wapato_Inventory[[#This Row],[Age]]*Lookups!$B$16</f>
        <v>0</v>
      </c>
      <c r="BN1292" s="7">
        <f>Wapato_Inventory[[#This Row],[Main Floor]]*Lookups!$B$17</f>
        <v>0</v>
      </c>
      <c r="BO1292" s="7">
        <f>Wapato_Inventory[[#This Row],[Upper Floor]]*Lookups!$B$18</f>
        <v>0</v>
      </c>
      <c r="BP1292" s="7">
        <f>Wapato_Inventory[[#This Row],[Fin BSMT]]*Lookups!$B$19</f>
        <v>0</v>
      </c>
      <c r="BQ1292" s="7">
        <f>(Wapato_Inventory[[#This Row],[att_gar]]+Wapato_Inventory[[#This Row],[blt_gar]])*Lookups!$B$20</f>
        <v>0</v>
      </c>
      <c r="BR1292" s="7">
        <f>Wapato_Inventory[[#This Row],[Patio]]*Lookups!$B$21</f>
        <v>0</v>
      </c>
      <c r="BS1292" s="7">
        <f>SUM(Wapato_Inventory[[#This Row],[intercept]:[patio_value]])*Wapato_Inventory[[#This Row],[res_pct]]</f>
        <v>0</v>
      </c>
      <c r="BT1292" s="7">
        <f>Wapato_Inventory[[#This Row],[land_value]]</f>
        <v>54400</v>
      </c>
      <c r="BU1292" s="2">
        <f>_xlfn.IFNA(VLOOKUP(Wapato_Inventory[[#This Row],[quality]],Lookups!$A$28:$C$37,3,FALSE),1)</f>
        <v>1</v>
      </c>
      <c r="BV1292" s="2">
        <f>_xlfn.IFNA(VLOOKUP(Wapato_Inventory[[#This Row],[condition]],Lookups!$A$41:$C$48,3,FALSE),1)</f>
        <v>1</v>
      </c>
      <c r="BW1292" s="2">
        <f>IF(Wapato_Inventory[[#This Row],[decade]]="",1,_xlfn.IFNA(VLOOKUP(Wapato_Inventory[[#This Row],[decade]],Lookups!$F$28:$H$45,3,FALSE),1))</f>
        <v>1</v>
      </c>
      <c r="BX1292" s="2">
        <f>_xlfn.IFNA(VLOOKUP(Wapato_Inventory[[#This Row],[living_area_range]],Lookups!$K$28:$M$37,3,FALSE),1)</f>
        <v>1</v>
      </c>
      <c r="BY1292" s="2">
        <f>AVERAGE(Wapato_Inventory[[#This Row],[qual_adj]:[range_adj]])</f>
        <v>1</v>
      </c>
      <c r="BZ1292" s="7">
        <f>(Wapato_Inventory[[#This Row],[sum_land]]-IF(Wapato_Inventory[[#This Row],[no_utilities]]=1,12000,0))/IF(Wapato_Inventory[[#This Row],[unbuildable]]=1,2,1)</f>
        <v>54400</v>
      </c>
      <c r="CA1292" s="7">
        <f>Wapato_Inventory[[#This Row],[pre_res]]*Wapato_Inventory[[#This Row],[overall_adj]]</f>
        <v>0</v>
      </c>
      <c r="CB1292" s="3">
        <f>IF(ROUND(Wapato_Inventory[[#This Row],[adj_land]]*Lookups!$H$48,-2)&lt;Wapato_Inventory[[#This Row],[min_land]],Wapato_Inventory[[#This Row],[min_land]],ROUND(Wapato_Inventory[[#This Row],[adj_land]]*Lookups!$H$48,-2))</f>
        <v>51700</v>
      </c>
      <c r="CC129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92" s="3">
        <f>ROUND(Wapato_Inventory[[#This Row],[det_value]]*Lookups!$H$48,-2)</f>
        <v>0</v>
      </c>
      <c r="CE1292" s="3">
        <f>Wapato_Inventory[[#This Row],[final_res]]+Wapato_Inventory[[#This Row],[final_det]]</f>
        <v>0</v>
      </c>
      <c r="CF1292" s="3">
        <f>Wapato_Inventory[[#This Row],[crop_value]]+Wapato_Inventory[[#This Row],[final_land]]+Wapato_Inventory[[#This Row],[final_imp]]</f>
        <v>51700</v>
      </c>
      <c r="CH1292" t="str">
        <f t="shared" si="20"/>
        <v>update valuation set market_land =51700, market_bldg=0, market_total =51700, market_mdno =405, market_date ='9/10/2023' where link_id = (select link_id from parcel where parcel_year = '2024' and parcel_id = '19111133450');</v>
      </c>
    </row>
    <row r="1293" spans="1:86" x14ac:dyDescent="0.25">
      <c r="A1293">
        <v>19111133466</v>
      </c>
      <c r="B1293">
        <v>0.25</v>
      </c>
      <c r="C1293">
        <v>10825</v>
      </c>
      <c r="D1293" t="s">
        <v>144</v>
      </c>
      <c r="E1293" t="s">
        <v>54</v>
      </c>
      <c r="F1293" t="s">
        <v>54</v>
      </c>
      <c r="G1293">
        <v>3</v>
      </c>
      <c r="H1293" t="s">
        <v>55</v>
      </c>
      <c r="I1293">
        <v>0</v>
      </c>
      <c r="J1293">
        <v>37100</v>
      </c>
      <c r="K1293">
        <v>0.25</v>
      </c>
      <c r="L1293">
        <f>IF(Wapato_Inventory[[#This Row],[parcel_acres]]-Wapato_Inventory[[#This Row],[non_valued_acres]] =0,0,LN(Wapato_Inventory[[#This Row],[parcel_acres]]-Wapato_Inventory[[#This Row],[non_valued_acres]]))</f>
        <v>-1.3862943611198906</v>
      </c>
      <c r="M1293">
        <v>0</v>
      </c>
      <c r="N1293">
        <v>0</v>
      </c>
      <c r="O1293">
        <v>0</v>
      </c>
      <c r="P1293">
        <v>27904.037</v>
      </c>
      <c r="Q1293">
        <v>74398</v>
      </c>
      <c r="R1293" s="3">
        <f>(Wapato_Inventory[[#This Row],[ln_acres]]*Wapato_Inventory[[#This Row],[coeff]])+Wapato_Inventory[[#This Row],[const]]</f>
        <v>35714.790854419211</v>
      </c>
      <c r="AY1293">
        <v>0</v>
      </c>
      <c r="AZ1293">
        <v>0</v>
      </c>
      <c r="BE1293">
        <v>0</v>
      </c>
      <c r="BF1293">
        <v>15000</v>
      </c>
      <c r="BG1293">
        <v>0</v>
      </c>
      <c r="BH1293" s="7">
        <f>ROUND(Wapato_Inventory[[#This Row],[detatched_value]]*Lookups!$B$22*Lookups!$H$48,-2)</f>
        <v>0</v>
      </c>
      <c r="BI1293" s="7">
        <f>ROUND(((Wapato_Inventory[[#This Row],[land_extract]]*Lookups!$B$3) +(Lookups!$B$2*0.5))*Lookups!$H$48,-2)</f>
        <v>54500</v>
      </c>
      <c r="BJ1293" s="7">
        <f>IF(Wapato_Inventory[[#This Row],[bldg_style]]="",0,Lookups!$B$2*0.5)</f>
        <v>0</v>
      </c>
      <c r="BK1293" s="7">
        <f>_xlfn.IFNA(VLOOKUP(Wapato_Inventory[[#This Row],[quality]],Lookups!$H$2:$J$14,3,FALSE),0)</f>
        <v>0</v>
      </c>
      <c r="BL1293" s="7">
        <f>_xlfn.IFNA(VLOOKUP(Wapato_Inventory[[#This Row],[condition]],Lookups!$H$17:$J$24,3,FALSE),0)</f>
        <v>0</v>
      </c>
      <c r="BM1293" s="7">
        <f>Wapato_Inventory[[#This Row],[Age]]*Lookups!$B$16</f>
        <v>0</v>
      </c>
      <c r="BN1293" s="7">
        <f>Wapato_Inventory[[#This Row],[Main Floor]]*Lookups!$B$17</f>
        <v>0</v>
      </c>
      <c r="BO1293" s="7">
        <f>Wapato_Inventory[[#This Row],[Upper Floor]]*Lookups!$B$18</f>
        <v>0</v>
      </c>
      <c r="BP1293" s="7">
        <f>Wapato_Inventory[[#This Row],[Fin BSMT]]*Lookups!$B$19</f>
        <v>0</v>
      </c>
      <c r="BQ1293" s="7">
        <f>(Wapato_Inventory[[#This Row],[att_gar]]+Wapato_Inventory[[#This Row],[blt_gar]])*Lookups!$B$20</f>
        <v>0</v>
      </c>
      <c r="BR1293" s="7">
        <f>Wapato_Inventory[[#This Row],[Patio]]*Lookups!$B$21</f>
        <v>0</v>
      </c>
      <c r="BS1293" s="7">
        <f>SUM(Wapato_Inventory[[#This Row],[intercept]:[patio_value]])*Wapato_Inventory[[#This Row],[res_pct]]</f>
        <v>0</v>
      </c>
      <c r="BT1293" s="7">
        <f>Wapato_Inventory[[#This Row],[land_value]]</f>
        <v>54500</v>
      </c>
      <c r="BU1293" s="2">
        <f>_xlfn.IFNA(VLOOKUP(Wapato_Inventory[[#This Row],[quality]],Lookups!$A$28:$C$37,3,FALSE),1)</f>
        <v>1</v>
      </c>
      <c r="BV1293" s="2">
        <f>_xlfn.IFNA(VLOOKUP(Wapato_Inventory[[#This Row],[condition]],Lookups!$A$41:$C$48,3,FALSE),1)</f>
        <v>1</v>
      </c>
      <c r="BW1293" s="2">
        <f>IF(Wapato_Inventory[[#This Row],[decade]]="",1,_xlfn.IFNA(VLOOKUP(Wapato_Inventory[[#This Row],[decade]],Lookups!$F$28:$H$45,3,FALSE),1))</f>
        <v>1</v>
      </c>
      <c r="BX1293" s="2">
        <f>_xlfn.IFNA(VLOOKUP(Wapato_Inventory[[#This Row],[living_area_range]],Lookups!$K$28:$M$37,3,FALSE),1)</f>
        <v>1</v>
      </c>
      <c r="BY1293" s="2">
        <f>AVERAGE(Wapato_Inventory[[#This Row],[qual_adj]:[range_adj]])</f>
        <v>1</v>
      </c>
      <c r="BZ1293" s="7">
        <f>(Wapato_Inventory[[#This Row],[sum_land]]-IF(Wapato_Inventory[[#This Row],[no_utilities]]=1,12000,0))/IF(Wapato_Inventory[[#This Row],[unbuildable]]=1,2,1)</f>
        <v>54500</v>
      </c>
      <c r="CA1293" s="7">
        <f>Wapato_Inventory[[#This Row],[pre_res]]*Wapato_Inventory[[#This Row],[overall_adj]]</f>
        <v>0</v>
      </c>
      <c r="CB1293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129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93" s="3">
        <f>ROUND(Wapato_Inventory[[#This Row],[det_value]]*Lookups!$H$48,-2)</f>
        <v>0</v>
      </c>
      <c r="CE1293" s="3">
        <f>Wapato_Inventory[[#This Row],[final_res]]+Wapato_Inventory[[#This Row],[final_det]]</f>
        <v>0</v>
      </c>
      <c r="CF1293" s="3">
        <f>Wapato_Inventory[[#This Row],[crop_value]]+Wapato_Inventory[[#This Row],[final_land]]+Wapato_Inventory[[#This Row],[final_imp]]</f>
        <v>51800</v>
      </c>
      <c r="CH1293" t="str">
        <f t="shared" ref="CH1293:CH1345" si="21">"update valuation set market_land ="&amp;CB1293&amp;", market_bldg="&amp;CE1293&amp;", market_total ="&amp;CF1293&amp;", market_mdno ="&amp;$CH$1&amp;", market_date ='"&amp;TEXT($CI$1,"m/d/yyyy")&amp;"' where link_id = (select link_id from parcel where parcel_year = '2024' and parcel_id = '"&amp;A1293&amp;"');"</f>
        <v>update valuation set market_land =51800, market_bldg=0, market_total =51800, market_mdno =405, market_date ='9/10/2023' where link_id = (select link_id from parcel where parcel_year = '2024' and parcel_id = '19111133466');</v>
      </c>
    </row>
    <row r="1294" spans="1:86" x14ac:dyDescent="0.25">
      <c r="A1294">
        <v>19111133486</v>
      </c>
      <c r="B1294">
        <v>0.19</v>
      </c>
      <c r="C1294">
        <v>8465</v>
      </c>
      <c r="D1294" t="s">
        <v>144</v>
      </c>
      <c r="E1294" t="s">
        <v>54</v>
      </c>
      <c r="F1294" t="s">
        <v>54</v>
      </c>
      <c r="G1294">
        <v>3</v>
      </c>
      <c r="H1294" t="s">
        <v>55</v>
      </c>
      <c r="I1294">
        <v>0</v>
      </c>
      <c r="J1294">
        <v>35100</v>
      </c>
      <c r="K1294">
        <v>0.19</v>
      </c>
      <c r="L1294">
        <f>IF(Wapato_Inventory[[#This Row],[parcel_acres]]-Wapato_Inventory[[#This Row],[non_valued_acres]] =0,0,LN(Wapato_Inventory[[#This Row],[parcel_acres]]-Wapato_Inventory[[#This Row],[non_valued_acres]]))</f>
        <v>-1.6607312068216509</v>
      </c>
      <c r="M1294">
        <v>0</v>
      </c>
      <c r="N1294">
        <v>0</v>
      </c>
      <c r="O1294">
        <v>0</v>
      </c>
      <c r="P1294">
        <v>27904.037</v>
      </c>
      <c r="Q1294">
        <v>74398</v>
      </c>
      <c r="R1294" s="3">
        <f>(Wapato_Inventory[[#This Row],[ln_acres]]*Wapato_Inventory[[#This Row],[coeff]])+Wapato_Inventory[[#This Row],[const]]</f>
        <v>28056.894957794</v>
      </c>
      <c r="AY1294">
        <v>0</v>
      </c>
      <c r="AZ1294">
        <v>0</v>
      </c>
      <c r="BE1294">
        <v>0</v>
      </c>
      <c r="BF1294">
        <v>15000</v>
      </c>
      <c r="BG1294">
        <v>0</v>
      </c>
      <c r="BH1294" s="7">
        <f>ROUND(Wapato_Inventory[[#This Row],[detatched_value]]*Lookups!$B$22*Lookups!$H$48,-2)</f>
        <v>0</v>
      </c>
      <c r="BI1294" s="7">
        <f>ROUND(((Wapato_Inventory[[#This Row],[land_extract]]*Lookups!$B$3) +(Lookups!$B$2*0.5))*Lookups!$H$48,-2)</f>
        <v>53800</v>
      </c>
      <c r="BJ1294" s="7">
        <f>IF(Wapato_Inventory[[#This Row],[bldg_style]]="",0,Lookups!$B$2*0.5)</f>
        <v>0</v>
      </c>
      <c r="BK1294" s="7">
        <f>_xlfn.IFNA(VLOOKUP(Wapato_Inventory[[#This Row],[quality]],Lookups!$H$2:$J$14,3,FALSE),0)</f>
        <v>0</v>
      </c>
      <c r="BL1294" s="7">
        <f>_xlfn.IFNA(VLOOKUP(Wapato_Inventory[[#This Row],[condition]],Lookups!$H$17:$J$24,3,FALSE),0)</f>
        <v>0</v>
      </c>
      <c r="BM1294" s="7">
        <f>Wapato_Inventory[[#This Row],[Age]]*Lookups!$B$16</f>
        <v>0</v>
      </c>
      <c r="BN1294" s="7">
        <f>Wapato_Inventory[[#This Row],[Main Floor]]*Lookups!$B$17</f>
        <v>0</v>
      </c>
      <c r="BO1294" s="7">
        <f>Wapato_Inventory[[#This Row],[Upper Floor]]*Lookups!$B$18</f>
        <v>0</v>
      </c>
      <c r="BP1294" s="7">
        <f>Wapato_Inventory[[#This Row],[Fin BSMT]]*Lookups!$B$19</f>
        <v>0</v>
      </c>
      <c r="BQ1294" s="7">
        <f>(Wapato_Inventory[[#This Row],[att_gar]]+Wapato_Inventory[[#This Row],[blt_gar]])*Lookups!$B$20</f>
        <v>0</v>
      </c>
      <c r="BR1294" s="7">
        <f>Wapato_Inventory[[#This Row],[Patio]]*Lookups!$B$21</f>
        <v>0</v>
      </c>
      <c r="BS1294" s="7">
        <f>SUM(Wapato_Inventory[[#This Row],[intercept]:[patio_value]])*Wapato_Inventory[[#This Row],[res_pct]]</f>
        <v>0</v>
      </c>
      <c r="BT1294" s="7">
        <f>Wapato_Inventory[[#This Row],[land_value]]</f>
        <v>53800</v>
      </c>
      <c r="BU1294" s="2">
        <f>_xlfn.IFNA(VLOOKUP(Wapato_Inventory[[#This Row],[quality]],Lookups!$A$28:$C$37,3,FALSE),1)</f>
        <v>1</v>
      </c>
      <c r="BV1294" s="2">
        <f>_xlfn.IFNA(VLOOKUP(Wapato_Inventory[[#This Row],[condition]],Lookups!$A$41:$C$48,3,FALSE),1)</f>
        <v>1</v>
      </c>
      <c r="BW1294" s="2">
        <f>IF(Wapato_Inventory[[#This Row],[decade]]="",1,_xlfn.IFNA(VLOOKUP(Wapato_Inventory[[#This Row],[decade]],Lookups!$F$28:$H$45,3,FALSE),1))</f>
        <v>1</v>
      </c>
      <c r="BX1294" s="2">
        <f>_xlfn.IFNA(VLOOKUP(Wapato_Inventory[[#This Row],[living_area_range]],Lookups!$K$28:$M$37,3,FALSE),1)</f>
        <v>1</v>
      </c>
      <c r="BY1294" s="2">
        <f>AVERAGE(Wapato_Inventory[[#This Row],[qual_adj]:[range_adj]])</f>
        <v>1</v>
      </c>
      <c r="BZ1294" s="7">
        <f>(Wapato_Inventory[[#This Row],[sum_land]]-IF(Wapato_Inventory[[#This Row],[no_utilities]]=1,12000,0))/IF(Wapato_Inventory[[#This Row],[unbuildable]]=1,2,1)</f>
        <v>53800</v>
      </c>
      <c r="CA1294" s="7">
        <f>Wapato_Inventory[[#This Row],[pre_res]]*Wapato_Inventory[[#This Row],[overall_adj]]</f>
        <v>0</v>
      </c>
      <c r="CB1294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29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94" s="3">
        <f>ROUND(Wapato_Inventory[[#This Row],[det_value]]*Lookups!$H$48,-2)</f>
        <v>0</v>
      </c>
      <c r="CE1294" s="3">
        <f>Wapato_Inventory[[#This Row],[final_res]]+Wapato_Inventory[[#This Row],[final_det]]</f>
        <v>0</v>
      </c>
      <c r="CF1294" s="3">
        <f>Wapato_Inventory[[#This Row],[crop_value]]+Wapato_Inventory[[#This Row],[final_land]]+Wapato_Inventory[[#This Row],[final_imp]]</f>
        <v>51100</v>
      </c>
      <c r="CH1294" t="str">
        <f t="shared" si="21"/>
        <v>update valuation set market_land =51100, market_bldg=0, market_total =51100, market_mdno =405, market_date ='9/10/2023' where link_id = (select link_id from parcel where parcel_year = '2024' and parcel_id = '19111133486');</v>
      </c>
    </row>
    <row r="1295" spans="1:86" x14ac:dyDescent="0.25">
      <c r="A1295">
        <v>19111133498</v>
      </c>
      <c r="B1295">
        <v>0.14000000000000001</v>
      </c>
      <c r="C1295">
        <v>5901</v>
      </c>
      <c r="D1295" t="s">
        <v>144</v>
      </c>
      <c r="E1295" t="s">
        <v>54</v>
      </c>
      <c r="F1295" t="s">
        <v>54</v>
      </c>
      <c r="G1295">
        <v>3</v>
      </c>
      <c r="H1295" t="s">
        <v>55</v>
      </c>
      <c r="I1295">
        <v>0</v>
      </c>
      <c r="J1295">
        <v>32800</v>
      </c>
      <c r="K1295">
        <v>0.14000000000000001</v>
      </c>
      <c r="L1295">
        <f>IF(Wapato_Inventory[[#This Row],[parcel_acres]]-Wapato_Inventory[[#This Row],[non_valued_acres]] =0,0,LN(Wapato_Inventory[[#This Row],[parcel_acres]]-Wapato_Inventory[[#This Row],[non_valued_acres]]))</f>
        <v>-1.9661128563728327</v>
      </c>
      <c r="M1295">
        <v>0</v>
      </c>
      <c r="N1295">
        <v>0</v>
      </c>
      <c r="O1295">
        <v>0</v>
      </c>
      <c r="P1295">
        <v>27904.037</v>
      </c>
      <c r="Q1295">
        <v>74398</v>
      </c>
      <c r="R1295" s="3">
        <f>(Wapato_Inventory[[#This Row],[ln_acres]]*Wapato_Inventory[[#This Row],[coeff]])+Wapato_Inventory[[#This Row],[const]]</f>
        <v>19535.514109596792</v>
      </c>
      <c r="AY1295">
        <v>0</v>
      </c>
      <c r="AZ1295">
        <v>0</v>
      </c>
      <c r="BE1295">
        <v>0</v>
      </c>
      <c r="BF1295">
        <v>15000</v>
      </c>
      <c r="BG1295">
        <v>0</v>
      </c>
      <c r="BH1295" s="7">
        <f>ROUND(Wapato_Inventory[[#This Row],[detatched_value]]*Lookups!$B$22*Lookups!$H$48,-2)</f>
        <v>0</v>
      </c>
      <c r="BI1295" s="7">
        <f>ROUND(((Wapato_Inventory[[#This Row],[land_extract]]*Lookups!$B$3) +(Lookups!$B$2*0.5))*Lookups!$H$48,-2)</f>
        <v>53000</v>
      </c>
      <c r="BJ1295" s="7">
        <f>IF(Wapato_Inventory[[#This Row],[bldg_style]]="",0,Lookups!$B$2*0.5)</f>
        <v>0</v>
      </c>
      <c r="BK1295" s="7">
        <f>_xlfn.IFNA(VLOOKUP(Wapato_Inventory[[#This Row],[quality]],Lookups!$H$2:$J$14,3,FALSE),0)</f>
        <v>0</v>
      </c>
      <c r="BL1295" s="7">
        <f>_xlfn.IFNA(VLOOKUP(Wapato_Inventory[[#This Row],[condition]],Lookups!$H$17:$J$24,3,FALSE),0)</f>
        <v>0</v>
      </c>
      <c r="BM1295" s="7">
        <f>Wapato_Inventory[[#This Row],[Age]]*Lookups!$B$16</f>
        <v>0</v>
      </c>
      <c r="BN1295" s="7">
        <f>Wapato_Inventory[[#This Row],[Main Floor]]*Lookups!$B$17</f>
        <v>0</v>
      </c>
      <c r="BO1295" s="7">
        <f>Wapato_Inventory[[#This Row],[Upper Floor]]*Lookups!$B$18</f>
        <v>0</v>
      </c>
      <c r="BP1295" s="7">
        <f>Wapato_Inventory[[#This Row],[Fin BSMT]]*Lookups!$B$19</f>
        <v>0</v>
      </c>
      <c r="BQ1295" s="7">
        <f>(Wapato_Inventory[[#This Row],[att_gar]]+Wapato_Inventory[[#This Row],[blt_gar]])*Lookups!$B$20</f>
        <v>0</v>
      </c>
      <c r="BR1295" s="7">
        <f>Wapato_Inventory[[#This Row],[Patio]]*Lookups!$B$21</f>
        <v>0</v>
      </c>
      <c r="BS1295" s="7">
        <f>SUM(Wapato_Inventory[[#This Row],[intercept]:[patio_value]])*Wapato_Inventory[[#This Row],[res_pct]]</f>
        <v>0</v>
      </c>
      <c r="BT1295" s="7">
        <f>Wapato_Inventory[[#This Row],[land_value]]</f>
        <v>53000</v>
      </c>
      <c r="BU1295" s="2">
        <f>_xlfn.IFNA(VLOOKUP(Wapato_Inventory[[#This Row],[quality]],Lookups!$A$28:$C$37,3,FALSE),1)</f>
        <v>1</v>
      </c>
      <c r="BV1295" s="2">
        <f>_xlfn.IFNA(VLOOKUP(Wapato_Inventory[[#This Row],[condition]],Lookups!$A$41:$C$48,3,FALSE),1)</f>
        <v>1</v>
      </c>
      <c r="BW1295" s="2">
        <f>IF(Wapato_Inventory[[#This Row],[decade]]="",1,_xlfn.IFNA(VLOOKUP(Wapato_Inventory[[#This Row],[decade]],Lookups!$F$28:$H$45,3,FALSE),1))</f>
        <v>1</v>
      </c>
      <c r="BX1295" s="2">
        <f>_xlfn.IFNA(VLOOKUP(Wapato_Inventory[[#This Row],[living_area_range]],Lookups!$K$28:$M$37,3,FALSE),1)</f>
        <v>1</v>
      </c>
      <c r="BY1295" s="2">
        <f>AVERAGE(Wapato_Inventory[[#This Row],[qual_adj]:[range_adj]])</f>
        <v>1</v>
      </c>
      <c r="BZ1295" s="7">
        <f>(Wapato_Inventory[[#This Row],[sum_land]]-IF(Wapato_Inventory[[#This Row],[no_utilities]]=1,12000,0))/IF(Wapato_Inventory[[#This Row],[unbuildable]]=1,2,1)</f>
        <v>53000</v>
      </c>
      <c r="CA1295" s="7">
        <f>Wapato_Inventory[[#This Row],[pre_res]]*Wapato_Inventory[[#This Row],[overall_adj]]</f>
        <v>0</v>
      </c>
      <c r="CB1295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29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95" s="3">
        <f>ROUND(Wapato_Inventory[[#This Row],[det_value]]*Lookups!$H$48,-2)</f>
        <v>0</v>
      </c>
      <c r="CE1295" s="3">
        <f>Wapato_Inventory[[#This Row],[final_res]]+Wapato_Inventory[[#This Row],[final_det]]</f>
        <v>0</v>
      </c>
      <c r="CF1295" s="3">
        <f>Wapato_Inventory[[#This Row],[crop_value]]+Wapato_Inventory[[#This Row],[final_land]]+Wapato_Inventory[[#This Row],[final_imp]]</f>
        <v>50400</v>
      </c>
      <c r="CH1295" t="str">
        <f t="shared" si="21"/>
        <v>update valuation set market_land =50400, market_bldg=0, market_total =50400, market_mdno =405, market_date ='9/10/2023' where link_id = (select link_id from parcel where parcel_year = '2024' and parcel_id = '19111133498');</v>
      </c>
    </row>
    <row r="1296" spans="1:86" x14ac:dyDescent="0.25">
      <c r="A1296">
        <v>19111133499</v>
      </c>
      <c r="B1296">
        <v>0.18</v>
      </c>
      <c r="C1296">
        <v>7661</v>
      </c>
      <c r="D1296" t="s">
        <v>144</v>
      </c>
      <c r="E1296" t="s">
        <v>54</v>
      </c>
      <c r="F1296" t="s">
        <v>54</v>
      </c>
      <c r="G1296">
        <v>3</v>
      </c>
      <c r="H1296" t="s">
        <v>55</v>
      </c>
      <c r="I1296">
        <v>0</v>
      </c>
      <c r="J1296">
        <v>34700</v>
      </c>
      <c r="K1296">
        <v>0.18</v>
      </c>
      <c r="L1296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96">
        <v>0</v>
      </c>
      <c r="N1296">
        <v>0</v>
      </c>
      <c r="O1296">
        <v>0</v>
      </c>
      <c r="P1296">
        <v>27904.037</v>
      </c>
      <c r="Q1296">
        <v>74398</v>
      </c>
      <c r="R1296" s="3">
        <f>(Wapato_Inventory[[#This Row],[ln_acres]]*Wapato_Inventory[[#This Row],[coeff]])+Wapato_Inventory[[#This Row],[const]]</f>
        <v>26548.20121498104</v>
      </c>
      <c r="AY1296">
        <v>0</v>
      </c>
      <c r="AZ1296">
        <v>0</v>
      </c>
      <c r="BE1296">
        <v>0</v>
      </c>
      <c r="BF1296">
        <v>15000</v>
      </c>
      <c r="BG1296">
        <v>0</v>
      </c>
      <c r="BH1296" s="7">
        <f>ROUND(Wapato_Inventory[[#This Row],[detatched_value]]*Lookups!$B$22*Lookups!$H$48,-2)</f>
        <v>0</v>
      </c>
      <c r="BI1296" s="7">
        <f>ROUND(((Wapato_Inventory[[#This Row],[land_extract]]*Lookups!$B$3) +(Lookups!$B$2*0.5))*Lookups!$H$48,-2)</f>
        <v>53600</v>
      </c>
      <c r="BJ1296" s="7">
        <f>IF(Wapato_Inventory[[#This Row],[bldg_style]]="",0,Lookups!$B$2*0.5)</f>
        <v>0</v>
      </c>
      <c r="BK1296" s="7">
        <f>_xlfn.IFNA(VLOOKUP(Wapato_Inventory[[#This Row],[quality]],Lookups!$H$2:$J$14,3,FALSE),0)</f>
        <v>0</v>
      </c>
      <c r="BL1296" s="7">
        <f>_xlfn.IFNA(VLOOKUP(Wapato_Inventory[[#This Row],[condition]],Lookups!$H$17:$J$24,3,FALSE),0)</f>
        <v>0</v>
      </c>
      <c r="BM1296" s="7">
        <f>Wapato_Inventory[[#This Row],[Age]]*Lookups!$B$16</f>
        <v>0</v>
      </c>
      <c r="BN1296" s="7">
        <f>Wapato_Inventory[[#This Row],[Main Floor]]*Lookups!$B$17</f>
        <v>0</v>
      </c>
      <c r="BO1296" s="7">
        <f>Wapato_Inventory[[#This Row],[Upper Floor]]*Lookups!$B$18</f>
        <v>0</v>
      </c>
      <c r="BP1296" s="7">
        <f>Wapato_Inventory[[#This Row],[Fin BSMT]]*Lookups!$B$19</f>
        <v>0</v>
      </c>
      <c r="BQ1296" s="7">
        <f>(Wapato_Inventory[[#This Row],[att_gar]]+Wapato_Inventory[[#This Row],[blt_gar]])*Lookups!$B$20</f>
        <v>0</v>
      </c>
      <c r="BR1296" s="7">
        <f>Wapato_Inventory[[#This Row],[Patio]]*Lookups!$B$21</f>
        <v>0</v>
      </c>
      <c r="BS1296" s="7">
        <f>SUM(Wapato_Inventory[[#This Row],[intercept]:[patio_value]])*Wapato_Inventory[[#This Row],[res_pct]]</f>
        <v>0</v>
      </c>
      <c r="BT1296" s="7">
        <f>Wapato_Inventory[[#This Row],[land_value]]</f>
        <v>53600</v>
      </c>
      <c r="BU1296" s="2">
        <f>_xlfn.IFNA(VLOOKUP(Wapato_Inventory[[#This Row],[quality]],Lookups!$A$28:$C$37,3,FALSE),1)</f>
        <v>1</v>
      </c>
      <c r="BV1296" s="2">
        <f>_xlfn.IFNA(VLOOKUP(Wapato_Inventory[[#This Row],[condition]],Lookups!$A$41:$C$48,3,FALSE),1)</f>
        <v>1</v>
      </c>
      <c r="BW1296" s="2">
        <f>IF(Wapato_Inventory[[#This Row],[decade]]="",1,_xlfn.IFNA(VLOOKUP(Wapato_Inventory[[#This Row],[decade]],Lookups!$F$28:$H$45,3,FALSE),1))</f>
        <v>1</v>
      </c>
      <c r="BX1296" s="2">
        <f>_xlfn.IFNA(VLOOKUP(Wapato_Inventory[[#This Row],[living_area_range]],Lookups!$K$28:$M$37,3,FALSE),1)</f>
        <v>1</v>
      </c>
      <c r="BY1296" s="2">
        <f>AVERAGE(Wapato_Inventory[[#This Row],[qual_adj]:[range_adj]])</f>
        <v>1</v>
      </c>
      <c r="BZ1296" s="7">
        <f>(Wapato_Inventory[[#This Row],[sum_land]]-IF(Wapato_Inventory[[#This Row],[no_utilities]]=1,12000,0))/IF(Wapato_Inventory[[#This Row],[unbuildable]]=1,2,1)</f>
        <v>53600</v>
      </c>
      <c r="CA1296" s="7">
        <f>Wapato_Inventory[[#This Row],[pre_res]]*Wapato_Inventory[[#This Row],[overall_adj]]</f>
        <v>0</v>
      </c>
      <c r="CB1296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9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96" s="3">
        <f>ROUND(Wapato_Inventory[[#This Row],[det_value]]*Lookups!$H$48,-2)</f>
        <v>0</v>
      </c>
      <c r="CE1296" s="3">
        <f>Wapato_Inventory[[#This Row],[final_res]]+Wapato_Inventory[[#This Row],[final_det]]</f>
        <v>0</v>
      </c>
      <c r="CF1296" s="3">
        <f>Wapato_Inventory[[#This Row],[crop_value]]+Wapato_Inventory[[#This Row],[final_land]]+Wapato_Inventory[[#This Row],[final_imp]]</f>
        <v>50900</v>
      </c>
      <c r="CH1296" t="str">
        <f t="shared" si="21"/>
        <v>update valuation set market_land =50900, market_bldg=0, market_total =50900, market_mdno =405, market_date ='9/10/2023' where link_id = (select link_id from parcel where parcel_year = '2024' and parcel_id = '19111133499');</v>
      </c>
    </row>
    <row r="1297" spans="1:86" x14ac:dyDescent="0.25">
      <c r="A1297">
        <v>19111133503</v>
      </c>
      <c r="B1297">
        <v>0.18</v>
      </c>
      <c r="C1297">
        <v>7705</v>
      </c>
      <c r="D1297" t="s">
        <v>144</v>
      </c>
      <c r="E1297" t="s">
        <v>54</v>
      </c>
      <c r="F1297" t="s">
        <v>54</v>
      </c>
      <c r="G1297">
        <v>3</v>
      </c>
      <c r="H1297" t="s">
        <v>55</v>
      </c>
      <c r="I1297">
        <v>0</v>
      </c>
      <c r="J1297">
        <v>34700</v>
      </c>
      <c r="K1297">
        <v>0.18</v>
      </c>
      <c r="L1297">
        <f>IF(Wapato_Inventory[[#This Row],[parcel_acres]]-Wapato_Inventory[[#This Row],[non_valued_acres]] =0,0,LN(Wapato_Inventory[[#This Row],[parcel_acres]]-Wapato_Inventory[[#This Row],[non_valued_acres]]))</f>
        <v>-1.7147984280919266</v>
      </c>
      <c r="M1297">
        <v>0</v>
      </c>
      <c r="N1297">
        <v>0</v>
      </c>
      <c r="O1297">
        <v>0</v>
      </c>
      <c r="P1297">
        <v>27904.037</v>
      </c>
      <c r="Q1297">
        <v>74398</v>
      </c>
      <c r="R1297" s="3">
        <f>(Wapato_Inventory[[#This Row],[ln_acres]]*Wapato_Inventory[[#This Row],[coeff]])+Wapato_Inventory[[#This Row],[const]]</f>
        <v>26548.20121498104</v>
      </c>
      <c r="AY1297">
        <v>0</v>
      </c>
      <c r="AZ1297">
        <v>0</v>
      </c>
      <c r="BE1297">
        <v>0</v>
      </c>
      <c r="BF1297">
        <v>15000</v>
      </c>
      <c r="BG1297">
        <v>0</v>
      </c>
      <c r="BH1297" s="7">
        <f>ROUND(Wapato_Inventory[[#This Row],[detatched_value]]*Lookups!$B$22*Lookups!$H$48,-2)</f>
        <v>0</v>
      </c>
      <c r="BI1297" s="7">
        <f>ROUND(((Wapato_Inventory[[#This Row],[land_extract]]*Lookups!$B$3) +(Lookups!$B$2*0.5))*Lookups!$H$48,-2)</f>
        <v>53600</v>
      </c>
      <c r="BJ1297" s="7">
        <f>IF(Wapato_Inventory[[#This Row],[bldg_style]]="",0,Lookups!$B$2*0.5)</f>
        <v>0</v>
      </c>
      <c r="BK1297" s="7">
        <f>_xlfn.IFNA(VLOOKUP(Wapato_Inventory[[#This Row],[quality]],Lookups!$H$2:$J$14,3,FALSE),0)</f>
        <v>0</v>
      </c>
      <c r="BL1297" s="7">
        <f>_xlfn.IFNA(VLOOKUP(Wapato_Inventory[[#This Row],[condition]],Lookups!$H$17:$J$24,3,FALSE),0)</f>
        <v>0</v>
      </c>
      <c r="BM1297" s="7">
        <f>Wapato_Inventory[[#This Row],[Age]]*Lookups!$B$16</f>
        <v>0</v>
      </c>
      <c r="BN1297" s="7">
        <f>Wapato_Inventory[[#This Row],[Main Floor]]*Lookups!$B$17</f>
        <v>0</v>
      </c>
      <c r="BO1297" s="7">
        <f>Wapato_Inventory[[#This Row],[Upper Floor]]*Lookups!$B$18</f>
        <v>0</v>
      </c>
      <c r="BP1297" s="7">
        <f>Wapato_Inventory[[#This Row],[Fin BSMT]]*Lookups!$B$19</f>
        <v>0</v>
      </c>
      <c r="BQ1297" s="7">
        <f>(Wapato_Inventory[[#This Row],[att_gar]]+Wapato_Inventory[[#This Row],[blt_gar]])*Lookups!$B$20</f>
        <v>0</v>
      </c>
      <c r="BR1297" s="7">
        <f>Wapato_Inventory[[#This Row],[Patio]]*Lookups!$B$21</f>
        <v>0</v>
      </c>
      <c r="BS1297" s="7">
        <f>SUM(Wapato_Inventory[[#This Row],[intercept]:[patio_value]])*Wapato_Inventory[[#This Row],[res_pct]]</f>
        <v>0</v>
      </c>
      <c r="BT1297" s="7">
        <f>Wapato_Inventory[[#This Row],[land_value]]</f>
        <v>53600</v>
      </c>
      <c r="BU1297" s="2">
        <f>_xlfn.IFNA(VLOOKUP(Wapato_Inventory[[#This Row],[quality]],Lookups!$A$28:$C$37,3,FALSE),1)</f>
        <v>1</v>
      </c>
      <c r="BV1297" s="2">
        <f>_xlfn.IFNA(VLOOKUP(Wapato_Inventory[[#This Row],[condition]],Lookups!$A$41:$C$48,3,FALSE),1)</f>
        <v>1</v>
      </c>
      <c r="BW1297" s="2">
        <f>IF(Wapato_Inventory[[#This Row],[decade]]="",1,_xlfn.IFNA(VLOOKUP(Wapato_Inventory[[#This Row],[decade]],Lookups!$F$28:$H$45,3,FALSE),1))</f>
        <v>1</v>
      </c>
      <c r="BX1297" s="2">
        <f>_xlfn.IFNA(VLOOKUP(Wapato_Inventory[[#This Row],[living_area_range]],Lookups!$K$28:$M$37,3,FALSE),1)</f>
        <v>1</v>
      </c>
      <c r="BY1297" s="2">
        <f>AVERAGE(Wapato_Inventory[[#This Row],[qual_adj]:[range_adj]])</f>
        <v>1</v>
      </c>
      <c r="BZ1297" s="7">
        <f>(Wapato_Inventory[[#This Row],[sum_land]]-IF(Wapato_Inventory[[#This Row],[no_utilities]]=1,12000,0))/IF(Wapato_Inventory[[#This Row],[unbuildable]]=1,2,1)</f>
        <v>53600</v>
      </c>
      <c r="CA1297" s="7">
        <f>Wapato_Inventory[[#This Row],[pre_res]]*Wapato_Inventory[[#This Row],[overall_adj]]</f>
        <v>0</v>
      </c>
      <c r="CB1297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29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97" s="3">
        <f>ROUND(Wapato_Inventory[[#This Row],[det_value]]*Lookups!$H$48,-2)</f>
        <v>0</v>
      </c>
      <c r="CE1297" s="3">
        <f>Wapato_Inventory[[#This Row],[final_res]]+Wapato_Inventory[[#This Row],[final_det]]</f>
        <v>0</v>
      </c>
      <c r="CF1297" s="3">
        <f>Wapato_Inventory[[#This Row],[crop_value]]+Wapato_Inventory[[#This Row],[final_land]]+Wapato_Inventory[[#This Row],[final_imp]]</f>
        <v>50900</v>
      </c>
      <c r="CH1297" t="str">
        <f t="shared" si="21"/>
        <v>update valuation set market_land =50900, market_bldg=0, market_total =50900, market_mdno =405, market_date ='9/10/2023' where link_id = (select link_id from parcel where parcel_year = '2024' and parcel_id = '19111133503');</v>
      </c>
    </row>
    <row r="1298" spans="1:86" x14ac:dyDescent="0.25">
      <c r="A1298">
        <v>19111133554</v>
      </c>
      <c r="B1298">
        <v>0.25</v>
      </c>
      <c r="C1298">
        <v>10750</v>
      </c>
      <c r="D1298" t="s">
        <v>144</v>
      </c>
      <c r="E1298" t="s">
        <v>54</v>
      </c>
      <c r="F1298" t="s">
        <v>54</v>
      </c>
      <c r="G1298">
        <v>3</v>
      </c>
      <c r="H1298" t="s">
        <v>55</v>
      </c>
      <c r="I1298">
        <v>5400</v>
      </c>
      <c r="J1298">
        <v>37100</v>
      </c>
      <c r="K1298">
        <v>0.25</v>
      </c>
      <c r="L1298">
        <f>IF(Wapato_Inventory[[#This Row],[parcel_acres]]-Wapato_Inventory[[#This Row],[non_valued_acres]] =0,0,LN(Wapato_Inventory[[#This Row],[parcel_acres]]-Wapato_Inventory[[#This Row],[non_valued_acres]]))</f>
        <v>-1.3862943611198906</v>
      </c>
      <c r="M1298">
        <v>0</v>
      </c>
      <c r="N1298">
        <v>0</v>
      </c>
      <c r="O1298">
        <v>0</v>
      </c>
      <c r="P1298">
        <v>27904.037</v>
      </c>
      <c r="Q1298">
        <v>74398</v>
      </c>
      <c r="R1298" s="3">
        <f>(Wapato_Inventory[[#This Row],[ln_acres]]*Wapato_Inventory[[#This Row],[coeff]])+Wapato_Inventory[[#This Row],[const]]</f>
        <v>35714.790854419211</v>
      </c>
      <c r="AY1298">
        <v>0</v>
      </c>
      <c r="AZ1298">
        <v>6600</v>
      </c>
      <c r="BE1298">
        <v>0</v>
      </c>
      <c r="BF1298">
        <v>15000</v>
      </c>
      <c r="BG1298">
        <v>0</v>
      </c>
      <c r="BH1298" s="7">
        <f>ROUND(Wapato_Inventory[[#This Row],[detatched_value]]*Lookups!$B$22*Lookups!$H$48,-2)</f>
        <v>5900</v>
      </c>
      <c r="BI1298" s="7">
        <f>ROUND(((Wapato_Inventory[[#This Row],[land_extract]]*Lookups!$B$3) +(Lookups!$B$2*0.5))*Lookups!$H$48,-2)</f>
        <v>54500</v>
      </c>
      <c r="BJ1298" s="7">
        <f>IF(Wapato_Inventory[[#This Row],[bldg_style]]="",0,Lookups!$B$2*0.5)</f>
        <v>0</v>
      </c>
      <c r="BK1298" s="7">
        <f>_xlfn.IFNA(VLOOKUP(Wapato_Inventory[[#This Row],[quality]],Lookups!$H$2:$J$14,3,FALSE),0)</f>
        <v>0</v>
      </c>
      <c r="BL1298" s="7">
        <f>_xlfn.IFNA(VLOOKUP(Wapato_Inventory[[#This Row],[condition]],Lookups!$H$17:$J$24,3,FALSE),0)</f>
        <v>0</v>
      </c>
      <c r="BM1298" s="7">
        <f>Wapato_Inventory[[#This Row],[Age]]*Lookups!$B$16</f>
        <v>0</v>
      </c>
      <c r="BN1298" s="7">
        <f>Wapato_Inventory[[#This Row],[Main Floor]]*Lookups!$B$17</f>
        <v>0</v>
      </c>
      <c r="BO1298" s="7">
        <f>Wapato_Inventory[[#This Row],[Upper Floor]]*Lookups!$B$18</f>
        <v>0</v>
      </c>
      <c r="BP1298" s="7">
        <f>Wapato_Inventory[[#This Row],[Fin BSMT]]*Lookups!$B$19</f>
        <v>0</v>
      </c>
      <c r="BQ1298" s="7">
        <f>(Wapato_Inventory[[#This Row],[att_gar]]+Wapato_Inventory[[#This Row],[blt_gar]])*Lookups!$B$20</f>
        <v>0</v>
      </c>
      <c r="BR1298" s="7">
        <f>Wapato_Inventory[[#This Row],[Patio]]*Lookups!$B$21</f>
        <v>0</v>
      </c>
      <c r="BS1298" s="7">
        <f>SUM(Wapato_Inventory[[#This Row],[intercept]:[patio_value]])*Wapato_Inventory[[#This Row],[res_pct]]</f>
        <v>0</v>
      </c>
      <c r="BT1298" s="7">
        <f>Wapato_Inventory[[#This Row],[land_value]]</f>
        <v>54500</v>
      </c>
      <c r="BU1298" s="2">
        <f>_xlfn.IFNA(VLOOKUP(Wapato_Inventory[[#This Row],[quality]],Lookups!$A$28:$C$37,3,FALSE),1)</f>
        <v>1</v>
      </c>
      <c r="BV1298" s="2">
        <f>_xlfn.IFNA(VLOOKUP(Wapato_Inventory[[#This Row],[condition]],Lookups!$A$41:$C$48,3,FALSE),1)</f>
        <v>1</v>
      </c>
      <c r="BW1298" s="2">
        <f>IF(Wapato_Inventory[[#This Row],[decade]]="",1,_xlfn.IFNA(VLOOKUP(Wapato_Inventory[[#This Row],[decade]],Lookups!$F$28:$H$45,3,FALSE),1))</f>
        <v>1</v>
      </c>
      <c r="BX1298" s="2">
        <f>_xlfn.IFNA(VLOOKUP(Wapato_Inventory[[#This Row],[living_area_range]],Lookups!$K$28:$M$37,3,FALSE),1)</f>
        <v>1</v>
      </c>
      <c r="BY1298" s="2">
        <f>AVERAGE(Wapato_Inventory[[#This Row],[qual_adj]:[range_adj]])</f>
        <v>1</v>
      </c>
      <c r="BZ1298" s="7">
        <f>(Wapato_Inventory[[#This Row],[sum_land]]-IF(Wapato_Inventory[[#This Row],[no_utilities]]=1,12000,0))/IF(Wapato_Inventory[[#This Row],[unbuildable]]=1,2,1)</f>
        <v>54500</v>
      </c>
      <c r="CA1298" s="7">
        <f>Wapato_Inventory[[#This Row],[pre_res]]*Wapato_Inventory[[#This Row],[overall_adj]]</f>
        <v>0</v>
      </c>
      <c r="CB1298" s="3">
        <f>IF(ROUND(Wapato_Inventory[[#This Row],[adj_land]]*Lookups!$H$48,-2)&lt;Wapato_Inventory[[#This Row],[min_land]],Wapato_Inventory[[#This Row],[min_land]],ROUND(Wapato_Inventory[[#This Row],[adj_land]]*Lookups!$H$48,-2))</f>
        <v>51800</v>
      </c>
      <c r="CC129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98" s="3">
        <f>ROUND(Wapato_Inventory[[#This Row],[det_value]]*Lookups!$H$48,-2)</f>
        <v>5600</v>
      </c>
      <c r="CE1298" s="3">
        <f>Wapato_Inventory[[#This Row],[final_res]]+Wapato_Inventory[[#This Row],[final_det]]</f>
        <v>5600</v>
      </c>
      <c r="CF1298" s="3">
        <f>Wapato_Inventory[[#This Row],[crop_value]]+Wapato_Inventory[[#This Row],[final_land]]+Wapato_Inventory[[#This Row],[final_imp]]</f>
        <v>57400</v>
      </c>
      <c r="CH1298" t="str">
        <f t="shared" si="21"/>
        <v>update valuation set market_land =51800, market_bldg=5600, market_total =57400, market_mdno =405, market_date ='9/10/2023' where link_id = (select link_id from parcel where parcel_year = '2024' and parcel_id = '19111133554');</v>
      </c>
    </row>
    <row r="1299" spans="1:86" x14ac:dyDescent="0.25">
      <c r="A1299">
        <v>19111423004</v>
      </c>
      <c r="B1299">
        <v>3.65</v>
      </c>
      <c r="C1299">
        <v>158994</v>
      </c>
      <c r="D1299" t="s">
        <v>144</v>
      </c>
      <c r="E1299" t="s">
        <v>54</v>
      </c>
      <c r="F1299" t="s">
        <v>54</v>
      </c>
      <c r="G1299">
        <v>3</v>
      </c>
      <c r="H1299" t="s">
        <v>55</v>
      </c>
      <c r="I1299">
        <v>0</v>
      </c>
      <c r="J1299">
        <v>56800</v>
      </c>
      <c r="K1299">
        <v>3.65</v>
      </c>
      <c r="L1299">
        <f>IF(Wapato_Inventory[[#This Row],[parcel_acres]]-Wapato_Inventory[[#This Row],[non_valued_acres]] =0,0,LN(Wapato_Inventory[[#This Row],[parcel_acres]]-Wapato_Inventory[[#This Row],[non_valued_acres]]))</f>
        <v>1.2947271675944001</v>
      </c>
      <c r="M1299">
        <v>0</v>
      </c>
      <c r="N1299">
        <v>0</v>
      </c>
      <c r="O1299">
        <v>0</v>
      </c>
      <c r="P1299">
        <v>27904.037</v>
      </c>
      <c r="Q1299">
        <v>74398</v>
      </c>
      <c r="R1299" s="3">
        <f>(Wapato_Inventory[[#This Row],[ln_acres]]*Wapato_Inventory[[#This Row],[coeff]])+Wapato_Inventory[[#This Row],[const]]</f>
        <v>110526.11478945935</v>
      </c>
      <c r="AY1299">
        <v>0</v>
      </c>
      <c r="AZ1299">
        <v>0</v>
      </c>
      <c r="BE1299">
        <v>0</v>
      </c>
      <c r="BF1299">
        <v>15000</v>
      </c>
      <c r="BG1299">
        <v>0</v>
      </c>
      <c r="BH1299" s="7">
        <f>ROUND(Wapato_Inventory[[#This Row],[detatched_value]]*Lookups!$B$22*Lookups!$H$48,-2)</f>
        <v>0</v>
      </c>
      <c r="BI1299" s="7">
        <f>ROUND(((Wapato_Inventory[[#This Row],[land_extract]]*Lookups!$B$3) +(Lookups!$B$2*0.5))*Lookups!$H$48,-2)</f>
        <v>61700</v>
      </c>
      <c r="BJ1299" s="7">
        <f>IF(Wapato_Inventory[[#This Row],[bldg_style]]="",0,Lookups!$B$2*0.5)</f>
        <v>0</v>
      </c>
      <c r="BK1299" s="7">
        <f>_xlfn.IFNA(VLOOKUP(Wapato_Inventory[[#This Row],[quality]],Lookups!$H$2:$J$14,3,FALSE),0)</f>
        <v>0</v>
      </c>
      <c r="BL1299" s="7">
        <f>_xlfn.IFNA(VLOOKUP(Wapato_Inventory[[#This Row],[condition]],Lookups!$H$17:$J$24,3,FALSE),0)</f>
        <v>0</v>
      </c>
      <c r="BM1299" s="7">
        <f>Wapato_Inventory[[#This Row],[Age]]*Lookups!$B$16</f>
        <v>0</v>
      </c>
      <c r="BN1299" s="7">
        <f>Wapato_Inventory[[#This Row],[Main Floor]]*Lookups!$B$17</f>
        <v>0</v>
      </c>
      <c r="BO1299" s="7">
        <f>Wapato_Inventory[[#This Row],[Upper Floor]]*Lookups!$B$18</f>
        <v>0</v>
      </c>
      <c r="BP1299" s="7">
        <f>Wapato_Inventory[[#This Row],[Fin BSMT]]*Lookups!$B$19</f>
        <v>0</v>
      </c>
      <c r="BQ1299" s="7">
        <f>(Wapato_Inventory[[#This Row],[att_gar]]+Wapato_Inventory[[#This Row],[blt_gar]])*Lookups!$B$20</f>
        <v>0</v>
      </c>
      <c r="BR1299" s="7">
        <f>Wapato_Inventory[[#This Row],[Patio]]*Lookups!$B$21</f>
        <v>0</v>
      </c>
      <c r="BS1299" s="7">
        <f>SUM(Wapato_Inventory[[#This Row],[intercept]:[patio_value]])*Wapato_Inventory[[#This Row],[res_pct]]</f>
        <v>0</v>
      </c>
      <c r="BT1299" s="7">
        <f>Wapato_Inventory[[#This Row],[land_value]]</f>
        <v>61700</v>
      </c>
      <c r="BU1299" s="2">
        <f>_xlfn.IFNA(VLOOKUP(Wapato_Inventory[[#This Row],[quality]],Lookups!$A$28:$C$37,3,FALSE),1)</f>
        <v>1</v>
      </c>
      <c r="BV1299" s="2">
        <f>_xlfn.IFNA(VLOOKUP(Wapato_Inventory[[#This Row],[condition]],Lookups!$A$41:$C$48,3,FALSE),1)</f>
        <v>1</v>
      </c>
      <c r="BW1299" s="2">
        <f>IF(Wapato_Inventory[[#This Row],[decade]]="",1,_xlfn.IFNA(VLOOKUP(Wapato_Inventory[[#This Row],[decade]],Lookups!$F$28:$H$45,3,FALSE),1))</f>
        <v>1</v>
      </c>
      <c r="BX1299" s="2">
        <f>_xlfn.IFNA(VLOOKUP(Wapato_Inventory[[#This Row],[living_area_range]],Lookups!$K$28:$M$37,3,FALSE),1)</f>
        <v>1</v>
      </c>
      <c r="BY1299" s="2">
        <f>AVERAGE(Wapato_Inventory[[#This Row],[qual_adj]:[range_adj]])</f>
        <v>1</v>
      </c>
      <c r="BZ1299" s="7">
        <f>(Wapato_Inventory[[#This Row],[sum_land]]-IF(Wapato_Inventory[[#This Row],[no_utilities]]=1,12000,0))/IF(Wapato_Inventory[[#This Row],[unbuildable]]=1,2,1)</f>
        <v>61700</v>
      </c>
      <c r="CA1299" s="7">
        <f>Wapato_Inventory[[#This Row],[pre_res]]*Wapato_Inventory[[#This Row],[overall_adj]]</f>
        <v>0</v>
      </c>
      <c r="CB1299" s="3">
        <f>IF(ROUND(Wapato_Inventory[[#This Row],[adj_land]]*Lookups!$H$48,-2)&lt;Wapato_Inventory[[#This Row],[min_land]],Wapato_Inventory[[#This Row],[min_land]],ROUND(Wapato_Inventory[[#This Row],[adj_land]]*Lookups!$H$48,-2))</f>
        <v>58600</v>
      </c>
      <c r="CC129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299" s="3">
        <f>ROUND(Wapato_Inventory[[#This Row],[det_value]]*Lookups!$H$48,-2)</f>
        <v>0</v>
      </c>
      <c r="CE1299" s="3">
        <f>Wapato_Inventory[[#This Row],[final_res]]+Wapato_Inventory[[#This Row],[final_det]]</f>
        <v>0</v>
      </c>
      <c r="CF1299" s="3">
        <f>Wapato_Inventory[[#This Row],[crop_value]]+Wapato_Inventory[[#This Row],[final_land]]+Wapato_Inventory[[#This Row],[final_imp]]</f>
        <v>58600</v>
      </c>
      <c r="CH1299" t="str">
        <f t="shared" si="21"/>
        <v>update valuation set market_land =58600, market_bldg=0, market_total =58600, market_mdno =405, market_date ='9/10/2023' where link_id = (select link_id from parcel where parcel_year = '2024' and parcel_id = '19111423004');</v>
      </c>
    </row>
    <row r="1300" spans="1:86" x14ac:dyDescent="0.25">
      <c r="A1300">
        <v>19111433007</v>
      </c>
      <c r="B1300">
        <v>0.33</v>
      </c>
      <c r="C1300">
        <v>14585</v>
      </c>
      <c r="D1300" t="s">
        <v>144</v>
      </c>
      <c r="E1300" t="s">
        <v>54</v>
      </c>
      <c r="F1300" t="s">
        <v>54</v>
      </c>
      <c r="G1300">
        <v>3</v>
      </c>
      <c r="H1300" t="s">
        <v>55</v>
      </c>
      <c r="I1300">
        <v>0</v>
      </c>
      <c r="J1300">
        <v>39100</v>
      </c>
      <c r="K1300">
        <v>0.33</v>
      </c>
      <c r="L1300">
        <f>IF(Wapato_Inventory[[#This Row],[parcel_acres]]-Wapato_Inventory[[#This Row],[non_valued_acres]] =0,0,LN(Wapato_Inventory[[#This Row],[parcel_acres]]-Wapato_Inventory[[#This Row],[non_valued_acres]]))</f>
        <v>-1.1086626245216111</v>
      </c>
      <c r="M1300">
        <v>0</v>
      </c>
      <c r="N1300">
        <v>0</v>
      </c>
      <c r="O1300">
        <v>0</v>
      </c>
      <c r="P1300">
        <v>27904.037</v>
      </c>
      <c r="Q1300">
        <v>74398</v>
      </c>
      <c r="R1300" s="3">
        <f>(Wapato_Inventory[[#This Row],[ln_acres]]*Wapato_Inventory[[#This Row],[coeff]])+Wapato_Inventory[[#This Row],[const]]</f>
        <v>43461.837104831851</v>
      </c>
      <c r="AY1300">
        <v>0</v>
      </c>
      <c r="AZ1300">
        <v>0</v>
      </c>
      <c r="BE1300">
        <v>0</v>
      </c>
      <c r="BF1300">
        <v>15000</v>
      </c>
      <c r="BG1300">
        <v>0</v>
      </c>
      <c r="BH1300" s="7">
        <f>ROUND(Wapato_Inventory[[#This Row],[detatched_value]]*Lookups!$B$22*Lookups!$H$48,-2)</f>
        <v>0</v>
      </c>
      <c r="BI1300" s="7">
        <f>ROUND(((Wapato_Inventory[[#This Row],[land_extract]]*Lookups!$B$3) +(Lookups!$B$2*0.5))*Lookups!$H$48,-2)</f>
        <v>55300</v>
      </c>
      <c r="BJ1300" s="7">
        <f>IF(Wapato_Inventory[[#This Row],[bldg_style]]="",0,Lookups!$B$2*0.5)</f>
        <v>0</v>
      </c>
      <c r="BK1300" s="7">
        <f>_xlfn.IFNA(VLOOKUP(Wapato_Inventory[[#This Row],[quality]],Lookups!$H$2:$J$14,3,FALSE),0)</f>
        <v>0</v>
      </c>
      <c r="BL1300" s="7">
        <f>_xlfn.IFNA(VLOOKUP(Wapato_Inventory[[#This Row],[condition]],Lookups!$H$17:$J$24,3,FALSE),0)</f>
        <v>0</v>
      </c>
      <c r="BM1300" s="7">
        <f>Wapato_Inventory[[#This Row],[Age]]*Lookups!$B$16</f>
        <v>0</v>
      </c>
      <c r="BN1300" s="7">
        <f>Wapato_Inventory[[#This Row],[Main Floor]]*Lookups!$B$17</f>
        <v>0</v>
      </c>
      <c r="BO1300" s="7">
        <f>Wapato_Inventory[[#This Row],[Upper Floor]]*Lookups!$B$18</f>
        <v>0</v>
      </c>
      <c r="BP1300" s="7">
        <f>Wapato_Inventory[[#This Row],[Fin BSMT]]*Lookups!$B$19</f>
        <v>0</v>
      </c>
      <c r="BQ1300" s="7">
        <f>(Wapato_Inventory[[#This Row],[att_gar]]+Wapato_Inventory[[#This Row],[blt_gar]])*Lookups!$B$20</f>
        <v>0</v>
      </c>
      <c r="BR1300" s="7">
        <f>Wapato_Inventory[[#This Row],[Patio]]*Lookups!$B$21</f>
        <v>0</v>
      </c>
      <c r="BS1300" s="7">
        <f>SUM(Wapato_Inventory[[#This Row],[intercept]:[patio_value]])*Wapato_Inventory[[#This Row],[res_pct]]</f>
        <v>0</v>
      </c>
      <c r="BT1300" s="7">
        <f>Wapato_Inventory[[#This Row],[land_value]]</f>
        <v>55300</v>
      </c>
      <c r="BU1300" s="2">
        <f>_xlfn.IFNA(VLOOKUP(Wapato_Inventory[[#This Row],[quality]],Lookups!$A$28:$C$37,3,FALSE),1)</f>
        <v>1</v>
      </c>
      <c r="BV1300" s="2">
        <f>_xlfn.IFNA(VLOOKUP(Wapato_Inventory[[#This Row],[condition]],Lookups!$A$41:$C$48,3,FALSE),1)</f>
        <v>1</v>
      </c>
      <c r="BW1300" s="2">
        <f>IF(Wapato_Inventory[[#This Row],[decade]]="",1,_xlfn.IFNA(VLOOKUP(Wapato_Inventory[[#This Row],[decade]],Lookups!$F$28:$H$45,3,FALSE),1))</f>
        <v>1</v>
      </c>
      <c r="BX1300" s="2">
        <f>_xlfn.IFNA(VLOOKUP(Wapato_Inventory[[#This Row],[living_area_range]],Lookups!$K$28:$M$37,3,FALSE),1)</f>
        <v>1</v>
      </c>
      <c r="BY1300" s="2">
        <f>AVERAGE(Wapato_Inventory[[#This Row],[qual_adj]:[range_adj]])</f>
        <v>1</v>
      </c>
      <c r="BZ1300" s="7">
        <f>(Wapato_Inventory[[#This Row],[sum_land]]-IF(Wapato_Inventory[[#This Row],[no_utilities]]=1,12000,0))/IF(Wapato_Inventory[[#This Row],[unbuildable]]=1,2,1)</f>
        <v>55300</v>
      </c>
      <c r="CA1300" s="7">
        <f>Wapato_Inventory[[#This Row],[pre_res]]*Wapato_Inventory[[#This Row],[overall_adj]]</f>
        <v>0</v>
      </c>
      <c r="CB1300" s="3">
        <f>IF(ROUND(Wapato_Inventory[[#This Row],[adj_land]]*Lookups!$H$48,-2)&lt;Wapato_Inventory[[#This Row],[min_land]],Wapato_Inventory[[#This Row],[min_land]],ROUND(Wapato_Inventory[[#This Row],[adj_land]]*Lookups!$H$48,-2))</f>
        <v>52500</v>
      </c>
      <c r="CC130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00" s="3">
        <f>ROUND(Wapato_Inventory[[#This Row],[det_value]]*Lookups!$H$48,-2)</f>
        <v>0</v>
      </c>
      <c r="CE1300" s="3">
        <f>Wapato_Inventory[[#This Row],[final_res]]+Wapato_Inventory[[#This Row],[final_det]]</f>
        <v>0</v>
      </c>
      <c r="CF1300" s="3">
        <f>Wapato_Inventory[[#This Row],[crop_value]]+Wapato_Inventory[[#This Row],[final_land]]+Wapato_Inventory[[#This Row],[final_imp]]</f>
        <v>52500</v>
      </c>
      <c r="CH1300" t="str">
        <f t="shared" si="21"/>
        <v>update valuation set market_land =52500, market_bldg=0, market_total =52500, market_mdno =405, market_date ='9/10/2023' where link_id = (select link_id from parcel where parcel_year = '2024' and parcel_id = '19111433007');</v>
      </c>
    </row>
    <row r="1301" spans="1:86" x14ac:dyDescent="0.25">
      <c r="A1301">
        <v>19111511439</v>
      </c>
      <c r="B1301">
        <v>0.14000000000000001</v>
      </c>
      <c r="C1301">
        <v>6043</v>
      </c>
      <c r="D1301" t="s">
        <v>144</v>
      </c>
      <c r="E1301" t="s">
        <v>54</v>
      </c>
      <c r="F1301" t="s">
        <v>54</v>
      </c>
      <c r="G1301">
        <v>3</v>
      </c>
      <c r="H1301" t="s">
        <v>55</v>
      </c>
      <c r="I1301">
        <v>0</v>
      </c>
      <c r="J1301">
        <v>32800</v>
      </c>
      <c r="K1301">
        <v>0.14000000000000001</v>
      </c>
      <c r="L1301">
        <f>IF(Wapato_Inventory[[#This Row],[parcel_acres]]-Wapato_Inventory[[#This Row],[non_valued_acres]] =0,0,LN(Wapato_Inventory[[#This Row],[parcel_acres]]-Wapato_Inventory[[#This Row],[non_valued_acres]]))</f>
        <v>-1.9661128563728327</v>
      </c>
      <c r="M1301">
        <v>0</v>
      </c>
      <c r="N1301">
        <v>0</v>
      </c>
      <c r="O1301">
        <v>0</v>
      </c>
      <c r="P1301">
        <v>27904.037</v>
      </c>
      <c r="Q1301">
        <v>74398</v>
      </c>
      <c r="R1301" s="3">
        <f>(Wapato_Inventory[[#This Row],[ln_acres]]*Wapato_Inventory[[#This Row],[coeff]])+Wapato_Inventory[[#This Row],[const]]</f>
        <v>19535.514109596792</v>
      </c>
      <c r="AY1301">
        <v>0</v>
      </c>
      <c r="AZ1301">
        <v>0</v>
      </c>
      <c r="BE1301">
        <v>0</v>
      </c>
      <c r="BF1301">
        <v>15000</v>
      </c>
      <c r="BG1301">
        <v>0</v>
      </c>
      <c r="BH1301" s="7">
        <f>ROUND(Wapato_Inventory[[#This Row],[detatched_value]]*Lookups!$B$22*Lookups!$H$48,-2)</f>
        <v>0</v>
      </c>
      <c r="BI1301" s="7">
        <f>ROUND(((Wapato_Inventory[[#This Row],[land_extract]]*Lookups!$B$3) +(Lookups!$B$2*0.5))*Lookups!$H$48,-2)</f>
        <v>53000</v>
      </c>
      <c r="BJ1301" s="7">
        <f>IF(Wapato_Inventory[[#This Row],[bldg_style]]="",0,Lookups!$B$2*0.5)</f>
        <v>0</v>
      </c>
      <c r="BK1301" s="7">
        <f>_xlfn.IFNA(VLOOKUP(Wapato_Inventory[[#This Row],[quality]],Lookups!$H$2:$J$14,3,FALSE),0)</f>
        <v>0</v>
      </c>
      <c r="BL1301" s="7">
        <f>_xlfn.IFNA(VLOOKUP(Wapato_Inventory[[#This Row],[condition]],Lookups!$H$17:$J$24,3,FALSE),0)</f>
        <v>0</v>
      </c>
      <c r="BM1301" s="7">
        <f>Wapato_Inventory[[#This Row],[Age]]*Lookups!$B$16</f>
        <v>0</v>
      </c>
      <c r="BN1301" s="7">
        <f>Wapato_Inventory[[#This Row],[Main Floor]]*Lookups!$B$17</f>
        <v>0</v>
      </c>
      <c r="BO1301" s="7">
        <f>Wapato_Inventory[[#This Row],[Upper Floor]]*Lookups!$B$18</f>
        <v>0</v>
      </c>
      <c r="BP1301" s="7">
        <f>Wapato_Inventory[[#This Row],[Fin BSMT]]*Lookups!$B$19</f>
        <v>0</v>
      </c>
      <c r="BQ1301" s="7">
        <f>(Wapato_Inventory[[#This Row],[att_gar]]+Wapato_Inventory[[#This Row],[blt_gar]])*Lookups!$B$20</f>
        <v>0</v>
      </c>
      <c r="BR1301" s="7">
        <f>Wapato_Inventory[[#This Row],[Patio]]*Lookups!$B$21</f>
        <v>0</v>
      </c>
      <c r="BS1301" s="7">
        <f>SUM(Wapato_Inventory[[#This Row],[intercept]:[patio_value]])*Wapato_Inventory[[#This Row],[res_pct]]</f>
        <v>0</v>
      </c>
      <c r="BT1301" s="7">
        <f>Wapato_Inventory[[#This Row],[land_value]]</f>
        <v>53000</v>
      </c>
      <c r="BU1301" s="2">
        <f>_xlfn.IFNA(VLOOKUP(Wapato_Inventory[[#This Row],[quality]],Lookups!$A$28:$C$37,3,FALSE),1)</f>
        <v>1</v>
      </c>
      <c r="BV1301" s="2">
        <f>_xlfn.IFNA(VLOOKUP(Wapato_Inventory[[#This Row],[condition]],Lookups!$A$41:$C$48,3,FALSE),1)</f>
        <v>1</v>
      </c>
      <c r="BW1301" s="2">
        <f>IF(Wapato_Inventory[[#This Row],[decade]]="",1,_xlfn.IFNA(VLOOKUP(Wapato_Inventory[[#This Row],[decade]],Lookups!$F$28:$H$45,3,FALSE),1))</f>
        <v>1</v>
      </c>
      <c r="BX1301" s="2">
        <f>_xlfn.IFNA(VLOOKUP(Wapato_Inventory[[#This Row],[living_area_range]],Lookups!$K$28:$M$37,3,FALSE),1)</f>
        <v>1</v>
      </c>
      <c r="BY1301" s="2">
        <f>AVERAGE(Wapato_Inventory[[#This Row],[qual_adj]:[range_adj]])</f>
        <v>1</v>
      </c>
      <c r="BZ1301" s="7">
        <f>(Wapato_Inventory[[#This Row],[sum_land]]-IF(Wapato_Inventory[[#This Row],[no_utilities]]=1,12000,0))/IF(Wapato_Inventory[[#This Row],[unbuildable]]=1,2,1)</f>
        <v>53000</v>
      </c>
      <c r="CA1301" s="7">
        <f>Wapato_Inventory[[#This Row],[pre_res]]*Wapato_Inventory[[#This Row],[overall_adj]]</f>
        <v>0</v>
      </c>
      <c r="CB130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30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01" s="3">
        <f>ROUND(Wapato_Inventory[[#This Row],[det_value]]*Lookups!$H$48,-2)</f>
        <v>0</v>
      </c>
      <c r="CE1301" s="3">
        <f>Wapato_Inventory[[#This Row],[final_res]]+Wapato_Inventory[[#This Row],[final_det]]</f>
        <v>0</v>
      </c>
      <c r="CF1301" s="3">
        <f>Wapato_Inventory[[#This Row],[crop_value]]+Wapato_Inventory[[#This Row],[final_land]]+Wapato_Inventory[[#This Row],[final_imp]]</f>
        <v>50400</v>
      </c>
      <c r="CH1301" t="str">
        <f t="shared" si="21"/>
        <v>update valuation set market_land =50400, market_bldg=0, market_total =50400, market_mdno =405, market_date ='9/10/2023' where link_id = (select link_id from parcel where parcel_year = '2024' and parcel_id = '19111511439');</v>
      </c>
    </row>
    <row r="1302" spans="1:86" x14ac:dyDescent="0.25">
      <c r="A1302">
        <v>19111512016</v>
      </c>
      <c r="B1302">
        <v>0.13</v>
      </c>
      <c r="C1302">
        <v>5839</v>
      </c>
      <c r="D1302" t="s">
        <v>144</v>
      </c>
      <c r="E1302" t="s">
        <v>54</v>
      </c>
      <c r="F1302" t="s">
        <v>54</v>
      </c>
      <c r="G1302">
        <v>3</v>
      </c>
      <c r="H1302" t="s">
        <v>55</v>
      </c>
      <c r="I1302">
        <v>0</v>
      </c>
      <c r="J1302">
        <v>32300</v>
      </c>
      <c r="K1302">
        <v>0.13</v>
      </c>
      <c r="L1302">
        <f>IF(Wapato_Inventory[[#This Row],[parcel_acres]]-Wapato_Inventory[[#This Row],[non_valued_acres]] =0,0,LN(Wapato_Inventory[[#This Row],[parcel_acres]]-Wapato_Inventory[[#This Row],[non_valued_acres]]))</f>
        <v>-2.0402208285265546</v>
      </c>
      <c r="M1302">
        <v>0</v>
      </c>
      <c r="N1302">
        <v>0</v>
      </c>
      <c r="O1302">
        <v>0</v>
      </c>
      <c r="P1302">
        <v>27904.037</v>
      </c>
      <c r="Q1302">
        <v>74398</v>
      </c>
      <c r="R1302" s="3">
        <f>(Wapato_Inventory[[#This Row],[ln_acres]]*Wapato_Inventory[[#This Row],[coeff]])+Wapato_Inventory[[#This Row],[const]]</f>
        <v>17467.602512624362</v>
      </c>
      <c r="AY1302">
        <v>0</v>
      </c>
      <c r="AZ1302">
        <v>0</v>
      </c>
      <c r="BE1302">
        <v>0</v>
      </c>
      <c r="BF1302">
        <v>15000</v>
      </c>
      <c r="BG1302">
        <v>0</v>
      </c>
      <c r="BH1302" s="7">
        <f>ROUND(Wapato_Inventory[[#This Row],[detatched_value]]*Lookups!$B$22*Lookups!$H$48,-2)</f>
        <v>0</v>
      </c>
      <c r="BI1302" s="7">
        <f>ROUND(((Wapato_Inventory[[#This Row],[land_extract]]*Lookups!$B$3) +(Lookups!$B$2*0.5))*Lookups!$H$48,-2)</f>
        <v>52800</v>
      </c>
      <c r="BJ1302" s="7">
        <f>IF(Wapato_Inventory[[#This Row],[bldg_style]]="",0,Lookups!$B$2*0.5)</f>
        <v>0</v>
      </c>
      <c r="BK1302" s="7">
        <f>_xlfn.IFNA(VLOOKUP(Wapato_Inventory[[#This Row],[quality]],Lookups!$H$2:$J$14,3,FALSE),0)</f>
        <v>0</v>
      </c>
      <c r="BL1302" s="7">
        <f>_xlfn.IFNA(VLOOKUP(Wapato_Inventory[[#This Row],[condition]],Lookups!$H$17:$J$24,3,FALSE),0)</f>
        <v>0</v>
      </c>
      <c r="BM1302" s="7">
        <f>Wapato_Inventory[[#This Row],[Age]]*Lookups!$B$16</f>
        <v>0</v>
      </c>
      <c r="BN1302" s="7">
        <f>Wapato_Inventory[[#This Row],[Main Floor]]*Lookups!$B$17</f>
        <v>0</v>
      </c>
      <c r="BO1302" s="7">
        <f>Wapato_Inventory[[#This Row],[Upper Floor]]*Lookups!$B$18</f>
        <v>0</v>
      </c>
      <c r="BP1302" s="7">
        <f>Wapato_Inventory[[#This Row],[Fin BSMT]]*Lookups!$B$19</f>
        <v>0</v>
      </c>
      <c r="BQ1302" s="7">
        <f>(Wapato_Inventory[[#This Row],[att_gar]]+Wapato_Inventory[[#This Row],[blt_gar]])*Lookups!$B$20</f>
        <v>0</v>
      </c>
      <c r="BR1302" s="7">
        <f>Wapato_Inventory[[#This Row],[Patio]]*Lookups!$B$21</f>
        <v>0</v>
      </c>
      <c r="BS1302" s="7">
        <f>SUM(Wapato_Inventory[[#This Row],[intercept]:[patio_value]])*Wapato_Inventory[[#This Row],[res_pct]]</f>
        <v>0</v>
      </c>
      <c r="BT1302" s="7">
        <f>Wapato_Inventory[[#This Row],[land_value]]</f>
        <v>52800</v>
      </c>
      <c r="BU1302" s="2">
        <f>_xlfn.IFNA(VLOOKUP(Wapato_Inventory[[#This Row],[quality]],Lookups!$A$28:$C$37,3,FALSE),1)</f>
        <v>1</v>
      </c>
      <c r="BV1302" s="2">
        <f>_xlfn.IFNA(VLOOKUP(Wapato_Inventory[[#This Row],[condition]],Lookups!$A$41:$C$48,3,FALSE),1)</f>
        <v>1</v>
      </c>
      <c r="BW1302" s="2">
        <f>IF(Wapato_Inventory[[#This Row],[decade]]="",1,_xlfn.IFNA(VLOOKUP(Wapato_Inventory[[#This Row],[decade]],Lookups!$F$28:$H$45,3,FALSE),1))</f>
        <v>1</v>
      </c>
      <c r="BX1302" s="2">
        <f>_xlfn.IFNA(VLOOKUP(Wapato_Inventory[[#This Row],[living_area_range]],Lookups!$K$28:$M$37,3,FALSE),1)</f>
        <v>1</v>
      </c>
      <c r="BY1302" s="2">
        <f>AVERAGE(Wapato_Inventory[[#This Row],[qual_adj]:[range_adj]])</f>
        <v>1</v>
      </c>
      <c r="BZ1302" s="7">
        <f>(Wapato_Inventory[[#This Row],[sum_land]]-IF(Wapato_Inventory[[#This Row],[no_utilities]]=1,12000,0))/IF(Wapato_Inventory[[#This Row],[unbuildable]]=1,2,1)</f>
        <v>52800</v>
      </c>
      <c r="CA1302" s="7">
        <f>Wapato_Inventory[[#This Row],[pre_res]]*Wapato_Inventory[[#This Row],[overall_adj]]</f>
        <v>0</v>
      </c>
      <c r="CB1302" s="3">
        <f>IF(ROUND(Wapato_Inventory[[#This Row],[adj_land]]*Lookups!$H$48,-2)&lt;Wapato_Inventory[[#This Row],[min_land]],Wapato_Inventory[[#This Row],[min_land]],ROUND(Wapato_Inventory[[#This Row],[adj_land]]*Lookups!$H$48,-2))</f>
        <v>50200</v>
      </c>
      <c r="CC130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02" s="3">
        <f>ROUND(Wapato_Inventory[[#This Row],[det_value]]*Lookups!$H$48,-2)</f>
        <v>0</v>
      </c>
      <c r="CE1302" s="3">
        <f>Wapato_Inventory[[#This Row],[final_res]]+Wapato_Inventory[[#This Row],[final_det]]</f>
        <v>0</v>
      </c>
      <c r="CF1302" s="3">
        <f>Wapato_Inventory[[#This Row],[crop_value]]+Wapato_Inventory[[#This Row],[final_land]]+Wapato_Inventory[[#This Row],[final_imp]]</f>
        <v>50200</v>
      </c>
      <c r="CH1302" t="str">
        <f t="shared" si="21"/>
        <v>update valuation set market_land =50200, market_bldg=0, market_total =50200, market_mdno =405, market_date ='9/10/2023' where link_id = (select link_id from parcel where parcel_year = '2024' and parcel_id = '19111512016');</v>
      </c>
    </row>
    <row r="1303" spans="1:86" x14ac:dyDescent="0.25">
      <c r="A1303">
        <v>19111512028</v>
      </c>
      <c r="B1303">
        <v>0.1</v>
      </c>
      <c r="C1303">
        <v>4549</v>
      </c>
      <c r="D1303" t="s">
        <v>144</v>
      </c>
      <c r="E1303" t="s">
        <v>54</v>
      </c>
      <c r="F1303" t="s">
        <v>54</v>
      </c>
      <c r="G1303">
        <v>3</v>
      </c>
      <c r="H1303" t="s">
        <v>55</v>
      </c>
      <c r="I1303">
        <v>0</v>
      </c>
      <c r="J1303">
        <v>30400</v>
      </c>
      <c r="K1303">
        <v>0.1</v>
      </c>
      <c r="L1303">
        <f>IF(Wapato_Inventory[[#This Row],[parcel_acres]]-Wapato_Inventory[[#This Row],[non_valued_acres]] =0,0,LN(Wapato_Inventory[[#This Row],[parcel_acres]]-Wapato_Inventory[[#This Row],[non_valued_acres]]))</f>
        <v>-2.3025850929940455</v>
      </c>
      <c r="M1303">
        <v>0</v>
      </c>
      <c r="N1303">
        <v>0</v>
      </c>
      <c r="O1303">
        <v>0</v>
      </c>
      <c r="P1303">
        <v>27904.037</v>
      </c>
      <c r="Q1303">
        <v>74398</v>
      </c>
      <c r="R1303" s="3">
        <f>(Wapato_Inventory[[#This Row],[ln_acres]]*Wapato_Inventory[[#This Row],[coeff]])+Wapato_Inventory[[#This Row],[const]]</f>
        <v>10146.580369445714</v>
      </c>
      <c r="AY1303">
        <v>0</v>
      </c>
      <c r="AZ1303">
        <v>0</v>
      </c>
      <c r="BE1303">
        <v>0</v>
      </c>
      <c r="BF1303">
        <v>15000</v>
      </c>
      <c r="BG1303">
        <v>0</v>
      </c>
      <c r="BH1303" s="7">
        <f>ROUND(Wapato_Inventory[[#This Row],[detatched_value]]*Lookups!$B$22*Lookups!$H$48,-2)</f>
        <v>0</v>
      </c>
      <c r="BI1303" s="7">
        <f>ROUND(((Wapato_Inventory[[#This Row],[land_extract]]*Lookups!$B$3) +(Lookups!$B$2*0.5))*Lookups!$H$48,-2)</f>
        <v>52100</v>
      </c>
      <c r="BJ1303" s="7">
        <f>IF(Wapato_Inventory[[#This Row],[bldg_style]]="",0,Lookups!$B$2*0.5)</f>
        <v>0</v>
      </c>
      <c r="BK1303" s="7">
        <f>_xlfn.IFNA(VLOOKUP(Wapato_Inventory[[#This Row],[quality]],Lookups!$H$2:$J$14,3,FALSE),0)</f>
        <v>0</v>
      </c>
      <c r="BL1303" s="7">
        <f>_xlfn.IFNA(VLOOKUP(Wapato_Inventory[[#This Row],[condition]],Lookups!$H$17:$J$24,3,FALSE),0)</f>
        <v>0</v>
      </c>
      <c r="BM1303" s="7">
        <f>Wapato_Inventory[[#This Row],[Age]]*Lookups!$B$16</f>
        <v>0</v>
      </c>
      <c r="BN1303" s="7">
        <f>Wapato_Inventory[[#This Row],[Main Floor]]*Lookups!$B$17</f>
        <v>0</v>
      </c>
      <c r="BO1303" s="7">
        <f>Wapato_Inventory[[#This Row],[Upper Floor]]*Lookups!$B$18</f>
        <v>0</v>
      </c>
      <c r="BP1303" s="7">
        <f>Wapato_Inventory[[#This Row],[Fin BSMT]]*Lookups!$B$19</f>
        <v>0</v>
      </c>
      <c r="BQ1303" s="7">
        <f>(Wapato_Inventory[[#This Row],[att_gar]]+Wapato_Inventory[[#This Row],[blt_gar]])*Lookups!$B$20</f>
        <v>0</v>
      </c>
      <c r="BR1303" s="7">
        <f>Wapato_Inventory[[#This Row],[Patio]]*Lookups!$B$21</f>
        <v>0</v>
      </c>
      <c r="BS1303" s="7">
        <f>SUM(Wapato_Inventory[[#This Row],[intercept]:[patio_value]])*Wapato_Inventory[[#This Row],[res_pct]]</f>
        <v>0</v>
      </c>
      <c r="BT1303" s="7">
        <f>Wapato_Inventory[[#This Row],[land_value]]</f>
        <v>52100</v>
      </c>
      <c r="BU1303" s="2">
        <f>_xlfn.IFNA(VLOOKUP(Wapato_Inventory[[#This Row],[quality]],Lookups!$A$28:$C$37,3,FALSE),1)</f>
        <v>1</v>
      </c>
      <c r="BV1303" s="2">
        <f>_xlfn.IFNA(VLOOKUP(Wapato_Inventory[[#This Row],[condition]],Lookups!$A$41:$C$48,3,FALSE),1)</f>
        <v>1</v>
      </c>
      <c r="BW1303" s="2">
        <f>IF(Wapato_Inventory[[#This Row],[decade]]="",1,_xlfn.IFNA(VLOOKUP(Wapato_Inventory[[#This Row],[decade]],Lookups!$F$28:$H$45,3,FALSE),1))</f>
        <v>1</v>
      </c>
      <c r="BX1303" s="2">
        <f>_xlfn.IFNA(VLOOKUP(Wapato_Inventory[[#This Row],[living_area_range]],Lookups!$K$28:$M$37,3,FALSE),1)</f>
        <v>1</v>
      </c>
      <c r="BY1303" s="2">
        <f>AVERAGE(Wapato_Inventory[[#This Row],[qual_adj]:[range_adj]])</f>
        <v>1</v>
      </c>
      <c r="BZ1303" s="7">
        <f>(Wapato_Inventory[[#This Row],[sum_land]]-IF(Wapato_Inventory[[#This Row],[no_utilities]]=1,12000,0))/IF(Wapato_Inventory[[#This Row],[unbuildable]]=1,2,1)</f>
        <v>52100</v>
      </c>
      <c r="CA1303" s="7">
        <f>Wapato_Inventory[[#This Row],[pre_res]]*Wapato_Inventory[[#This Row],[overall_adj]]</f>
        <v>0</v>
      </c>
      <c r="CB1303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130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03" s="3">
        <f>ROUND(Wapato_Inventory[[#This Row],[det_value]]*Lookups!$H$48,-2)</f>
        <v>0</v>
      </c>
      <c r="CE1303" s="3">
        <f>Wapato_Inventory[[#This Row],[final_res]]+Wapato_Inventory[[#This Row],[final_det]]</f>
        <v>0</v>
      </c>
      <c r="CF1303" s="3">
        <f>Wapato_Inventory[[#This Row],[crop_value]]+Wapato_Inventory[[#This Row],[final_land]]+Wapato_Inventory[[#This Row],[final_imp]]</f>
        <v>49500</v>
      </c>
      <c r="CH1303" t="str">
        <f t="shared" si="21"/>
        <v>update valuation set market_land =49500, market_bldg=0, market_total =49500, market_mdno =405, market_date ='9/10/2023' where link_id = (select link_id from parcel where parcel_year = '2024' and parcel_id = '19111512028');</v>
      </c>
    </row>
    <row r="1304" spans="1:86" x14ac:dyDescent="0.25">
      <c r="A1304">
        <v>19111512029</v>
      </c>
      <c r="B1304">
        <v>0.11</v>
      </c>
      <c r="C1304">
        <v>5002</v>
      </c>
      <c r="D1304" t="s">
        <v>144</v>
      </c>
      <c r="E1304" t="s">
        <v>54</v>
      </c>
      <c r="F1304" t="s">
        <v>54</v>
      </c>
      <c r="G1304">
        <v>3</v>
      </c>
      <c r="H1304" t="s">
        <v>55</v>
      </c>
      <c r="I1304">
        <v>36100</v>
      </c>
      <c r="J1304">
        <v>30200</v>
      </c>
      <c r="K1304">
        <v>0.11</v>
      </c>
      <c r="L1304">
        <f>IF(Wapato_Inventory[[#This Row],[parcel_acres]]-Wapato_Inventory[[#This Row],[non_valued_acres]] =0,0,LN(Wapato_Inventory[[#This Row],[parcel_acres]]-Wapato_Inventory[[#This Row],[non_valued_acres]]))</f>
        <v>-2.2072749131897207</v>
      </c>
      <c r="M1304">
        <v>0</v>
      </c>
      <c r="N1304">
        <v>0</v>
      </c>
      <c r="O1304">
        <v>0</v>
      </c>
      <c r="P1304">
        <v>27904.037</v>
      </c>
      <c r="Q1304">
        <v>74398</v>
      </c>
      <c r="R1304" s="3">
        <f>(Wapato_Inventory[[#This Row],[ln_acres]]*Wapato_Inventory[[#This Row],[coeff]])+Wapato_Inventory[[#This Row],[const]]</f>
        <v>12806.119153182248</v>
      </c>
      <c r="AY1304">
        <v>0</v>
      </c>
      <c r="AZ1304">
        <v>0</v>
      </c>
      <c r="BE1304">
        <v>0</v>
      </c>
      <c r="BF1304">
        <v>15000</v>
      </c>
      <c r="BG1304">
        <v>0</v>
      </c>
      <c r="BH1304" s="7">
        <f>ROUND(Wapato_Inventory[[#This Row],[detatched_value]]*Lookups!$B$22*Lookups!$H$48,-2)</f>
        <v>0</v>
      </c>
      <c r="BI1304" s="7">
        <f>ROUND(((Wapato_Inventory[[#This Row],[land_extract]]*Lookups!$B$3) +(Lookups!$B$2*0.5))*Lookups!$H$48,-2)</f>
        <v>52300</v>
      </c>
      <c r="BJ1304" s="7">
        <f>IF(Wapato_Inventory[[#This Row],[bldg_style]]="",0,Lookups!$B$2*0.5)</f>
        <v>0</v>
      </c>
      <c r="BK1304" s="7">
        <f>_xlfn.IFNA(VLOOKUP(Wapato_Inventory[[#This Row],[quality]],Lookups!$H$2:$J$14,3,FALSE),0)</f>
        <v>0</v>
      </c>
      <c r="BL1304" s="7">
        <f>_xlfn.IFNA(VLOOKUP(Wapato_Inventory[[#This Row],[condition]],Lookups!$H$17:$J$24,3,FALSE),0)</f>
        <v>0</v>
      </c>
      <c r="BM1304" s="7">
        <f>Wapato_Inventory[[#This Row],[Age]]*Lookups!$B$16</f>
        <v>0</v>
      </c>
      <c r="BN1304" s="7">
        <f>Wapato_Inventory[[#This Row],[Main Floor]]*Lookups!$B$17</f>
        <v>0</v>
      </c>
      <c r="BO1304" s="7">
        <f>Wapato_Inventory[[#This Row],[Upper Floor]]*Lookups!$B$18</f>
        <v>0</v>
      </c>
      <c r="BP1304" s="7">
        <f>Wapato_Inventory[[#This Row],[Fin BSMT]]*Lookups!$B$19</f>
        <v>0</v>
      </c>
      <c r="BQ1304" s="7">
        <f>(Wapato_Inventory[[#This Row],[att_gar]]+Wapato_Inventory[[#This Row],[blt_gar]])*Lookups!$B$20</f>
        <v>0</v>
      </c>
      <c r="BR1304" s="7">
        <f>Wapato_Inventory[[#This Row],[Patio]]*Lookups!$B$21</f>
        <v>0</v>
      </c>
      <c r="BS1304" s="7">
        <f>SUM(Wapato_Inventory[[#This Row],[intercept]:[patio_value]])*Wapato_Inventory[[#This Row],[res_pct]]</f>
        <v>0</v>
      </c>
      <c r="BT1304" s="7">
        <f>Wapato_Inventory[[#This Row],[land_value]]</f>
        <v>52300</v>
      </c>
      <c r="BU1304" s="2">
        <f>_xlfn.IFNA(VLOOKUP(Wapato_Inventory[[#This Row],[quality]],Lookups!$A$28:$C$37,3,FALSE),1)</f>
        <v>1</v>
      </c>
      <c r="BV1304" s="2">
        <f>_xlfn.IFNA(VLOOKUP(Wapato_Inventory[[#This Row],[condition]],Lookups!$A$41:$C$48,3,FALSE),1)</f>
        <v>1</v>
      </c>
      <c r="BW1304" s="2">
        <f>IF(Wapato_Inventory[[#This Row],[decade]]="",1,_xlfn.IFNA(VLOOKUP(Wapato_Inventory[[#This Row],[decade]],Lookups!$F$28:$H$45,3,FALSE),1))</f>
        <v>1</v>
      </c>
      <c r="BX1304" s="2">
        <f>_xlfn.IFNA(VLOOKUP(Wapato_Inventory[[#This Row],[living_area_range]],Lookups!$K$28:$M$37,3,FALSE),1)</f>
        <v>1</v>
      </c>
      <c r="BY1304" s="2">
        <f>AVERAGE(Wapato_Inventory[[#This Row],[qual_adj]:[range_adj]])</f>
        <v>1</v>
      </c>
      <c r="BZ1304" s="7">
        <f>(Wapato_Inventory[[#This Row],[sum_land]]-IF(Wapato_Inventory[[#This Row],[no_utilities]]=1,12000,0))/IF(Wapato_Inventory[[#This Row],[unbuildable]]=1,2,1)</f>
        <v>52300</v>
      </c>
      <c r="CA1304" s="7">
        <f>Wapato_Inventory[[#This Row],[pre_res]]*Wapato_Inventory[[#This Row],[overall_adj]]</f>
        <v>0</v>
      </c>
      <c r="CB1304" s="3">
        <f>IF(ROUND(Wapato_Inventory[[#This Row],[adj_land]]*Lookups!$H$48,-2)&lt;Wapato_Inventory[[#This Row],[min_land]],Wapato_Inventory[[#This Row],[min_land]],ROUND(Wapato_Inventory[[#This Row],[adj_land]]*Lookups!$H$48,-2))</f>
        <v>49700</v>
      </c>
      <c r="CC130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04" s="3">
        <f>ROUND(Wapato_Inventory[[#This Row],[det_value]]*Lookups!$H$48,-2)</f>
        <v>0</v>
      </c>
      <c r="CE1304" s="3">
        <f>Wapato_Inventory[[#This Row],[final_res]]+Wapato_Inventory[[#This Row],[final_det]]</f>
        <v>0</v>
      </c>
      <c r="CF1304" s="3">
        <f>Wapato_Inventory[[#This Row],[crop_value]]+Wapato_Inventory[[#This Row],[final_land]]+Wapato_Inventory[[#This Row],[final_imp]]</f>
        <v>49700</v>
      </c>
      <c r="CH1304" t="str">
        <f t="shared" si="21"/>
        <v>update valuation set market_land =49700, market_bldg=0, market_total =49700, market_mdno =405, market_date ='9/10/2023' where link_id = (select link_id from parcel where parcel_year = '2024' and parcel_id = '19111512029');</v>
      </c>
    </row>
    <row r="1305" spans="1:86" x14ac:dyDescent="0.25">
      <c r="A1305">
        <v>19111512030</v>
      </c>
      <c r="B1305">
        <v>0.11</v>
      </c>
      <c r="C1305">
        <v>4699</v>
      </c>
      <c r="D1305" t="s">
        <v>144</v>
      </c>
      <c r="E1305" t="s">
        <v>54</v>
      </c>
      <c r="F1305" t="s">
        <v>54</v>
      </c>
      <c r="G1305">
        <v>3</v>
      </c>
      <c r="H1305" t="s">
        <v>55</v>
      </c>
      <c r="I1305">
        <v>0</v>
      </c>
      <c r="J1305">
        <v>31100</v>
      </c>
      <c r="K1305">
        <v>0.11</v>
      </c>
      <c r="L1305">
        <f>IF(Wapato_Inventory[[#This Row],[parcel_acres]]-Wapato_Inventory[[#This Row],[non_valued_acres]] =0,0,LN(Wapato_Inventory[[#This Row],[parcel_acres]]-Wapato_Inventory[[#This Row],[non_valued_acres]]))</f>
        <v>-2.2072749131897207</v>
      </c>
      <c r="M1305">
        <v>0</v>
      </c>
      <c r="N1305">
        <v>1</v>
      </c>
      <c r="O1305">
        <v>0</v>
      </c>
      <c r="P1305">
        <v>27904.037</v>
      </c>
      <c r="Q1305">
        <v>74398</v>
      </c>
      <c r="R1305" s="3">
        <f>(Wapato_Inventory[[#This Row],[ln_acres]]*Wapato_Inventory[[#This Row],[coeff]])+Wapato_Inventory[[#This Row],[const]]</f>
        <v>12806.119153182248</v>
      </c>
      <c r="AY1305">
        <v>0</v>
      </c>
      <c r="AZ1305">
        <v>0</v>
      </c>
      <c r="BE1305">
        <v>0</v>
      </c>
      <c r="BF1305">
        <v>12000</v>
      </c>
      <c r="BG1305">
        <v>0</v>
      </c>
      <c r="BH1305" s="7">
        <f>ROUND(Wapato_Inventory[[#This Row],[detatched_value]]*Lookups!$B$22*Lookups!$H$48,-2)</f>
        <v>0</v>
      </c>
      <c r="BI1305" s="7">
        <f>ROUND(((Wapato_Inventory[[#This Row],[land_extract]]*Lookups!$B$3) +(Lookups!$B$2*0.5))*Lookups!$H$48,-2)</f>
        <v>52300</v>
      </c>
      <c r="BJ1305" s="7">
        <f>IF(Wapato_Inventory[[#This Row],[bldg_style]]="",0,Lookups!$B$2*0.5)</f>
        <v>0</v>
      </c>
      <c r="BK1305" s="7">
        <f>_xlfn.IFNA(VLOOKUP(Wapato_Inventory[[#This Row],[quality]],Lookups!$H$2:$J$14,3,FALSE),0)</f>
        <v>0</v>
      </c>
      <c r="BL1305" s="7">
        <f>_xlfn.IFNA(VLOOKUP(Wapato_Inventory[[#This Row],[condition]],Lookups!$H$17:$J$24,3,FALSE),0)</f>
        <v>0</v>
      </c>
      <c r="BM1305" s="7">
        <f>Wapato_Inventory[[#This Row],[Age]]*Lookups!$B$16</f>
        <v>0</v>
      </c>
      <c r="BN1305" s="7">
        <f>Wapato_Inventory[[#This Row],[Main Floor]]*Lookups!$B$17</f>
        <v>0</v>
      </c>
      <c r="BO1305" s="7">
        <f>Wapato_Inventory[[#This Row],[Upper Floor]]*Lookups!$B$18</f>
        <v>0</v>
      </c>
      <c r="BP1305" s="7">
        <f>Wapato_Inventory[[#This Row],[Fin BSMT]]*Lookups!$B$19</f>
        <v>0</v>
      </c>
      <c r="BQ1305" s="7">
        <f>(Wapato_Inventory[[#This Row],[att_gar]]+Wapato_Inventory[[#This Row],[blt_gar]])*Lookups!$B$20</f>
        <v>0</v>
      </c>
      <c r="BR1305" s="7">
        <f>Wapato_Inventory[[#This Row],[Patio]]*Lookups!$B$21</f>
        <v>0</v>
      </c>
      <c r="BS1305" s="7">
        <f>SUM(Wapato_Inventory[[#This Row],[intercept]:[patio_value]])*Wapato_Inventory[[#This Row],[res_pct]]</f>
        <v>0</v>
      </c>
      <c r="BT1305" s="7">
        <f>Wapato_Inventory[[#This Row],[land_value]]</f>
        <v>52300</v>
      </c>
      <c r="BU1305" s="2">
        <f>_xlfn.IFNA(VLOOKUP(Wapato_Inventory[[#This Row],[quality]],Lookups!$A$28:$C$37,3,FALSE),1)</f>
        <v>1</v>
      </c>
      <c r="BV1305" s="2">
        <f>_xlfn.IFNA(VLOOKUP(Wapato_Inventory[[#This Row],[condition]],Lookups!$A$41:$C$48,3,FALSE),1)</f>
        <v>1</v>
      </c>
      <c r="BW1305" s="2">
        <f>IF(Wapato_Inventory[[#This Row],[decade]]="",1,_xlfn.IFNA(VLOOKUP(Wapato_Inventory[[#This Row],[decade]],Lookups!$F$28:$H$45,3,FALSE),1))</f>
        <v>1</v>
      </c>
      <c r="BX1305" s="2">
        <f>_xlfn.IFNA(VLOOKUP(Wapato_Inventory[[#This Row],[living_area_range]],Lookups!$K$28:$M$37,3,FALSE),1)</f>
        <v>1</v>
      </c>
      <c r="BY1305" s="2">
        <f>AVERAGE(Wapato_Inventory[[#This Row],[qual_adj]:[range_adj]])</f>
        <v>1</v>
      </c>
      <c r="BZ1305" s="7">
        <f>(Wapato_Inventory[[#This Row],[sum_land]]-IF(Wapato_Inventory[[#This Row],[no_utilities]]=1,12000,0))/IF(Wapato_Inventory[[#This Row],[unbuildable]]=1,2,1)</f>
        <v>26150</v>
      </c>
      <c r="CA1305" s="7">
        <f>Wapato_Inventory[[#This Row],[pre_res]]*Wapato_Inventory[[#This Row],[overall_adj]]</f>
        <v>0</v>
      </c>
      <c r="CB1305" s="3">
        <f>IF(ROUND(Wapato_Inventory[[#This Row],[adj_land]]*Lookups!$H$48,-2)&lt;Wapato_Inventory[[#This Row],[min_land]],Wapato_Inventory[[#This Row],[min_land]],ROUND(Wapato_Inventory[[#This Row],[adj_land]]*Lookups!$H$48,-2))</f>
        <v>24800</v>
      </c>
      <c r="CC130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05" s="3">
        <f>ROUND(Wapato_Inventory[[#This Row],[det_value]]*Lookups!$H$48,-2)</f>
        <v>0</v>
      </c>
      <c r="CE1305" s="3">
        <f>Wapato_Inventory[[#This Row],[final_res]]+Wapato_Inventory[[#This Row],[final_det]]</f>
        <v>0</v>
      </c>
      <c r="CF1305" s="3">
        <f>Wapato_Inventory[[#This Row],[crop_value]]+Wapato_Inventory[[#This Row],[final_land]]+Wapato_Inventory[[#This Row],[final_imp]]</f>
        <v>24800</v>
      </c>
      <c r="CH1305" t="str">
        <f t="shared" si="21"/>
        <v>update valuation set market_land =24800, market_bldg=0, market_total =24800, market_mdno =405, market_date ='9/10/2023' where link_id = (select link_id from parcel where parcel_year = '2024' and parcel_id = '19111512030');</v>
      </c>
    </row>
    <row r="1306" spans="1:86" x14ac:dyDescent="0.25">
      <c r="A1306">
        <v>19111512498</v>
      </c>
      <c r="B1306">
        <v>0.08</v>
      </c>
      <c r="C1306">
        <v>3591</v>
      </c>
      <c r="D1306" t="s">
        <v>144</v>
      </c>
      <c r="E1306" t="s">
        <v>54</v>
      </c>
      <c r="F1306" t="s">
        <v>54</v>
      </c>
      <c r="G1306">
        <v>3</v>
      </c>
      <c r="H1306" t="s">
        <v>55</v>
      </c>
      <c r="I1306">
        <v>0</v>
      </c>
      <c r="J1306">
        <v>28700</v>
      </c>
      <c r="K1306">
        <v>0.08</v>
      </c>
      <c r="L1306">
        <f>IF(Wapato_Inventory[[#This Row],[parcel_acres]]-Wapato_Inventory[[#This Row],[non_valued_acres]] =0,0,LN(Wapato_Inventory[[#This Row],[parcel_acres]]-Wapato_Inventory[[#This Row],[non_valued_acres]]))</f>
        <v>-2.5257286443082556</v>
      </c>
      <c r="M1306">
        <v>0</v>
      </c>
      <c r="N1306">
        <v>1</v>
      </c>
      <c r="O1306">
        <v>0</v>
      </c>
      <c r="P1306">
        <v>27904.037</v>
      </c>
      <c r="Q1306">
        <v>74398</v>
      </c>
      <c r="R1306" s="3">
        <f>(Wapato_Inventory[[#This Row],[ln_acres]]*Wapato_Inventory[[#This Row],[coeff]])+Wapato_Inventory[[#This Row],[const]]</f>
        <v>3919.9744572625932</v>
      </c>
      <c r="AY1306">
        <v>0</v>
      </c>
      <c r="AZ1306">
        <v>0</v>
      </c>
      <c r="BE1306">
        <v>0</v>
      </c>
      <c r="BF1306">
        <v>12000</v>
      </c>
      <c r="BG1306">
        <v>0</v>
      </c>
      <c r="BH1306" s="7">
        <f>ROUND(Wapato_Inventory[[#This Row],[detatched_value]]*Lookups!$B$22*Lookups!$H$48,-2)</f>
        <v>0</v>
      </c>
      <c r="BI1306" s="7">
        <f>ROUND(((Wapato_Inventory[[#This Row],[land_extract]]*Lookups!$B$3) +(Lookups!$B$2*0.5))*Lookups!$H$48,-2)</f>
        <v>51500</v>
      </c>
      <c r="BJ1306" s="7">
        <f>IF(Wapato_Inventory[[#This Row],[bldg_style]]="",0,Lookups!$B$2*0.5)</f>
        <v>0</v>
      </c>
      <c r="BK1306" s="7">
        <f>_xlfn.IFNA(VLOOKUP(Wapato_Inventory[[#This Row],[quality]],Lookups!$H$2:$J$14,3,FALSE),0)</f>
        <v>0</v>
      </c>
      <c r="BL1306" s="7">
        <f>_xlfn.IFNA(VLOOKUP(Wapato_Inventory[[#This Row],[condition]],Lookups!$H$17:$J$24,3,FALSE),0)</f>
        <v>0</v>
      </c>
      <c r="BM1306" s="7">
        <f>Wapato_Inventory[[#This Row],[Age]]*Lookups!$B$16</f>
        <v>0</v>
      </c>
      <c r="BN1306" s="7">
        <f>Wapato_Inventory[[#This Row],[Main Floor]]*Lookups!$B$17</f>
        <v>0</v>
      </c>
      <c r="BO1306" s="7">
        <f>Wapato_Inventory[[#This Row],[Upper Floor]]*Lookups!$B$18</f>
        <v>0</v>
      </c>
      <c r="BP1306" s="7">
        <f>Wapato_Inventory[[#This Row],[Fin BSMT]]*Lookups!$B$19</f>
        <v>0</v>
      </c>
      <c r="BQ1306" s="7">
        <f>(Wapato_Inventory[[#This Row],[att_gar]]+Wapato_Inventory[[#This Row],[blt_gar]])*Lookups!$B$20</f>
        <v>0</v>
      </c>
      <c r="BR1306" s="7">
        <f>Wapato_Inventory[[#This Row],[Patio]]*Lookups!$B$21</f>
        <v>0</v>
      </c>
      <c r="BS1306" s="7">
        <f>SUM(Wapato_Inventory[[#This Row],[intercept]:[patio_value]])*Wapato_Inventory[[#This Row],[res_pct]]</f>
        <v>0</v>
      </c>
      <c r="BT1306" s="7">
        <f>Wapato_Inventory[[#This Row],[land_value]]</f>
        <v>51500</v>
      </c>
      <c r="BU1306" s="2">
        <f>_xlfn.IFNA(VLOOKUP(Wapato_Inventory[[#This Row],[quality]],Lookups!$A$28:$C$37,3,FALSE),1)</f>
        <v>1</v>
      </c>
      <c r="BV1306" s="2">
        <f>_xlfn.IFNA(VLOOKUP(Wapato_Inventory[[#This Row],[condition]],Lookups!$A$41:$C$48,3,FALSE),1)</f>
        <v>1</v>
      </c>
      <c r="BW1306" s="2">
        <f>IF(Wapato_Inventory[[#This Row],[decade]]="",1,_xlfn.IFNA(VLOOKUP(Wapato_Inventory[[#This Row],[decade]],Lookups!$F$28:$H$45,3,FALSE),1))</f>
        <v>1</v>
      </c>
      <c r="BX1306" s="2">
        <f>_xlfn.IFNA(VLOOKUP(Wapato_Inventory[[#This Row],[living_area_range]],Lookups!$K$28:$M$37,3,FALSE),1)</f>
        <v>1</v>
      </c>
      <c r="BY1306" s="2">
        <f>AVERAGE(Wapato_Inventory[[#This Row],[qual_adj]:[range_adj]])</f>
        <v>1</v>
      </c>
      <c r="BZ1306" s="7">
        <f>(Wapato_Inventory[[#This Row],[sum_land]]-IF(Wapato_Inventory[[#This Row],[no_utilities]]=1,12000,0))/IF(Wapato_Inventory[[#This Row],[unbuildable]]=1,2,1)</f>
        <v>25750</v>
      </c>
      <c r="CA1306" s="7">
        <f>Wapato_Inventory[[#This Row],[pre_res]]*Wapato_Inventory[[#This Row],[overall_adj]]</f>
        <v>0</v>
      </c>
      <c r="CB1306" s="3">
        <f>IF(ROUND(Wapato_Inventory[[#This Row],[adj_land]]*Lookups!$H$48,-2)&lt;Wapato_Inventory[[#This Row],[min_land]],Wapato_Inventory[[#This Row],[min_land]],ROUND(Wapato_Inventory[[#This Row],[adj_land]]*Lookups!$H$48,-2))</f>
        <v>24500</v>
      </c>
      <c r="CC130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06" s="3">
        <f>ROUND(Wapato_Inventory[[#This Row],[det_value]]*Lookups!$H$48,-2)</f>
        <v>0</v>
      </c>
      <c r="CE1306" s="3">
        <f>Wapato_Inventory[[#This Row],[final_res]]+Wapato_Inventory[[#This Row],[final_det]]</f>
        <v>0</v>
      </c>
      <c r="CF1306" s="3">
        <f>Wapato_Inventory[[#This Row],[crop_value]]+Wapato_Inventory[[#This Row],[final_land]]+Wapato_Inventory[[#This Row],[final_imp]]</f>
        <v>24500</v>
      </c>
      <c r="CH1306" t="str">
        <f t="shared" si="21"/>
        <v>update valuation set market_land =24500, market_bldg=0, market_total =24500, market_mdno =405, market_date ='9/10/2023' where link_id = (select link_id from parcel where parcel_year = '2024' and parcel_id = '19111512498');</v>
      </c>
    </row>
    <row r="1307" spans="1:86" x14ac:dyDescent="0.25">
      <c r="A1307">
        <v>19111513475</v>
      </c>
      <c r="B1307">
        <v>0.03</v>
      </c>
      <c r="C1307">
        <v>1359</v>
      </c>
      <c r="D1307" t="s">
        <v>144</v>
      </c>
      <c r="E1307" t="s">
        <v>54</v>
      </c>
      <c r="F1307" t="s">
        <v>54</v>
      </c>
      <c r="G1307">
        <v>3</v>
      </c>
      <c r="H1307" t="s">
        <v>55</v>
      </c>
      <c r="I1307">
        <v>0</v>
      </c>
      <c r="J1307">
        <v>21500</v>
      </c>
      <c r="K1307">
        <v>0.03</v>
      </c>
      <c r="L1307">
        <f>IF(Wapato_Inventory[[#This Row],[parcel_acres]]-Wapato_Inventory[[#This Row],[non_valued_acres]] =0,0,LN(Wapato_Inventory[[#This Row],[parcel_acres]]-Wapato_Inventory[[#This Row],[non_valued_acres]]))</f>
        <v>-3.5065578973199818</v>
      </c>
      <c r="M1307">
        <v>0</v>
      </c>
      <c r="N1307">
        <v>1</v>
      </c>
      <c r="O1307">
        <v>0</v>
      </c>
      <c r="P1307">
        <v>27904.037</v>
      </c>
      <c r="Q1307">
        <v>74398</v>
      </c>
      <c r="R1307" s="3">
        <f>(Wapato_Inventory[[#This Row],[ln_acres]]*Wapato_Inventory[[#This Row],[coeff]])+Wapato_Inventory[[#This Row],[const]]</f>
        <v>-23449.121309458977</v>
      </c>
      <c r="AY1307">
        <v>0</v>
      </c>
      <c r="AZ1307">
        <v>0</v>
      </c>
      <c r="BE1307">
        <v>0</v>
      </c>
      <c r="BF1307">
        <v>12000</v>
      </c>
      <c r="BG1307">
        <v>0</v>
      </c>
      <c r="BH1307" s="7">
        <f>ROUND(Wapato_Inventory[[#This Row],[detatched_value]]*Lookups!$B$22*Lookups!$H$48,-2)</f>
        <v>0</v>
      </c>
      <c r="BI1307" s="7">
        <f>ROUND(((Wapato_Inventory[[#This Row],[land_extract]]*Lookups!$B$3) +(Lookups!$B$2*0.5))*Lookups!$H$48,-2)</f>
        <v>48800</v>
      </c>
      <c r="BJ1307" s="7">
        <f>IF(Wapato_Inventory[[#This Row],[bldg_style]]="",0,Lookups!$B$2*0.5)</f>
        <v>0</v>
      </c>
      <c r="BK1307" s="7">
        <f>_xlfn.IFNA(VLOOKUP(Wapato_Inventory[[#This Row],[quality]],Lookups!$H$2:$J$14,3,FALSE),0)</f>
        <v>0</v>
      </c>
      <c r="BL1307" s="7">
        <f>_xlfn.IFNA(VLOOKUP(Wapato_Inventory[[#This Row],[condition]],Lookups!$H$17:$J$24,3,FALSE),0)</f>
        <v>0</v>
      </c>
      <c r="BM1307" s="7">
        <f>Wapato_Inventory[[#This Row],[Age]]*Lookups!$B$16</f>
        <v>0</v>
      </c>
      <c r="BN1307" s="7">
        <f>Wapato_Inventory[[#This Row],[Main Floor]]*Lookups!$B$17</f>
        <v>0</v>
      </c>
      <c r="BO1307" s="7">
        <f>Wapato_Inventory[[#This Row],[Upper Floor]]*Lookups!$B$18</f>
        <v>0</v>
      </c>
      <c r="BP1307" s="7">
        <f>Wapato_Inventory[[#This Row],[Fin BSMT]]*Lookups!$B$19</f>
        <v>0</v>
      </c>
      <c r="BQ1307" s="7">
        <f>(Wapato_Inventory[[#This Row],[att_gar]]+Wapato_Inventory[[#This Row],[blt_gar]])*Lookups!$B$20</f>
        <v>0</v>
      </c>
      <c r="BR1307" s="7">
        <f>Wapato_Inventory[[#This Row],[Patio]]*Lookups!$B$21</f>
        <v>0</v>
      </c>
      <c r="BS1307" s="7">
        <f>SUM(Wapato_Inventory[[#This Row],[intercept]:[patio_value]])*Wapato_Inventory[[#This Row],[res_pct]]</f>
        <v>0</v>
      </c>
      <c r="BT1307" s="7">
        <f>Wapato_Inventory[[#This Row],[land_value]]</f>
        <v>48800</v>
      </c>
      <c r="BU1307" s="2">
        <f>_xlfn.IFNA(VLOOKUP(Wapato_Inventory[[#This Row],[quality]],Lookups!$A$28:$C$37,3,FALSE),1)</f>
        <v>1</v>
      </c>
      <c r="BV1307" s="2">
        <f>_xlfn.IFNA(VLOOKUP(Wapato_Inventory[[#This Row],[condition]],Lookups!$A$41:$C$48,3,FALSE),1)</f>
        <v>1</v>
      </c>
      <c r="BW1307" s="2">
        <f>IF(Wapato_Inventory[[#This Row],[decade]]="",1,_xlfn.IFNA(VLOOKUP(Wapato_Inventory[[#This Row],[decade]],Lookups!$F$28:$H$45,3,FALSE),1))</f>
        <v>1</v>
      </c>
      <c r="BX1307" s="2">
        <f>_xlfn.IFNA(VLOOKUP(Wapato_Inventory[[#This Row],[living_area_range]],Lookups!$K$28:$M$37,3,FALSE),1)</f>
        <v>1</v>
      </c>
      <c r="BY1307" s="2">
        <f>AVERAGE(Wapato_Inventory[[#This Row],[qual_adj]:[range_adj]])</f>
        <v>1</v>
      </c>
      <c r="BZ1307" s="7">
        <f>(Wapato_Inventory[[#This Row],[sum_land]]-IF(Wapato_Inventory[[#This Row],[no_utilities]]=1,12000,0))/IF(Wapato_Inventory[[#This Row],[unbuildable]]=1,2,1)</f>
        <v>24400</v>
      </c>
      <c r="CA1307" s="7">
        <f>Wapato_Inventory[[#This Row],[pre_res]]*Wapato_Inventory[[#This Row],[overall_adj]]</f>
        <v>0</v>
      </c>
      <c r="CB1307" s="3">
        <f>IF(ROUND(Wapato_Inventory[[#This Row],[adj_land]]*Lookups!$H$48,-2)&lt;Wapato_Inventory[[#This Row],[min_land]],Wapato_Inventory[[#This Row],[min_land]],ROUND(Wapato_Inventory[[#This Row],[adj_land]]*Lookups!$H$48,-2))</f>
        <v>23200</v>
      </c>
      <c r="CC130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07" s="3">
        <f>ROUND(Wapato_Inventory[[#This Row],[det_value]]*Lookups!$H$48,-2)</f>
        <v>0</v>
      </c>
      <c r="CE1307" s="3">
        <f>Wapato_Inventory[[#This Row],[final_res]]+Wapato_Inventory[[#This Row],[final_det]]</f>
        <v>0</v>
      </c>
      <c r="CF1307" s="3">
        <f>Wapato_Inventory[[#This Row],[crop_value]]+Wapato_Inventory[[#This Row],[final_land]]+Wapato_Inventory[[#This Row],[final_imp]]</f>
        <v>23200</v>
      </c>
      <c r="CH1307" t="str">
        <f t="shared" si="21"/>
        <v>update valuation set market_land =23200, market_bldg=0, market_total =23200, market_mdno =405, market_date ='9/10/2023' where link_id = (select link_id from parcel where parcel_year = '2024' and parcel_id = '19111513475');</v>
      </c>
    </row>
    <row r="1308" spans="1:86" x14ac:dyDescent="0.25">
      <c r="A1308">
        <v>19111513555</v>
      </c>
      <c r="B1308">
        <v>7.0000000000000007E-2</v>
      </c>
      <c r="C1308">
        <v>3155</v>
      </c>
      <c r="D1308" t="s">
        <v>144</v>
      </c>
      <c r="E1308" t="s">
        <v>54</v>
      </c>
      <c r="F1308" t="s">
        <v>54</v>
      </c>
      <c r="G1308">
        <v>3</v>
      </c>
      <c r="H1308" t="s">
        <v>55</v>
      </c>
      <c r="I1308">
        <v>0</v>
      </c>
      <c r="J1308">
        <v>27700</v>
      </c>
      <c r="K1308">
        <v>7.0000000000000007E-2</v>
      </c>
      <c r="L1308">
        <f>IF(Wapato_Inventory[[#This Row],[parcel_acres]]-Wapato_Inventory[[#This Row],[non_valued_acres]] =0,0,LN(Wapato_Inventory[[#This Row],[parcel_acres]]-Wapato_Inventory[[#This Row],[non_valued_acres]]))</f>
        <v>-2.6592600369327779</v>
      </c>
      <c r="M1308">
        <v>0</v>
      </c>
      <c r="N1308">
        <v>1</v>
      </c>
      <c r="O1308">
        <v>0</v>
      </c>
      <c r="P1308">
        <v>27904.037</v>
      </c>
      <c r="Q1308">
        <v>74398</v>
      </c>
      <c r="R1308" s="3">
        <f>(Wapato_Inventory[[#This Row],[ln_acres]]*Wapato_Inventory[[#This Row],[coeff]])+Wapato_Inventory[[#This Row],[const]]</f>
        <v>193.90953680640087</v>
      </c>
      <c r="AY1308">
        <v>0</v>
      </c>
      <c r="AZ1308">
        <v>0</v>
      </c>
      <c r="BE1308">
        <v>0</v>
      </c>
      <c r="BF1308">
        <v>12000</v>
      </c>
      <c r="BG1308">
        <v>0</v>
      </c>
      <c r="BH1308" s="7">
        <f>ROUND(Wapato_Inventory[[#This Row],[detatched_value]]*Lookups!$B$22*Lookups!$H$48,-2)</f>
        <v>0</v>
      </c>
      <c r="BI1308" s="7">
        <f>ROUND(((Wapato_Inventory[[#This Row],[land_extract]]*Lookups!$B$3) +(Lookups!$B$2*0.5))*Lookups!$H$48,-2)</f>
        <v>51100</v>
      </c>
      <c r="BJ1308" s="7">
        <f>IF(Wapato_Inventory[[#This Row],[bldg_style]]="",0,Lookups!$B$2*0.5)</f>
        <v>0</v>
      </c>
      <c r="BK1308" s="7">
        <f>_xlfn.IFNA(VLOOKUP(Wapato_Inventory[[#This Row],[quality]],Lookups!$H$2:$J$14,3,FALSE),0)</f>
        <v>0</v>
      </c>
      <c r="BL1308" s="7">
        <f>_xlfn.IFNA(VLOOKUP(Wapato_Inventory[[#This Row],[condition]],Lookups!$H$17:$J$24,3,FALSE),0)</f>
        <v>0</v>
      </c>
      <c r="BM1308" s="7">
        <f>Wapato_Inventory[[#This Row],[Age]]*Lookups!$B$16</f>
        <v>0</v>
      </c>
      <c r="BN1308" s="7">
        <f>Wapato_Inventory[[#This Row],[Main Floor]]*Lookups!$B$17</f>
        <v>0</v>
      </c>
      <c r="BO1308" s="7">
        <f>Wapato_Inventory[[#This Row],[Upper Floor]]*Lookups!$B$18</f>
        <v>0</v>
      </c>
      <c r="BP1308" s="7">
        <f>Wapato_Inventory[[#This Row],[Fin BSMT]]*Lookups!$B$19</f>
        <v>0</v>
      </c>
      <c r="BQ1308" s="7">
        <f>(Wapato_Inventory[[#This Row],[att_gar]]+Wapato_Inventory[[#This Row],[blt_gar]])*Lookups!$B$20</f>
        <v>0</v>
      </c>
      <c r="BR1308" s="7">
        <f>Wapato_Inventory[[#This Row],[Patio]]*Lookups!$B$21</f>
        <v>0</v>
      </c>
      <c r="BS1308" s="7">
        <f>SUM(Wapato_Inventory[[#This Row],[intercept]:[patio_value]])*Wapato_Inventory[[#This Row],[res_pct]]</f>
        <v>0</v>
      </c>
      <c r="BT1308" s="7">
        <f>Wapato_Inventory[[#This Row],[land_value]]</f>
        <v>51100</v>
      </c>
      <c r="BU1308" s="2">
        <f>_xlfn.IFNA(VLOOKUP(Wapato_Inventory[[#This Row],[quality]],Lookups!$A$28:$C$37,3,FALSE),1)</f>
        <v>1</v>
      </c>
      <c r="BV1308" s="2">
        <f>_xlfn.IFNA(VLOOKUP(Wapato_Inventory[[#This Row],[condition]],Lookups!$A$41:$C$48,3,FALSE),1)</f>
        <v>1</v>
      </c>
      <c r="BW1308" s="2">
        <f>IF(Wapato_Inventory[[#This Row],[decade]]="",1,_xlfn.IFNA(VLOOKUP(Wapato_Inventory[[#This Row],[decade]],Lookups!$F$28:$H$45,3,FALSE),1))</f>
        <v>1</v>
      </c>
      <c r="BX1308" s="2">
        <f>_xlfn.IFNA(VLOOKUP(Wapato_Inventory[[#This Row],[living_area_range]],Lookups!$K$28:$M$37,3,FALSE),1)</f>
        <v>1</v>
      </c>
      <c r="BY1308" s="2">
        <f>AVERAGE(Wapato_Inventory[[#This Row],[qual_adj]:[range_adj]])</f>
        <v>1</v>
      </c>
      <c r="BZ1308" s="7">
        <f>(Wapato_Inventory[[#This Row],[sum_land]]-IF(Wapato_Inventory[[#This Row],[no_utilities]]=1,12000,0))/IF(Wapato_Inventory[[#This Row],[unbuildable]]=1,2,1)</f>
        <v>25550</v>
      </c>
      <c r="CA1308" s="7">
        <f>Wapato_Inventory[[#This Row],[pre_res]]*Wapato_Inventory[[#This Row],[overall_adj]]</f>
        <v>0</v>
      </c>
      <c r="CB1308" s="3">
        <f>IF(ROUND(Wapato_Inventory[[#This Row],[adj_land]]*Lookups!$H$48,-2)&lt;Wapato_Inventory[[#This Row],[min_land]],Wapato_Inventory[[#This Row],[min_land]],ROUND(Wapato_Inventory[[#This Row],[adj_land]]*Lookups!$H$48,-2))</f>
        <v>24300</v>
      </c>
      <c r="CC130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08" s="3">
        <f>ROUND(Wapato_Inventory[[#This Row],[det_value]]*Lookups!$H$48,-2)</f>
        <v>0</v>
      </c>
      <c r="CE1308" s="3">
        <f>Wapato_Inventory[[#This Row],[final_res]]+Wapato_Inventory[[#This Row],[final_det]]</f>
        <v>0</v>
      </c>
      <c r="CF1308" s="3">
        <f>Wapato_Inventory[[#This Row],[crop_value]]+Wapato_Inventory[[#This Row],[final_land]]+Wapato_Inventory[[#This Row],[final_imp]]</f>
        <v>24300</v>
      </c>
      <c r="CH1308" t="str">
        <f t="shared" si="21"/>
        <v>update valuation set market_land =24300, market_bldg=0, market_total =24300, market_mdno =405, market_date ='9/10/2023' where link_id = (select link_id from parcel where parcel_year = '2024' and parcel_id = '19111513555');</v>
      </c>
    </row>
    <row r="1309" spans="1:86" x14ac:dyDescent="0.25">
      <c r="A1309">
        <v>19111513563</v>
      </c>
      <c r="B1309">
        <v>0.13</v>
      </c>
      <c r="C1309">
        <v>5863</v>
      </c>
      <c r="D1309" t="s">
        <v>144</v>
      </c>
      <c r="E1309" t="s">
        <v>54</v>
      </c>
      <c r="F1309" t="s">
        <v>54</v>
      </c>
      <c r="G1309">
        <v>3</v>
      </c>
      <c r="H1309" t="s">
        <v>55</v>
      </c>
      <c r="I1309">
        <v>0</v>
      </c>
      <c r="J1309">
        <v>32300</v>
      </c>
      <c r="K1309">
        <v>0.13</v>
      </c>
      <c r="L1309">
        <f>IF(Wapato_Inventory[[#This Row],[parcel_acres]]-Wapato_Inventory[[#This Row],[non_valued_acres]] =0,0,LN(Wapato_Inventory[[#This Row],[parcel_acres]]-Wapato_Inventory[[#This Row],[non_valued_acres]]))</f>
        <v>-2.0402208285265546</v>
      </c>
      <c r="M1309">
        <v>0</v>
      </c>
      <c r="N1309">
        <v>1</v>
      </c>
      <c r="O1309">
        <v>0</v>
      </c>
      <c r="P1309">
        <v>27904.037</v>
      </c>
      <c r="Q1309">
        <v>74398</v>
      </c>
      <c r="R1309" s="3">
        <f>(Wapato_Inventory[[#This Row],[ln_acres]]*Wapato_Inventory[[#This Row],[coeff]])+Wapato_Inventory[[#This Row],[const]]</f>
        <v>17467.602512624362</v>
      </c>
      <c r="AY1309">
        <v>0</v>
      </c>
      <c r="AZ1309">
        <v>0</v>
      </c>
      <c r="BE1309">
        <v>0</v>
      </c>
      <c r="BF1309">
        <v>12000</v>
      </c>
      <c r="BG1309">
        <v>0</v>
      </c>
      <c r="BH1309" s="7">
        <f>ROUND(Wapato_Inventory[[#This Row],[detatched_value]]*Lookups!$B$22*Lookups!$H$48,-2)</f>
        <v>0</v>
      </c>
      <c r="BI1309" s="7">
        <f>ROUND(((Wapato_Inventory[[#This Row],[land_extract]]*Lookups!$B$3) +(Lookups!$B$2*0.5))*Lookups!$H$48,-2)</f>
        <v>52800</v>
      </c>
      <c r="BJ1309" s="7">
        <f>IF(Wapato_Inventory[[#This Row],[bldg_style]]="",0,Lookups!$B$2*0.5)</f>
        <v>0</v>
      </c>
      <c r="BK1309" s="7">
        <f>_xlfn.IFNA(VLOOKUP(Wapato_Inventory[[#This Row],[quality]],Lookups!$H$2:$J$14,3,FALSE),0)</f>
        <v>0</v>
      </c>
      <c r="BL1309" s="7">
        <f>_xlfn.IFNA(VLOOKUP(Wapato_Inventory[[#This Row],[condition]],Lookups!$H$17:$J$24,3,FALSE),0)</f>
        <v>0</v>
      </c>
      <c r="BM1309" s="7">
        <f>Wapato_Inventory[[#This Row],[Age]]*Lookups!$B$16</f>
        <v>0</v>
      </c>
      <c r="BN1309" s="7">
        <f>Wapato_Inventory[[#This Row],[Main Floor]]*Lookups!$B$17</f>
        <v>0</v>
      </c>
      <c r="BO1309" s="7">
        <f>Wapato_Inventory[[#This Row],[Upper Floor]]*Lookups!$B$18</f>
        <v>0</v>
      </c>
      <c r="BP1309" s="7">
        <f>Wapato_Inventory[[#This Row],[Fin BSMT]]*Lookups!$B$19</f>
        <v>0</v>
      </c>
      <c r="BQ1309" s="7">
        <f>(Wapato_Inventory[[#This Row],[att_gar]]+Wapato_Inventory[[#This Row],[blt_gar]])*Lookups!$B$20</f>
        <v>0</v>
      </c>
      <c r="BR1309" s="7">
        <f>Wapato_Inventory[[#This Row],[Patio]]*Lookups!$B$21</f>
        <v>0</v>
      </c>
      <c r="BS1309" s="7">
        <f>SUM(Wapato_Inventory[[#This Row],[intercept]:[patio_value]])*Wapato_Inventory[[#This Row],[res_pct]]</f>
        <v>0</v>
      </c>
      <c r="BT1309" s="7">
        <f>Wapato_Inventory[[#This Row],[land_value]]</f>
        <v>52800</v>
      </c>
      <c r="BU1309" s="2">
        <f>_xlfn.IFNA(VLOOKUP(Wapato_Inventory[[#This Row],[quality]],Lookups!$A$28:$C$37,3,FALSE),1)</f>
        <v>1</v>
      </c>
      <c r="BV1309" s="2">
        <f>_xlfn.IFNA(VLOOKUP(Wapato_Inventory[[#This Row],[condition]],Lookups!$A$41:$C$48,3,FALSE),1)</f>
        <v>1</v>
      </c>
      <c r="BW1309" s="2">
        <f>IF(Wapato_Inventory[[#This Row],[decade]]="",1,_xlfn.IFNA(VLOOKUP(Wapato_Inventory[[#This Row],[decade]],Lookups!$F$28:$H$45,3,FALSE),1))</f>
        <v>1</v>
      </c>
      <c r="BX1309" s="2">
        <f>_xlfn.IFNA(VLOOKUP(Wapato_Inventory[[#This Row],[living_area_range]],Lookups!$K$28:$M$37,3,FALSE),1)</f>
        <v>1</v>
      </c>
      <c r="BY1309" s="2">
        <f>AVERAGE(Wapato_Inventory[[#This Row],[qual_adj]:[range_adj]])</f>
        <v>1</v>
      </c>
      <c r="BZ1309" s="7">
        <f>(Wapato_Inventory[[#This Row],[sum_land]]-IF(Wapato_Inventory[[#This Row],[no_utilities]]=1,12000,0))/IF(Wapato_Inventory[[#This Row],[unbuildable]]=1,2,1)</f>
        <v>26400</v>
      </c>
      <c r="CA1309" s="7">
        <f>Wapato_Inventory[[#This Row],[pre_res]]*Wapato_Inventory[[#This Row],[overall_adj]]</f>
        <v>0</v>
      </c>
      <c r="CB1309" s="3">
        <f>IF(ROUND(Wapato_Inventory[[#This Row],[adj_land]]*Lookups!$H$48,-2)&lt;Wapato_Inventory[[#This Row],[min_land]],Wapato_Inventory[[#This Row],[min_land]],ROUND(Wapato_Inventory[[#This Row],[adj_land]]*Lookups!$H$48,-2))</f>
        <v>25100</v>
      </c>
      <c r="CC130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09" s="3">
        <f>ROUND(Wapato_Inventory[[#This Row],[det_value]]*Lookups!$H$48,-2)</f>
        <v>0</v>
      </c>
      <c r="CE1309" s="3">
        <f>Wapato_Inventory[[#This Row],[final_res]]+Wapato_Inventory[[#This Row],[final_det]]</f>
        <v>0</v>
      </c>
      <c r="CF1309" s="3">
        <f>Wapato_Inventory[[#This Row],[crop_value]]+Wapato_Inventory[[#This Row],[final_land]]+Wapato_Inventory[[#This Row],[final_imp]]</f>
        <v>25100</v>
      </c>
      <c r="CH1309" t="str">
        <f t="shared" si="21"/>
        <v>update valuation set market_land =25100, market_bldg=0, market_total =25100, market_mdno =405, market_date ='9/10/2023' where link_id = (select link_id from parcel where parcel_year = '2024' and parcel_id = '19111513563');</v>
      </c>
    </row>
    <row r="1310" spans="1:86" x14ac:dyDescent="0.25">
      <c r="A1310">
        <v>19111514484</v>
      </c>
      <c r="B1310">
        <v>0.05</v>
      </c>
      <c r="C1310">
        <v>2118</v>
      </c>
      <c r="D1310" t="s">
        <v>144</v>
      </c>
      <c r="E1310" t="s">
        <v>54</v>
      </c>
      <c r="F1310" t="s">
        <v>54</v>
      </c>
      <c r="G1310">
        <v>3</v>
      </c>
      <c r="H1310" t="s">
        <v>55</v>
      </c>
      <c r="I1310">
        <v>0</v>
      </c>
      <c r="J1310">
        <v>25300</v>
      </c>
      <c r="K1310">
        <v>0.05</v>
      </c>
      <c r="L1310">
        <f>IF(Wapato_Inventory[[#This Row],[parcel_acres]]-Wapato_Inventory[[#This Row],[non_valued_acres]] =0,0,LN(Wapato_Inventory[[#This Row],[parcel_acres]]-Wapato_Inventory[[#This Row],[non_valued_acres]]))</f>
        <v>-2.9957322735539909</v>
      </c>
      <c r="M1310">
        <v>0</v>
      </c>
      <c r="N1310">
        <v>1</v>
      </c>
      <c r="O1310">
        <v>0</v>
      </c>
      <c r="P1310">
        <v>27904.037</v>
      </c>
      <c r="Q1310">
        <v>74398</v>
      </c>
      <c r="R1310" s="3">
        <f>(Wapato_Inventory[[#This Row],[ln_acres]]*Wapato_Inventory[[#This Row],[coeff]])+Wapato_Inventory[[#This Row],[const]]</f>
        <v>-9195.0242033446848</v>
      </c>
      <c r="AY1310">
        <v>0</v>
      </c>
      <c r="AZ1310">
        <v>0</v>
      </c>
      <c r="BE1310">
        <v>0</v>
      </c>
      <c r="BF1310">
        <v>12000</v>
      </c>
      <c r="BG1310">
        <v>0</v>
      </c>
      <c r="BH1310" s="7">
        <f>ROUND(Wapato_Inventory[[#This Row],[detatched_value]]*Lookups!$B$22*Lookups!$H$48,-2)</f>
        <v>0</v>
      </c>
      <c r="BI1310" s="7">
        <f>ROUND(((Wapato_Inventory[[#This Row],[land_extract]]*Lookups!$B$3) +(Lookups!$B$2*0.5))*Lookups!$H$48,-2)</f>
        <v>50200</v>
      </c>
      <c r="BJ1310" s="7">
        <f>IF(Wapato_Inventory[[#This Row],[bldg_style]]="",0,Lookups!$B$2*0.5)</f>
        <v>0</v>
      </c>
      <c r="BK1310" s="7">
        <f>_xlfn.IFNA(VLOOKUP(Wapato_Inventory[[#This Row],[quality]],Lookups!$H$2:$J$14,3,FALSE),0)</f>
        <v>0</v>
      </c>
      <c r="BL1310" s="7">
        <f>_xlfn.IFNA(VLOOKUP(Wapato_Inventory[[#This Row],[condition]],Lookups!$H$17:$J$24,3,FALSE),0)</f>
        <v>0</v>
      </c>
      <c r="BM1310" s="7">
        <f>Wapato_Inventory[[#This Row],[Age]]*Lookups!$B$16</f>
        <v>0</v>
      </c>
      <c r="BN1310" s="7">
        <f>Wapato_Inventory[[#This Row],[Main Floor]]*Lookups!$B$17</f>
        <v>0</v>
      </c>
      <c r="BO1310" s="7">
        <f>Wapato_Inventory[[#This Row],[Upper Floor]]*Lookups!$B$18</f>
        <v>0</v>
      </c>
      <c r="BP1310" s="7">
        <f>Wapato_Inventory[[#This Row],[Fin BSMT]]*Lookups!$B$19</f>
        <v>0</v>
      </c>
      <c r="BQ1310" s="7">
        <f>(Wapato_Inventory[[#This Row],[att_gar]]+Wapato_Inventory[[#This Row],[blt_gar]])*Lookups!$B$20</f>
        <v>0</v>
      </c>
      <c r="BR1310" s="7">
        <f>Wapato_Inventory[[#This Row],[Patio]]*Lookups!$B$21</f>
        <v>0</v>
      </c>
      <c r="BS1310" s="7">
        <f>SUM(Wapato_Inventory[[#This Row],[intercept]:[patio_value]])*Wapato_Inventory[[#This Row],[res_pct]]</f>
        <v>0</v>
      </c>
      <c r="BT1310" s="7">
        <f>Wapato_Inventory[[#This Row],[land_value]]</f>
        <v>50200</v>
      </c>
      <c r="BU1310" s="2">
        <f>_xlfn.IFNA(VLOOKUP(Wapato_Inventory[[#This Row],[quality]],Lookups!$A$28:$C$37,3,FALSE),1)</f>
        <v>1</v>
      </c>
      <c r="BV1310" s="2">
        <f>_xlfn.IFNA(VLOOKUP(Wapato_Inventory[[#This Row],[condition]],Lookups!$A$41:$C$48,3,FALSE),1)</f>
        <v>1</v>
      </c>
      <c r="BW1310" s="2">
        <f>IF(Wapato_Inventory[[#This Row],[decade]]="",1,_xlfn.IFNA(VLOOKUP(Wapato_Inventory[[#This Row],[decade]],Lookups!$F$28:$H$45,3,FALSE),1))</f>
        <v>1</v>
      </c>
      <c r="BX1310" s="2">
        <f>_xlfn.IFNA(VLOOKUP(Wapato_Inventory[[#This Row],[living_area_range]],Lookups!$K$28:$M$37,3,FALSE),1)</f>
        <v>1</v>
      </c>
      <c r="BY1310" s="2">
        <f>AVERAGE(Wapato_Inventory[[#This Row],[qual_adj]:[range_adj]])</f>
        <v>1</v>
      </c>
      <c r="BZ1310" s="7">
        <f>(Wapato_Inventory[[#This Row],[sum_land]]-IF(Wapato_Inventory[[#This Row],[no_utilities]]=1,12000,0))/IF(Wapato_Inventory[[#This Row],[unbuildable]]=1,2,1)</f>
        <v>25100</v>
      </c>
      <c r="CA1310" s="7">
        <f>Wapato_Inventory[[#This Row],[pre_res]]*Wapato_Inventory[[#This Row],[overall_adj]]</f>
        <v>0</v>
      </c>
      <c r="CB1310" s="3">
        <f>IF(ROUND(Wapato_Inventory[[#This Row],[adj_land]]*Lookups!$H$48,-2)&lt;Wapato_Inventory[[#This Row],[min_land]],Wapato_Inventory[[#This Row],[min_land]],ROUND(Wapato_Inventory[[#This Row],[adj_land]]*Lookups!$H$48,-2))</f>
        <v>23800</v>
      </c>
      <c r="CC131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10" s="3">
        <f>ROUND(Wapato_Inventory[[#This Row],[det_value]]*Lookups!$H$48,-2)</f>
        <v>0</v>
      </c>
      <c r="CE1310" s="3">
        <f>Wapato_Inventory[[#This Row],[final_res]]+Wapato_Inventory[[#This Row],[final_det]]</f>
        <v>0</v>
      </c>
      <c r="CF1310" s="3">
        <f>Wapato_Inventory[[#This Row],[crop_value]]+Wapato_Inventory[[#This Row],[final_land]]+Wapato_Inventory[[#This Row],[final_imp]]</f>
        <v>23800</v>
      </c>
      <c r="CH1310" t="str">
        <f t="shared" si="21"/>
        <v>update valuation set market_land =23800, market_bldg=0, market_total =23800, market_mdno =405, market_date ='9/10/2023' where link_id = (select link_id from parcel where parcel_year = '2024' and parcel_id = '19111514484');</v>
      </c>
    </row>
    <row r="1311" spans="1:86" x14ac:dyDescent="0.25">
      <c r="A1311">
        <v>19111514563</v>
      </c>
      <c r="B1311">
        <v>0.14000000000000001</v>
      </c>
      <c r="C1311">
        <v>5917</v>
      </c>
      <c r="D1311" t="s">
        <v>144</v>
      </c>
      <c r="E1311" t="s">
        <v>54</v>
      </c>
      <c r="F1311" t="s">
        <v>54</v>
      </c>
      <c r="G1311">
        <v>3</v>
      </c>
      <c r="H1311" t="s">
        <v>55</v>
      </c>
      <c r="I1311">
        <v>1400</v>
      </c>
      <c r="J1311">
        <v>32800</v>
      </c>
      <c r="K1311">
        <v>0.14000000000000001</v>
      </c>
      <c r="L1311">
        <f>IF(Wapato_Inventory[[#This Row],[parcel_acres]]-Wapato_Inventory[[#This Row],[non_valued_acres]] =0,0,LN(Wapato_Inventory[[#This Row],[parcel_acres]]-Wapato_Inventory[[#This Row],[non_valued_acres]]))</f>
        <v>-1.9661128563728327</v>
      </c>
      <c r="M1311">
        <v>0</v>
      </c>
      <c r="N1311">
        <v>0</v>
      </c>
      <c r="O1311">
        <v>0</v>
      </c>
      <c r="P1311">
        <v>27904.037</v>
      </c>
      <c r="Q1311">
        <v>74398</v>
      </c>
      <c r="R1311" s="3">
        <f>(Wapato_Inventory[[#This Row],[ln_acres]]*Wapato_Inventory[[#This Row],[coeff]])+Wapato_Inventory[[#This Row],[const]]</f>
        <v>19535.514109596792</v>
      </c>
      <c r="AY1311">
        <v>0</v>
      </c>
      <c r="AZ1311">
        <v>1700</v>
      </c>
      <c r="BE1311">
        <v>0</v>
      </c>
      <c r="BF1311">
        <v>15000</v>
      </c>
      <c r="BG1311">
        <v>0</v>
      </c>
      <c r="BH1311" s="7">
        <f>ROUND(Wapato_Inventory[[#This Row],[detatched_value]]*Lookups!$B$22*Lookups!$H$48,-2)</f>
        <v>1500</v>
      </c>
      <c r="BI1311" s="7">
        <f>ROUND(((Wapato_Inventory[[#This Row],[land_extract]]*Lookups!$B$3) +(Lookups!$B$2*0.5))*Lookups!$H$48,-2)</f>
        <v>53000</v>
      </c>
      <c r="BJ1311" s="7">
        <f>IF(Wapato_Inventory[[#This Row],[bldg_style]]="",0,Lookups!$B$2*0.5)</f>
        <v>0</v>
      </c>
      <c r="BK1311" s="7">
        <f>_xlfn.IFNA(VLOOKUP(Wapato_Inventory[[#This Row],[quality]],Lookups!$H$2:$J$14,3,FALSE),0)</f>
        <v>0</v>
      </c>
      <c r="BL1311" s="7">
        <f>_xlfn.IFNA(VLOOKUP(Wapato_Inventory[[#This Row],[condition]],Lookups!$H$17:$J$24,3,FALSE),0)</f>
        <v>0</v>
      </c>
      <c r="BM1311" s="7">
        <f>Wapato_Inventory[[#This Row],[Age]]*Lookups!$B$16</f>
        <v>0</v>
      </c>
      <c r="BN1311" s="7">
        <f>Wapato_Inventory[[#This Row],[Main Floor]]*Lookups!$B$17</f>
        <v>0</v>
      </c>
      <c r="BO1311" s="7">
        <f>Wapato_Inventory[[#This Row],[Upper Floor]]*Lookups!$B$18</f>
        <v>0</v>
      </c>
      <c r="BP1311" s="7">
        <f>Wapato_Inventory[[#This Row],[Fin BSMT]]*Lookups!$B$19</f>
        <v>0</v>
      </c>
      <c r="BQ1311" s="7">
        <f>(Wapato_Inventory[[#This Row],[att_gar]]+Wapato_Inventory[[#This Row],[blt_gar]])*Lookups!$B$20</f>
        <v>0</v>
      </c>
      <c r="BR1311" s="7">
        <f>Wapato_Inventory[[#This Row],[Patio]]*Lookups!$B$21</f>
        <v>0</v>
      </c>
      <c r="BS1311" s="7">
        <f>SUM(Wapato_Inventory[[#This Row],[intercept]:[patio_value]])*Wapato_Inventory[[#This Row],[res_pct]]</f>
        <v>0</v>
      </c>
      <c r="BT1311" s="7">
        <f>Wapato_Inventory[[#This Row],[land_value]]</f>
        <v>53000</v>
      </c>
      <c r="BU1311" s="2">
        <f>_xlfn.IFNA(VLOOKUP(Wapato_Inventory[[#This Row],[quality]],Lookups!$A$28:$C$37,3,FALSE),1)</f>
        <v>1</v>
      </c>
      <c r="BV1311" s="2">
        <f>_xlfn.IFNA(VLOOKUP(Wapato_Inventory[[#This Row],[condition]],Lookups!$A$41:$C$48,3,FALSE),1)</f>
        <v>1</v>
      </c>
      <c r="BW1311" s="2">
        <f>IF(Wapato_Inventory[[#This Row],[decade]]="",1,_xlfn.IFNA(VLOOKUP(Wapato_Inventory[[#This Row],[decade]],Lookups!$F$28:$H$45,3,FALSE),1))</f>
        <v>1</v>
      </c>
      <c r="BX1311" s="2">
        <f>_xlfn.IFNA(VLOOKUP(Wapato_Inventory[[#This Row],[living_area_range]],Lookups!$K$28:$M$37,3,FALSE),1)</f>
        <v>1</v>
      </c>
      <c r="BY1311" s="2">
        <f>AVERAGE(Wapato_Inventory[[#This Row],[qual_adj]:[range_adj]])</f>
        <v>1</v>
      </c>
      <c r="BZ1311" s="7">
        <f>(Wapato_Inventory[[#This Row],[sum_land]]-IF(Wapato_Inventory[[#This Row],[no_utilities]]=1,12000,0))/IF(Wapato_Inventory[[#This Row],[unbuildable]]=1,2,1)</f>
        <v>53000</v>
      </c>
      <c r="CA1311" s="7">
        <f>Wapato_Inventory[[#This Row],[pre_res]]*Wapato_Inventory[[#This Row],[overall_adj]]</f>
        <v>0</v>
      </c>
      <c r="CB1311" s="3">
        <f>IF(ROUND(Wapato_Inventory[[#This Row],[adj_land]]*Lookups!$H$48,-2)&lt;Wapato_Inventory[[#This Row],[min_land]],Wapato_Inventory[[#This Row],[min_land]],ROUND(Wapato_Inventory[[#This Row],[adj_land]]*Lookups!$H$48,-2))</f>
        <v>50400</v>
      </c>
      <c r="CC131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11" s="3">
        <f>ROUND(Wapato_Inventory[[#This Row],[det_value]]*Lookups!$H$48,-2)</f>
        <v>1400</v>
      </c>
      <c r="CE1311" s="3">
        <f>Wapato_Inventory[[#This Row],[final_res]]+Wapato_Inventory[[#This Row],[final_det]]</f>
        <v>1400</v>
      </c>
      <c r="CF1311" s="3">
        <f>Wapato_Inventory[[#This Row],[crop_value]]+Wapato_Inventory[[#This Row],[final_land]]+Wapato_Inventory[[#This Row],[final_imp]]</f>
        <v>51800</v>
      </c>
      <c r="CH1311" t="str">
        <f t="shared" si="21"/>
        <v>update valuation set market_land =50400, market_bldg=1400, market_total =51800, market_mdno =405, market_date ='9/10/2023' where link_id = (select link_id from parcel where parcel_year = '2024' and parcel_id = '19111514563');</v>
      </c>
    </row>
    <row r="1312" spans="1:86" x14ac:dyDescent="0.25">
      <c r="A1312">
        <v>19111514577</v>
      </c>
      <c r="B1312">
        <v>0.03</v>
      </c>
      <c r="C1312">
        <v>1274</v>
      </c>
      <c r="D1312" t="s">
        <v>144</v>
      </c>
      <c r="E1312" t="s">
        <v>54</v>
      </c>
      <c r="F1312" t="s">
        <v>54</v>
      </c>
      <c r="G1312">
        <v>3</v>
      </c>
      <c r="H1312" t="s">
        <v>55</v>
      </c>
      <c r="I1312">
        <v>0</v>
      </c>
      <c r="J1312">
        <v>1000</v>
      </c>
      <c r="K1312">
        <v>0.03</v>
      </c>
      <c r="L1312">
        <f>IF(Wapato_Inventory[[#This Row],[parcel_acres]]-Wapato_Inventory[[#This Row],[non_valued_acres]] =0,0,LN(Wapato_Inventory[[#This Row],[parcel_acres]]-Wapato_Inventory[[#This Row],[non_valued_acres]]))</f>
        <v>-3.5065578973199818</v>
      </c>
      <c r="M1312">
        <v>0</v>
      </c>
      <c r="N1312">
        <v>1</v>
      </c>
      <c r="O1312">
        <v>0</v>
      </c>
      <c r="P1312">
        <v>27904.037</v>
      </c>
      <c r="Q1312">
        <v>74398</v>
      </c>
      <c r="R1312" s="3">
        <f>(Wapato_Inventory[[#This Row],[ln_acres]]*Wapato_Inventory[[#This Row],[coeff]])+Wapato_Inventory[[#This Row],[const]]</f>
        <v>-23449.121309458977</v>
      </c>
      <c r="AY1312">
        <v>0</v>
      </c>
      <c r="AZ1312">
        <v>0</v>
      </c>
      <c r="BE1312">
        <v>0</v>
      </c>
      <c r="BF1312">
        <v>12000</v>
      </c>
      <c r="BG1312">
        <v>0</v>
      </c>
      <c r="BH1312" s="7">
        <f>ROUND(Wapato_Inventory[[#This Row],[detatched_value]]*Lookups!$B$22*Lookups!$H$48,-2)</f>
        <v>0</v>
      </c>
      <c r="BI1312" s="7">
        <f>ROUND(((Wapato_Inventory[[#This Row],[land_extract]]*Lookups!$B$3) +(Lookups!$B$2*0.5))*Lookups!$H$48,-2)</f>
        <v>48800</v>
      </c>
      <c r="BJ1312" s="7">
        <f>IF(Wapato_Inventory[[#This Row],[bldg_style]]="",0,Lookups!$B$2*0.5)</f>
        <v>0</v>
      </c>
      <c r="BK1312" s="7">
        <f>_xlfn.IFNA(VLOOKUP(Wapato_Inventory[[#This Row],[quality]],Lookups!$H$2:$J$14,3,FALSE),0)</f>
        <v>0</v>
      </c>
      <c r="BL1312" s="7">
        <f>_xlfn.IFNA(VLOOKUP(Wapato_Inventory[[#This Row],[condition]],Lookups!$H$17:$J$24,3,FALSE),0)</f>
        <v>0</v>
      </c>
      <c r="BM1312" s="7">
        <f>Wapato_Inventory[[#This Row],[Age]]*Lookups!$B$16</f>
        <v>0</v>
      </c>
      <c r="BN1312" s="7">
        <f>Wapato_Inventory[[#This Row],[Main Floor]]*Lookups!$B$17</f>
        <v>0</v>
      </c>
      <c r="BO1312" s="7">
        <f>Wapato_Inventory[[#This Row],[Upper Floor]]*Lookups!$B$18</f>
        <v>0</v>
      </c>
      <c r="BP1312" s="7">
        <f>Wapato_Inventory[[#This Row],[Fin BSMT]]*Lookups!$B$19</f>
        <v>0</v>
      </c>
      <c r="BQ1312" s="7">
        <f>(Wapato_Inventory[[#This Row],[att_gar]]+Wapato_Inventory[[#This Row],[blt_gar]])*Lookups!$B$20</f>
        <v>0</v>
      </c>
      <c r="BR1312" s="7">
        <f>Wapato_Inventory[[#This Row],[Patio]]*Lookups!$B$21</f>
        <v>0</v>
      </c>
      <c r="BS1312" s="7">
        <f>SUM(Wapato_Inventory[[#This Row],[intercept]:[patio_value]])*Wapato_Inventory[[#This Row],[res_pct]]</f>
        <v>0</v>
      </c>
      <c r="BT1312" s="7">
        <f>Wapato_Inventory[[#This Row],[land_value]]</f>
        <v>48800</v>
      </c>
      <c r="BU1312" s="2">
        <f>_xlfn.IFNA(VLOOKUP(Wapato_Inventory[[#This Row],[quality]],Lookups!$A$28:$C$37,3,FALSE),1)</f>
        <v>1</v>
      </c>
      <c r="BV1312" s="2">
        <f>_xlfn.IFNA(VLOOKUP(Wapato_Inventory[[#This Row],[condition]],Lookups!$A$41:$C$48,3,FALSE),1)</f>
        <v>1</v>
      </c>
      <c r="BW1312" s="2">
        <f>IF(Wapato_Inventory[[#This Row],[decade]]="",1,_xlfn.IFNA(VLOOKUP(Wapato_Inventory[[#This Row],[decade]],Lookups!$F$28:$H$45,3,FALSE),1))</f>
        <v>1</v>
      </c>
      <c r="BX1312" s="2">
        <f>_xlfn.IFNA(VLOOKUP(Wapato_Inventory[[#This Row],[living_area_range]],Lookups!$K$28:$M$37,3,FALSE),1)</f>
        <v>1</v>
      </c>
      <c r="BY1312" s="2">
        <f>AVERAGE(Wapato_Inventory[[#This Row],[qual_adj]:[range_adj]])</f>
        <v>1</v>
      </c>
      <c r="BZ1312" s="7">
        <f>(Wapato_Inventory[[#This Row],[sum_land]]-IF(Wapato_Inventory[[#This Row],[no_utilities]]=1,12000,0))/IF(Wapato_Inventory[[#This Row],[unbuildable]]=1,2,1)</f>
        <v>24400</v>
      </c>
      <c r="CA1312" s="7">
        <f>Wapato_Inventory[[#This Row],[pre_res]]*Wapato_Inventory[[#This Row],[overall_adj]]</f>
        <v>0</v>
      </c>
      <c r="CB1312" s="3">
        <f>IF(ROUND(Wapato_Inventory[[#This Row],[adj_land]]*Lookups!$H$48,-2)&lt;Wapato_Inventory[[#This Row],[min_land]],Wapato_Inventory[[#This Row],[min_land]],ROUND(Wapato_Inventory[[#This Row],[adj_land]]*Lookups!$H$48,-2))</f>
        <v>23200</v>
      </c>
      <c r="CC131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12" s="3">
        <f>ROUND(Wapato_Inventory[[#This Row],[det_value]]*Lookups!$H$48,-2)</f>
        <v>0</v>
      </c>
      <c r="CE1312" s="3">
        <f>Wapato_Inventory[[#This Row],[final_res]]+Wapato_Inventory[[#This Row],[final_det]]</f>
        <v>0</v>
      </c>
      <c r="CF1312" s="3">
        <f>Wapato_Inventory[[#This Row],[crop_value]]+Wapato_Inventory[[#This Row],[final_land]]+Wapato_Inventory[[#This Row],[final_imp]]</f>
        <v>23200</v>
      </c>
      <c r="CH1312" t="str">
        <f t="shared" si="21"/>
        <v>update valuation set market_land =23200, market_bldg=0, market_total =23200, market_mdno =405, market_date ='9/10/2023' where link_id = (select link_id from parcel where parcel_year = '2024' and parcel_id = '19111514577');</v>
      </c>
    </row>
    <row r="1313" spans="1:86" x14ac:dyDescent="0.25">
      <c r="A1313">
        <v>19111514587</v>
      </c>
      <c r="B1313">
        <v>0.1</v>
      </c>
      <c r="C1313">
        <v>4452</v>
      </c>
      <c r="D1313" t="s">
        <v>144</v>
      </c>
      <c r="E1313" t="s">
        <v>54</v>
      </c>
      <c r="F1313" t="s">
        <v>54</v>
      </c>
      <c r="G1313">
        <v>3</v>
      </c>
      <c r="H1313" t="s">
        <v>55</v>
      </c>
      <c r="I1313">
        <v>0</v>
      </c>
      <c r="J1313">
        <v>30400</v>
      </c>
      <c r="K1313">
        <v>0.1</v>
      </c>
      <c r="L1313">
        <f>IF(Wapato_Inventory[[#This Row],[parcel_acres]]-Wapato_Inventory[[#This Row],[non_valued_acres]] =0,0,LN(Wapato_Inventory[[#This Row],[parcel_acres]]-Wapato_Inventory[[#This Row],[non_valued_acres]]))</f>
        <v>-2.3025850929940455</v>
      </c>
      <c r="M1313">
        <v>0</v>
      </c>
      <c r="N1313">
        <v>0</v>
      </c>
      <c r="O1313">
        <v>0</v>
      </c>
      <c r="P1313">
        <v>27904.037</v>
      </c>
      <c r="Q1313">
        <v>74398</v>
      </c>
      <c r="R1313" s="3">
        <f>(Wapato_Inventory[[#This Row],[ln_acres]]*Wapato_Inventory[[#This Row],[coeff]])+Wapato_Inventory[[#This Row],[const]]</f>
        <v>10146.580369445714</v>
      </c>
      <c r="AY1313">
        <v>0</v>
      </c>
      <c r="AZ1313">
        <v>0</v>
      </c>
      <c r="BE1313">
        <v>0</v>
      </c>
      <c r="BF1313">
        <v>15000</v>
      </c>
      <c r="BG1313">
        <v>0</v>
      </c>
      <c r="BH1313" s="7">
        <f>ROUND(Wapato_Inventory[[#This Row],[detatched_value]]*Lookups!$B$22*Lookups!$H$48,-2)</f>
        <v>0</v>
      </c>
      <c r="BI1313" s="7">
        <f>ROUND(((Wapato_Inventory[[#This Row],[land_extract]]*Lookups!$B$3) +(Lookups!$B$2*0.5))*Lookups!$H$48,-2)</f>
        <v>52100</v>
      </c>
      <c r="BJ1313" s="7">
        <f>IF(Wapato_Inventory[[#This Row],[bldg_style]]="",0,Lookups!$B$2*0.5)</f>
        <v>0</v>
      </c>
      <c r="BK1313" s="7">
        <f>_xlfn.IFNA(VLOOKUP(Wapato_Inventory[[#This Row],[quality]],Lookups!$H$2:$J$14,3,FALSE),0)</f>
        <v>0</v>
      </c>
      <c r="BL1313" s="7">
        <f>_xlfn.IFNA(VLOOKUP(Wapato_Inventory[[#This Row],[condition]],Lookups!$H$17:$J$24,3,FALSE),0)</f>
        <v>0</v>
      </c>
      <c r="BM1313" s="7">
        <f>Wapato_Inventory[[#This Row],[Age]]*Lookups!$B$16</f>
        <v>0</v>
      </c>
      <c r="BN1313" s="7">
        <f>Wapato_Inventory[[#This Row],[Main Floor]]*Lookups!$B$17</f>
        <v>0</v>
      </c>
      <c r="BO1313" s="7">
        <f>Wapato_Inventory[[#This Row],[Upper Floor]]*Lookups!$B$18</f>
        <v>0</v>
      </c>
      <c r="BP1313" s="7">
        <f>Wapato_Inventory[[#This Row],[Fin BSMT]]*Lookups!$B$19</f>
        <v>0</v>
      </c>
      <c r="BQ1313" s="7">
        <f>(Wapato_Inventory[[#This Row],[att_gar]]+Wapato_Inventory[[#This Row],[blt_gar]])*Lookups!$B$20</f>
        <v>0</v>
      </c>
      <c r="BR1313" s="7">
        <f>Wapato_Inventory[[#This Row],[Patio]]*Lookups!$B$21</f>
        <v>0</v>
      </c>
      <c r="BS1313" s="7">
        <f>SUM(Wapato_Inventory[[#This Row],[intercept]:[patio_value]])*Wapato_Inventory[[#This Row],[res_pct]]</f>
        <v>0</v>
      </c>
      <c r="BT1313" s="7">
        <f>Wapato_Inventory[[#This Row],[land_value]]</f>
        <v>52100</v>
      </c>
      <c r="BU1313" s="2">
        <f>_xlfn.IFNA(VLOOKUP(Wapato_Inventory[[#This Row],[quality]],Lookups!$A$28:$C$37,3,FALSE),1)</f>
        <v>1</v>
      </c>
      <c r="BV1313" s="2">
        <f>_xlfn.IFNA(VLOOKUP(Wapato_Inventory[[#This Row],[condition]],Lookups!$A$41:$C$48,3,FALSE),1)</f>
        <v>1</v>
      </c>
      <c r="BW1313" s="2">
        <f>IF(Wapato_Inventory[[#This Row],[decade]]="",1,_xlfn.IFNA(VLOOKUP(Wapato_Inventory[[#This Row],[decade]],Lookups!$F$28:$H$45,3,FALSE),1))</f>
        <v>1</v>
      </c>
      <c r="BX1313" s="2">
        <f>_xlfn.IFNA(VLOOKUP(Wapato_Inventory[[#This Row],[living_area_range]],Lookups!$K$28:$M$37,3,FALSE),1)</f>
        <v>1</v>
      </c>
      <c r="BY1313" s="2">
        <f>AVERAGE(Wapato_Inventory[[#This Row],[qual_adj]:[range_adj]])</f>
        <v>1</v>
      </c>
      <c r="BZ1313" s="7">
        <f>(Wapato_Inventory[[#This Row],[sum_land]]-IF(Wapato_Inventory[[#This Row],[no_utilities]]=1,12000,0))/IF(Wapato_Inventory[[#This Row],[unbuildable]]=1,2,1)</f>
        <v>52100</v>
      </c>
      <c r="CA1313" s="7">
        <f>Wapato_Inventory[[#This Row],[pre_res]]*Wapato_Inventory[[#This Row],[overall_adj]]</f>
        <v>0</v>
      </c>
      <c r="CB1313" s="3">
        <f>IF(ROUND(Wapato_Inventory[[#This Row],[adj_land]]*Lookups!$H$48,-2)&lt;Wapato_Inventory[[#This Row],[min_land]],Wapato_Inventory[[#This Row],[min_land]],ROUND(Wapato_Inventory[[#This Row],[adj_land]]*Lookups!$H$48,-2))</f>
        <v>49500</v>
      </c>
      <c r="CC131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13" s="3">
        <f>ROUND(Wapato_Inventory[[#This Row],[det_value]]*Lookups!$H$48,-2)</f>
        <v>0</v>
      </c>
      <c r="CE1313" s="3">
        <f>Wapato_Inventory[[#This Row],[final_res]]+Wapato_Inventory[[#This Row],[final_det]]</f>
        <v>0</v>
      </c>
      <c r="CF1313" s="3">
        <f>Wapato_Inventory[[#This Row],[crop_value]]+Wapato_Inventory[[#This Row],[final_land]]+Wapato_Inventory[[#This Row],[final_imp]]</f>
        <v>49500</v>
      </c>
      <c r="CH1313" t="str">
        <f t="shared" si="21"/>
        <v>update valuation set market_land =49500, market_bldg=0, market_total =49500, market_mdno =405, market_date ='9/10/2023' where link_id = (select link_id from parcel where parcel_year = '2024' and parcel_id = '19111514587');</v>
      </c>
    </row>
    <row r="1314" spans="1:86" x14ac:dyDescent="0.25">
      <c r="A1314">
        <v>19111522015</v>
      </c>
      <c r="B1314">
        <v>6.2</v>
      </c>
      <c r="C1314">
        <v>270066</v>
      </c>
      <c r="D1314" t="s">
        <v>144</v>
      </c>
      <c r="E1314" t="s">
        <v>54</v>
      </c>
      <c r="F1314" t="s">
        <v>54</v>
      </c>
      <c r="G1314">
        <v>3</v>
      </c>
      <c r="H1314" t="s">
        <v>55</v>
      </c>
      <c r="I1314">
        <v>0</v>
      </c>
      <c r="J1314">
        <v>60700</v>
      </c>
      <c r="K1314">
        <v>6.2</v>
      </c>
      <c r="L1314">
        <f>IF(Wapato_Inventory[[#This Row],[parcel_acres]]-Wapato_Inventory[[#This Row],[non_valued_acres]] =0,0,LN(Wapato_Inventory[[#This Row],[parcel_acres]]-Wapato_Inventory[[#This Row],[non_valued_acres]]))</f>
        <v>1.824549292051046</v>
      </c>
      <c r="M1314">
        <v>0</v>
      </c>
      <c r="N1314">
        <v>0</v>
      </c>
      <c r="O1314">
        <v>1</v>
      </c>
      <c r="P1314">
        <v>27904.037</v>
      </c>
      <c r="Q1314">
        <v>74398</v>
      </c>
      <c r="R1314" s="3">
        <f>(Wapato_Inventory[[#This Row],[ln_acres]]*Wapato_Inventory[[#This Row],[coeff]])+Wapato_Inventory[[#This Row],[const]]</f>
        <v>125310.29095371619</v>
      </c>
      <c r="AY1314">
        <v>0</v>
      </c>
      <c r="AZ1314">
        <v>0</v>
      </c>
      <c r="BE1314">
        <v>0</v>
      </c>
      <c r="BF1314">
        <v>3000</v>
      </c>
      <c r="BG1314">
        <v>0</v>
      </c>
      <c r="BH1314" s="7">
        <f>ROUND(Wapato_Inventory[[#This Row],[detatched_value]]*Lookups!$B$22*Lookups!$H$48,-2)</f>
        <v>0</v>
      </c>
      <c r="BI1314" s="7">
        <f>ROUND(((Wapato_Inventory[[#This Row],[land_extract]]*Lookups!$B$3) +(Lookups!$B$2*0.5))*Lookups!$H$48,-2)</f>
        <v>63200</v>
      </c>
      <c r="BJ1314" s="7">
        <f>IF(Wapato_Inventory[[#This Row],[bldg_style]]="",0,Lookups!$B$2*0.5)</f>
        <v>0</v>
      </c>
      <c r="BK1314" s="7">
        <f>_xlfn.IFNA(VLOOKUP(Wapato_Inventory[[#This Row],[quality]],Lookups!$H$2:$J$14,3,FALSE),0)</f>
        <v>0</v>
      </c>
      <c r="BL1314" s="7">
        <f>_xlfn.IFNA(VLOOKUP(Wapato_Inventory[[#This Row],[condition]],Lookups!$H$17:$J$24,3,FALSE),0)</f>
        <v>0</v>
      </c>
      <c r="BM1314" s="7">
        <f>Wapato_Inventory[[#This Row],[Age]]*Lookups!$B$16</f>
        <v>0</v>
      </c>
      <c r="BN1314" s="7">
        <f>Wapato_Inventory[[#This Row],[Main Floor]]*Lookups!$B$17</f>
        <v>0</v>
      </c>
      <c r="BO1314" s="7">
        <f>Wapato_Inventory[[#This Row],[Upper Floor]]*Lookups!$B$18</f>
        <v>0</v>
      </c>
      <c r="BP1314" s="7">
        <f>Wapato_Inventory[[#This Row],[Fin BSMT]]*Lookups!$B$19</f>
        <v>0</v>
      </c>
      <c r="BQ1314" s="7">
        <f>(Wapato_Inventory[[#This Row],[att_gar]]+Wapato_Inventory[[#This Row],[blt_gar]])*Lookups!$B$20</f>
        <v>0</v>
      </c>
      <c r="BR1314" s="7">
        <f>Wapato_Inventory[[#This Row],[Patio]]*Lookups!$B$21</f>
        <v>0</v>
      </c>
      <c r="BS1314" s="7">
        <f>SUM(Wapato_Inventory[[#This Row],[intercept]:[patio_value]])*Wapato_Inventory[[#This Row],[res_pct]]</f>
        <v>0</v>
      </c>
      <c r="BT1314" s="7">
        <f>Wapato_Inventory[[#This Row],[land_value]]</f>
        <v>63200</v>
      </c>
      <c r="BU1314" s="2">
        <f>_xlfn.IFNA(VLOOKUP(Wapato_Inventory[[#This Row],[quality]],Lookups!$A$28:$C$37,3,FALSE),1)</f>
        <v>1</v>
      </c>
      <c r="BV1314" s="2">
        <f>_xlfn.IFNA(VLOOKUP(Wapato_Inventory[[#This Row],[condition]],Lookups!$A$41:$C$48,3,FALSE),1)</f>
        <v>1</v>
      </c>
      <c r="BW1314" s="2">
        <f>IF(Wapato_Inventory[[#This Row],[decade]]="",1,_xlfn.IFNA(VLOOKUP(Wapato_Inventory[[#This Row],[decade]],Lookups!$F$28:$H$45,3,FALSE),1))</f>
        <v>1</v>
      </c>
      <c r="BX1314" s="2">
        <f>_xlfn.IFNA(VLOOKUP(Wapato_Inventory[[#This Row],[living_area_range]],Lookups!$K$28:$M$37,3,FALSE),1)</f>
        <v>1</v>
      </c>
      <c r="BY1314" s="2">
        <f>AVERAGE(Wapato_Inventory[[#This Row],[qual_adj]:[range_adj]])</f>
        <v>1</v>
      </c>
      <c r="BZ1314" s="7">
        <f>(Wapato_Inventory[[#This Row],[sum_land]]-IF(Wapato_Inventory[[#This Row],[no_utilities]]=1,12000,0))/IF(Wapato_Inventory[[#This Row],[unbuildable]]=1,2,1)</f>
        <v>51200</v>
      </c>
      <c r="CA1314" s="7">
        <f>Wapato_Inventory[[#This Row],[pre_res]]*Wapato_Inventory[[#This Row],[overall_adj]]</f>
        <v>0</v>
      </c>
      <c r="CB1314" s="3">
        <f>IF(ROUND(Wapato_Inventory[[#This Row],[adj_land]]*Lookups!$H$48,-2)&lt;Wapato_Inventory[[#This Row],[min_land]],Wapato_Inventory[[#This Row],[min_land]],ROUND(Wapato_Inventory[[#This Row],[adj_land]]*Lookups!$H$48,-2))</f>
        <v>48600</v>
      </c>
      <c r="CC131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14" s="3">
        <f>ROUND(Wapato_Inventory[[#This Row],[det_value]]*Lookups!$H$48,-2)</f>
        <v>0</v>
      </c>
      <c r="CE1314" s="3">
        <f>Wapato_Inventory[[#This Row],[final_res]]+Wapato_Inventory[[#This Row],[final_det]]</f>
        <v>0</v>
      </c>
      <c r="CF1314" s="3">
        <f>Wapato_Inventory[[#This Row],[crop_value]]+Wapato_Inventory[[#This Row],[final_land]]+Wapato_Inventory[[#This Row],[final_imp]]</f>
        <v>48600</v>
      </c>
      <c r="CH1314" t="str">
        <f t="shared" si="21"/>
        <v>update valuation set market_land =48600, market_bldg=0, market_total =48600, market_mdno =405, market_date ='9/10/2023' where link_id = (select link_id from parcel where parcel_year = '2024' and parcel_id = '19111522015');</v>
      </c>
    </row>
    <row r="1315" spans="1:86" x14ac:dyDescent="0.25">
      <c r="A1315">
        <v>19111522434</v>
      </c>
      <c r="B1315">
        <v>0.19</v>
      </c>
      <c r="C1315">
        <v>8287</v>
      </c>
      <c r="D1315" t="s">
        <v>144</v>
      </c>
      <c r="E1315" t="s">
        <v>54</v>
      </c>
      <c r="F1315" t="s">
        <v>54</v>
      </c>
      <c r="G1315">
        <v>3</v>
      </c>
      <c r="H1315" t="s">
        <v>55</v>
      </c>
      <c r="I1315">
        <v>9100</v>
      </c>
      <c r="J1315">
        <v>35100</v>
      </c>
      <c r="K1315">
        <v>0.19</v>
      </c>
      <c r="L1315">
        <f>IF(Wapato_Inventory[[#This Row],[parcel_acres]]-Wapato_Inventory[[#This Row],[non_valued_acres]] =0,0,LN(Wapato_Inventory[[#This Row],[parcel_acres]]-Wapato_Inventory[[#This Row],[non_valued_acres]]))</f>
        <v>-1.6607312068216509</v>
      </c>
      <c r="M1315">
        <v>0</v>
      </c>
      <c r="N1315">
        <v>1</v>
      </c>
      <c r="O1315">
        <v>0</v>
      </c>
      <c r="P1315">
        <v>27904.037</v>
      </c>
      <c r="Q1315">
        <v>74398</v>
      </c>
      <c r="R1315" s="3">
        <f>(Wapato_Inventory[[#This Row],[ln_acres]]*Wapato_Inventory[[#This Row],[coeff]])+Wapato_Inventory[[#This Row],[const]]</f>
        <v>28056.894957794</v>
      </c>
      <c r="AY1315">
        <v>0</v>
      </c>
      <c r="AZ1315">
        <v>10700</v>
      </c>
      <c r="BE1315">
        <v>0</v>
      </c>
      <c r="BF1315">
        <v>12000</v>
      </c>
      <c r="BG1315">
        <v>0</v>
      </c>
      <c r="BH1315" s="7">
        <f>ROUND(Wapato_Inventory[[#This Row],[detatched_value]]*Lookups!$B$22*Lookups!$H$48,-2)</f>
        <v>9600</v>
      </c>
      <c r="BI1315" s="7">
        <f>ROUND(((Wapato_Inventory[[#This Row],[land_extract]]*Lookups!$B$3) +(Lookups!$B$2*0.5))*Lookups!$H$48,-2)</f>
        <v>53800</v>
      </c>
      <c r="BJ1315" s="7">
        <f>IF(Wapato_Inventory[[#This Row],[bldg_style]]="",0,Lookups!$B$2*0.5)</f>
        <v>0</v>
      </c>
      <c r="BK1315" s="7">
        <f>_xlfn.IFNA(VLOOKUP(Wapato_Inventory[[#This Row],[quality]],Lookups!$H$2:$J$14,3,FALSE),0)</f>
        <v>0</v>
      </c>
      <c r="BL1315" s="7">
        <f>_xlfn.IFNA(VLOOKUP(Wapato_Inventory[[#This Row],[condition]],Lookups!$H$17:$J$24,3,FALSE),0)</f>
        <v>0</v>
      </c>
      <c r="BM1315" s="7">
        <f>Wapato_Inventory[[#This Row],[Age]]*Lookups!$B$16</f>
        <v>0</v>
      </c>
      <c r="BN1315" s="7">
        <f>Wapato_Inventory[[#This Row],[Main Floor]]*Lookups!$B$17</f>
        <v>0</v>
      </c>
      <c r="BO1315" s="7">
        <f>Wapato_Inventory[[#This Row],[Upper Floor]]*Lookups!$B$18</f>
        <v>0</v>
      </c>
      <c r="BP1315" s="7">
        <f>Wapato_Inventory[[#This Row],[Fin BSMT]]*Lookups!$B$19</f>
        <v>0</v>
      </c>
      <c r="BQ1315" s="7">
        <f>(Wapato_Inventory[[#This Row],[att_gar]]+Wapato_Inventory[[#This Row],[blt_gar]])*Lookups!$B$20</f>
        <v>0</v>
      </c>
      <c r="BR1315" s="7">
        <f>Wapato_Inventory[[#This Row],[Patio]]*Lookups!$B$21</f>
        <v>0</v>
      </c>
      <c r="BS1315" s="7">
        <f>SUM(Wapato_Inventory[[#This Row],[intercept]:[patio_value]])*Wapato_Inventory[[#This Row],[res_pct]]</f>
        <v>0</v>
      </c>
      <c r="BT1315" s="7">
        <f>Wapato_Inventory[[#This Row],[land_value]]</f>
        <v>53800</v>
      </c>
      <c r="BU1315" s="2">
        <f>_xlfn.IFNA(VLOOKUP(Wapato_Inventory[[#This Row],[quality]],Lookups!$A$28:$C$37,3,FALSE),1)</f>
        <v>1</v>
      </c>
      <c r="BV1315" s="2">
        <f>_xlfn.IFNA(VLOOKUP(Wapato_Inventory[[#This Row],[condition]],Lookups!$A$41:$C$48,3,FALSE),1)</f>
        <v>1</v>
      </c>
      <c r="BW1315" s="2">
        <f>IF(Wapato_Inventory[[#This Row],[decade]]="",1,_xlfn.IFNA(VLOOKUP(Wapato_Inventory[[#This Row],[decade]],Lookups!$F$28:$H$45,3,FALSE),1))</f>
        <v>1</v>
      </c>
      <c r="BX1315" s="2">
        <f>_xlfn.IFNA(VLOOKUP(Wapato_Inventory[[#This Row],[living_area_range]],Lookups!$K$28:$M$37,3,FALSE),1)</f>
        <v>1</v>
      </c>
      <c r="BY1315" s="2">
        <f>AVERAGE(Wapato_Inventory[[#This Row],[qual_adj]:[range_adj]])</f>
        <v>1</v>
      </c>
      <c r="BZ1315" s="7">
        <f>(Wapato_Inventory[[#This Row],[sum_land]]-IF(Wapato_Inventory[[#This Row],[no_utilities]]=1,12000,0))/IF(Wapato_Inventory[[#This Row],[unbuildable]]=1,2,1)</f>
        <v>26900</v>
      </c>
      <c r="CA1315" s="7">
        <f>Wapato_Inventory[[#This Row],[pre_res]]*Wapato_Inventory[[#This Row],[overall_adj]]</f>
        <v>0</v>
      </c>
      <c r="CB1315" s="3">
        <f>IF(ROUND(Wapato_Inventory[[#This Row],[adj_land]]*Lookups!$H$48,-2)&lt;Wapato_Inventory[[#This Row],[min_land]],Wapato_Inventory[[#This Row],[min_land]],ROUND(Wapato_Inventory[[#This Row],[adj_land]]*Lookups!$H$48,-2))</f>
        <v>25600</v>
      </c>
      <c r="CC131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15" s="3">
        <f>ROUND(Wapato_Inventory[[#This Row],[det_value]]*Lookups!$H$48,-2)</f>
        <v>9100</v>
      </c>
      <c r="CE1315" s="3">
        <f>Wapato_Inventory[[#This Row],[final_res]]+Wapato_Inventory[[#This Row],[final_det]]</f>
        <v>9100</v>
      </c>
      <c r="CF1315" s="3">
        <f>Wapato_Inventory[[#This Row],[crop_value]]+Wapato_Inventory[[#This Row],[final_land]]+Wapato_Inventory[[#This Row],[final_imp]]</f>
        <v>34700</v>
      </c>
      <c r="CH1315" t="str">
        <f t="shared" si="21"/>
        <v>update valuation set market_land =25600, market_bldg=9100, market_total =34700, market_mdno =405, market_date ='9/10/2023' where link_id = (select link_id from parcel where parcel_year = '2024' and parcel_id = '19111522434');</v>
      </c>
    </row>
    <row r="1316" spans="1:86" x14ac:dyDescent="0.25">
      <c r="A1316">
        <v>19111522444</v>
      </c>
      <c r="B1316">
        <v>2.2999999999999998</v>
      </c>
      <c r="C1316" t="s">
        <v>144</v>
      </c>
      <c r="D1316" t="s">
        <v>144</v>
      </c>
      <c r="E1316" t="s">
        <v>54</v>
      </c>
      <c r="F1316" t="s">
        <v>54</v>
      </c>
      <c r="G1316">
        <v>3</v>
      </c>
      <c r="H1316" t="s">
        <v>55</v>
      </c>
      <c r="I1316">
        <v>0</v>
      </c>
      <c r="J1316">
        <v>53400</v>
      </c>
      <c r="K1316">
        <v>2.2999999999999998</v>
      </c>
      <c r="L1316">
        <f>IF(Wapato_Inventory[[#This Row],[parcel_acres]]-Wapato_Inventory[[#This Row],[non_valued_acres]] =0,0,LN(Wapato_Inventory[[#This Row],[parcel_acres]]-Wapato_Inventory[[#This Row],[non_valued_acres]]))</f>
        <v>0.83290912293510388</v>
      </c>
      <c r="M1316">
        <v>0</v>
      </c>
      <c r="N1316">
        <v>0</v>
      </c>
      <c r="O1316">
        <v>0</v>
      </c>
      <c r="P1316">
        <v>27904.037</v>
      </c>
      <c r="Q1316">
        <v>74398</v>
      </c>
      <c r="R1316" s="3">
        <f>(Wapato_Inventory[[#This Row],[ln_acres]]*Wapato_Inventory[[#This Row],[coeff]])+Wapato_Inventory[[#This Row],[const]]</f>
        <v>97639.526984018681</v>
      </c>
      <c r="AY1316">
        <v>0</v>
      </c>
      <c r="AZ1316">
        <v>0</v>
      </c>
      <c r="BE1316">
        <v>0</v>
      </c>
      <c r="BF1316">
        <v>15000</v>
      </c>
      <c r="BG1316">
        <v>0</v>
      </c>
      <c r="BH1316" s="7">
        <f>ROUND(Wapato_Inventory[[#This Row],[detatched_value]]*Lookups!$B$22*Lookups!$H$48,-2)</f>
        <v>0</v>
      </c>
      <c r="BI1316" s="7">
        <f>ROUND(((Wapato_Inventory[[#This Row],[land_extract]]*Lookups!$B$3) +(Lookups!$B$2*0.5))*Lookups!$H$48,-2)</f>
        <v>60500</v>
      </c>
      <c r="BJ1316" s="7">
        <f>IF(Wapato_Inventory[[#This Row],[bldg_style]]="",0,Lookups!$B$2*0.5)</f>
        <v>0</v>
      </c>
      <c r="BK1316" s="7">
        <f>_xlfn.IFNA(VLOOKUP(Wapato_Inventory[[#This Row],[quality]],Lookups!$H$2:$J$14,3,FALSE),0)</f>
        <v>0</v>
      </c>
      <c r="BL1316" s="7">
        <f>_xlfn.IFNA(VLOOKUP(Wapato_Inventory[[#This Row],[condition]],Lookups!$H$17:$J$24,3,FALSE),0)</f>
        <v>0</v>
      </c>
      <c r="BM1316" s="7">
        <f>Wapato_Inventory[[#This Row],[Age]]*Lookups!$B$16</f>
        <v>0</v>
      </c>
      <c r="BN1316" s="7">
        <f>Wapato_Inventory[[#This Row],[Main Floor]]*Lookups!$B$17</f>
        <v>0</v>
      </c>
      <c r="BO1316" s="7">
        <f>Wapato_Inventory[[#This Row],[Upper Floor]]*Lookups!$B$18</f>
        <v>0</v>
      </c>
      <c r="BP1316" s="7">
        <f>Wapato_Inventory[[#This Row],[Fin BSMT]]*Lookups!$B$19</f>
        <v>0</v>
      </c>
      <c r="BQ1316" s="7">
        <f>(Wapato_Inventory[[#This Row],[att_gar]]+Wapato_Inventory[[#This Row],[blt_gar]])*Lookups!$B$20</f>
        <v>0</v>
      </c>
      <c r="BR1316" s="7">
        <f>Wapato_Inventory[[#This Row],[Patio]]*Lookups!$B$21</f>
        <v>0</v>
      </c>
      <c r="BS1316" s="7">
        <f>SUM(Wapato_Inventory[[#This Row],[intercept]:[patio_value]])*Wapato_Inventory[[#This Row],[res_pct]]</f>
        <v>0</v>
      </c>
      <c r="BT1316" s="7">
        <f>Wapato_Inventory[[#This Row],[land_value]]</f>
        <v>60500</v>
      </c>
      <c r="BU1316" s="2">
        <f>_xlfn.IFNA(VLOOKUP(Wapato_Inventory[[#This Row],[quality]],Lookups!$A$28:$C$37,3,FALSE),1)</f>
        <v>1</v>
      </c>
      <c r="BV1316" s="2">
        <f>_xlfn.IFNA(VLOOKUP(Wapato_Inventory[[#This Row],[condition]],Lookups!$A$41:$C$48,3,FALSE),1)</f>
        <v>1</v>
      </c>
      <c r="BW1316" s="2">
        <f>IF(Wapato_Inventory[[#This Row],[decade]]="",1,_xlfn.IFNA(VLOOKUP(Wapato_Inventory[[#This Row],[decade]],Lookups!$F$28:$H$45,3,FALSE),1))</f>
        <v>1</v>
      </c>
      <c r="BX1316" s="2">
        <f>_xlfn.IFNA(VLOOKUP(Wapato_Inventory[[#This Row],[living_area_range]],Lookups!$K$28:$M$37,3,FALSE),1)</f>
        <v>1</v>
      </c>
      <c r="BY1316" s="2">
        <f>AVERAGE(Wapato_Inventory[[#This Row],[qual_adj]:[range_adj]])</f>
        <v>1</v>
      </c>
      <c r="BZ1316" s="7">
        <f>(Wapato_Inventory[[#This Row],[sum_land]]-IF(Wapato_Inventory[[#This Row],[no_utilities]]=1,12000,0))/IF(Wapato_Inventory[[#This Row],[unbuildable]]=1,2,1)</f>
        <v>60500</v>
      </c>
      <c r="CA1316" s="7">
        <f>Wapato_Inventory[[#This Row],[pre_res]]*Wapato_Inventory[[#This Row],[overall_adj]]</f>
        <v>0</v>
      </c>
      <c r="CB1316" s="3">
        <f>IF(ROUND(Wapato_Inventory[[#This Row],[adj_land]]*Lookups!$H$48,-2)&lt;Wapato_Inventory[[#This Row],[min_land]],Wapato_Inventory[[#This Row],[min_land]],ROUND(Wapato_Inventory[[#This Row],[adj_land]]*Lookups!$H$48,-2))</f>
        <v>57500</v>
      </c>
      <c r="CC131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16" s="3">
        <f>ROUND(Wapato_Inventory[[#This Row],[det_value]]*Lookups!$H$48,-2)</f>
        <v>0</v>
      </c>
      <c r="CE1316" s="3">
        <f>Wapato_Inventory[[#This Row],[final_res]]+Wapato_Inventory[[#This Row],[final_det]]</f>
        <v>0</v>
      </c>
      <c r="CF1316" s="3">
        <f>Wapato_Inventory[[#This Row],[crop_value]]+Wapato_Inventory[[#This Row],[final_land]]+Wapato_Inventory[[#This Row],[final_imp]]</f>
        <v>57500</v>
      </c>
      <c r="CH1316" t="str">
        <f t="shared" si="21"/>
        <v>update valuation set market_land =57500, market_bldg=0, market_total =57500, market_mdno =405, market_date ='9/10/2023' where link_id = (select link_id from parcel where parcel_year = '2024' and parcel_id = '19111522444');</v>
      </c>
    </row>
    <row r="1317" spans="1:86" x14ac:dyDescent="0.25">
      <c r="A1317">
        <v>19111523408</v>
      </c>
      <c r="B1317">
        <v>0.2</v>
      </c>
      <c r="C1317">
        <v>8612</v>
      </c>
      <c r="D1317" t="s">
        <v>144</v>
      </c>
      <c r="E1317" t="s">
        <v>54</v>
      </c>
      <c r="F1317" t="s">
        <v>54</v>
      </c>
      <c r="G1317">
        <v>3</v>
      </c>
      <c r="H1317" t="s">
        <v>55</v>
      </c>
      <c r="I1317">
        <v>0</v>
      </c>
      <c r="J1317">
        <v>35400</v>
      </c>
      <c r="K1317">
        <v>0.2</v>
      </c>
      <c r="L1317">
        <f>IF(Wapato_Inventory[[#This Row],[parcel_acres]]-Wapato_Inventory[[#This Row],[non_valued_acres]] =0,0,LN(Wapato_Inventory[[#This Row],[parcel_acres]]-Wapato_Inventory[[#This Row],[non_valued_acres]]))</f>
        <v>-1.6094379124341003</v>
      </c>
      <c r="M1317">
        <v>0</v>
      </c>
      <c r="N1317">
        <v>0</v>
      </c>
      <c r="O1317">
        <v>0</v>
      </c>
      <c r="P1317">
        <v>27904.037</v>
      </c>
      <c r="Q1317">
        <v>74398</v>
      </c>
      <c r="R1317" s="3">
        <f>(Wapato_Inventory[[#This Row],[ln_acres]]*Wapato_Inventory[[#This Row],[coeff]])+Wapato_Inventory[[#This Row],[const]]</f>
        <v>29488.184942236105</v>
      </c>
      <c r="AY1317">
        <v>0</v>
      </c>
      <c r="AZ1317">
        <v>0</v>
      </c>
      <c r="BE1317">
        <v>0</v>
      </c>
      <c r="BF1317">
        <v>15000</v>
      </c>
      <c r="BG1317">
        <v>0</v>
      </c>
      <c r="BH1317" s="7">
        <f>ROUND(Wapato_Inventory[[#This Row],[detatched_value]]*Lookups!$B$22*Lookups!$H$48,-2)</f>
        <v>0</v>
      </c>
      <c r="BI1317" s="7">
        <f>ROUND(((Wapato_Inventory[[#This Row],[land_extract]]*Lookups!$B$3) +(Lookups!$B$2*0.5))*Lookups!$H$48,-2)</f>
        <v>53900</v>
      </c>
      <c r="BJ1317" s="7">
        <f>IF(Wapato_Inventory[[#This Row],[bldg_style]]="",0,Lookups!$B$2*0.5)</f>
        <v>0</v>
      </c>
      <c r="BK1317" s="7">
        <f>_xlfn.IFNA(VLOOKUP(Wapato_Inventory[[#This Row],[quality]],Lookups!$H$2:$J$14,3,FALSE),0)</f>
        <v>0</v>
      </c>
      <c r="BL1317" s="7">
        <f>_xlfn.IFNA(VLOOKUP(Wapato_Inventory[[#This Row],[condition]],Lookups!$H$17:$J$24,3,FALSE),0)</f>
        <v>0</v>
      </c>
      <c r="BM1317" s="7">
        <f>Wapato_Inventory[[#This Row],[Age]]*Lookups!$B$16</f>
        <v>0</v>
      </c>
      <c r="BN1317" s="7">
        <f>Wapato_Inventory[[#This Row],[Main Floor]]*Lookups!$B$17</f>
        <v>0</v>
      </c>
      <c r="BO1317" s="7">
        <f>Wapato_Inventory[[#This Row],[Upper Floor]]*Lookups!$B$18</f>
        <v>0</v>
      </c>
      <c r="BP1317" s="7">
        <f>Wapato_Inventory[[#This Row],[Fin BSMT]]*Lookups!$B$19</f>
        <v>0</v>
      </c>
      <c r="BQ1317" s="7">
        <f>(Wapato_Inventory[[#This Row],[att_gar]]+Wapato_Inventory[[#This Row],[blt_gar]])*Lookups!$B$20</f>
        <v>0</v>
      </c>
      <c r="BR1317" s="7">
        <f>Wapato_Inventory[[#This Row],[Patio]]*Lookups!$B$21</f>
        <v>0</v>
      </c>
      <c r="BS1317" s="7">
        <f>SUM(Wapato_Inventory[[#This Row],[intercept]:[patio_value]])*Wapato_Inventory[[#This Row],[res_pct]]</f>
        <v>0</v>
      </c>
      <c r="BT1317" s="7">
        <f>Wapato_Inventory[[#This Row],[land_value]]</f>
        <v>53900</v>
      </c>
      <c r="BU1317" s="2">
        <f>_xlfn.IFNA(VLOOKUP(Wapato_Inventory[[#This Row],[quality]],Lookups!$A$28:$C$37,3,FALSE),1)</f>
        <v>1</v>
      </c>
      <c r="BV1317" s="2">
        <f>_xlfn.IFNA(VLOOKUP(Wapato_Inventory[[#This Row],[condition]],Lookups!$A$41:$C$48,3,FALSE),1)</f>
        <v>1</v>
      </c>
      <c r="BW1317" s="2">
        <f>IF(Wapato_Inventory[[#This Row],[decade]]="",1,_xlfn.IFNA(VLOOKUP(Wapato_Inventory[[#This Row],[decade]],Lookups!$F$28:$H$45,3,FALSE),1))</f>
        <v>1</v>
      </c>
      <c r="BX1317" s="2">
        <f>_xlfn.IFNA(VLOOKUP(Wapato_Inventory[[#This Row],[living_area_range]],Lookups!$K$28:$M$37,3,FALSE),1)</f>
        <v>1</v>
      </c>
      <c r="BY1317" s="2">
        <f>AVERAGE(Wapato_Inventory[[#This Row],[qual_adj]:[range_adj]])</f>
        <v>1</v>
      </c>
      <c r="BZ1317" s="7">
        <f>(Wapato_Inventory[[#This Row],[sum_land]]-IF(Wapato_Inventory[[#This Row],[no_utilities]]=1,12000,0))/IF(Wapato_Inventory[[#This Row],[unbuildable]]=1,2,1)</f>
        <v>53900</v>
      </c>
      <c r="CA1317" s="7">
        <f>Wapato_Inventory[[#This Row],[pre_res]]*Wapato_Inventory[[#This Row],[overall_adj]]</f>
        <v>0</v>
      </c>
      <c r="CB1317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131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17" s="3">
        <f>ROUND(Wapato_Inventory[[#This Row],[det_value]]*Lookups!$H$48,-2)</f>
        <v>0</v>
      </c>
      <c r="CE1317" s="3">
        <f>Wapato_Inventory[[#This Row],[final_res]]+Wapato_Inventory[[#This Row],[final_det]]</f>
        <v>0</v>
      </c>
      <c r="CF1317" s="3">
        <f>Wapato_Inventory[[#This Row],[crop_value]]+Wapato_Inventory[[#This Row],[final_land]]+Wapato_Inventory[[#This Row],[final_imp]]</f>
        <v>51200</v>
      </c>
      <c r="CH1317" t="str">
        <f t="shared" si="21"/>
        <v>update valuation set market_land =51200, market_bldg=0, market_total =51200, market_mdno =405, market_date ='9/10/2023' where link_id = (select link_id from parcel where parcel_year = '2024' and parcel_id = '19111523408');</v>
      </c>
    </row>
    <row r="1318" spans="1:86" x14ac:dyDescent="0.25">
      <c r="A1318">
        <v>19111523409</v>
      </c>
      <c r="B1318">
        <v>0.2</v>
      </c>
      <c r="C1318">
        <v>8612</v>
      </c>
      <c r="D1318" t="s">
        <v>144</v>
      </c>
      <c r="E1318" t="s">
        <v>54</v>
      </c>
      <c r="F1318" t="s">
        <v>54</v>
      </c>
      <c r="G1318">
        <v>3</v>
      </c>
      <c r="H1318" t="s">
        <v>55</v>
      </c>
      <c r="I1318">
        <v>4900</v>
      </c>
      <c r="J1318">
        <v>35400</v>
      </c>
      <c r="K1318">
        <v>0.2</v>
      </c>
      <c r="L1318">
        <f>IF(Wapato_Inventory[[#This Row],[parcel_acres]]-Wapato_Inventory[[#This Row],[non_valued_acres]] =0,0,LN(Wapato_Inventory[[#This Row],[parcel_acres]]-Wapato_Inventory[[#This Row],[non_valued_acres]]))</f>
        <v>-1.6094379124341003</v>
      </c>
      <c r="M1318">
        <v>0</v>
      </c>
      <c r="N1318">
        <v>0</v>
      </c>
      <c r="O1318">
        <v>0</v>
      </c>
      <c r="P1318">
        <v>27904.037</v>
      </c>
      <c r="Q1318">
        <v>74398</v>
      </c>
      <c r="R1318" s="3">
        <f>(Wapato_Inventory[[#This Row],[ln_acres]]*Wapato_Inventory[[#This Row],[coeff]])+Wapato_Inventory[[#This Row],[const]]</f>
        <v>29488.184942236105</v>
      </c>
      <c r="AY1318">
        <v>0</v>
      </c>
      <c r="AZ1318">
        <v>5900</v>
      </c>
      <c r="BE1318">
        <v>0</v>
      </c>
      <c r="BF1318">
        <v>15000</v>
      </c>
      <c r="BG1318">
        <v>0</v>
      </c>
      <c r="BH1318" s="7">
        <f>ROUND(Wapato_Inventory[[#This Row],[detatched_value]]*Lookups!$B$22*Lookups!$H$48,-2)</f>
        <v>5300</v>
      </c>
      <c r="BI1318" s="7">
        <f>ROUND(((Wapato_Inventory[[#This Row],[land_extract]]*Lookups!$B$3) +(Lookups!$B$2*0.5))*Lookups!$H$48,-2)</f>
        <v>53900</v>
      </c>
      <c r="BJ1318" s="7">
        <f>IF(Wapato_Inventory[[#This Row],[bldg_style]]="",0,Lookups!$B$2*0.5)</f>
        <v>0</v>
      </c>
      <c r="BK1318" s="7">
        <f>_xlfn.IFNA(VLOOKUP(Wapato_Inventory[[#This Row],[quality]],Lookups!$H$2:$J$14,3,FALSE),0)</f>
        <v>0</v>
      </c>
      <c r="BL1318" s="7">
        <f>_xlfn.IFNA(VLOOKUP(Wapato_Inventory[[#This Row],[condition]],Lookups!$H$17:$J$24,3,FALSE),0)</f>
        <v>0</v>
      </c>
      <c r="BM1318" s="7">
        <f>Wapato_Inventory[[#This Row],[Age]]*Lookups!$B$16</f>
        <v>0</v>
      </c>
      <c r="BN1318" s="7">
        <f>Wapato_Inventory[[#This Row],[Main Floor]]*Lookups!$B$17</f>
        <v>0</v>
      </c>
      <c r="BO1318" s="7">
        <f>Wapato_Inventory[[#This Row],[Upper Floor]]*Lookups!$B$18</f>
        <v>0</v>
      </c>
      <c r="BP1318" s="7">
        <f>Wapato_Inventory[[#This Row],[Fin BSMT]]*Lookups!$B$19</f>
        <v>0</v>
      </c>
      <c r="BQ1318" s="7">
        <f>(Wapato_Inventory[[#This Row],[att_gar]]+Wapato_Inventory[[#This Row],[blt_gar]])*Lookups!$B$20</f>
        <v>0</v>
      </c>
      <c r="BR1318" s="7">
        <f>Wapato_Inventory[[#This Row],[Patio]]*Lookups!$B$21</f>
        <v>0</v>
      </c>
      <c r="BS1318" s="7">
        <f>SUM(Wapato_Inventory[[#This Row],[intercept]:[patio_value]])*Wapato_Inventory[[#This Row],[res_pct]]</f>
        <v>0</v>
      </c>
      <c r="BT1318" s="7">
        <f>Wapato_Inventory[[#This Row],[land_value]]</f>
        <v>53900</v>
      </c>
      <c r="BU1318" s="2">
        <f>_xlfn.IFNA(VLOOKUP(Wapato_Inventory[[#This Row],[quality]],Lookups!$A$28:$C$37,3,FALSE),1)</f>
        <v>1</v>
      </c>
      <c r="BV1318" s="2">
        <f>_xlfn.IFNA(VLOOKUP(Wapato_Inventory[[#This Row],[condition]],Lookups!$A$41:$C$48,3,FALSE),1)</f>
        <v>1</v>
      </c>
      <c r="BW1318" s="2">
        <f>IF(Wapato_Inventory[[#This Row],[decade]]="",1,_xlfn.IFNA(VLOOKUP(Wapato_Inventory[[#This Row],[decade]],Lookups!$F$28:$H$45,3,FALSE),1))</f>
        <v>1</v>
      </c>
      <c r="BX1318" s="2">
        <f>_xlfn.IFNA(VLOOKUP(Wapato_Inventory[[#This Row],[living_area_range]],Lookups!$K$28:$M$37,3,FALSE),1)</f>
        <v>1</v>
      </c>
      <c r="BY1318" s="2">
        <f>AVERAGE(Wapato_Inventory[[#This Row],[qual_adj]:[range_adj]])</f>
        <v>1</v>
      </c>
      <c r="BZ1318" s="7">
        <f>(Wapato_Inventory[[#This Row],[sum_land]]-IF(Wapato_Inventory[[#This Row],[no_utilities]]=1,12000,0))/IF(Wapato_Inventory[[#This Row],[unbuildable]]=1,2,1)</f>
        <v>53900</v>
      </c>
      <c r="CA1318" s="7">
        <f>Wapato_Inventory[[#This Row],[pre_res]]*Wapato_Inventory[[#This Row],[overall_adj]]</f>
        <v>0</v>
      </c>
      <c r="CB1318" s="3">
        <f>IF(ROUND(Wapato_Inventory[[#This Row],[adj_land]]*Lookups!$H$48,-2)&lt;Wapato_Inventory[[#This Row],[min_land]],Wapato_Inventory[[#This Row],[min_land]],ROUND(Wapato_Inventory[[#This Row],[adj_land]]*Lookups!$H$48,-2))</f>
        <v>51200</v>
      </c>
      <c r="CC131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18" s="3">
        <f>ROUND(Wapato_Inventory[[#This Row],[det_value]]*Lookups!$H$48,-2)</f>
        <v>5000</v>
      </c>
      <c r="CE1318" s="3">
        <f>Wapato_Inventory[[#This Row],[final_res]]+Wapato_Inventory[[#This Row],[final_det]]</f>
        <v>5000</v>
      </c>
      <c r="CF1318" s="3">
        <f>Wapato_Inventory[[#This Row],[crop_value]]+Wapato_Inventory[[#This Row],[final_land]]+Wapato_Inventory[[#This Row],[final_imp]]</f>
        <v>56200</v>
      </c>
      <c r="CH1318" t="str">
        <f t="shared" si="21"/>
        <v>update valuation set market_land =51200, market_bldg=5000, market_total =56200, market_mdno =405, market_date ='9/10/2023' where link_id = (select link_id from parcel where parcel_year = '2024' and parcel_id = '19111523409');</v>
      </c>
    </row>
    <row r="1319" spans="1:86" x14ac:dyDescent="0.25">
      <c r="A1319">
        <v>19111523413</v>
      </c>
      <c r="B1319">
        <v>0.2</v>
      </c>
      <c r="C1319">
        <v>8612</v>
      </c>
      <c r="D1319" t="s">
        <v>144</v>
      </c>
      <c r="E1319" t="s">
        <v>54</v>
      </c>
      <c r="F1319" t="s">
        <v>54</v>
      </c>
      <c r="G1319">
        <v>3</v>
      </c>
      <c r="H1319" t="s">
        <v>55</v>
      </c>
      <c r="I1319">
        <v>9300</v>
      </c>
      <c r="J1319">
        <v>35400</v>
      </c>
      <c r="K1319">
        <v>0.2</v>
      </c>
      <c r="L1319">
        <f>IF(Wapato_Inventory[[#This Row],[parcel_acres]]-Wapato_Inventory[[#This Row],[non_valued_acres]] =0,0,LN(Wapato_Inventory[[#This Row],[parcel_acres]]-Wapato_Inventory[[#This Row],[non_valued_acres]]))</f>
        <v>-1.6094379124341003</v>
      </c>
      <c r="M1319">
        <v>0</v>
      </c>
      <c r="N1319">
        <v>1</v>
      </c>
      <c r="O1319">
        <v>0</v>
      </c>
      <c r="P1319">
        <v>27904.037</v>
      </c>
      <c r="Q1319">
        <v>74398</v>
      </c>
      <c r="R1319" s="3">
        <f>(Wapato_Inventory[[#This Row],[ln_acres]]*Wapato_Inventory[[#This Row],[coeff]])+Wapato_Inventory[[#This Row],[const]]</f>
        <v>29488.184942236105</v>
      </c>
      <c r="AY1319">
        <v>0</v>
      </c>
      <c r="AZ1319">
        <v>10800</v>
      </c>
      <c r="BE1319">
        <v>0</v>
      </c>
      <c r="BF1319">
        <v>12000</v>
      </c>
      <c r="BG1319">
        <v>0</v>
      </c>
      <c r="BH1319" s="7">
        <f>ROUND(Wapato_Inventory[[#This Row],[detatched_value]]*Lookups!$B$22*Lookups!$H$48,-2)</f>
        <v>9600</v>
      </c>
      <c r="BI1319" s="7">
        <f>ROUND(((Wapato_Inventory[[#This Row],[land_extract]]*Lookups!$B$3) +(Lookups!$B$2*0.5))*Lookups!$H$48,-2)</f>
        <v>53900</v>
      </c>
      <c r="BJ1319" s="7">
        <f>IF(Wapato_Inventory[[#This Row],[bldg_style]]="",0,Lookups!$B$2*0.5)</f>
        <v>0</v>
      </c>
      <c r="BK1319" s="7">
        <f>_xlfn.IFNA(VLOOKUP(Wapato_Inventory[[#This Row],[quality]],Lookups!$H$2:$J$14,3,FALSE),0)</f>
        <v>0</v>
      </c>
      <c r="BL1319" s="7">
        <f>_xlfn.IFNA(VLOOKUP(Wapato_Inventory[[#This Row],[condition]],Lookups!$H$17:$J$24,3,FALSE),0)</f>
        <v>0</v>
      </c>
      <c r="BM1319" s="7">
        <f>Wapato_Inventory[[#This Row],[Age]]*Lookups!$B$16</f>
        <v>0</v>
      </c>
      <c r="BN1319" s="7">
        <f>Wapato_Inventory[[#This Row],[Main Floor]]*Lookups!$B$17</f>
        <v>0</v>
      </c>
      <c r="BO1319" s="7">
        <f>Wapato_Inventory[[#This Row],[Upper Floor]]*Lookups!$B$18</f>
        <v>0</v>
      </c>
      <c r="BP1319" s="7">
        <f>Wapato_Inventory[[#This Row],[Fin BSMT]]*Lookups!$B$19</f>
        <v>0</v>
      </c>
      <c r="BQ1319" s="7">
        <f>(Wapato_Inventory[[#This Row],[att_gar]]+Wapato_Inventory[[#This Row],[blt_gar]])*Lookups!$B$20</f>
        <v>0</v>
      </c>
      <c r="BR1319" s="7">
        <f>Wapato_Inventory[[#This Row],[Patio]]*Lookups!$B$21</f>
        <v>0</v>
      </c>
      <c r="BS1319" s="7">
        <f>SUM(Wapato_Inventory[[#This Row],[intercept]:[patio_value]])*Wapato_Inventory[[#This Row],[res_pct]]</f>
        <v>0</v>
      </c>
      <c r="BT1319" s="7">
        <f>Wapato_Inventory[[#This Row],[land_value]]</f>
        <v>53900</v>
      </c>
      <c r="BU1319" s="2">
        <f>_xlfn.IFNA(VLOOKUP(Wapato_Inventory[[#This Row],[quality]],Lookups!$A$28:$C$37,3,FALSE),1)</f>
        <v>1</v>
      </c>
      <c r="BV1319" s="2">
        <f>_xlfn.IFNA(VLOOKUP(Wapato_Inventory[[#This Row],[condition]],Lookups!$A$41:$C$48,3,FALSE),1)</f>
        <v>1</v>
      </c>
      <c r="BW1319" s="2">
        <f>IF(Wapato_Inventory[[#This Row],[decade]]="",1,_xlfn.IFNA(VLOOKUP(Wapato_Inventory[[#This Row],[decade]],Lookups!$F$28:$H$45,3,FALSE),1))</f>
        <v>1</v>
      </c>
      <c r="BX1319" s="2">
        <f>_xlfn.IFNA(VLOOKUP(Wapato_Inventory[[#This Row],[living_area_range]],Lookups!$K$28:$M$37,3,FALSE),1)</f>
        <v>1</v>
      </c>
      <c r="BY1319" s="2">
        <f>AVERAGE(Wapato_Inventory[[#This Row],[qual_adj]:[range_adj]])</f>
        <v>1</v>
      </c>
      <c r="BZ1319" s="7">
        <f>(Wapato_Inventory[[#This Row],[sum_land]]-IF(Wapato_Inventory[[#This Row],[no_utilities]]=1,12000,0))/IF(Wapato_Inventory[[#This Row],[unbuildable]]=1,2,1)</f>
        <v>26950</v>
      </c>
      <c r="CA1319" s="7">
        <f>Wapato_Inventory[[#This Row],[pre_res]]*Wapato_Inventory[[#This Row],[overall_adj]]</f>
        <v>0</v>
      </c>
      <c r="CB1319" s="3">
        <f>IF(ROUND(Wapato_Inventory[[#This Row],[adj_land]]*Lookups!$H$48,-2)&lt;Wapato_Inventory[[#This Row],[min_land]],Wapato_Inventory[[#This Row],[min_land]],ROUND(Wapato_Inventory[[#This Row],[adj_land]]*Lookups!$H$48,-2))</f>
        <v>25600</v>
      </c>
      <c r="CC131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19" s="3">
        <f>ROUND(Wapato_Inventory[[#This Row],[det_value]]*Lookups!$H$48,-2)</f>
        <v>9100</v>
      </c>
      <c r="CE1319" s="3">
        <f>Wapato_Inventory[[#This Row],[final_res]]+Wapato_Inventory[[#This Row],[final_det]]</f>
        <v>9100</v>
      </c>
      <c r="CF1319" s="3">
        <f>Wapato_Inventory[[#This Row],[crop_value]]+Wapato_Inventory[[#This Row],[final_land]]+Wapato_Inventory[[#This Row],[final_imp]]</f>
        <v>34700</v>
      </c>
      <c r="CH1319" t="str">
        <f t="shared" si="21"/>
        <v>update valuation set market_land =25600, market_bldg=9100, market_total =34700, market_mdno =405, market_date ='9/10/2023' where link_id = (select link_id from parcel where parcel_year = '2024' and parcel_id = '19111523413');</v>
      </c>
    </row>
    <row r="1320" spans="1:86" x14ac:dyDescent="0.25">
      <c r="A1320">
        <v>19111523419</v>
      </c>
      <c r="B1320">
        <v>0.19</v>
      </c>
      <c r="C1320">
        <v>8125</v>
      </c>
      <c r="D1320" t="s">
        <v>144</v>
      </c>
      <c r="E1320" t="s">
        <v>54</v>
      </c>
      <c r="F1320" t="s">
        <v>54</v>
      </c>
      <c r="G1320">
        <v>3</v>
      </c>
      <c r="H1320" t="s">
        <v>55</v>
      </c>
      <c r="I1320">
        <v>0</v>
      </c>
      <c r="J1320">
        <v>35100</v>
      </c>
      <c r="K1320">
        <v>0.19</v>
      </c>
      <c r="L1320">
        <f>IF(Wapato_Inventory[[#This Row],[parcel_acres]]-Wapato_Inventory[[#This Row],[non_valued_acres]] =0,0,LN(Wapato_Inventory[[#This Row],[parcel_acres]]-Wapato_Inventory[[#This Row],[non_valued_acres]]))</f>
        <v>-1.6607312068216509</v>
      </c>
      <c r="M1320">
        <v>0</v>
      </c>
      <c r="N1320">
        <v>0</v>
      </c>
      <c r="O1320">
        <v>0</v>
      </c>
      <c r="P1320">
        <v>27904.037</v>
      </c>
      <c r="Q1320">
        <v>74398</v>
      </c>
      <c r="R1320" s="3">
        <f>(Wapato_Inventory[[#This Row],[ln_acres]]*Wapato_Inventory[[#This Row],[coeff]])+Wapato_Inventory[[#This Row],[const]]</f>
        <v>28056.894957794</v>
      </c>
      <c r="AY1320">
        <v>0</v>
      </c>
      <c r="AZ1320">
        <v>0</v>
      </c>
      <c r="BE1320">
        <v>0</v>
      </c>
      <c r="BF1320">
        <v>15000</v>
      </c>
      <c r="BG1320">
        <v>0</v>
      </c>
      <c r="BH1320" s="7">
        <f>ROUND(Wapato_Inventory[[#This Row],[detatched_value]]*Lookups!$B$22*Lookups!$H$48,-2)</f>
        <v>0</v>
      </c>
      <c r="BI1320" s="7">
        <f>ROUND(((Wapato_Inventory[[#This Row],[land_extract]]*Lookups!$B$3) +(Lookups!$B$2*0.5))*Lookups!$H$48,-2)</f>
        <v>53800</v>
      </c>
      <c r="BJ1320" s="7">
        <f>IF(Wapato_Inventory[[#This Row],[bldg_style]]="",0,Lookups!$B$2*0.5)</f>
        <v>0</v>
      </c>
      <c r="BK1320" s="7">
        <f>_xlfn.IFNA(VLOOKUP(Wapato_Inventory[[#This Row],[quality]],Lookups!$H$2:$J$14,3,FALSE),0)</f>
        <v>0</v>
      </c>
      <c r="BL1320" s="7">
        <f>_xlfn.IFNA(VLOOKUP(Wapato_Inventory[[#This Row],[condition]],Lookups!$H$17:$J$24,3,FALSE),0)</f>
        <v>0</v>
      </c>
      <c r="BM1320" s="7">
        <f>Wapato_Inventory[[#This Row],[Age]]*Lookups!$B$16</f>
        <v>0</v>
      </c>
      <c r="BN1320" s="7">
        <f>Wapato_Inventory[[#This Row],[Main Floor]]*Lookups!$B$17</f>
        <v>0</v>
      </c>
      <c r="BO1320" s="7">
        <f>Wapato_Inventory[[#This Row],[Upper Floor]]*Lookups!$B$18</f>
        <v>0</v>
      </c>
      <c r="BP1320" s="7">
        <f>Wapato_Inventory[[#This Row],[Fin BSMT]]*Lookups!$B$19</f>
        <v>0</v>
      </c>
      <c r="BQ1320" s="7">
        <f>(Wapato_Inventory[[#This Row],[att_gar]]+Wapato_Inventory[[#This Row],[blt_gar]])*Lookups!$B$20</f>
        <v>0</v>
      </c>
      <c r="BR1320" s="7">
        <f>Wapato_Inventory[[#This Row],[Patio]]*Lookups!$B$21</f>
        <v>0</v>
      </c>
      <c r="BS1320" s="7">
        <f>SUM(Wapato_Inventory[[#This Row],[intercept]:[patio_value]])*Wapato_Inventory[[#This Row],[res_pct]]</f>
        <v>0</v>
      </c>
      <c r="BT1320" s="7">
        <f>Wapato_Inventory[[#This Row],[land_value]]</f>
        <v>53800</v>
      </c>
      <c r="BU1320" s="2">
        <f>_xlfn.IFNA(VLOOKUP(Wapato_Inventory[[#This Row],[quality]],Lookups!$A$28:$C$37,3,FALSE),1)</f>
        <v>1</v>
      </c>
      <c r="BV1320" s="2">
        <f>_xlfn.IFNA(VLOOKUP(Wapato_Inventory[[#This Row],[condition]],Lookups!$A$41:$C$48,3,FALSE),1)</f>
        <v>1</v>
      </c>
      <c r="BW1320" s="2">
        <f>IF(Wapato_Inventory[[#This Row],[decade]]="",1,_xlfn.IFNA(VLOOKUP(Wapato_Inventory[[#This Row],[decade]],Lookups!$F$28:$H$45,3,FALSE),1))</f>
        <v>1</v>
      </c>
      <c r="BX1320" s="2">
        <f>_xlfn.IFNA(VLOOKUP(Wapato_Inventory[[#This Row],[living_area_range]],Lookups!$K$28:$M$37,3,FALSE),1)</f>
        <v>1</v>
      </c>
      <c r="BY1320" s="2">
        <f>AVERAGE(Wapato_Inventory[[#This Row],[qual_adj]:[range_adj]])</f>
        <v>1</v>
      </c>
      <c r="BZ1320" s="7">
        <f>(Wapato_Inventory[[#This Row],[sum_land]]-IF(Wapato_Inventory[[#This Row],[no_utilities]]=1,12000,0))/IF(Wapato_Inventory[[#This Row],[unbuildable]]=1,2,1)</f>
        <v>53800</v>
      </c>
      <c r="CA1320" s="7">
        <f>Wapato_Inventory[[#This Row],[pre_res]]*Wapato_Inventory[[#This Row],[overall_adj]]</f>
        <v>0</v>
      </c>
      <c r="CB1320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32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20" s="3">
        <f>ROUND(Wapato_Inventory[[#This Row],[det_value]]*Lookups!$H$48,-2)</f>
        <v>0</v>
      </c>
      <c r="CE1320" s="3">
        <f>Wapato_Inventory[[#This Row],[final_res]]+Wapato_Inventory[[#This Row],[final_det]]</f>
        <v>0</v>
      </c>
      <c r="CF1320" s="3">
        <f>Wapato_Inventory[[#This Row],[crop_value]]+Wapato_Inventory[[#This Row],[final_land]]+Wapato_Inventory[[#This Row],[final_imp]]</f>
        <v>51100</v>
      </c>
      <c r="CH1320" t="str">
        <f t="shared" si="21"/>
        <v>update valuation set market_land =51100, market_bldg=0, market_total =51100, market_mdno =405, market_date ='9/10/2023' where link_id = (select link_id from parcel where parcel_year = '2024' and parcel_id = '19111523419');</v>
      </c>
    </row>
    <row r="1321" spans="1:86" x14ac:dyDescent="0.25">
      <c r="A1321">
        <v>19111523433</v>
      </c>
      <c r="B1321">
        <v>0.19</v>
      </c>
      <c r="C1321">
        <v>8125</v>
      </c>
      <c r="D1321" t="s">
        <v>144</v>
      </c>
      <c r="E1321" t="s">
        <v>54</v>
      </c>
      <c r="F1321" t="s">
        <v>54</v>
      </c>
      <c r="G1321">
        <v>3</v>
      </c>
      <c r="H1321" t="s">
        <v>55</v>
      </c>
      <c r="I1321">
        <v>8400</v>
      </c>
      <c r="J1321">
        <v>35100</v>
      </c>
      <c r="K1321">
        <v>0.19</v>
      </c>
      <c r="L1321">
        <f>IF(Wapato_Inventory[[#This Row],[parcel_acres]]-Wapato_Inventory[[#This Row],[non_valued_acres]] =0,0,LN(Wapato_Inventory[[#This Row],[parcel_acres]]-Wapato_Inventory[[#This Row],[non_valued_acres]]))</f>
        <v>-1.6607312068216509</v>
      </c>
      <c r="M1321">
        <v>0</v>
      </c>
      <c r="N1321">
        <v>1</v>
      </c>
      <c r="O1321">
        <v>0</v>
      </c>
      <c r="P1321">
        <v>27904.037</v>
      </c>
      <c r="Q1321">
        <v>74398</v>
      </c>
      <c r="R1321" s="3">
        <f>(Wapato_Inventory[[#This Row],[ln_acres]]*Wapato_Inventory[[#This Row],[coeff]])+Wapato_Inventory[[#This Row],[const]]</f>
        <v>28056.894957794</v>
      </c>
      <c r="AY1321">
        <v>0</v>
      </c>
      <c r="AZ1321">
        <v>10200</v>
      </c>
      <c r="BE1321">
        <v>0</v>
      </c>
      <c r="BF1321">
        <v>12000</v>
      </c>
      <c r="BG1321">
        <v>0</v>
      </c>
      <c r="BH1321" s="7">
        <f>ROUND(Wapato_Inventory[[#This Row],[detatched_value]]*Lookups!$B$22*Lookups!$H$48,-2)</f>
        <v>9100</v>
      </c>
      <c r="BI1321" s="7">
        <f>ROUND(((Wapato_Inventory[[#This Row],[land_extract]]*Lookups!$B$3) +(Lookups!$B$2*0.5))*Lookups!$H$48,-2)</f>
        <v>53800</v>
      </c>
      <c r="BJ1321" s="7">
        <f>IF(Wapato_Inventory[[#This Row],[bldg_style]]="",0,Lookups!$B$2*0.5)</f>
        <v>0</v>
      </c>
      <c r="BK1321" s="7">
        <f>_xlfn.IFNA(VLOOKUP(Wapato_Inventory[[#This Row],[quality]],Lookups!$H$2:$J$14,3,FALSE),0)</f>
        <v>0</v>
      </c>
      <c r="BL1321" s="7">
        <f>_xlfn.IFNA(VLOOKUP(Wapato_Inventory[[#This Row],[condition]],Lookups!$H$17:$J$24,3,FALSE),0)</f>
        <v>0</v>
      </c>
      <c r="BM1321" s="7">
        <f>Wapato_Inventory[[#This Row],[Age]]*Lookups!$B$16</f>
        <v>0</v>
      </c>
      <c r="BN1321" s="7">
        <f>Wapato_Inventory[[#This Row],[Main Floor]]*Lookups!$B$17</f>
        <v>0</v>
      </c>
      <c r="BO1321" s="7">
        <f>Wapato_Inventory[[#This Row],[Upper Floor]]*Lookups!$B$18</f>
        <v>0</v>
      </c>
      <c r="BP1321" s="7">
        <f>Wapato_Inventory[[#This Row],[Fin BSMT]]*Lookups!$B$19</f>
        <v>0</v>
      </c>
      <c r="BQ1321" s="7">
        <f>(Wapato_Inventory[[#This Row],[att_gar]]+Wapato_Inventory[[#This Row],[blt_gar]])*Lookups!$B$20</f>
        <v>0</v>
      </c>
      <c r="BR1321" s="7">
        <f>Wapato_Inventory[[#This Row],[Patio]]*Lookups!$B$21</f>
        <v>0</v>
      </c>
      <c r="BS1321" s="7">
        <f>SUM(Wapato_Inventory[[#This Row],[intercept]:[patio_value]])*Wapato_Inventory[[#This Row],[res_pct]]</f>
        <v>0</v>
      </c>
      <c r="BT1321" s="7">
        <f>Wapato_Inventory[[#This Row],[land_value]]</f>
        <v>53800</v>
      </c>
      <c r="BU1321" s="2">
        <f>_xlfn.IFNA(VLOOKUP(Wapato_Inventory[[#This Row],[quality]],Lookups!$A$28:$C$37,3,FALSE),1)</f>
        <v>1</v>
      </c>
      <c r="BV1321" s="2">
        <f>_xlfn.IFNA(VLOOKUP(Wapato_Inventory[[#This Row],[condition]],Lookups!$A$41:$C$48,3,FALSE),1)</f>
        <v>1</v>
      </c>
      <c r="BW1321" s="2">
        <f>IF(Wapato_Inventory[[#This Row],[decade]]="",1,_xlfn.IFNA(VLOOKUP(Wapato_Inventory[[#This Row],[decade]],Lookups!$F$28:$H$45,3,FALSE),1))</f>
        <v>1</v>
      </c>
      <c r="BX1321" s="2">
        <f>_xlfn.IFNA(VLOOKUP(Wapato_Inventory[[#This Row],[living_area_range]],Lookups!$K$28:$M$37,3,FALSE),1)</f>
        <v>1</v>
      </c>
      <c r="BY1321" s="2">
        <f>AVERAGE(Wapato_Inventory[[#This Row],[qual_adj]:[range_adj]])</f>
        <v>1</v>
      </c>
      <c r="BZ1321" s="7">
        <f>(Wapato_Inventory[[#This Row],[sum_land]]-IF(Wapato_Inventory[[#This Row],[no_utilities]]=1,12000,0))/IF(Wapato_Inventory[[#This Row],[unbuildable]]=1,2,1)</f>
        <v>26900</v>
      </c>
      <c r="CA1321" s="7">
        <f>Wapato_Inventory[[#This Row],[pre_res]]*Wapato_Inventory[[#This Row],[overall_adj]]</f>
        <v>0</v>
      </c>
      <c r="CB1321" s="3">
        <f>IF(ROUND(Wapato_Inventory[[#This Row],[adj_land]]*Lookups!$H$48,-2)&lt;Wapato_Inventory[[#This Row],[min_land]],Wapato_Inventory[[#This Row],[min_land]],ROUND(Wapato_Inventory[[#This Row],[adj_land]]*Lookups!$H$48,-2))</f>
        <v>25600</v>
      </c>
      <c r="CC132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21" s="3">
        <f>ROUND(Wapato_Inventory[[#This Row],[det_value]]*Lookups!$H$48,-2)</f>
        <v>8600</v>
      </c>
      <c r="CE1321" s="3">
        <f>Wapato_Inventory[[#This Row],[final_res]]+Wapato_Inventory[[#This Row],[final_det]]</f>
        <v>8600</v>
      </c>
      <c r="CF1321" s="3">
        <f>Wapato_Inventory[[#This Row],[crop_value]]+Wapato_Inventory[[#This Row],[final_land]]+Wapato_Inventory[[#This Row],[final_imp]]</f>
        <v>34200</v>
      </c>
      <c r="CH1321" t="str">
        <f t="shared" si="21"/>
        <v>update valuation set market_land =25600, market_bldg=8600, market_total =34200, market_mdno =405, market_date ='9/10/2023' where link_id = (select link_id from parcel where parcel_year = '2024' and parcel_id = '19111523433');</v>
      </c>
    </row>
    <row r="1322" spans="1:86" x14ac:dyDescent="0.25">
      <c r="A1322">
        <v>19111523436</v>
      </c>
      <c r="B1322">
        <v>0.19</v>
      </c>
      <c r="C1322">
        <v>8125</v>
      </c>
      <c r="D1322" t="s">
        <v>144</v>
      </c>
      <c r="E1322" t="s">
        <v>54</v>
      </c>
      <c r="F1322" t="s">
        <v>54</v>
      </c>
      <c r="G1322">
        <v>3</v>
      </c>
      <c r="H1322" t="s">
        <v>55</v>
      </c>
      <c r="I1322">
        <v>4700</v>
      </c>
      <c r="J1322">
        <v>35100</v>
      </c>
      <c r="K1322">
        <v>0.19</v>
      </c>
      <c r="L1322">
        <f>IF(Wapato_Inventory[[#This Row],[parcel_acres]]-Wapato_Inventory[[#This Row],[non_valued_acres]] =0,0,LN(Wapato_Inventory[[#This Row],[parcel_acres]]-Wapato_Inventory[[#This Row],[non_valued_acres]]))</f>
        <v>-1.6607312068216509</v>
      </c>
      <c r="M1322">
        <v>0</v>
      </c>
      <c r="N1322">
        <v>0</v>
      </c>
      <c r="O1322">
        <v>1</v>
      </c>
      <c r="P1322">
        <v>27904.037</v>
      </c>
      <c r="Q1322">
        <v>74398</v>
      </c>
      <c r="R1322" s="3">
        <f>(Wapato_Inventory[[#This Row],[ln_acres]]*Wapato_Inventory[[#This Row],[coeff]])+Wapato_Inventory[[#This Row],[const]]</f>
        <v>28056.894957794</v>
      </c>
      <c r="AY1322">
        <v>0</v>
      </c>
      <c r="AZ1322">
        <v>5600</v>
      </c>
      <c r="BE1322">
        <v>0</v>
      </c>
      <c r="BF1322">
        <v>3000</v>
      </c>
      <c r="BG1322">
        <v>0</v>
      </c>
      <c r="BH1322" s="7">
        <f>ROUND(Wapato_Inventory[[#This Row],[detatched_value]]*Lookups!$B$22*Lookups!$H$48,-2)</f>
        <v>5000</v>
      </c>
      <c r="BI1322" s="7">
        <f>ROUND(((Wapato_Inventory[[#This Row],[land_extract]]*Lookups!$B$3) +(Lookups!$B$2*0.5))*Lookups!$H$48,-2)</f>
        <v>53800</v>
      </c>
      <c r="BJ1322" s="7">
        <f>IF(Wapato_Inventory[[#This Row],[bldg_style]]="",0,Lookups!$B$2*0.5)</f>
        <v>0</v>
      </c>
      <c r="BK1322" s="7">
        <f>_xlfn.IFNA(VLOOKUP(Wapato_Inventory[[#This Row],[quality]],Lookups!$H$2:$J$14,3,FALSE),0)</f>
        <v>0</v>
      </c>
      <c r="BL1322" s="7">
        <f>_xlfn.IFNA(VLOOKUP(Wapato_Inventory[[#This Row],[condition]],Lookups!$H$17:$J$24,3,FALSE),0)</f>
        <v>0</v>
      </c>
      <c r="BM1322" s="7">
        <f>Wapato_Inventory[[#This Row],[Age]]*Lookups!$B$16</f>
        <v>0</v>
      </c>
      <c r="BN1322" s="7">
        <f>Wapato_Inventory[[#This Row],[Main Floor]]*Lookups!$B$17</f>
        <v>0</v>
      </c>
      <c r="BO1322" s="7">
        <f>Wapato_Inventory[[#This Row],[Upper Floor]]*Lookups!$B$18</f>
        <v>0</v>
      </c>
      <c r="BP1322" s="7">
        <f>Wapato_Inventory[[#This Row],[Fin BSMT]]*Lookups!$B$19</f>
        <v>0</v>
      </c>
      <c r="BQ1322" s="7">
        <f>(Wapato_Inventory[[#This Row],[att_gar]]+Wapato_Inventory[[#This Row],[blt_gar]])*Lookups!$B$20</f>
        <v>0</v>
      </c>
      <c r="BR1322" s="7">
        <f>Wapato_Inventory[[#This Row],[Patio]]*Lookups!$B$21</f>
        <v>0</v>
      </c>
      <c r="BS1322" s="7">
        <f>SUM(Wapato_Inventory[[#This Row],[intercept]:[patio_value]])*Wapato_Inventory[[#This Row],[res_pct]]</f>
        <v>0</v>
      </c>
      <c r="BT1322" s="7">
        <f>Wapato_Inventory[[#This Row],[land_value]]</f>
        <v>53800</v>
      </c>
      <c r="BU1322" s="2">
        <f>_xlfn.IFNA(VLOOKUP(Wapato_Inventory[[#This Row],[quality]],Lookups!$A$28:$C$37,3,FALSE),1)</f>
        <v>1</v>
      </c>
      <c r="BV1322" s="2">
        <f>_xlfn.IFNA(VLOOKUP(Wapato_Inventory[[#This Row],[condition]],Lookups!$A$41:$C$48,3,FALSE),1)</f>
        <v>1</v>
      </c>
      <c r="BW1322" s="2">
        <f>IF(Wapato_Inventory[[#This Row],[decade]]="",1,_xlfn.IFNA(VLOOKUP(Wapato_Inventory[[#This Row],[decade]],Lookups!$F$28:$H$45,3,FALSE),1))</f>
        <v>1</v>
      </c>
      <c r="BX1322" s="2">
        <f>_xlfn.IFNA(VLOOKUP(Wapato_Inventory[[#This Row],[living_area_range]],Lookups!$K$28:$M$37,3,FALSE),1)</f>
        <v>1</v>
      </c>
      <c r="BY1322" s="2">
        <f>AVERAGE(Wapato_Inventory[[#This Row],[qual_adj]:[range_adj]])</f>
        <v>1</v>
      </c>
      <c r="BZ1322" s="7">
        <f>(Wapato_Inventory[[#This Row],[sum_land]]-IF(Wapato_Inventory[[#This Row],[no_utilities]]=1,12000,0))/IF(Wapato_Inventory[[#This Row],[unbuildable]]=1,2,1)</f>
        <v>41800</v>
      </c>
      <c r="CA1322" s="7">
        <f>Wapato_Inventory[[#This Row],[pre_res]]*Wapato_Inventory[[#This Row],[overall_adj]]</f>
        <v>0</v>
      </c>
      <c r="CB1322" s="3">
        <f>IF(ROUND(Wapato_Inventory[[#This Row],[adj_land]]*Lookups!$H$48,-2)&lt;Wapato_Inventory[[#This Row],[min_land]],Wapato_Inventory[[#This Row],[min_land]],ROUND(Wapato_Inventory[[#This Row],[adj_land]]*Lookups!$H$48,-2))</f>
        <v>39700</v>
      </c>
      <c r="CC132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22" s="3">
        <f>ROUND(Wapato_Inventory[[#This Row],[det_value]]*Lookups!$H$48,-2)</f>
        <v>4800</v>
      </c>
      <c r="CE1322" s="3">
        <f>Wapato_Inventory[[#This Row],[final_res]]+Wapato_Inventory[[#This Row],[final_det]]</f>
        <v>4800</v>
      </c>
      <c r="CF1322" s="3">
        <f>Wapato_Inventory[[#This Row],[crop_value]]+Wapato_Inventory[[#This Row],[final_land]]+Wapato_Inventory[[#This Row],[final_imp]]</f>
        <v>44500</v>
      </c>
      <c r="CH1322" t="str">
        <f t="shared" si="21"/>
        <v>update valuation set market_land =39700, market_bldg=4800, market_total =44500, market_mdno =405, market_date ='9/10/2023' where link_id = (select link_id from parcel where parcel_year = '2024' and parcel_id = '19111523436');</v>
      </c>
    </row>
    <row r="1323" spans="1:86" x14ac:dyDescent="0.25">
      <c r="A1323">
        <v>19111532004</v>
      </c>
      <c r="B1323">
        <v>0.08</v>
      </c>
      <c r="C1323">
        <v>3628</v>
      </c>
      <c r="D1323" t="s">
        <v>144</v>
      </c>
      <c r="E1323" t="s">
        <v>54</v>
      </c>
      <c r="F1323" t="s">
        <v>54</v>
      </c>
      <c r="G1323">
        <v>3</v>
      </c>
      <c r="H1323" t="s">
        <v>55</v>
      </c>
      <c r="I1323">
        <v>10100</v>
      </c>
      <c r="J1323">
        <v>500</v>
      </c>
      <c r="K1323">
        <v>0.08</v>
      </c>
      <c r="L1323">
        <f>IF(Wapato_Inventory[[#This Row],[parcel_acres]]-Wapato_Inventory[[#This Row],[non_valued_acres]] =0,0,LN(Wapato_Inventory[[#This Row],[parcel_acres]]-Wapato_Inventory[[#This Row],[non_valued_acres]]))</f>
        <v>-2.5257286443082556</v>
      </c>
      <c r="M1323">
        <v>0</v>
      </c>
      <c r="N1323">
        <v>1</v>
      </c>
      <c r="O1323">
        <v>0</v>
      </c>
      <c r="P1323">
        <v>27904.037</v>
      </c>
      <c r="Q1323">
        <v>74398</v>
      </c>
      <c r="R1323" s="3">
        <f>(Wapato_Inventory[[#This Row],[ln_acres]]*Wapato_Inventory[[#This Row],[coeff]])+Wapato_Inventory[[#This Row],[const]]</f>
        <v>3919.9744572625932</v>
      </c>
      <c r="AY1323">
        <v>0</v>
      </c>
      <c r="AZ1323">
        <v>11500</v>
      </c>
      <c r="BE1323">
        <v>0</v>
      </c>
      <c r="BF1323">
        <v>12000</v>
      </c>
      <c r="BG1323">
        <v>0</v>
      </c>
      <c r="BH1323" s="7">
        <f>ROUND(Wapato_Inventory[[#This Row],[detatched_value]]*Lookups!$B$22*Lookups!$H$48,-2)</f>
        <v>10300</v>
      </c>
      <c r="BI1323" s="7">
        <f>ROUND(((Wapato_Inventory[[#This Row],[land_extract]]*Lookups!$B$3) +(Lookups!$B$2*0.5))*Lookups!$H$48,-2)</f>
        <v>51500</v>
      </c>
      <c r="BJ1323" s="7">
        <f>IF(Wapato_Inventory[[#This Row],[bldg_style]]="",0,Lookups!$B$2*0.5)</f>
        <v>0</v>
      </c>
      <c r="BK1323" s="7">
        <f>_xlfn.IFNA(VLOOKUP(Wapato_Inventory[[#This Row],[quality]],Lookups!$H$2:$J$14,3,FALSE),0)</f>
        <v>0</v>
      </c>
      <c r="BL1323" s="7">
        <f>_xlfn.IFNA(VLOOKUP(Wapato_Inventory[[#This Row],[condition]],Lookups!$H$17:$J$24,3,FALSE),0)</f>
        <v>0</v>
      </c>
      <c r="BM1323" s="7">
        <f>Wapato_Inventory[[#This Row],[Age]]*Lookups!$B$16</f>
        <v>0</v>
      </c>
      <c r="BN1323" s="7">
        <f>Wapato_Inventory[[#This Row],[Main Floor]]*Lookups!$B$17</f>
        <v>0</v>
      </c>
      <c r="BO1323" s="7">
        <f>Wapato_Inventory[[#This Row],[Upper Floor]]*Lookups!$B$18</f>
        <v>0</v>
      </c>
      <c r="BP1323" s="7">
        <f>Wapato_Inventory[[#This Row],[Fin BSMT]]*Lookups!$B$19</f>
        <v>0</v>
      </c>
      <c r="BQ1323" s="7">
        <f>(Wapato_Inventory[[#This Row],[att_gar]]+Wapato_Inventory[[#This Row],[blt_gar]])*Lookups!$B$20</f>
        <v>0</v>
      </c>
      <c r="BR1323" s="7">
        <f>Wapato_Inventory[[#This Row],[Patio]]*Lookups!$B$21</f>
        <v>0</v>
      </c>
      <c r="BS1323" s="7">
        <f>SUM(Wapato_Inventory[[#This Row],[intercept]:[patio_value]])*Wapato_Inventory[[#This Row],[res_pct]]</f>
        <v>0</v>
      </c>
      <c r="BT1323" s="7">
        <f>Wapato_Inventory[[#This Row],[land_value]]</f>
        <v>51500</v>
      </c>
      <c r="BU1323" s="2">
        <f>_xlfn.IFNA(VLOOKUP(Wapato_Inventory[[#This Row],[quality]],Lookups!$A$28:$C$37,3,FALSE),1)</f>
        <v>1</v>
      </c>
      <c r="BV1323" s="2">
        <f>_xlfn.IFNA(VLOOKUP(Wapato_Inventory[[#This Row],[condition]],Lookups!$A$41:$C$48,3,FALSE),1)</f>
        <v>1</v>
      </c>
      <c r="BW1323" s="2">
        <f>IF(Wapato_Inventory[[#This Row],[decade]]="",1,_xlfn.IFNA(VLOOKUP(Wapato_Inventory[[#This Row],[decade]],Lookups!$F$28:$H$45,3,FALSE),1))</f>
        <v>1</v>
      </c>
      <c r="BX1323" s="2">
        <f>_xlfn.IFNA(VLOOKUP(Wapato_Inventory[[#This Row],[living_area_range]],Lookups!$K$28:$M$37,3,FALSE),1)</f>
        <v>1</v>
      </c>
      <c r="BY1323" s="2">
        <f>AVERAGE(Wapato_Inventory[[#This Row],[qual_adj]:[range_adj]])</f>
        <v>1</v>
      </c>
      <c r="BZ1323" s="7">
        <f>(Wapato_Inventory[[#This Row],[sum_land]]-IF(Wapato_Inventory[[#This Row],[no_utilities]]=1,12000,0))/IF(Wapato_Inventory[[#This Row],[unbuildable]]=1,2,1)</f>
        <v>25750</v>
      </c>
      <c r="CA1323" s="7">
        <f>Wapato_Inventory[[#This Row],[pre_res]]*Wapato_Inventory[[#This Row],[overall_adj]]</f>
        <v>0</v>
      </c>
      <c r="CB1323" s="3">
        <f>IF(ROUND(Wapato_Inventory[[#This Row],[adj_land]]*Lookups!$H$48,-2)&lt;Wapato_Inventory[[#This Row],[min_land]],Wapato_Inventory[[#This Row],[min_land]],ROUND(Wapato_Inventory[[#This Row],[adj_land]]*Lookups!$H$48,-2))</f>
        <v>24500</v>
      </c>
      <c r="CC132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23" s="3">
        <f>ROUND(Wapato_Inventory[[#This Row],[det_value]]*Lookups!$H$48,-2)</f>
        <v>9800</v>
      </c>
      <c r="CE1323" s="3">
        <f>Wapato_Inventory[[#This Row],[final_res]]+Wapato_Inventory[[#This Row],[final_det]]</f>
        <v>9800</v>
      </c>
      <c r="CF1323" s="3">
        <f>Wapato_Inventory[[#This Row],[crop_value]]+Wapato_Inventory[[#This Row],[final_land]]+Wapato_Inventory[[#This Row],[final_imp]]</f>
        <v>34300</v>
      </c>
      <c r="CH1323" t="str">
        <f t="shared" si="21"/>
        <v>update valuation set market_land =24500, market_bldg=9800, market_total =34300, market_mdno =405, market_date ='9/10/2023' where link_id = (select link_id from parcel where parcel_year = '2024' and parcel_id = '19111532004');</v>
      </c>
    </row>
    <row r="1324" spans="1:86" x14ac:dyDescent="0.25">
      <c r="A1324">
        <v>19111532013</v>
      </c>
      <c r="B1324">
        <v>0.5</v>
      </c>
      <c r="C1324">
        <v>21751</v>
      </c>
      <c r="D1324" t="s">
        <v>144</v>
      </c>
      <c r="E1324" t="s">
        <v>54</v>
      </c>
      <c r="F1324" t="s">
        <v>54</v>
      </c>
      <c r="G1324">
        <v>3</v>
      </c>
      <c r="H1324" t="s">
        <v>55</v>
      </c>
      <c r="I1324">
        <v>0</v>
      </c>
      <c r="J1324">
        <v>42200</v>
      </c>
      <c r="K1324">
        <v>0.5</v>
      </c>
      <c r="L1324">
        <f>IF(Wapato_Inventory[[#This Row],[parcel_acres]]-Wapato_Inventory[[#This Row],[non_valued_acres]] =0,0,LN(Wapato_Inventory[[#This Row],[parcel_acres]]-Wapato_Inventory[[#This Row],[non_valued_acres]]))</f>
        <v>-0.69314718055994529</v>
      </c>
      <c r="M1324">
        <v>0</v>
      </c>
      <c r="N1324">
        <v>1</v>
      </c>
      <c r="O1324">
        <v>0</v>
      </c>
      <c r="P1324">
        <v>27904.037</v>
      </c>
      <c r="Q1324">
        <v>74398</v>
      </c>
      <c r="R1324" s="3">
        <f>(Wapato_Inventory[[#This Row],[ln_acres]]*Wapato_Inventory[[#This Row],[coeff]])+Wapato_Inventory[[#This Row],[const]]</f>
        <v>55056.395427209602</v>
      </c>
      <c r="AY1324">
        <v>0</v>
      </c>
      <c r="AZ1324">
        <v>0</v>
      </c>
      <c r="BE1324">
        <v>0</v>
      </c>
      <c r="BF1324">
        <v>12000</v>
      </c>
      <c r="BG1324">
        <v>0</v>
      </c>
      <c r="BH1324" s="7">
        <f>ROUND(Wapato_Inventory[[#This Row],[detatched_value]]*Lookups!$B$22*Lookups!$H$48,-2)</f>
        <v>0</v>
      </c>
      <c r="BI1324" s="7">
        <f>ROUND(((Wapato_Inventory[[#This Row],[land_extract]]*Lookups!$B$3) +(Lookups!$B$2*0.5))*Lookups!$H$48,-2)</f>
        <v>56400</v>
      </c>
      <c r="BJ1324" s="7">
        <f>IF(Wapato_Inventory[[#This Row],[bldg_style]]="",0,Lookups!$B$2*0.5)</f>
        <v>0</v>
      </c>
      <c r="BK1324" s="7">
        <f>_xlfn.IFNA(VLOOKUP(Wapato_Inventory[[#This Row],[quality]],Lookups!$H$2:$J$14,3,FALSE),0)</f>
        <v>0</v>
      </c>
      <c r="BL1324" s="7">
        <f>_xlfn.IFNA(VLOOKUP(Wapato_Inventory[[#This Row],[condition]],Lookups!$H$17:$J$24,3,FALSE),0)</f>
        <v>0</v>
      </c>
      <c r="BM1324" s="7">
        <f>Wapato_Inventory[[#This Row],[Age]]*Lookups!$B$16</f>
        <v>0</v>
      </c>
      <c r="BN1324" s="7">
        <f>Wapato_Inventory[[#This Row],[Main Floor]]*Lookups!$B$17</f>
        <v>0</v>
      </c>
      <c r="BO1324" s="7">
        <f>Wapato_Inventory[[#This Row],[Upper Floor]]*Lookups!$B$18</f>
        <v>0</v>
      </c>
      <c r="BP1324" s="7">
        <f>Wapato_Inventory[[#This Row],[Fin BSMT]]*Lookups!$B$19</f>
        <v>0</v>
      </c>
      <c r="BQ1324" s="7">
        <f>(Wapato_Inventory[[#This Row],[att_gar]]+Wapato_Inventory[[#This Row],[blt_gar]])*Lookups!$B$20</f>
        <v>0</v>
      </c>
      <c r="BR1324" s="7">
        <f>Wapato_Inventory[[#This Row],[Patio]]*Lookups!$B$21</f>
        <v>0</v>
      </c>
      <c r="BS1324" s="7">
        <f>SUM(Wapato_Inventory[[#This Row],[intercept]:[patio_value]])*Wapato_Inventory[[#This Row],[res_pct]]</f>
        <v>0</v>
      </c>
      <c r="BT1324" s="7">
        <f>Wapato_Inventory[[#This Row],[land_value]]</f>
        <v>56400</v>
      </c>
      <c r="BU1324" s="2">
        <f>_xlfn.IFNA(VLOOKUP(Wapato_Inventory[[#This Row],[quality]],Lookups!$A$28:$C$37,3,FALSE),1)</f>
        <v>1</v>
      </c>
      <c r="BV1324" s="2">
        <f>_xlfn.IFNA(VLOOKUP(Wapato_Inventory[[#This Row],[condition]],Lookups!$A$41:$C$48,3,FALSE),1)</f>
        <v>1</v>
      </c>
      <c r="BW1324" s="2">
        <f>IF(Wapato_Inventory[[#This Row],[decade]]="",1,_xlfn.IFNA(VLOOKUP(Wapato_Inventory[[#This Row],[decade]],Lookups!$F$28:$H$45,3,FALSE),1))</f>
        <v>1</v>
      </c>
      <c r="BX1324" s="2">
        <f>_xlfn.IFNA(VLOOKUP(Wapato_Inventory[[#This Row],[living_area_range]],Lookups!$K$28:$M$37,3,FALSE),1)</f>
        <v>1</v>
      </c>
      <c r="BY1324" s="2">
        <f>AVERAGE(Wapato_Inventory[[#This Row],[qual_adj]:[range_adj]])</f>
        <v>1</v>
      </c>
      <c r="BZ1324" s="7">
        <f>(Wapato_Inventory[[#This Row],[sum_land]]-IF(Wapato_Inventory[[#This Row],[no_utilities]]=1,12000,0))/IF(Wapato_Inventory[[#This Row],[unbuildable]]=1,2,1)</f>
        <v>28200</v>
      </c>
      <c r="CA1324" s="7">
        <f>Wapato_Inventory[[#This Row],[pre_res]]*Wapato_Inventory[[#This Row],[overall_adj]]</f>
        <v>0</v>
      </c>
      <c r="CB1324" s="3">
        <f>IF(ROUND(Wapato_Inventory[[#This Row],[adj_land]]*Lookups!$H$48,-2)&lt;Wapato_Inventory[[#This Row],[min_land]],Wapato_Inventory[[#This Row],[min_land]],ROUND(Wapato_Inventory[[#This Row],[adj_land]]*Lookups!$H$48,-2))</f>
        <v>26800</v>
      </c>
      <c r="CC132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24" s="3">
        <f>ROUND(Wapato_Inventory[[#This Row],[det_value]]*Lookups!$H$48,-2)</f>
        <v>0</v>
      </c>
      <c r="CE1324" s="3">
        <f>Wapato_Inventory[[#This Row],[final_res]]+Wapato_Inventory[[#This Row],[final_det]]</f>
        <v>0</v>
      </c>
      <c r="CF1324" s="3">
        <f>Wapato_Inventory[[#This Row],[crop_value]]+Wapato_Inventory[[#This Row],[final_land]]+Wapato_Inventory[[#This Row],[final_imp]]</f>
        <v>26800</v>
      </c>
      <c r="CH1324" t="str">
        <f t="shared" si="21"/>
        <v>update valuation set market_land =26800, market_bldg=0, market_total =26800, market_mdno =405, market_date ='9/10/2023' where link_id = (select link_id from parcel where parcel_year = '2024' and parcel_id = '19111532013');</v>
      </c>
    </row>
    <row r="1325" spans="1:86" x14ac:dyDescent="0.25">
      <c r="A1325">
        <v>19111532029</v>
      </c>
      <c r="B1325">
        <v>2.4700000000000002</v>
      </c>
      <c r="C1325">
        <v>107779</v>
      </c>
      <c r="D1325" t="s">
        <v>144</v>
      </c>
      <c r="E1325" t="s">
        <v>54</v>
      </c>
      <c r="F1325" t="s">
        <v>54</v>
      </c>
      <c r="G1325">
        <v>3</v>
      </c>
      <c r="H1325" t="s">
        <v>55</v>
      </c>
      <c r="I1325">
        <v>101100</v>
      </c>
      <c r="J1325">
        <v>51600</v>
      </c>
      <c r="K1325">
        <v>2.4700000000000002</v>
      </c>
      <c r="L1325">
        <f>IF(Wapato_Inventory[[#This Row],[parcel_acres]]-Wapato_Inventory[[#This Row],[non_valued_acres]] =0,0,LN(Wapato_Inventory[[#This Row],[parcel_acres]]-Wapato_Inventory[[#This Row],[non_valued_acres]]))</f>
        <v>0.90421815063988586</v>
      </c>
      <c r="M1325">
        <v>0</v>
      </c>
      <c r="N1325">
        <v>0</v>
      </c>
      <c r="O1325">
        <v>0</v>
      </c>
      <c r="P1325">
        <v>27904.037</v>
      </c>
      <c r="Q1325">
        <v>74398</v>
      </c>
      <c r="R1325" s="3">
        <f>(Wapato_Inventory[[#This Row],[ln_acres]]*Wapato_Inventory[[#This Row],[coeff]])+Wapato_Inventory[[#This Row],[const]]</f>
        <v>99629.336731526942</v>
      </c>
      <c r="AY1325">
        <v>0</v>
      </c>
      <c r="AZ1325">
        <v>7500</v>
      </c>
      <c r="BE1325">
        <v>0</v>
      </c>
      <c r="BF1325">
        <v>15000</v>
      </c>
      <c r="BG1325">
        <v>0</v>
      </c>
      <c r="BH1325" s="7">
        <f>ROUND(Wapato_Inventory[[#This Row],[detatched_value]]*Lookups!$B$22*Lookups!$H$48,-2)</f>
        <v>6700</v>
      </c>
      <c r="BI1325" s="7">
        <f>ROUND(((Wapato_Inventory[[#This Row],[land_extract]]*Lookups!$B$3) +(Lookups!$B$2*0.5))*Lookups!$H$48,-2)</f>
        <v>60700</v>
      </c>
      <c r="BJ1325" s="7">
        <f>IF(Wapato_Inventory[[#This Row],[bldg_style]]="",0,Lookups!$B$2*0.5)</f>
        <v>0</v>
      </c>
      <c r="BK1325" s="7">
        <f>_xlfn.IFNA(VLOOKUP(Wapato_Inventory[[#This Row],[quality]],Lookups!$H$2:$J$14,3,FALSE),0)</f>
        <v>0</v>
      </c>
      <c r="BL1325" s="7">
        <f>_xlfn.IFNA(VLOOKUP(Wapato_Inventory[[#This Row],[condition]],Lookups!$H$17:$J$24,3,FALSE),0)</f>
        <v>0</v>
      </c>
      <c r="BM1325" s="7">
        <f>Wapato_Inventory[[#This Row],[Age]]*Lookups!$B$16</f>
        <v>0</v>
      </c>
      <c r="BN1325" s="7">
        <f>Wapato_Inventory[[#This Row],[Main Floor]]*Lookups!$B$17</f>
        <v>0</v>
      </c>
      <c r="BO1325" s="7">
        <f>Wapato_Inventory[[#This Row],[Upper Floor]]*Lookups!$B$18</f>
        <v>0</v>
      </c>
      <c r="BP1325" s="7">
        <f>Wapato_Inventory[[#This Row],[Fin BSMT]]*Lookups!$B$19</f>
        <v>0</v>
      </c>
      <c r="BQ1325" s="7">
        <f>(Wapato_Inventory[[#This Row],[att_gar]]+Wapato_Inventory[[#This Row],[blt_gar]])*Lookups!$B$20</f>
        <v>0</v>
      </c>
      <c r="BR1325" s="7">
        <f>Wapato_Inventory[[#This Row],[Patio]]*Lookups!$B$21</f>
        <v>0</v>
      </c>
      <c r="BS1325" s="7">
        <f>SUM(Wapato_Inventory[[#This Row],[intercept]:[patio_value]])*Wapato_Inventory[[#This Row],[res_pct]]</f>
        <v>0</v>
      </c>
      <c r="BT1325" s="7">
        <f>Wapato_Inventory[[#This Row],[land_value]]</f>
        <v>60700</v>
      </c>
      <c r="BU1325" s="2">
        <f>_xlfn.IFNA(VLOOKUP(Wapato_Inventory[[#This Row],[quality]],Lookups!$A$28:$C$37,3,FALSE),1)</f>
        <v>1</v>
      </c>
      <c r="BV1325" s="2">
        <f>_xlfn.IFNA(VLOOKUP(Wapato_Inventory[[#This Row],[condition]],Lookups!$A$41:$C$48,3,FALSE),1)</f>
        <v>1</v>
      </c>
      <c r="BW1325" s="2">
        <f>IF(Wapato_Inventory[[#This Row],[decade]]="",1,_xlfn.IFNA(VLOOKUP(Wapato_Inventory[[#This Row],[decade]],Lookups!$F$28:$H$45,3,FALSE),1))</f>
        <v>1</v>
      </c>
      <c r="BX1325" s="2">
        <f>_xlfn.IFNA(VLOOKUP(Wapato_Inventory[[#This Row],[living_area_range]],Lookups!$K$28:$M$37,3,FALSE),1)</f>
        <v>1</v>
      </c>
      <c r="BY1325" s="2">
        <f>AVERAGE(Wapato_Inventory[[#This Row],[qual_adj]:[range_adj]])</f>
        <v>1</v>
      </c>
      <c r="BZ1325" s="7">
        <f>(Wapato_Inventory[[#This Row],[sum_land]]-IF(Wapato_Inventory[[#This Row],[no_utilities]]=1,12000,0))/IF(Wapato_Inventory[[#This Row],[unbuildable]]=1,2,1)</f>
        <v>60700</v>
      </c>
      <c r="CA1325" s="7">
        <f>Wapato_Inventory[[#This Row],[pre_res]]*Wapato_Inventory[[#This Row],[overall_adj]]</f>
        <v>0</v>
      </c>
      <c r="CB1325" s="3">
        <f>IF(ROUND(Wapato_Inventory[[#This Row],[adj_land]]*Lookups!$H$48,-2)&lt;Wapato_Inventory[[#This Row],[min_land]],Wapato_Inventory[[#This Row],[min_land]],ROUND(Wapato_Inventory[[#This Row],[adj_land]]*Lookups!$H$48,-2))</f>
        <v>57700</v>
      </c>
      <c r="CC132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25" s="3">
        <f>ROUND(Wapato_Inventory[[#This Row],[det_value]]*Lookups!$H$48,-2)</f>
        <v>6400</v>
      </c>
      <c r="CE1325" s="3">
        <f>Wapato_Inventory[[#This Row],[final_res]]+Wapato_Inventory[[#This Row],[final_det]]</f>
        <v>6400</v>
      </c>
      <c r="CF1325" s="3">
        <f>Wapato_Inventory[[#This Row],[crop_value]]+Wapato_Inventory[[#This Row],[final_land]]+Wapato_Inventory[[#This Row],[final_imp]]</f>
        <v>64100</v>
      </c>
      <c r="CH1325" t="str">
        <f t="shared" si="21"/>
        <v>update valuation set market_land =57700, market_bldg=6400, market_total =64100, market_mdno =405, market_date ='9/10/2023' where link_id = (select link_id from parcel where parcel_year = '2024' and parcel_id = '19111532029');</v>
      </c>
    </row>
    <row r="1326" spans="1:86" x14ac:dyDescent="0.25">
      <c r="A1326">
        <v>19111532402</v>
      </c>
      <c r="B1326">
        <v>0.19</v>
      </c>
      <c r="C1326">
        <v>8444</v>
      </c>
      <c r="D1326" t="s">
        <v>144</v>
      </c>
      <c r="E1326" t="s">
        <v>54</v>
      </c>
      <c r="F1326" t="s">
        <v>54</v>
      </c>
      <c r="G1326">
        <v>3</v>
      </c>
      <c r="H1326" t="s">
        <v>55</v>
      </c>
      <c r="I1326">
        <v>0</v>
      </c>
      <c r="J1326">
        <v>35100</v>
      </c>
      <c r="K1326">
        <v>0.19</v>
      </c>
      <c r="L1326">
        <f>IF(Wapato_Inventory[[#This Row],[parcel_acres]]-Wapato_Inventory[[#This Row],[non_valued_acres]] =0,0,LN(Wapato_Inventory[[#This Row],[parcel_acres]]-Wapato_Inventory[[#This Row],[non_valued_acres]]))</f>
        <v>-1.6607312068216509</v>
      </c>
      <c r="M1326">
        <v>0</v>
      </c>
      <c r="N1326">
        <v>0</v>
      </c>
      <c r="O1326">
        <v>0</v>
      </c>
      <c r="P1326">
        <v>27904.037</v>
      </c>
      <c r="Q1326">
        <v>74398</v>
      </c>
      <c r="R1326" s="3">
        <f>(Wapato_Inventory[[#This Row],[ln_acres]]*Wapato_Inventory[[#This Row],[coeff]])+Wapato_Inventory[[#This Row],[const]]</f>
        <v>28056.894957794</v>
      </c>
      <c r="AY1326">
        <v>0</v>
      </c>
      <c r="AZ1326">
        <v>0</v>
      </c>
      <c r="BE1326">
        <v>0</v>
      </c>
      <c r="BF1326">
        <v>15000</v>
      </c>
      <c r="BG1326">
        <v>0</v>
      </c>
      <c r="BH1326" s="7">
        <f>ROUND(Wapato_Inventory[[#This Row],[detatched_value]]*Lookups!$B$22*Lookups!$H$48,-2)</f>
        <v>0</v>
      </c>
      <c r="BI1326" s="7">
        <f>ROUND(((Wapato_Inventory[[#This Row],[land_extract]]*Lookups!$B$3) +(Lookups!$B$2*0.5))*Lookups!$H$48,-2)</f>
        <v>53800</v>
      </c>
      <c r="BJ1326" s="7">
        <f>IF(Wapato_Inventory[[#This Row],[bldg_style]]="",0,Lookups!$B$2*0.5)</f>
        <v>0</v>
      </c>
      <c r="BK1326" s="7">
        <f>_xlfn.IFNA(VLOOKUP(Wapato_Inventory[[#This Row],[quality]],Lookups!$H$2:$J$14,3,FALSE),0)</f>
        <v>0</v>
      </c>
      <c r="BL1326" s="7">
        <f>_xlfn.IFNA(VLOOKUP(Wapato_Inventory[[#This Row],[condition]],Lookups!$H$17:$J$24,3,FALSE),0)</f>
        <v>0</v>
      </c>
      <c r="BM1326" s="7">
        <f>Wapato_Inventory[[#This Row],[Age]]*Lookups!$B$16</f>
        <v>0</v>
      </c>
      <c r="BN1326" s="7">
        <f>Wapato_Inventory[[#This Row],[Main Floor]]*Lookups!$B$17</f>
        <v>0</v>
      </c>
      <c r="BO1326" s="7">
        <f>Wapato_Inventory[[#This Row],[Upper Floor]]*Lookups!$B$18</f>
        <v>0</v>
      </c>
      <c r="BP1326" s="7">
        <f>Wapato_Inventory[[#This Row],[Fin BSMT]]*Lookups!$B$19</f>
        <v>0</v>
      </c>
      <c r="BQ1326" s="7">
        <f>(Wapato_Inventory[[#This Row],[att_gar]]+Wapato_Inventory[[#This Row],[blt_gar]])*Lookups!$B$20</f>
        <v>0</v>
      </c>
      <c r="BR1326" s="7">
        <f>Wapato_Inventory[[#This Row],[Patio]]*Lookups!$B$21</f>
        <v>0</v>
      </c>
      <c r="BS1326" s="7">
        <f>SUM(Wapato_Inventory[[#This Row],[intercept]:[patio_value]])*Wapato_Inventory[[#This Row],[res_pct]]</f>
        <v>0</v>
      </c>
      <c r="BT1326" s="7">
        <f>Wapato_Inventory[[#This Row],[land_value]]</f>
        <v>53800</v>
      </c>
      <c r="BU1326" s="2">
        <f>_xlfn.IFNA(VLOOKUP(Wapato_Inventory[[#This Row],[quality]],Lookups!$A$28:$C$37,3,FALSE),1)</f>
        <v>1</v>
      </c>
      <c r="BV1326" s="2">
        <f>_xlfn.IFNA(VLOOKUP(Wapato_Inventory[[#This Row],[condition]],Lookups!$A$41:$C$48,3,FALSE),1)</f>
        <v>1</v>
      </c>
      <c r="BW1326" s="2">
        <f>IF(Wapato_Inventory[[#This Row],[decade]]="",1,_xlfn.IFNA(VLOOKUP(Wapato_Inventory[[#This Row],[decade]],Lookups!$F$28:$H$45,3,FALSE),1))</f>
        <v>1</v>
      </c>
      <c r="BX1326" s="2">
        <f>_xlfn.IFNA(VLOOKUP(Wapato_Inventory[[#This Row],[living_area_range]],Lookups!$K$28:$M$37,3,FALSE),1)</f>
        <v>1</v>
      </c>
      <c r="BY1326" s="2">
        <f>AVERAGE(Wapato_Inventory[[#This Row],[qual_adj]:[range_adj]])</f>
        <v>1</v>
      </c>
      <c r="BZ1326" s="7">
        <f>(Wapato_Inventory[[#This Row],[sum_land]]-IF(Wapato_Inventory[[#This Row],[no_utilities]]=1,12000,0))/IF(Wapato_Inventory[[#This Row],[unbuildable]]=1,2,1)</f>
        <v>53800</v>
      </c>
      <c r="CA1326" s="7">
        <f>Wapato_Inventory[[#This Row],[pre_res]]*Wapato_Inventory[[#This Row],[overall_adj]]</f>
        <v>0</v>
      </c>
      <c r="CB1326" s="3">
        <f>IF(ROUND(Wapato_Inventory[[#This Row],[adj_land]]*Lookups!$H$48,-2)&lt;Wapato_Inventory[[#This Row],[min_land]],Wapato_Inventory[[#This Row],[min_land]],ROUND(Wapato_Inventory[[#This Row],[adj_land]]*Lookups!$H$48,-2))</f>
        <v>51100</v>
      </c>
      <c r="CC132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26" s="3">
        <f>ROUND(Wapato_Inventory[[#This Row],[det_value]]*Lookups!$H$48,-2)</f>
        <v>0</v>
      </c>
      <c r="CE1326" s="3">
        <f>Wapato_Inventory[[#This Row],[final_res]]+Wapato_Inventory[[#This Row],[final_det]]</f>
        <v>0</v>
      </c>
      <c r="CF1326" s="3">
        <f>Wapato_Inventory[[#This Row],[crop_value]]+Wapato_Inventory[[#This Row],[final_land]]+Wapato_Inventory[[#This Row],[final_imp]]</f>
        <v>51100</v>
      </c>
      <c r="CH1326" t="str">
        <f t="shared" si="21"/>
        <v>update valuation set market_land =51100, market_bldg=0, market_total =51100, market_mdno =405, market_date ='9/10/2023' where link_id = (select link_id from parcel where parcel_year = '2024' and parcel_id = '19111532402');</v>
      </c>
    </row>
    <row r="1327" spans="1:86" x14ac:dyDescent="0.25">
      <c r="A1327">
        <v>19111532404</v>
      </c>
      <c r="B1327">
        <v>0.18</v>
      </c>
      <c r="C1327" t="s">
        <v>144</v>
      </c>
      <c r="D1327" t="s">
        <v>144</v>
      </c>
      <c r="E1327" t="s">
        <v>54</v>
      </c>
      <c r="F1327" t="s">
        <v>54</v>
      </c>
      <c r="G1327">
        <v>3</v>
      </c>
      <c r="H1327" t="s">
        <v>55</v>
      </c>
      <c r="I1327">
        <v>2600</v>
      </c>
      <c r="J1327">
        <v>34700</v>
      </c>
      <c r="K1327">
        <v>0.18</v>
      </c>
      <c r="L1327">
        <f>IF(Wapato_Inventory[[#This Row],[parcel_acres]]-Wapato_Inventory[[#This Row],[non_valued_acres]] =0,0,LN(Wapato_Inventory[[#This Row],[parcel_acres]]-Wapato_Inventory[[#This Row],[non_valued_acres]]))</f>
        <v>-1.7147984280919266</v>
      </c>
      <c r="M1327">
        <v>0</v>
      </c>
      <c r="N1327">
        <v>1</v>
      </c>
      <c r="O1327">
        <v>0</v>
      </c>
      <c r="P1327">
        <v>27904.037</v>
      </c>
      <c r="Q1327">
        <v>74398</v>
      </c>
      <c r="R1327" s="3">
        <f>(Wapato_Inventory[[#This Row],[ln_acres]]*Wapato_Inventory[[#This Row],[coeff]])+Wapato_Inventory[[#This Row],[const]]</f>
        <v>26548.20121498104</v>
      </c>
      <c r="AY1327">
        <v>0</v>
      </c>
      <c r="AZ1327">
        <v>3200</v>
      </c>
      <c r="BE1327">
        <v>0</v>
      </c>
      <c r="BF1327">
        <v>12000</v>
      </c>
      <c r="BG1327">
        <v>0</v>
      </c>
      <c r="BH1327" s="7">
        <f>ROUND(Wapato_Inventory[[#This Row],[detatched_value]]*Lookups!$B$22*Lookups!$H$48,-2)</f>
        <v>2900</v>
      </c>
      <c r="BI1327" s="7">
        <f>ROUND(((Wapato_Inventory[[#This Row],[land_extract]]*Lookups!$B$3) +(Lookups!$B$2*0.5))*Lookups!$H$48,-2)</f>
        <v>53600</v>
      </c>
      <c r="BJ1327" s="7">
        <f>IF(Wapato_Inventory[[#This Row],[bldg_style]]="",0,Lookups!$B$2*0.5)</f>
        <v>0</v>
      </c>
      <c r="BK1327" s="7">
        <f>_xlfn.IFNA(VLOOKUP(Wapato_Inventory[[#This Row],[quality]],Lookups!$H$2:$J$14,3,FALSE),0)</f>
        <v>0</v>
      </c>
      <c r="BL1327" s="7">
        <f>_xlfn.IFNA(VLOOKUP(Wapato_Inventory[[#This Row],[condition]],Lookups!$H$17:$J$24,3,FALSE),0)</f>
        <v>0</v>
      </c>
      <c r="BM1327" s="7">
        <f>Wapato_Inventory[[#This Row],[Age]]*Lookups!$B$16</f>
        <v>0</v>
      </c>
      <c r="BN1327" s="7">
        <f>Wapato_Inventory[[#This Row],[Main Floor]]*Lookups!$B$17</f>
        <v>0</v>
      </c>
      <c r="BO1327" s="7">
        <f>Wapato_Inventory[[#This Row],[Upper Floor]]*Lookups!$B$18</f>
        <v>0</v>
      </c>
      <c r="BP1327" s="7">
        <f>Wapato_Inventory[[#This Row],[Fin BSMT]]*Lookups!$B$19</f>
        <v>0</v>
      </c>
      <c r="BQ1327" s="7">
        <f>(Wapato_Inventory[[#This Row],[att_gar]]+Wapato_Inventory[[#This Row],[blt_gar]])*Lookups!$B$20</f>
        <v>0</v>
      </c>
      <c r="BR1327" s="7">
        <f>Wapato_Inventory[[#This Row],[Patio]]*Lookups!$B$21</f>
        <v>0</v>
      </c>
      <c r="BS1327" s="7">
        <f>SUM(Wapato_Inventory[[#This Row],[intercept]:[patio_value]])*Wapato_Inventory[[#This Row],[res_pct]]</f>
        <v>0</v>
      </c>
      <c r="BT1327" s="7">
        <f>Wapato_Inventory[[#This Row],[land_value]]</f>
        <v>53600</v>
      </c>
      <c r="BU1327" s="2">
        <f>_xlfn.IFNA(VLOOKUP(Wapato_Inventory[[#This Row],[quality]],Lookups!$A$28:$C$37,3,FALSE),1)</f>
        <v>1</v>
      </c>
      <c r="BV1327" s="2">
        <f>_xlfn.IFNA(VLOOKUP(Wapato_Inventory[[#This Row],[condition]],Lookups!$A$41:$C$48,3,FALSE),1)</f>
        <v>1</v>
      </c>
      <c r="BW1327" s="2">
        <f>IF(Wapato_Inventory[[#This Row],[decade]]="",1,_xlfn.IFNA(VLOOKUP(Wapato_Inventory[[#This Row],[decade]],Lookups!$F$28:$H$45,3,FALSE),1))</f>
        <v>1</v>
      </c>
      <c r="BX1327" s="2">
        <f>_xlfn.IFNA(VLOOKUP(Wapato_Inventory[[#This Row],[living_area_range]],Lookups!$K$28:$M$37,3,FALSE),1)</f>
        <v>1</v>
      </c>
      <c r="BY1327" s="2">
        <f>AVERAGE(Wapato_Inventory[[#This Row],[qual_adj]:[range_adj]])</f>
        <v>1</v>
      </c>
      <c r="BZ1327" s="7">
        <f>(Wapato_Inventory[[#This Row],[sum_land]]-IF(Wapato_Inventory[[#This Row],[no_utilities]]=1,12000,0))/IF(Wapato_Inventory[[#This Row],[unbuildable]]=1,2,1)</f>
        <v>26800</v>
      </c>
      <c r="CA1327" s="7">
        <f>Wapato_Inventory[[#This Row],[pre_res]]*Wapato_Inventory[[#This Row],[overall_adj]]</f>
        <v>0</v>
      </c>
      <c r="CB1327" s="3">
        <f>IF(ROUND(Wapato_Inventory[[#This Row],[adj_land]]*Lookups!$H$48,-2)&lt;Wapato_Inventory[[#This Row],[min_land]],Wapato_Inventory[[#This Row],[min_land]],ROUND(Wapato_Inventory[[#This Row],[adj_land]]*Lookups!$H$48,-2))</f>
        <v>25500</v>
      </c>
      <c r="CC132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27" s="3">
        <f>ROUND(Wapato_Inventory[[#This Row],[det_value]]*Lookups!$H$48,-2)</f>
        <v>2800</v>
      </c>
      <c r="CE1327" s="3">
        <f>Wapato_Inventory[[#This Row],[final_res]]+Wapato_Inventory[[#This Row],[final_det]]</f>
        <v>2800</v>
      </c>
      <c r="CF1327" s="3">
        <f>Wapato_Inventory[[#This Row],[crop_value]]+Wapato_Inventory[[#This Row],[final_land]]+Wapato_Inventory[[#This Row],[final_imp]]</f>
        <v>28300</v>
      </c>
      <c r="CH1327" t="str">
        <f t="shared" si="21"/>
        <v>update valuation set market_land =25500, market_bldg=2800, market_total =28300, market_mdno =405, market_date ='9/10/2023' where link_id = (select link_id from parcel where parcel_year = '2024' and parcel_id = '19111532404');</v>
      </c>
    </row>
    <row r="1328" spans="1:86" x14ac:dyDescent="0.25">
      <c r="A1328">
        <v>19111533002</v>
      </c>
      <c r="B1328">
        <v>17.670000000000002</v>
      </c>
      <c r="C1328">
        <v>769763</v>
      </c>
      <c r="D1328" t="s">
        <v>144</v>
      </c>
      <c r="E1328" t="s">
        <v>54</v>
      </c>
      <c r="F1328" t="s">
        <v>54</v>
      </c>
      <c r="G1328">
        <v>3</v>
      </c>
      <c r="H1328" t="s">
        <v>55</v>
      </c>
      <c r="I1328">
        <v>0</v>
      </c>
      <c r="J1328">
        <v>100700</v>
      </c>
      <c r="K1328">
        <v>17.670000000000002</v>
      </c>
      <c r="L1328">
        <f>IF(Wapato_Inventory[[#This Row],[parcel_acres]]-Wapato_Inventory[[#This Row],[non_valued_acres]] =0,0,LN(Wapato_Inventory[[#This Row],[parcel_acres]]-Wapato_Inventory[[#This Row],[non_valued_acres]]))</f>
        <v>2.8718682863316052</v>
      </c>
      <c r="M1328">
        <v>0</v>
      </c>
      <c r="N1328">
        <v>0</v>
      </c>
      <c r="O1328">
        <v>0</v>
      </c>
      <c r="P1328">
        <v>27904.037</v>
      </c>
      <c r="Q1328">
        <v>74398</v>
      </c>
      <c r="R1328" s="3">
        <f>(Wapato_Inventory[[#This Row],[ln_acres]]*Wapato_Inventory[[#This Row],[coeff]])+Wapato_Inventory[[#This Row],[const]]</f>
        <v>154534.71892092371</v>
      </c>
      <c r="AY1328">
        <v>0</v>
      </c>
      <c r="AZ1328">
        <v>0</v>
      </c>
      <c r="BE1328">
        <v>0</v>
      </c>
      <c r="BF1328">
        <v>15000</v>
      </c>
      <c r="BG1328">
        <v>0</v>
      </c>
      <c r="BH1328" s="7">
        <f>ROUND(Wapato_Inventory[[#This Row],[detatched_value]]*Lookups!$B$22*Lookups!$H$48,-2)</f>
        <v>0</v>
      </c>
      <c r="BI1328" s="7">
        <f>ROUND(((Wapato_Inventory[[#This Row],[land_extract]]*Lookups!$B$3) +(Lookups!$B$2*0.5))*Lookups!$H$48,-2)</f>
        <v>66000</v>
      </c>
      <c r="BJ1328" s="7">
        <f>IF(Wapato_Inventory[[#This Row],[bldg_style]]="",0,Lookups!$B$2*0.5)</f>
        <v>0</v>
      </c>
      <c r="BK1328" s="7">
        <f>_xlfn.IFNA(VLOOKUP(Wapato_Inventory[[#This Row],[quality]],Lookups!$H$2:$J$14,3,FALSE),0)</f>
        <v>0</v>
      </c>
      <c r="BL1328" s="7">
        <f>_xlfn.IFNA(VLOOKUP(Wapato_Inventory[[#This Row],[condition]],Lookups!$H$17:$J$24,3,FALSE),0)</f>
        <v>0</v>
      </c>
      <c r="BM1328" s="7">
        <f>Wapato_Inventory[[#This Row],[Age]]*Lookups!$B$16</f>
        <v>0</v>
      </c>
      <c r="BN1328" s="7">
        <f>Wapato_Inventory[[#This Row],[Main Floor]]*Lookups!$B$17</f>
        <v>0</v>
      </c>
      <c r="BO1328" s="7">
        <f>Wapato_Inventory[[#This Row],[Upper Floor]]*Lookups!$B$18</f>
        <v>0</v>
      </c>
      <c r="BP1328" s="7">
        <f>Wapato_Inventory[[#This Row],[Fin BSMT]]*Lookups!$B$19</f>
        <v>0</v>
      </c>
      <c r="BQ1328" s="7">
        <f>(Wapato_Inventory[[#This Row],[att_gar]]+Wapato_Inventory[[#This Row],[blt_gar]])*Lookups!$B$20</f>
        <v>0</v>
      </c>
      <c r="BR1328" s="7">
        <f>Wapato_Inventory[[#This Row],[Patio]]*Lookups!$B$21</f>
        <v>0</v>
      </c>
      <c r="BS1328" s="7">
        <f>SUM(Wapato_Inventory[[#This Row],[intercept]:[patio_value]])*Wapato_Inventory[[#This Row],[res_pct]]</f>
        <v>0</v>
      </c>
      <c r="BT1328" s="7">
        <f>Wapato_Inventory[[#This Row],[land_value]]</f>
        <v>66000</v>
      </c>
      <c r="BU1328" s="2">
        <f>_xlfn.IFNA(VLOOKUP(Wapato_Inventory[[#This Row],[quality]],Lookups!$A$28:$C$37,3,FALSE),1)</f>
        <v>1</v>
      </c>
      <c r="BV1328" s="2">
        <f>_xlfn.IFNA(VLOOKUP(Wapato_Inventory[[#This Row],[condition]],Lookups!$A$41:$C$48,3,FALSE),1)</f>
        <v>1</v>
      </c>
      <c r="BW1328" s="2">
        <f>IF(Wapato_Inventory[[#This Row],[decade]]="",1,_xlfn.IFNA(VLOOKUP(Wapato_Inventory[[#This Row],[decade]],Lookups!$F$28:$H$45,3,FALSE),1))</f>
        <v>1</v>
      </c>
      <c r="BX1328" s="2">
        <f>_xlfn.IFNA(VLOOKUP(Wapato_Inventory[[#This Row],[living_area_range]],Lookups!$K$28:$M$37,3,FALSE),1)</f>
        <v>1</v>
      </c>
      <c r="BY1328" s="2">
        <f>AVERAGE(Wapato_Inventory[[#This Row],[qual_adj]:[range_adj]])</f>
        <v>1</v>
      </c>
      <c r="BZ1328" s="7">
        <f>(Wapato_Inventory[[#This Row],[sum_land]]-IF(Wapato_Inventory[[#This Row],[no_utilities]]=1,12000,0))/IF(Wapato_Inventory[[#This Row],[unbuildable]]=1,2,1)</f>
        <v>66000</v>
      </c>
      <c r="CA1328" s="7">
        <f>Wapato_Inventory[[#This Row],[pre_res]]*Wapato_Inventory[[#This Row],[overall_adj]]</f>
        <v>0</v>
      </c>
      <c r="CB1328" s="3">
        <f>IF(ROUND(Wapato_Inventory[[#This Row],[adj_land]]*Lookups!$H$48,-2)&lt;Wapato_Inventory[[#This Row],[min_land]],Wapato_Inventory[[#This Row],[min_land]],ROUND(Wapato_Inventory[[#This Row],[adj_land]]*Lookups!$H$48,-2))</f>
        <v>62700</v>
      </c>
      <c r="CC132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28" s="3">
        <f>ROUND(Wapato_Inventory[[#This Row],[det_value]]*Lookups!$H$48,-2)</f>
        <v>0</v>
      </c>
      <c r="CE1328" s="3">
        <f>Wapato_Inventory[[#This Row],[final_res]]+Wapato_Inventory[[#This Row],[final_det]]</f>
        <v>0</v>
      </c>
      <c r="CF1328" s="3">
        <f>Wapato_Inventory[[#This Row],[crop_value]]+Wapato_Inventory[[#This Row],[final_land]]+Wapato_Inventory[[#This Row],[final_imp]]</f>
        <v>62700</v>
      </c>
      <c r="CH1328" t="str">
        <f t="shared" si="21"/>
        <v>update valuation set market_land =62700, market_bldg=0, market_total =62700, market_mdno =405, market_date ='9/10/2023' where link_id = (select link_id from parcel where parcel_year = '2024' and parcel_id = '19111533002');</v>
      </c>
    </row>
    <row r="1329" spans="1:86" x14ac:dyDescent="0.25">
      <c r="A1329">
        <v>19111641016</v>
      </c>
      <c r="B1329">
        <v>1.1599999999999999</v>
      </c>
      <c r="C1329">
        <v>50700</v>
      </c>
      <c r="D1329" t="s">
        <v>144</v>
      </c>
      <c r="E1329" t="s">
        <v>54</v>
      </c>
      <c r="F1329" t="s">
        <v>54</v>
      </c>
      <c r="G1329">
        <v>3</v>
      </c>
      <c r="H1329" t="s">
        <v>55</v>
      </c>
      <c r="I1329">
        <v>0</v>
      </c>
      <c r="J1329">
        <v>48400</v>
      </c>
      <c r="K1329">
        <v>1.1599999999999999</v>
      </c>
      <c r="L1329">
        <f>IF(Wapato_Inventory[[#This Row],[parcel_acres]]-Wapato_Inventory[[#This Row],[non_valued_acres]] =0,0,LN(Wapato_Inventory[[#This Row],[parcel_acres]]-Wapato_Inventory[[#This Row],[non_valued_acres]]))</f>
        <v>0.14842000511827322</v>
      </c>
      <c r="M1329">
        <v>0</v>
      </c>
      <c r="N1329">
        <v>0</v>
      </c>
      <c r="O1329">
        <v>1</v>
      </c>
      <c r="P1329">
        <v>27904.037</v>
      </c>
      <c r="Q1329">
        <v>74398</v>
      </c>
      <c r="R1329" s="3">
        <f>(Wapato_Inventory[[#This Row],[ln_acres]]*Wapato_Inventory[[#This Row],[coeff]])+Wapato_Inventory[[#This Row],[const]]</f>
        <v>78539.517314360492</v>
      </c>
      <c r="AY1329">
        <v>0</v>
      </c>
      <c r="AZ1329">
        <v>0</v>
      </c>
      <c r="BE1329">
        <v>0</v>
      </c>
      <c r="BF1329">
        <v>3000</v>
      </c>
      <c r="BG1329">
        <v>0</v>
      </c>
      <c r="BH1329" s="7">
        <f>ROUND(Wapato_Inventory[[#This Row],[detatched_value]]*Lookups!$B$22*Lookups!$H$48,-2)</f>
        <v>0</v>
      </c>
      <c r="BI1329" s="7">
        <f>ROUND(((Wapato_Inventory[[#This Row],[land_extract]]*Lookups!$B$3) +(Lookups!$B$2*0.5))*Lookups!$H$48,-2)</f>
        <v>58700</v>
      </c>
      <c r="BJ1329" s="7">
        <f>IF(Wapato_Inventory[[#This Row],[bldg_style]]="",0,Lookups!$B$2*0.5)</f>
        <v>0</v>
      </c>
      <c r="BK1329" s="7">
        <f>_xlfn.IFNA(VLOOKUP(Wapato_Inventory[[#This Row],[quality]],Lookups!$H$2:$J$14,3,FALSE),0)</f>
        <v>0</v>
      </c>
      <c r="BL1329" s="7">
        <f>_xlfn.IFNA(VLOOKUP(Wapato_Inventory[[#This Row],[condition]],Lookups!$H$17:$J$24,3,FALSE),0)</f>
        <v>0</v>
      </c>
      <c r="BM1329" s="7">
        <f>Wapato_Inventory[[#This Row],[Age]]*Lookups!$B$16</f>
        <v>0</v>
      </c>
      <c r="BN1329" s="7">
        <f>Wapato_Inventory[[#This Row],[Main Floor]]*Lookups!$B$17</f>
        <v>0</v>
      </c>
      <c r="BO1329" s="7">
        <f>Wapato_Inventory[[#This Row],[Upper Floor]]*Lookups!$B$18</f>
        <v>0</v>
      </c>
      <c r="BP1329" s="7">
        <f>Wapato_Inventory[[#This Row],[Fin BSMT]]*Lookups!$B$19</f>
        <v>0</v>
      </c>
      <c r="BQ1329" s="7">
        <f>(Wapato_Inventory[[#This Row],[att_gar]]+Wapato_Inventory[[#This Row],[blt_gar]])*Lookups!$B$20</f>
        <v>0</v>
      </c>
      <c r="BR1329" s="7">
        <f>Wapato_Inventory[[#This Row],[Patio]]*Lookups!$B$21</f>
        <v>0</v>
      </c>
      <c r="BS1329" s="7">
        <f>SUM(Wapato_Inventory[[#This Row],[intercept]:[patio_value]])*Wapato_Inventory[[#This Row],[res_pct]]</f>
        <v>0</v>
      </c>
      <c r="BT1329" s="7">
        <f>Wapato_Inventory[[#This Row],[land_value]]</f>
        <v>58700</v>
      </c>
      <c r="BU1329" s="2">
        <f>_xlfn.IFNA(VLOOKUP(Wapato_Inventory[[#This Row],[quality]],Lookups!$A$28:$C$37,3,FALSE),1)</f>
        <v>1</v>
      </c>
      <c r="BV1329" s="2">
        <f>_xlfn.IFNA(VLOOKUP(Wapato_Inventory[[#This Row],[condition]],Lookups!$A$41:$C$48,3,FALSE),1)</f>
        <v>1</v>
      </c>
      <c r="BW1329" s="2">
        <f>IF(Wapato_Inventory[[#This Row],[decade]]="",1,_xlfn.IFNA(VLOOKUP(Wapato_Inventory[[#This Row],[decade]],Lookups!$F$28:$H$45,3,FALSE),1))</f>
        <v>1</v>
      </c>
      <c r="BX1329" s="2">
        <f>_xlfn.IFNA(VLOOKUP(Wapato_Inventory[[#This Row],[living_area_range]],Lookups!$K$28:$M$37,3,FALSE),1)</f>
        <v>1</v>
      </c>
      <c r="BY1329" s="2">
        <f>AVERAGE(Wapato_Inventory[[#This Row],[qual_adj]:[range_adj]])</f>
        <v>1</v>
      </c>
      <c r="BZ1329" s="7">
        <f>(Wapato_Inventory[[#This Row],[sum_land]]-IF(Wapato_Inventory[[#This Row],[no_utilities]]=1,12000,0))/IF(Wapato_Inventory[[#This Row],[unbuildable]]=1,2,1)</f>
        <v>46700</v>
      </c>
      <c r="CA1329" s="7">
        <f>Wapato_Inventory[[#This Row],[pre_res]]*Wapato_Inventory[[#This Row],[overall_adj]]</f>
        <v>0</v>
      </c>
      <c r="CB1329" s="3">
        <f>IF(ROUND(Wapato_Inventory[[#This Row],[adj_land]]*Lookups!$H$48,-2)&lt;Wapato_Inventory[[#This Row],[min_land]],Wapato_Inventory[[#This Row],[min_land]],ROUND(Wapato_Inventory[[#This Row],[adj_land]]*Lookups!$H$48,-2))</f>
        <v>44400</v>
      </c>
      <c r="CC132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29" s="3">
        <f>ROUND(Wapato_Inventory[[#This Row],[det_value]]*Lookups!$H$48,-2)</f>
        <v>0</v>
      </c>
      <c r="CE1329" s="3">
        <f>Wapato_Inventory[[#This Row],[final_res]]+Wapato_Inventory[[#This Row],[final_det]]</f>
        <v>0</v>
      </c>
      <c r="CF1329" s="3">
        <f>Wapato_Inventory[[#This Row],[crop_value]]+Wapato_Inventory[[#This Row],[final_land]]+Wapato_Inventory[[#This Row],[final_imp]]</f>
        <v>44400</v>
      </c>
      <c r="CH1329" t="str">
        <f t="shared" si="21"/>
        <v>update valuation set market_land =44400, market_bldg=0, market_total =44400, market_mdno =405, market_date ='9/10/2023' where link_id = (select link_id from parcel where parcel_year = '2024' and parcel_id = '19111641016');</v>
      </c>
    </row>
    <row r="1330" spans="1:86" x14ac:dyDescent="0.25">
      <c r="A1330">
        <v>19111641019</v>
      </c>
      <c r="B1330">
        <v>0.31</v>
      </c>
      <c r="C1330">
        <v>13567</v>
      </c>
      <c r="D1330" t="s">
        <v>144</v>
      </c>
      <c r="E1330" t="s">
        <v>54</v>
      </c>
      <c r="F1330" t="s">
        <v>54</v>
      </c>
      <c r="G1330">
        <v>3</v>
      </c>
      <c r="H1330" t="s">
        <v>55</v>
      </c>
      <c r="I1330">
        <v>0</v>
      </c>
      <c r="J1330">
        <v>38700</v>
      </c>
      <c r="K1330">
        <v>0.31</v>
      </c>
      <c r="L1330">
        <f>IF(Wapato_Inventory[[#This Row],[parcel_acres]]-Wapato_Inventory[[#This Row],[non_valued_acres]] =0,0,LN(Wapato_Inventory[[#This Row],[parcel_acres]]-Wapato_Inventory[[#This Row],[non_valued_acres]]))</f>
        <v>-1.1711829815029451</v>
      </c>
      <c r="M1330">
        <v>0</v>
      </c>
      <c r="N1330">
        <v>1</v>
      </c>
      <c r="O1330">
        <v>0</v>
      </c>
      <c r="P1330">
        <v>27904.037</v>
      </c>
      <c r="Q1330">
        <v>74398</v>
      </c>
      <c r="R1330" s="3">
        <f>(Wapato_Inventory[[#This Row],[ln_acres]]*Wapato_Inventory[[#This Row],[coeff]])+Wapato_Inventory[[#This Row],[const]]</f>
        <v>41717.266750371506</v>
      </c>
      <c r="AY1330">
        <v>0</v>
      </c>
      <c r="AZ1330">
        <v>0</v>
      </c>
      <c r="BE1330">
        <v>0</v>
      </c>
      <c r="BF1330">
        <v>12000</v>
      </c>
      <c r="BG1330">
        <v>0</v>
      </c>
      <c r="BH1330" s="7">
        <f>ROUND(Wapato_Inventory[[#This Row],[detatched_value]]*Lookups!$B$22*Lookups!$H$48,-2)</f>
        <v>0</v>
      </c>
      <c r="BI1330" s="7">
        <f>ROUND(((Wapato_Inventory[[#This Row],[land_extract]]*Lookups!$B$3) +(Lookups!$B$2*0.5))*Lookups!$H$48,-2)</f>
        <v>55100</v>
      </c>
      <c r="BJ1330" s="7">
        <f>IF(Wapato_Inventory[[#This Row],[bldg_style]]="",0,Lookups!$B$2*0.5)</f>
        <v>0</v>
      </c>
      <c r="BK1330" s="7">
        <f>_xlfn.IFNA(VLOOKUP(Wapato_Inventory[[#This Row],[quality]],Lookups!$H$2:$J$14,3,FALSE),0)</f>
        <v>0</v>
      </c>
      <c r="BL1330" s="7">
        <f>_xlfn.IFNA(VLOOKUP(Wapato_Inventory[[#This Row],[condition]],Lookups!$H$17:$J$24,3,FALSE),0)</f>
        <v>0</v>
      </c>
      <c r="BM1330" s="7">
        <f>Wapato_Inventory[[#This Row],[Age]]*Lookups!$B$16</f>
        <v>0</v>
      </c>
      <c r="BN1330" s="7">
        <f>Wapato_Inventory[[#This Row],[Main Floor]]*Lookups!$B$17</f>
        <v>0</v>
      </c>
      <c r="BO1330" s="7">
        <f>Wapato_Inventory[[#This Row],[Upper Floor]]*Lookups!$B$18</f>
        <v>0</v>
      </c>
      <c r="BP1330" s="7">
        <f>Wapato_Inventory[[#This Row],[Fin BSMT]]*Lookups!$B$19</f>
        <v>0</v>
      </c>
      <c r="BQ1330" s="7">
        <f>(Wapato_Inventory[[#This Row],[att_gar]]+Wapato_Inventory[[#This Row],[blt_gar]])*Lookups!$B$20</f>
        <v>0</v>
      </c>
      <c r="BR1330" s="7">
        <f>Wapato_Inventory[[#This Row],[Patio]]*Lookups!$B$21</f>
        <v>0</v>
      </c>
      <c r="BS1330" s="7">
        <f>SUM(Wapato_Inventory[[#This Row],[intercept]:[patio_value]])*Wapato_Inventory[[#This Row],[res_pct]]</f>
        <v>0</v>
      </c>
      <c r="BT1330" s="7">
        <f>Wapato_Inventory[[#This Row],[land_value]]</f>
        <v>55100</v>
      </c>
      <c r="BU1330" s="2">
        <f>_xlfn.IFNA(VLOOKUP(Wapato_Inventory[[#This Row],[quality]],Lookups!$A$28:$C$37,3,FALSE),1)</f>
        <v>1</v>
      </c>
      <c r="BV1330" s="2">
        <f>_xlfn.IFNA(VLOOKUP(Wapato_Inventory[[#This Row],[condition]],Lookups!$A$41:$C$48,3,FALSE),1)</f>
        <v>1</v>
      </c>
      <c r="BW1330" s="2">
        <f>IF(Wapato_Inventory[[#This Row],[decade]]="",1,_xlfn.IFNA(VLOOKUP(Wapato_Inventory[[#This Row],[decade]],Lookups!$F$28:$H$45,3,FALSE),1))</f>
        <v>1</v>
      </c>
      <c r="BX1330" s="2">
        <f>_xlfn.IFNA(VLOOKUP(Wapato_Inventory[[#This Row],[living_area_range]],Lookups!$K$28:$M$37,3,FALSE),1)</f>
        <v>1</v>
      </c>
      <c r="BY1330" s="2">
        <f>AVERAGE(Wapato_Inventory[[#This Row],[qual_adj]:[range_adj]])</f>
        <v>1</v>
      </c>
      <c r="BZ1330" s="7">
        <f>(Wapato_Inventory[[#This Row],[sum_land]]-IF(Wapato_Inventory[[#This Row],[no_utilities]]=1,12000,0))/IF(Wapato_Inventory[[#This Row],[unbuildable]]=1,2,1)</f>
        <v>27550</v>
      </c>
      <c r="CA1330" s="7">
        <f>Wapato_Inventory[[#This Row],[pre_res]]*Wapato_Inventory[[#This Row],[overall_adj]]</f>
        <v>0</v>
      </c>
      <c r="CB1330" s="3">
        <f>IF(ROUND(Wapato_Inventory[[#This Row],[adj_land]]*Lookups!$H$48,-2)&lt;Wapato_Inventory[[#This Row],[min_land]],Wapato_Inventory[[#This Row],[min_land]],ROUND(Wapato_Inventory[[#This Row],[adj_land]]*Lookups!$H$48,-2))</f>
        <v>26200</v>
      </c>
      <c r="CC133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30" s="3">
        <f>ROUND(Wapato_Inventory[[#This Row],[det_value]]*Lookups!$H$48,-2)</f>
        <v>0</v>
      </c>
      <c r="CE1330" s="3">
        <f>Wapato_Inventory[[#This Row],[final_res]]+Wapato_Inventory[[#This Row],[final_det]]</f>
        <v>0</v>
      </c>
      <c r="CF1330" s="3">
        <f>Wapato_Inventory[[#This Row],[crop_value]]+Wapato_Inventory[[#This Row],[final_land]]+Wapato_Inventory[[#This Row],[final_imp]]</f>
        <v>26200</v>
      </c>
      <c r="CH1330" t="str">
        <f t="shared" si="21"/>
        <v>update valuation set market_land =26200, market_bldg=0, market_total =26200, market_mdno =405, market_date ='9/10/2023' where link_id = (select link_id from parcel where parcel_year = '2024' and parcel_id = '19111641019');</v>
      </c>
    </row>
    <row r="1331" spans="1:86" x14ac:dyDescent="0.25">
      <c r="A1331">
        <v>19111641020</v>
      </c>
      <c r="B1331">
        <v>0.38</v>
      </c>
      <c r="C1331">
        <v>16667</v>
      </c>
      <c r="D1331" t="s">
        <v>144</v>
      </c>
      <c r="E1331" t="s">
        <v>54</v>
      </c>
      <c r="F1331" t="s">
        <v>54</v>
      </c>
      <c r="G1331">
        <v>3</v>
      </c>
      <c r="H1331" t="s">
        <v>55</v>
      </c>
      <c r="I1331">
        <v>0</v>
      </c>
      <c r="J1331">
        <v>40200</v>
      </c>
      <c r="K1331">
        <v>0.38</v>
      </c>
      <c r="L1331">
        <f>IF(Wapato_Inventory[[#This Row],[parcel_acres]]-Wapato_Inventory[[#This Row],[non_valued_acres]] =0,0,LN(Wapato_Inventory[[#This Row],[parcel_acres]]-Wapato_Inventory[[#This Row],[non_valued_acres]]))</f>
        <v>-0.96758402626170559</v>
      </c>
      <c r="M1331">
        <v>0</v>
      </c>
      <c r="N1331">
        <v>1</v>
      </c>
      <c r="O1331">
        <v>0</v>
      </c>
      <c r="P1331">
        <v>27904.037</v>
      </c>
      <c r="Q1331">
        <v>74398</v>
      </c>
      <c r="R1331" s="3">
        <f>(Wapato_Inventory[[#This Row],[ln_acres]]*Wapato_Inventory[[#This Row],[coeff]])+Wapato_Inventory[[#This Row],[const]]</f>
        <v>47398.499530584391</v>
      </c>
      <c r="AY1331">
        <v>0</v>
      </c>
      <c r="AZ1331">
        <v>0</v>
      </c>
      <c r="BE1331">
        <v>0</v>
      </c>
      <c r="BF1331">
        <v>12000</v>
      </c>
      <c r="BG1331">
        <v>0</v>
      </c>
      <c r="BH1331" s="7">
        <f>ROUND(Wapato_Inventory[[#This Row],[detatched_value]]*Lookups!$B$22*Lookups!$H$48,-2)</f>
        <v>0</v>
      </c>
      <c r="BI1331" s="7">
        <f>ROUND(((Wapato_Inventory[[#This Row],[land_extract]]*Lookups!$B$3) +(Lookups!$B$2*0.5))*Lookups!$H$48,-2)</f>
        <v>55700</v>
      </c>
      <c r="BJ1331" s="7">
        <f>IF(Wapato_Inventory[[#This Row],[bldg_style]]="",0,Lookups!$B$2*0.5)</f>
        <v>0</v>
      </c>
      <c r="BK1331" s="7">
        <f>_xlfn.IFNA(VLOOKUP(Wapato_Inventory[[#This Row],[quality]],Lookups!$H$2:$J$14,3,FALSE),0)</f>
        <v>0</v>
      </c>
      <c r="BL1331" s="7">
        <f>_xlfn.IFNA(VLOOKUP(Wapato_Inventory[[#This Row],[condition]],Lookups!$H$17:$J$24,3,FALSE),0)</f>
        <v>0</v>
      </c>
      <c r="BM1331" s="7">
        <f>Wapato_Inventory[[#This Row],[Age]]*Lookups!$B$16</f>
        <v>0</v>
      </c>
      <c r="BN1331" s="7">
        <f>Wapato_Inventory[[#This Row],[Main Floor]]*Lookups!$B$17</f>
        <v>0</v>
      </c>
      <c r="BO1331" s="7">
        <f>Wapato_Inventory[[#This Row],[Upper Floor]]*Lookups!$B$18</f>
        <v>0</v>
      </c>
      <c r="BP1331" s="7">
        <f>Wapato_Inventory[[#This Row],[Fin BSMT]]*Lookups!$B$19</f>
        <v>0</v>
      </c>
      <c r="BQ1331" s="7">
        <f>(Wapato_Inventory[[#This Row],[att_gar]]+Wapato_Inventory[[#This Row],[blt_gar]])*Lookups!$B$20</f>
        <v>0</v>
      </c>
      <c r="BR1331" s="7">
        <f>Wapato_Inventory[[#This Row],[Patio]]*Lookups!$B$21</f>
        <v>0</v>
      </c>
      <c r="BS1331" s="7">
        <f>SUM(Wapato_Inventory[[#This Row],[intercept]:[patio_value]])*Wapato_Inventory[[#This Row],[res_pct]]</f>
        <v>0</v>
      </c>
      <c r="BT1331" s="7">
        <f>Wapato_Inventory[[#This Row],[land_value]]</f>
        <v>55700</v>
      </c>
      <c r="BU1331" s="2">
        <f>_xlfn.IFNA(VLOOKUP(Wapato_Inventory[[#This Row],[quality]],Lookups!$A$28:$C$37,3,FALSE),1)</f>
        <v>1</v>
      </c>
      <c r="BV1331" s="2">
        <f>_xlfn.IFNA(VLOOKUP(Wapato_Inventory[[#This Row],[condition]],Lookups!$A$41:$C$48,3,FALSE),1)</f>
        <v>1</v>
      </c>
      <c r="BW1331" s="2">
        <f>IF(Wapato_Inventory[[#This Row],[decade]]="",1,_xlfn.IFNA(VLOOKUP(Wapato_Inventory[[#This Row],[decade]],Lookups!$F$28:$H$45,3,FALSE),1))</f>
        <v>1</v>
      </c>
      <c r="BX1331" s="2">
        <f>_xlfn.IFNA(VLOOKUP(Wapato_Inventory[[#This Row],[living_area_range]],Lookups!$K$28:$M$37,3,FALSE),1)</f>
        <v>1</v>
      </c>
      <c r="BY1331" s="2">
        <f>AVERAGE(Wapato_Inventory[[#This Row],[qual_adj]:[range_adj]])</f>
        <v>1</v>
      </c>
      <c r="BZ1331" s="7">
        <f>(Wapato_Inventory[[#This Row],[sum_land]]-IF(Wapato_Inventory[[#This Row],[no_utilities]]=1,12000,0))/IF(Wapato_Inventory[[#This Row],[unbuildable]]=1,2,1)</f>
        <v>27850</v>
      </c>
      <c r="CA1331" s="7">
        <f>Wapato_Inventory[[#This Row],[pre_res]]*Wapato_Inventory[[#This Row],[overall_adj]]</f>
        <v>0</v>
      </c>
      <c r="CB1331" s="3">
        <f>IF(ROUND(Wapato_Inventory[[#This Row],[adj_land]]*Lookups!$H$48,-2)&lt;Wapato_Inventory[[#This Row],[min_land]],Wapato_Inventory[[#This Row],[min_land]],ROUND(Wapato_Inventory[[#This Row],[adj_land]]*Lookups!$H$48,-2))</f>
        <v>26500</v>
      </c>
      <c r="CC133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31" s="3">
        <f>ROUND(Wapato_Inventory[[#This Row],[det_value]]*Lookups!$H$48,-2)</f>
        <v>0</v>
      </c>
      <c r="CE1331" s="3">
        <f>Wapato_Inventory[[#This Row],[final_res]]+Wapato_Inventory[[#This Row],[final_det]]</f>
        <v>0</v>
      </c>
      <c r="CF1331" s="3">
        <f>Wapato_Inventory[[#This Row],[crop_value]]+Wapato_Inventory[[#This Row],[final_land]]+Wapato_Inventory[[#This Row],[final_imp]]</f>
        <v>26500</v>
      </c>
      <c r="CH1331" t="str">
        <f t="shared" si="21"/>
        <v>update valuation set market_land =26500, market_bldg=0, market_total =26500, market_mdno =405, market_date ='9/10/2023' where link_id = (select link_id from parcel where parcel_year = '2024' and parcel_id = '19111641020');</v>
      </c>
    </row>
    <row r="1332" spans="1:86" x14ac:dyDescent="0.25">
      <c r="A1332">
        <v>19111641021</v>
      </c>
      <c r="B1332">
        <v>0.32</v>
      </c>
      <c r="C1332">
        <v>14128</v>
      </c>
      <c r="D1332" t="s">
        <v>144</v>
      </c>
      <c r="E1332" t="s">
        <v>54</v>
      </c>
      <c r="F1332" t="s">
        <v>54</v>
      </c>
      <c r="G1332">
        <v>3</v>
      </c>
      <c r="H1332" t="s">
        <v>55</v>
      </c>
      <c r="I1332">
        <v>0</v>
      </c>
      <c r="J1332">
        <v>38900</v>
      </c>
      <c r="K1332">
        <v>0.32</v>
      </c>
      <c r="L1332">
        <f>IF(Wapato_Inventory[[#This Row],[parcel_acres]]-Wapato_Inventory[[#This Row],[non_valued_acres]] =0,0,LN(Wapato_Inventory[[#This Row],[parcel_acres]]-Wapato_Inventory[[#This Row],[non_valued_acres]]))</f>
        <v>-1.1394342831883648</v>
      </c>
      <c r="M1332">
        <v>0</v>
      </c>
      <c r="N1332">
        <v>1</v>
      </c>
      <c r="O1332">
        <v>0</v>
      </c>
      <c r="P1332">
        <v>27904.037</v>
      </c>
      <c r="Q1332">
        <v>74398</v>
      </c>
      <c r="R1332" s="3">
        <f>(Wapato_Inventory[[#This Row],[ln_acres]]*Wapato_Inventory[[#This Row],[coeff]])+Wapato_Inventory[[#This Row],[const]]</f>
        <v>42603.18360284339</v>
      </c>
      <c r="AY1332">
        <v>0</v>
      </c>
      <c r="AZ1332">
        <v>0</v>
      </c>
      <c r="BE1332">
        <v>0</v>
      </c>
      <c r="BF1332">
        <v>12000</v>
      </c>
      <c r="BG1332">
        <v>0</v>
      </c>
      <c r="BH1332" s="7">
        <f>ROUND(Wapato_Inventory[[#This Row],[detatched_value]]*Lookups!$B$22*Lookups!$H$48,-2)</f>
        <v>0</v>
      </c>
      <c r="BI1332" s="7">
        <f>ROUND(((Wapato_Inventory[[#This Row],[land_extract]]*Lookups!$B$3) +(Lookups!$B$2*0.5))*Lookups!$H$48,-2)</f>
        <v>55200</v>
      </c>
      <c r="BJ1332" s="7">
        <f>IF(Wapato_Inventory[[#This Row],[bldg_style]]="",0,Lookups!$B$2*0.5)</f>
        <v>0</v>
      </c>
      <c r="BK1332" s="7">
        <f>_xlfn.IFNA(VLOOKUP(Wapato_Inventory[[#This Row],[quality]],Lookups!$H$2:$J$14,3,FALSE),0)</f>
        <v>0</v>
      </c>
      <c r="BL1332" s="7">
        <f>_xlfn.IFNA(VLOOKUP(Wapato_Inventory[[#This Row],[condition]],Lookups!$H$17:$J$24,3,FALSE),0)</f>
        <v>0</v>
      </c>
      <c r="BM1332" s="7">
        <f>Wapato_Inventory[[#This Row],[Age]]*Lookups!$B$16</f>
        <v>0</v>
      </c>
      <c r="BN1332" s="7">
        <f>Wapato_Inventory[[#This Row],[Main Floor]]*Lookups!$B$17</f>
        <v>0</v>
      </c>
      <c r="BO1332" s="7">
        <f>Wapato_Inventory[[#This Row],[Upper Floor]]*Lookups!$B$18</f>
        <v>0</v>
      </c>
      <c r="BP1332" s="7">
        <f>Wapato_Inventory[[#This Row],[Fin BSMT]]*Lookups!$B$19</f>
        <v>0</v>
      </c>
      <c r="BQ1332" s="7">
        <f>(Wapato_Inventory[[#This Row],[att_gar]]+Wapato_Inventory[[#This Row],[blt_gar]])*Lookups!$B$20</f>
        <v>0</v>
      </c>
      <c r="BR1332" s="7">
        <f>Wapato_Inventory[[#This Row],[Patio]]*Lookups!$B$21</f>
        <v>0</v>
      </c>
      <c r="BS1332" s="7">
        <f>SUM(Wapato_Inventory[[#This Row],[intercept]:[patio_value]])*Wapato_Inventory[[#This Row],[res_pct]]</f>
        <v>0</v>
      </c>
      <c r="BT1332" s="7">
        <f>Wapato_Inventory[[#This Row],[land_value]]</f>
        <v>55200</v>
      </c>
      <c r="BU1332" s="2">
        <f>_xlfn.IFNA(VLOOKUP(Wapato_Inventory[[#This Row],[quality]],Lookups!$A$28:$C$37,3,FALSE),1)</f>
        <v>1</v>
      </c>
      <c r="BV1332" s="2">
        <f>_xlfn.IFNA(VLOOKUP(Wapato_Inventory[[#This Row],[condition]],Lookups!$A$41:$C$48,3,FALSE),1)</f>
        <v>1</v>
      </c>
      <c r="BW1332" s="2">
        <f>IF(Wapato_Inventory[[#This Row],[decade]]="",1,_xlfn.IFNA(VLOOKUP(Wapato_Inventory[[#This Row],[decade]],Lookups!$F$28:$H$45,3,FALSE),1))</f>
        <v>1</v>
      </c>
      <c r="BX1332" s="2">
        <f>_xlfn.IFNA(VLOOKUP(Wapato_Inventory[[#This Row],[living_area_range]],Lookups!$K$28:$M$37,3,FALSE),1)</f>
        <v>1</v>
      </c>
      <c r="BY1332" s="2">
        <f>AVERAGE(Wapato_Inventory[[#This Row],[qual_adj]:[range_adj]])</f>
        <v>1</v>
      </c>
      <c r="BZ1332" s="7">
        <f>(Wapato_Inventory[[#This Row],[sum_land]]-IF(Wapato_Inventory[[#This Row],[no_utilities]]=1,12000,0))/IF(Wapato_Inventory[[#This Row],[unbuildable]]=1,2,1)</f>
        <v>27600</v>
      </c>
      <c r="CA1332" s="7">
        <f>Wapato_Inventory[[#This Row],[pre_res]]*Wapato_Inventory[[#This Row],[overall_adj]]</f>
        <v>0</v>
      </c>
      <c r="CB1332" s="3">
        <f>IF(ROUND(Wapato_Inventory[[#This Row],[adj_land]]*Lookups!$H$48,-2)&lt;Wapato_Inventory[[#This Row],[min_land]],Wapato_Inventory[[#This Row],[min_land]],ROUND(Wapato_Inventory[[#This Row],[adj_land]]*Lookups!$H$48,-2))</f>
        <v>26200</v>
      </c>
      <c r="CC133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32" s="3">
        <f>ROUND(Wapato_Inventory[[#This Row],[det_value]]*Lookups!$H$48,-2)</f>
        <v>0</v>
      </c>
      <c r="CE1332" s="3">
        <f>Wapato_Inventory[[#This Row],[final_res]]+Wapato_Inventory[[#This Row],[final_det]]</f>
        <v>0</v>
      </c>
      <c r="CF1332" s="3">
        <f>Wapato_Inventory[[#This Row],[crop_value]]+Wapato_Inventory[[#This Row],[final_land]]+Wapato_Inventory[[#This Row],[final_imp]]</f>
        <v>26200</v>
      </c>
      <c r="CH1332" t="str">
        <f t="shared" si="21"/>
        <v>update valuation set market_land =26200, market_bldg=0, market_total =26200, market_mdno =405, market_date ='9/10/2023' where link_id = (select link_id from parcel where parcel_year = '2024' and parcel_id = '19111641021');</v>
      </c>
    </row>
    <row r="1333" spans="1:86" x14ac:dyDescent="0.25">
      <c r="A1333">
        <v>19111641023</v>
      </c>
      <c r="B1333">
        <v>0.47</v>
      </c>
      <c r="C1333">
        <v>20612</v>
      </c>
      <c r="D1333" t="s">
        <v>144</v>
      </c>
      <c r="E1333" t="s">
        <v>54</v>
      </c>
      <c r="F1333" t="s">
        <v>54</v>
      </c>
      <c r="G1333">
        <v>3</v>
      </c>
      <c r="H1333" t="s">
        <v>55</v>
      </c>
      <c r="I1333">
        <v>8700</v>
      </c>
      <c r="J1333">
        <v>41700</v>
      </c>
      <c r="K1333">
        <v>0.47</v>
      </c>
      <c r="L1333">
        <f>IF(Wapato_Inventory[[#This Row],[parcel_acres]]-Wapato_Inventory[[#This Row],[non_valued_acres]] =0,0,LN(Wapato_Inventory[[#This Row],[parcel_acres]]-Wapato_Inventory[[#This Row],[non_valued_acres]]))</f>
        <v>-0.75502258427803282</v>
      </c>
      <c r="M1333">
        <v>0</v>
      </c>
      <c r="N1333">
        <v>0</v>
      </c>
      <c r="O1333">
        <v>0</v>
      </c>
      <c r="P1333">
        <v>27904.037</v>
      </c>
      <c r="Q1333">
        <v>74398</v>
      </c>
      <c r="R1333" s="3">
        <f>(Wapato_Inventory[[#This Row],[ln_acres]]*Wapato_Inventory[[#This Row],[coeff]])+Wapato_Inventory[[#This Row],[const]]</f>
        <v>53329.821872470158</v>
      </c>
      <c r="AY1333">
        <v>0</v>
      </c>
      <c r="AZ1333">
        <v>9500</v>
      </c>
      <c r="BE1333">
        <v>0</v>
      </c>
      <c r="BF1333">
        <v>15000</v>
      </c>
      <c r="BG1333">
        <v>0</v>
      </c>
      <c r="BH1333" s="7">
        <f>ROUND(Wapato_Inventory[[#This Row],[detatched_value]]*Lookups!$B$22*Lookups!$H$48,-2)</f>
        <v>8500</v>
      </c>
      <c r="BI1333" s="7">
        <f>ROUND(((Wapato_Inventory[[#This Row],[land_extract]]*Lookups!$B$3) +(Lookups!$B$2*0.5))*Lookups!$H$48,-2)</f>
        <v>56200</v>
      </c>
      <c r="BJ1333" s="7">
        <f>IF(Wapato_Inventory[[#This Row],[bldg_style]]="",0,Lookups!$B$2*0.5)</f>
        <v>0</v>
      </c>
      <c r="BK1333" s="7">
        <f>_xlfn.IFNA(VLOOKUP(Wapato_Inventory[[#This Row],[quality]],Lookups!$H$2:$J$14,3,FALSE),0)</f>
        <v>0</v>
      </c>
      <c r="BL1333" s="7">
        <f>_xlfn.IFNA(VLOOKUP(Wapato_Inventory[[#This Row],[condition]],Lookups!$H$17:$J$24,3,FALSE),0)</f>
        <v>0</v>
      </c>
      <c r="BM1333" s="7">
        <f>Wapato_Inventory[[#This Row],[Age]]*Lookups!$B$16</f>
        <v>0</v>
      </c>
      <c r="BN1333" s="7">
        <f>Wapato_Inventory[[#This Row],[Main Floor]]*Lookups!$B$17</f>
        <v>0</v>
      </c>
      <c r="BO1333" s="7">
        <f>Wapato_Inventory[[#This Row],[Upper Floor]]*Lookups!$B$18</f>
        <v>0</v>
      </c>
      <c r="BP1333" s="7">
        <f>Wapato_Inventory[[#This Row],[Fin BSMT]]*Lookups!$B$19</f>
        <v>0</v>
      </c>
      <c r="BQ1333" s="7">
        <f>(Wapato_Inventory[[#This Row],[att_gar]]+Wapato_Inventory[[#This Row],[blt_gar]])*Lookups!$B$20</f>
        <v>0</v>
      </c>
      <c r="BR1333" s="7">
        <f>Wapato_Inventory[[#This Row],[Patio]]*Lookups!$B$21</f>
        <v>0</v>
      </c>
      <c r="BS1333" s="7">
        <f>SUM(Wapato_Inventory[[#This Row],[intercept]:[patio_value]])*Wapato_Inventory[[#This Row],[res_pct]]</f>
        <v>0</v>
      </c>
      <c r="BT1333" s="7">
        <f>Wapato_Inventory[[#This Row],[land_value]]</f>
        <v>56200</v>
      </c>
      <c r="BU1333" s="2">
        <f>_xlfn.IFNA(VLOOKUP(Wapato_Inventory[[#This Row],[quality]],Lookups!$A$28:$C$37,3,FALSE),1)</f>
        <v>1</v>
      </c>
      <c r="BV1333" s="2">
        <f>_xlfn.IFNA(VLOOKUP(Wapato_Inventory[[#This Row],[condition]],Lookups!$A$41:$C$48,3,FALSE),1)</f>
        <v>1</v>
      </c>
      <c r="BW1333" s="2">
        <f>IF(Wapato_Inventory[[#This Row],[decade]]="",1,_xlfn.IFNA(VLOOKUP(Wapato_Inventory[[#This Row],[decade]],Lookups!$F$28:$H$45,3,FALSE),1))</f>
        <v>1</v>
      </c>
      <c r="BX1333" s="2">
        <f>_xlfn.IFNA(VLOOKUP(Wapato_Inventory[[#This Row],[living_area_range]],Lookups!$K$28:$M$37,3,FALSE),1)</f>
        <v>1</v>
      </c>
      <c r="BY1333" s="2">
        <f>AVERAGE(Wapato_Inventory[[#This Row],[qual_adj]:[range_adj]])</f>
        <v>1</v>
      </c>
      <c r="BZ1333" s="7">
        <f>(Wapato_Inventory[[#This Row],[sum_land]]-IF(Wapato_Inventory[[#This Row],[no_utilities]]=1,12000,0))/IF(Wapato_Inventory[[#This Row],[unbuildable]]=1,2,1)</f>
        <v>56200</v>
      </c>
      <c r="CA1333" s="7">
        <f>Wapato_Inventory[[#This Row],[pre_res]]*Wapato_Inventory[[#This Row],[overall_adj]]</f>
        <v>0</v>
      </c>
      <c r="CB1333" s="3">
        <f>IF(ROUND(Wapato_Inventory[[#This Row],[adj_land]]*Lookups!$H$48,-2)&lt;Wapato_Inventory[[#This Row],[min_land]],Wapato_Inventory[[#This Row],[min_land]],ROUND(Wapato_Inventory[[#This Row],[adj_land]]*Lookups!$H$48,-2))</f>
        <v>53400</v>
      </c>
      <c r="CC133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33" s="3">
        <f>ROUND(Wapato_Inventory[[#This Row],[det_value]]*Lookups!$H$48,-2)</f>
        <v>8100</v>
      </c>
      <c r="CE1333" s="3">
        <f>Wapato_Inventory[[#This Row],[final_res]]+Wapato_Inventory[[#This Row],[final_det]]</f>
        <v>8100</v>
      </c>
      <c r="CF1333" s="3">
        <f>Wapato_Inventory[[#This Row],[crop_value]]+Wapato_Inventory[[#This Row],[final_land]]+Wapato_Inventory[[#This Row],[final_imp]]</f>
        <v>61500</v>
      </c>
      <c r="CH1333" t="str">
        <f t="shared" si="21"/>
        <v>update valuation set market_land =53400, market_bldg=8100, market_total =61500, market_mdno =405, market_date ='9/10/2023' where link_id = (select link_id from parcel where parcel_year = '2024' and parcel_id = '19111641023');</v>
      </c>
    </row>
    <row r="1334" spans="1:86" x14ac:dyDescent="0.25">
      <c r="A1334">
        <v>19111641401</v>
      </c>
      <c r="B1334">
        <v>0.96</v>
      </c>
      <c r="C1334" t="s">
        <v>144</v>
      </c>
      <c r="D1334" t="s">
        <v>144</v>
      </c>
      <c r="E1334" t="s">
        <v>54</v>
      </c>
      <c r="F1334" t="s">
        <v>54</v>
      </c>
      <c r="G1334">
        <v>3</v>
      </c>
      <c r="H1334" t="s">
        <v>55</v>
      </c>
      <c r="I1334">
        <v>53900</v>
      </c>
      <c r="J1334">
        <v>47000</v>
      </c>
      <c r="K1334">
        <v>0.96</v>
      </c>
      <c r="L1334">
        <f>IF(Wapato_Inventory[[#This Row],[parcel_acres]]-Wapato_Inventory[[#This Row],[non_valued_acres]] =0,0,LN(Wapato_Inventory[[#This Row],[parcel_acres]]-Wapato_Inventory[[#This Row],[non_valued_acres]]))</f>
        <v>-4.0821994520255166E-2</v>
      </c>
      <c r="M1334">
        <v>0</v>
      </c>
      <c r="N1334">
        <v>0</v>
      </c>
      <c r="O1334">
        <v>0</v>
      </c>
      <c r="P1334">
        <v>27904.037</v>
      </c>
      <c r="Q1334">
        <v>74398</v>
      </c>
      <c r="R1334" s="3">
        <f>(Wapato_Inventory[[#This Row],[ln_acres]]*Wapato_Inventory[[#This Row],[coeff]])+Wapato_Inventory[[#This Row],[const]]</f>
        <v>73258.901554493001</v>
      </c>
      <c r="AY1334">
        <v>0</v>
      </c>
      <c r="AZ1334">
        <v>66400</v>
      </c>
      <c r="BE1334">
        <v>0</v>
      </c>
      <c r="BF1334">
        <v>15000</v>
      </c>
      <c r="BG1334">
        <v>0</v>
      </c>
      <c r="BH1334" s="7">
        <f>ROUND(Wapato_Inventory[[#This Row],[detatched_value]]*Lookups!$B$22*Lookups!$H$48,-2)</f>
        <v>59300</v>
      </c>
      <c r="BI1334" s="7">
        <f>ROUND(((Wapato_Inventory[[#This Row],[land_extract]]*Lookups!$B$3) +(Lookups!$B$2*0.5))*Lookups!$H$48,-2)</f>
        <v>58100</v>
      </c>
      <c r="BJ1334" s="7">
        <f>IF(Wapato_Inventory[[#This Row],[bldg_style]]="",0,Lookups!$B$2*0.5)</f>
        <v>0</v>
      </c>
      <c r="BK1334" s="7">
        <f>_xlfn.IFNA(VLOOKUP(Wapato_Inventory[[#This Row],[quality]],Lookups!$H$2:$J$14,3,FALSE),0)</f>
        <v>0</v>
      </c>
      <c r="BL1334" s="7">
        <f>_xlfn.IFNA(VLOOKUP(Wapato_Inventory[[#This Row],[condition]],Lookups!$H$17:$J$24,3,FALSE),0)</f>
        <v>0</v>
      </c>
      <c r="BM1334" s="7">
        <f>Wapato_Inventory[[#This Row],[Age]]*Lookups!$B$16</f>
        <v>0</v>
      </c>
      <c r="BN1334" s="7">
        <f>Wapato_Inventory[[#This Row],[Main Floor]]*Lookups!$B$17</f>
        <v>0</v>
      </c>
      <c r="BO1334" s="7">
        <f>Wapato_Inventory[[#This Row],[Upper Floor]]*Lookups!$B$18</f>
        <v>0</v>
      </c>
      <c r="BP1334" s="7">
        <f>Wapato_Inventory[[#This Row],[Fin BSMT]]*Lookups!$B$19</f>
        <v>0</v>
      </c>
      <c r="BQ1334" s="7">
        <f>(Wapato_Inventory[[#This Row],[att_gar]]+Wapato_Inventory[[#This Row],[blt_gar]])*Lookups!$B$20</f>
        <v>0</v>
      </c>
      <c r="BR1334" s="7">
        <f>Wapato_Inventory[[#This Row],[Patio]]*Lookups!$B$21</f>
        <v>0</v>
      </c>
      <c r="BS1334" s="7">
        <f>SUM(Wapato_Inventory[[#This Row],[intercept]:[patio_value]])*Wapato_Inventory[[#This Row],[res_pct]]</f>
        <v>0</v>
      </c>
      <c r="BT1334" s="7">
        <f>Wapato_Inventory[[#This Row],[land_value]]</f>
        <v>58100</v>
      </c>
      <c r="BU1334" s="2">
        <f>_xlfn.IFNA(VLOOKUP(Wapato_Inventory[[#This Row],[quality]],Lookups!$A$28:$C$37,3,FALSE),1)</f>
        <v>1</v>
      </c>
      <c r="BV1334" s="2">
        <f>_xlfn.IFNA(VLOOKUP(Wapato_Inventory[[#This Row],[condition]],Lookups!$A$41:$C$48,3,FALSE),1)</f>
        <v>1</v>
      </c>
      <c r="BW1334" s="2">
        <f>IF(Wapato_Inventory[[#This Row],[decade]]="",1,_xlfn.IFNA(VLOOKUP(Wapato_Inventory[[#This Row],[decade]],Lookups!$F$28:$H$45,3,FALSE),1))</f>
        <v>1</v>
      </c>
      <c r="BX1334" s="2">
        <f>_xlfn.IFNA(VLOOKUP(Wapato_Inventory[[#This Row],[living_area_range]],Lookups!$K$28:$M$37,3,FALSE),1)</f>
        <v>1</v>
      </c>
      <c r="BY1334" s="2">
        <f>AVERAGE(Wapato_Inventory[[#This Row],[qual_adj]:[range_adj]])</f>
        <v>1</v>
      </c>
      <c r="BZ1334" s="7">
        <f>(Wapato_Inventory[[#This Row],[sum_land]]-IF(Wapato_Inventory[[#This Row],[no_utilities]]=1,12000,0))/IF(Wapato_Inventory[[#This Row],[unbuildable]]=1,2,1)</f>
        <v>58100</v>
      </c>
      <c r="CA1334" s="7">
        <f>Wapato_Inventory[[#This Row],[pre_res]]*Wapato_Inventory[[#This Row],[overall_adj]]</f>
        <v>0</v>
      </c>
      <c r="CB1334" s="3">
        <f>IF(ROUND(Wapato_Inventory[[#This Row],[adj_land]]*Lookups!$H$48,-2)&lt;Wapato_Inventory[[#This Row],[min_land]],Wapato_Inventory[[#This Row],[min_land]],ROUND(Wapato_Inventory[[#This Row],[adj_land]]*Lookups!$H$48,-2))</f>
        <v>55200</v>
      </c>
      <c r="CC133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34" s="3">
        <f>ROUND(Wapato_Inventory[[#This Row],[det_value]]*Lookups!$H$48,-2)</f>
        <v>56300</v>
      </c>
      <c r="CE1334" s="3">
        <f>Wapato_Inventory[[#This Row],[final_res]]+Wapato_Inventory[[#This Row],[final_det]]</f>
        <v>56300</v>
      </c>
      <c r="CF1334" s="3">
        <f>Wapato_Inventory[[#This Row],[crop_value]]+Wapato_Inventory[[#This Row],[final_land]]+Wapato_Inventory[[#This Row],[final_imp]]</f>
        <v>111500</v>
      </c>
      <c r="CH1334" t="str">
        <f t="shared" si="21"/>
        <v>update valuation set market_land =55200, market_bldg=56300, market_total =111500, market_mdno =405, market_date ='9/10/2023' where link_id = (select link_id from parcel where parcel_year = '2024' and parcel_id = '19111641401');</v>
      </c>
    </row>
    <row r="1335" spans="1:86" x14ac:dyDescent="0.25">
      <c r="A1335">
        <v>19111644022</v>
      </c>
      <c r="B1335">
        <v>0.98</v>
      </c>
      <c r="C1335">
        <v>42744</v>
      </c>
      <c r="D1335" t="s">
        <v>144</v>
      </c>
      <c r="E1335" t="s">
        <v>54</v>
      </c>
      <c r="F1335" t="s">
        <v>54</v>
      </c>
      <c r="G1335">
        <v>3</v>
      </c>
      <c r="H1335" t="s">
        <v>55</v>
      </c>
      <c r="I1335">
        <v>0</v>
      </c>
      <c r="J1335">
        <v>47100</v>
      </c>
      <c r="K1335">
        <v>0.98</v>
      </c>
      <c r="L1335">
        <f>IF(Wapato_Inventory[[#This Row],[parcel_acres]]-Wapato_Inventory[[#This Row],[non_valued_acres]] =0,0,LN(Wapato_Inventory[[#This Row],[parcel_acres]]-Wapato_Inventory[[#This Row],[non_valued_acres]]))</f>
        <v>-2.0202707317519466E-2</v>
      </c>
      <c r="M1335">
        <v>0</v>
      </c>
      <c r="N1335">
        <v>1</v>
      </c>
      <c r="O1335">
        <v>0</v>
      </c>
      <c r="P1335">
        <v>27904.037</v>
      </c>
      <c r="Q1335">
        <v>74398</v>
      </c>
      <c r="R1335" s="3">
        <f>(Wapato_Inventory[[#This Row],[ln_acres]]*Wapato_Inventory[[#This Row],[coeff]])+Wapato_Inventory[[#This Row],[const]]</f>
        <v>73834.262907511773</v>
      </c>
      <c r="AY1335">
        <v>0</v>
      </c>
      <c r="AZ1335">
        <v>0</v>
      </c>
      <c r="BE1335">
        <v>0</v>
      </c>
      <c r="BF1335">
        <v>12000</v>
      </c>
      <c r="BG1335">
        <v>0</v>
      </c>
      <c r="BH1335" s="7">
        <f>ROUND(Wapato_Inventory[[#This Row],[detatched_value]]*Lookups!$B$22*Lookups!$H$48,-2)</f>
        <v>0</v>
      </c>
      <c r="BI1335" s="7">
        <f>ROUND(((Wapato_Inventory[[#This Row],[land_extract]]*Lookups!$B$3) +(Lookups!$B$2*0.5))*Lookups!$H$48,-2)</f>
        <v>58200</v>
      </c>
      <c r="BJ1335" s="7">
        <f>IF(Wapato_Inventory[[#This Row],[bldg_style]]="",0,Lookups!$B$2*0.5)</f>
        <v>0</v>
      </c>
      <c r="BK1335" s="7">
        <f>_xlfn.IFNA(VLOOKUP(Wapato_Inventory[[#This Row],[quality]],Lookups!$H$2:$J$14,3,FALSE),0)</f>
        <v>0</v>
      </c>
      <c r="BL1335" s="7">
        <f>_xlfn.IFNA(VLOOKUP(Wapato_Inventory[[#This Row],[condition]],Lookups!$H$17:$J$24,3,FALSE),0)</f>
        <v>0</v>
      </c>
      <c r="BM1335" s="7">
        <f>Wapato_Inventory[[#This Row],[Age]]*Lookups!$B$16</f>
        <v>0</v>
      </c>
      <c r="BN1335" s="7">
        <f>Wapato_Inventory[[#This Row],[Main Floor]]*Lookups!$B$17</f>
        <v>0</v>
      </c>
      <c r="BO1335" s="7">
        <f>Wapato_Inventory[[#This Row],[Upper Floor]]*Lookups!$B$18</f>
        <v>0</v>
      </c>
      <c r="BP1335" s="7">
        <f>Wapato_Inventory[[#This Row],[Fin BSMT]]*Lookups!$B$19</f>
        <v>0</v>
      </c>
      <c r="BQ1335" s="7">
        <f>(Wapato_Inventory[[#This Row],[att_gar]]+Wapato_Inventory[[#This Row],[blt_gar]])*Lookups!$B$20</f>
        <v>0</v>
      </c>
      <c r="BR1335" s="7">
        <f>Wapato_Inventory[[#This Row],[Patio]]*Lookups!$B$21</f>
        <v>0</v>
      </c>
      <c r="BS1335" s="7">
        <f>SUM(Wapato_Inventory[[#This Row],[intercept]:[patio_value]])*Wapato_Inventory[[#This Row],[res_pct]]</f>
        <v>0</v>
      </c>
      <c r="BT1335" s="7">
        <f>Wapato_Inventory[[#This Row],[land_value]]</f>
        <v>58200</v>
      </c>
      <c r="BU1335" s="2">
        <f>_xlfn.IFNA(VLOOKUP(Wapato_Inventory[[#This Row],[quality]],Lookups!$A$28:$C$37,3,FALSE),1)</f>
        <v>1</v>
      </c>
      <c r="BV1335" s="2">
        <f>_xlfn.IFNA(VLOOKUP(Wapato_Inventory[[#This Row],[condition]],Lookups!$A$41:$C$48,3,FALSE),1)</f>
        <v>1</v>
      </c>
      <c r="BW1335" s="2">
        <f>IF(Wapato_Inventory[[#This Row],[decade]]="",1,_xlfn.IFNA(VLOOKUP(Wapato_Inventory[[#This Row],[decade]],Lookups!$F$28:$H$45,3,FALSE),1))</f>
        <v>1</v>
      </c>
      <c r="BX1335" s="2">
        <f>_xlfn.IFNA(VLOOKUP(Wapato_Inventory[[#This Row],[living_area_range]],Lookups!$K$28:$M$37,3,FALSE),1)</f>
        <v>1</v>
      </c>
      <c r="BY1335" s="2">
        <f>AVERAGE(Wapato_Inventory[[#This Row],[qual_adj]:[range_adj]])</f>
        <v>1</v>
      </c>
      <c r="BZ1335" s="7">
        <f>(Wapato_Inventory[[#This Row],[sum_land]]-IF(Wapato_Inventory[[#This Row],[no_utilities]]=1,12000,0))/IF(Wapato_Inventory[[#This Row],[unbuildable]]=1,2,1)</f>
        <v>29100</v>
      </c>
      <c r="CA1335" s="7">
        <f>Wapato_Inventory[[#This Row],[pre_res]]*Wapato_Inventory[[#This Row],[overall_adj]]</f>
        <v>0</v>
      </c>
      <c r="CB1335" s="3">
        <f>IF(ROUND(Wapato_Inventory[[#This Row],[adj_land]]*Lookups!$H$48,-2)&lt;Wapato_Inventory[[#This Row],[min_land]],Wapato_Inventory[[#This Row],[min_land]],ROUND(Wapato_Inventory[[#This Row],[adj_land]]*Lookups!$H$48,-2))</f>
        <v>27600</v>
      </c>
      <c r="CC133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35" s="3">
        <f>ROUND(Wapato_Inventory[[#This Row],[det_value]]*Lookups!$H$48,-2)</f>
        <v>0</v>
      </c>
      <c r="CE1335" s="3">
        <f>Wapato_Inventory[[#This Row],[final_res]]+Wapato_Inventory[[#This Row],[final_det]]</f>
        <v>0</v>
      </c>
      <c r="CF1335" s="3">
        <f>Wapato_Inventory[[#This Row],[crop_value]]+Wapato_Inventory[[#This Row],[final_land]]+Wapato_Inventory[[#This Row],[final_imp]]</f>
        <v>27600</v>
      </c>
      <c r="CH1335" t="str">
        <f t="shared" si="21"/>
        <v>update valuation set market_land =27600, market_bldg=0, market_total =27600, market_mdno =405, market_date ='9/10/2023' where link_id = (select link_id from parcel where parcel_year = '2024' and parcel_id = '19111644022');</v>
      </c>
    </row>
    <row r="1336" spans="1:86" x14ac:dyDescent="0.25">
      <c r="A1336">
        <v>19111644023</v>
      </c>
      <c r="B1336">
        <v>0.55000000000000004</v>
      </c>
      <c r="C1336">
        <v>23940</v>
      </c>
      <c r="D1336" t="s">
        <v>144</v>
      </c>
      <c r="E1336" t="s">
        <v>54</v>
      </c>
      <c r="F1336" t="s">
        <v>54</v>
      </c>
      <c r="G1336">
        <v>3</v>
      </c>
      <c r="H1336" t="s">
        <v>55</v>
      </c>
      <c r="I1336">
        <v>0</v>
      </c>
      <c r="J1336">
        <v>42900</v>
      </c>
      <c r="K1336">
        <v>0.55000000000000004</v>
      </c>
      <c r="L1336">
        <f>IF(Wapato_Inventory[[#This Row],[parcel_acres]]-Wapato_Inventory[[#This Row],[non_valued_acres]] =0,0,LN(Wapato_Inventory[[#This Row],[parcel_acres]]-Wapato_Inventory[[#This Row],[non_valued_acres]]))</f>
        <v>-0.59783700075562041</v>
      </c>
      <c r="M1336">
        <v>0</v>
      </c>
      <c r="N1336">
        <v>0</v>
      </c>
      <c r="O1336">
        <v>0</v>
      </c>
      <c r="P1336">
        <v>27904.037</v>
      </c>
      <c r="Q1336">
        <v>74398</v>
      </c>
      <c r="R1336" s="3">
        <f>(Wapato_Inventory[[#This Row],[ln_acres]]*Wapato_Inventory[[#This Row],[coeff]])+Wapato_Inventory[[#This Row],[const]]</f>
        <v>57715.934210946143</v>
      </c>
      <c r="AY1336">
        <v>0</v>
      </c>
      <c r="AZ1336">
        <v>0</v>
      </c>
      <c r="BE1336">
        <v>0</v>
      </c>
      <c r="BF1336">
        <v>15000</v>
      </c>
      <c r="BG1336">
        <v>0</v>
      </c>
      <c r="BH1336" s="7">
        <f>ROUND(Wapato_Inventory[[#This Row],[detatched_value]]*Lookups!$B$22*Lookups!$H$48,-2)</f>
        <v>0</v>
      </c>
      <c r="BI1336" s="7">
        <f>ROUND(((Wapato_Inventory[[#This Row],[land_extract]]*Lookups!$B$3) +(Lookups!$B$2*0.5))*Lookups!$H$48,-2)</f>
        <v>56600</v>
      </c>
      <c r="BJ1336" s="7">
        <f>IF(Wapato_Inventory[[#This Row],[bldg_style]]="",0,Lookups!$B$2*0.5)</f>
        <v>0</v>
      </c>
      <c r="BK1336" s="7">
        <f>_xlfn.IFNA(VLOOKUP(Wapato_Inventory[[#This Row],[quality]],Lookups!$H$2:$J$14,3,FALSE),0)</f>
        <v>0</v>
      </c>
      <c r="BL1336" s="7">
        <f>_xlfn.IFNA(VLOOKUP(Wapato_Inventory[[#This Row],[condition]],Lookups!$H$17:$J$24,3,FALSE),0)</f>
        <v>0</v>
      </c>
      <c r="BM1336" s="7">
        <f>Wapato_Inventory[[#This Row],[Age]]*Lookups!$B$16</f>
        <v>0</v>
      </c>
      <c r="BN1336" s="7">
        <f>Wapato_Inventory[[#This Row],[Main Floor]]*Lookups!$B$17</f>
        <v>0</v>
      </c>
      <c r="BO1336" s="7">
        <f>Wapato_Inventory[[#This Row],[Upper Floor]]*Lookups!$B$18</f>
        <v>0</v>
      </c>
      <c r="BP1336" s="7">
        <f>Wapato_Inventory[[#This Row],[Fin BSMT]]*Lookups!$B$19</f>
        <v>0</v>
      </c>
      <c r="BQ1336" s="7">
        <f>(Wapato_Inventory[[#This Row],[att_gar]]+Wapato_Inventory[[#This Row],[blt_gar]])*Lookups!$B$20</f>
        <v>0</v>
      </c>
      <c r="BR1336" s="7">
        <f>Wapato_Inventory[[#This Row],[Patio]]*Lookups!$B$21</f>
        <v>0</v>
      </c>
      <c r="BS1336" s="7">
        <f>SUM(Wapato_Inventory[[#This Row],[intercept]:[patio_value]])*Wapato_Inventory[[#This Row],[res_pct]]</f>
        <v>0</v>
      </c>
      <c r="BT1336" s="7">
        <f>Wapato_Inventory[[#This Row],[land_value]]</f>
        <v>56600</v>
      </c>
      <c r="BU1336" s="2">
        <f>_xlfn.IFNA(VLOOKUP(Wapato_Inventory[[#This Row],[quality]],Lookups!$A$28:$C$37,3,FALSE),1)</f>
        <v>1</v>
      </c>
      <c r="BV1336" s="2">
        <f>_xlfn.IFNA(VLOOKUP(Wapato_Inventory[[#This Row],[condition]],Lookups!$A$41:$C$48,3,FALSE),1)</f>
        <v>1</v>
      </c>
      <c r="BW1336" s="2">
        <f>IF(Wapato_Inventory[[#This Row],[decade]]="",1,_xlfn.IFNA(VLOOKUP(Wapato_Inventory[[#This Row],[decade]],Lookups!$F$28:$H$45,3,FALSE),1))</f>
        <v>1</v>
      </c>
      <c r="BX1336" s="2">
        <f>_xlfn.IFNA(VLOOKUP(Wapato_Inventory[[#This Row],[living_area_range]],Lookups!$K$28:$M$37,3,FALSE),1)</f>
        <v>1</v>
      </c>
      <c r="BY1336" s="2">
        <f>AVERAGE(Wapato_Inventory[[#This Row],[qual_adj]:[range_adj]])</f>
        <v>1</v>
      </c>
      <c r="BZ1336" s="7">
        <f>(Wapato_Inventory[[#This Row],[sum_land]]-IF(Wapato_Inventory[[#This Row],[no_utilities]]=1,12000,0))/IF(Wapato_Inventory[[#This Row],[unbuildable]]=1,2,1)</f>
        <v>56600</v>
      </c>
      <c r="CA1336" s="7">
        <f>Wapato_Inventory[[#This Row],[pre_res]]*Wapato_Inventory[[#This Row],[overall_adj]]</f>
        <v>0</v>
      </c>
      <c r="CB1336" s="3">
        <f>IF(ROUND(Wapato_Inventory[[#This Row],[adj_land]]*Lookups!$H$48,-2)&lt;Wapato_Inventory[[#This Row],[min_land]],Wapato_Inventory[[#This Row],[min_land]],ROUND(Wapato_Inventory[[#This Row],[adj_land]]*Lookups!$H$48,-2))</f>
        <v>53800</v>
      </c>
      <c r="CC1336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36" s="3">
        <f>ROUND(Wapato_Inventory[[#This Row],[det_value]]*Lookups!$H$48,-2)</f>
        <v>0</v>
      </c>
      <c r="CE1336" s="3">
        <f>Wapato_Inventory[[#This Row],[final_res]]+Wapato_Inventory[[#This Row],[final_det]]</f>
        <v>0</v>
      </c>
      <c r="CF1336" s="3">
        <f>Wapato_Inventory[[#This Row],[crop_value]]+Wapato_Inventory[[#This Row],[final_land]]+Wapato_Inventory[[#This Row],[final_imp]]</f>
        <v>53800</v>
      </c>
      <c r="CH1336" t="str">
        <f t="shared" si="21"/>
        <v>update valuation set market_land =53800, market_bldg=0, market_total =53800, market_mdno =405, market_date ='9/10/2023' where link_id = (select link_id from parcel where parcel_year = '2024' and parcel_id = '19111644023');</v>
      </c>
    </row>
    <row r="1337" spans="1:86" x14ac:dyDescent="0.25">
      <c r="A1337">
        <v>19111644401</v>
      </c>
      <c r="B1337">
        <v>0.96</v>
      </c>
      <c r="C1337">
        <v>41694</v>
      </c>
      <c r="D1337" t="s">
        <v>144</v>
      </c>
      <c r="E1337" t="s">
        <v>54</v>
      </c>
      <c r="F1337" t="s">
        <v>54</v>
      </c>
      <c r="G1337">
        <v>3</v>
      </c>
      <c r="H1337" t="s">
        <v>55</v>
      </c>
      <c r="I1337">
        <v>0</v>
      </c>
      <c r="J1337">
        <v>47000</v>
      </c>
      <c r="K1337">
        <v>0.96</v>
      </c>
      <c r="L1337">
        <f>IF(Wapato_Inventory[[#This Row],[parcel_acres]]-Wapato_Inventory[[#This Row],[non_valued_acres]] =0,0,LN(Wapato_Inventory[[#This Row],[parcel_acres]]-Wapato_Inventory[[#This Row],[non_valued_acres]]))</f>
        <v>-4.0821994520255166E-2</v>
      </c>
      <c r="M1337">
        <v>0</v>
      </c>
      <c r="N1337">
        <v>0</v>
      </c>
      <c r="O1337">
        <v>0</v>
      </c>
      <c r="P1337">
        <v>27904.037</v>
      </c>
      <c r="Q1337">
        <v>74398</v>
      </c>
      <c r="R1337" s="3">
        <f>(Wapato_Inventory[[#This Row],[ln_acres]]*Wapato_Inventory[[#This Row],[coeff]])+Wapato_Inventory[[#This Row],[const]]</f>
        <v>73258.901554493001</v>
      </c>
      <c r="AY1337">
        <v>0</v>
      </c>
      <c r="AZ1337">
        <v>0</v>
      </c>
      <c r="BE1337">
        <v>0</v>
      </c>
      <c r="BF1337">
        <v>15000</v>
      </c>
      <c r="BG1337">
        <v>0</v>
      </c>
      <c r="BH1337" s="7">
        <f>ROUND(Wapato_Inventory[[#This Row],[detatched_value]]*Lookups!$B$22*Lookups!$H$48,-2)</f>
        <v>0</v>
      </c>
      <c r="BI1337" s="7">
        <f>ROUND(((Wapato_Inventory[[#This Row],[land_extract]]*Lookups!$B$3) +(Lookups!$B$2*0.5))*Lookups!$H$48,-2)</f>
        <v>58100</v>
      </c>
      <c r="BJ1337" s="7">
        <f>IF(Wapato_Inventory[[#This Row],[bldg_style]]="",0,Lookups!$B$2*0.5)</f>
        <v>0</v>
      </c>
      <c r="BK1337" s="7">
        <f>_xlfn.IFNA(VLOOKUP(Wapato_Inventory[[#This Row],[quality]],Lookups!$H$2:$J$14,3,FALSE),0)</f>
        <v>0</v>
      </c>
      <c r="BL1337" s="7">
        <f>_xlfn.IFNA(VLOOKUP(Wapato_Inventory[[#This Row],[condition]],Lookups!$H$17:$J$24,3,FALSE),0)</f>
        <v>0</v>
      </c>
      <c r="BM1337" s="7">
        <f>Wapato_Inventory[[#This Row],[Age]]*Lookups!$B$16</f>
        <v>0</v>
      </c>
      <c r="BN1337" s="7">
        <f>Wapato_Inventory[[#This Row],[Main Floor]]*Lookups!$B$17</f>
        <v>0</v>
      </c>
      <c r="BO1337" s="7">
        <f>Wapato_Inventory[[#This Row],[Upper Floor]]*Lookups!$B$18</f>
        <v>0</v>
      </c>
      <c r="BP1337" s="7">
        <f>Wapato_Inventory[[#This Row],[Fin BSMT]]*Lookups!$B$19</f>
        <v>0</v>
      </c>
      <c r="BQ1337" s="7">
        <f>(Wapato_Inventory[[#This Row],[att_gar]]+Wapato_Inventory[[#This Row],[blt_gar]])*Lookups!$B$20</f>
        <v>0</v>
      </c>
      <c r="BR1337" s="7">
        <f>Wapato_Inventory[[#This Row],[Patio]]*Lookups!$B$21</f>
        <v>0</v>
      </c>
      <c r="BS1337" s="7">
        <f>SUM(Wapato_Inventory[[#This Row],[intercept]:[patio_value]])*Wapato_Inventory[[#This Row],[res_pct]]</f>
        <v>0</v>
      </c>
      <c r="BT1337" s="7">
        <f>Wapato_Inventory[[#This Row],[land_value]]</f>
        <v>58100</v>
      </c>
      <c r="BU1337" s="2">
        <f>_xlfn.IFNA(VLOOKUP(Wapato_Inventory[[#This Row],[quality]],Lookups!$A$28:$C$37,3,FALSE),1)</f>
        <v>1</v>
      </c>
      <c r="BV1337" s="2">
        <f>_xlfn.IFNA(VLOOKUP(Wapato_Inventory[[#This Row],[condition]],Lookups!$A$41:$C$48,3,FALSE),1)</f>
        <v>1</v>
      </c>
      <c r="BW1337" s="2">
        <f>IF(Wapato_Inventory[[#This Row],[decade]]="",1,_xlfn.IFNA(VLOOKUP(Wapato_Inventory[[#This Row],[decade]],Lookups!$F$28:$H$45,3,FALSE),1))</f>
        <v>1</v>
      </c>
      <c r="BX1337" s="2">
        <f>_xlfn.IFNA(VLOOKUP(Wapato_Inventory[[#This Row],[living_area_range]],Lookups!$K$28:$M$37,3,FALSE),1)</f>
        <v>1</v>
      </c>
      <c r="BY1337" s="2">
        <f>AVERAGE(Wapato_Inventory[[#This Row],[qual_adj]:[range_adj]])</f>
        <v>1</v>
      </c>
      <c r="BZ1337" s="7">
        <f>(Wapato_Inventory[[#This Row],[sum_land]]-IF(Wapato_Inventory[[#This Row],[no_utilities]]=1,12000,0))/IF(Wapato_Inventory[[#This Row],[unbuildable]]=1,2,1)</f>
        <v>58100</v>
      </c>
      <c r="CA1337" s="7">
        <f>Wapato_Inventory[[#This Row],[pre_res]]*Wapato_Inventory[[#This Row],[overall_adj]]</f>
        <v>0</v>
      </c>
      <c r="CB1337" s="3">
        <f>IF(ROUND(Wapato_Inventory[[#This Row],[adj_land]]*Lookups!$H$48,-2)&lt;Wapato_Inventory[[#This Row],[min_land]],Wapato_Inventory[[#This Row],[min_land]],ROUND(Wapato_Inventory[[#This Row],[adj_land]]*Lookups!$H$48,-2))</f>
        <v>55200</v>
      </c>
      <c r="CC1337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37" s="3">
        <f>ROUND(Wapato_Inventory[[#This Row],[det_value]]*Lookups!$H$48,-2)</f>
        <v>0</v>
      </c>
      <c r="CE1337" s="3">
        <f>Wapato_Inventory[[#This Row],[final_res]]+Wapato_Inventory[[#This Row],[final_det]]</f>
        <v>0</v>
      </c>
      <c r="CF1337" s="3">
        <f>Wapato_Inventory[[#This Row],[crop_value]]+Wapato_Inventory[[#This Row],[final_land]]+Wapato_Inventory[[#This Row],[final_imp]]</f>
        <v>55200</v>
      </c>
      <c r="CH1337" t="str">
        <f t="shared" si="21"/>
        <v>update valuation set market_land =55200, market_bldg=0, market_total =55200, market_mdno =405, market_date ='9/10/2023' where link_id = (select link_id from parcel where parcel_year = '2024' and parcel_id = '19111644401');</v>
      </c>
    </row>
    <row r="1338" spans="1:86" x14ac:dyDescent="0.25">
      <c r="A1338">
        <v>19112211003</v>
      </c>
      <c r="B1338">
        <v>0.22</v>
      </c>
      <c r="C1338">
        <v>9546</v>
      </c>
      <c r="D1338" t="s">
        <v>144</v>
      </c>
      <c r="E1338" t="s">
        <v>54</v>
      </c>
      <c r="F1338" t="s">
        <v>54</v>
      </c>
      <c r="G1338">
        <v>3</v>
      </c>
      <c r="H1338" t="s">
        <v>55</v>
      </c>
      <c r="I1338">
        <v>0</v>
      </c>
      <c r="J1338">
        <v>36100</v>
      </c>
      <c r="K1338">
        <v>0.22</v>
      </c>
      <c r="L1338">
        <f>IF(Wapato_Inventory[[#This Row],[parcel_acres]]-Wapato_Inventory[[#This Row],[non_valued_acres]] =0,0,LN(Wapato_Inventory[[#This Row],[parcel_acres]]-Wapato_Inventory[[#This Row],[non_valued_acres]]))</f>
        <v>-1.5141277326297755</v>
      </c>
      <c r="M1338">
        <v>0</v>
      </c>
      <c r="N1338">
        <v>0</v>
      </c>
      <c r="O1338">
        <v>0</v>
      </c>
      <c r="P1338">
        <v>27904.037</v>
      </c>
      <c r="Q1338">
        <v>74398</v>
      </c>
      <c r="R1338" s="3">
        <f>(Wapato_Inventory[[#This Row],[ln_acres]]*Wapato_Inventory[[#This Row],[coeff]])+Wapato_Inventory[[#This Row],[const]]</f>
        <v>32147.723725972639</v>
      </c>
      <c r="AY1338">
        <v>0</v>
      </c>
      <c r="AZ1338">
        <v>0</v>
      </c>
      <c r="BE1338">
        <v>0</v>
      </c>
      <c r="BF1338">
        <v>15000</v>
      </c>
      <c r="BG1338">
        <v>0</v>
      </c>
      <c r="BH1338" s="7">
        <f>ROUND(Wapato_Inventory[[#This Row],[detatched_value]]*Lookups!$B$22*Lookups!$H$48,-2)</f>
        <v>0</v>
      </c>
      <c r="BI1338" s="7">
        <f>ROUND(((Wapato_Inventory[[#This Row],[land_extract]]*Lookups!$B$3) +(Lookups!$B$2*0.5))*Lookups!$H$48,-2)</f>
        <v>54200</v>
      </c>
      <c r="BJ1338" s="7">
        <f>IF(Wapato_Inventory[[#This Row],[bldg_style]]="",0,Lookups!$B$2*0.5)</f>
        <v>0</v>
      </c>
      <c r="BK1338" s="7">
        <f>_xlfn.IFNA(VLOOKUP(Wapato_Inventory[[#This Row],[quality]],Lookups!$H$2:$J$14,3,FALSE),0)</f>
        <v>0</v>
      </c>
      <c r="BL1338" s="7">
        <f>_xlfn.IFNA(VLOOKUP(Wapato_Inventory[[#This Row],[condition]],Lookups!$H$17:$J$24,3,FALSE),0)</f>
        <v>0</v>
      </c>
      <c r="BM1338" s="7">
        <f>Wapato_Inventory[[#This Row],[Age]]*Lookups!$B$16</f>
        <v>0</v>
      </c>
      <c r="BN1338" s="7">
        <f>Wapato_Inventory[[#This Row],[Main Floor]]*Lookups!$B$17</f>
        <v>0</v>
      </c>
      <c r="BO1338" s="7">
        <f>Wapato_Inventory[[#This Row],[Upper Floor]]*Lookups!$B$18</f>
        <v>0</v>
      </c>
      <c r="BP1338" s="7">
        <f>Wapato_Inventory[[#This Row],[Fin BSMT]]*Lookups!$B$19</f>
        <v>0</v>
      </c>
      <c r="BQ1338" s="7">
        <f>(Wapato_Inventory[[#This Row],[att_gar]]+Wapato_Inventory[[#This Row],[blt_gar]])*Lookups!$B$20</f>
        <v>0</v>
      </c>
      <c r="BR1338" s="7">
        <f>Wapato_Inventory[[#This Row],[Patio]]*Lookups!$B$21</f>
        <v>0</v>
      </c>
      <c r="BS1338" s="7">
        <f>SUM(Wapato_Inventory[[#This Row],[intercept]:[patio_value]])*Wapato_Inventory[[#This Row],[res_pct]]</f>
        <v>0</v>
      </c>
      <c r="BT1338" s="7">
        <f>Wapato_Inventory[[#This Row],[land_value]]</f>
        <v>54200</v>
      </c>
      <c r="BU1338" s="2">
        <f>_xlfn.IFNA(VLOOKUP(Wapato_Inventory[[#This Row],[quality]],Lookups!$A$28:$C$37,3,FALSE),1)</f>
        <v>1</v>
      </c>
      <c r="BV1338" s="2">
        <f>_xlfn.IFNA(VLOOKUP(Wapato_Inventory[[#This Row],[condition]],Lookups!$A$41:$C$48,3,FALSE),1)</f>
        <v>1</v>
      </c>
      <c r="BW1338" s="2">
        <f>IF(Wapato_Inventory[[#This Row],[decade]]="",1,_xlfn.IFNA(VLOOKUP(Wapato_Inventory[[#This Row],[decade]],Lookups!$F$28:$H$45,3,FALSE),1))</f>
        <v>1</v>
      </c>
      <c r="BX1338" s="2">
        <f>_xlfn.IFNA(VLOOKUP(Wapato_Inventory[[#This Row],[living_area_range]],Lookups!$K$28:$M$37,3,FALSE),1)</f>
        <v>1</v>
      </c>
      <c r="BY1338" s="2">
        <f>AVERAGE(Wapato_Inventory[[#This Row],[qual_adj]:[range_adj]])</f>
        <v>1</v>
      </c>
      <c r="BZ1338" s="7">
        <f>(Wapato_Inventory[[#This Row],[sum_land]]-IF(Wapato_Inventory[[#This Row],[no_utilities]]=1,12000,0))/IF(Wapato_Inventory[[#This Row],[unbuildable]]=1,2,1)</f>
        <v>54200</v>
      </c>
      <c r="CA1338" s="7">
        <f>Wapato_Inventory[[#This Row],[pre_res]]*Wapato_Inventory[[#This Row],[overall_adj]]</f>
        <v>0</v>
      </c>
      <c r="CB1338" s="3">
        <f>IF(ROUND(Wapato_Inventory[[#This Row],[adj_land]]*Lookups!$H$48,-2)&lt;Wapato_Inventory[[#This Row],[min_land]],Wapato_Inventory[[#This Row],[min_land]],ROUND(Wapato_Inventory[[#This Row],[adj_land]]*Lookups!$H$48,-2))</f>
        <v>51500</v>
      </c>
      <c r="CC1338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38" s="3">
        <f>ROUND(Wapato_Inventory[[#This Row],[det_value]]*Lookups!$H$48,-2)</f>
        <v>0</v>
      </c>
      <c r="CE1338" s="3">
        <f>Wapato_Inventory[[#This Row],[final_res]]+Wapato_Inventory[[#This Row],[final_det]]</f>
        <v>0</v>
      </c>
      <c r="CF1338" s="3">
        <f>Wapato_Inventory[[#This Row],[crop_value]]+Wapato_Inventory[[#This Row],[final_land]]+Wapato_Inventory[[#This Row],[final_imp]]</f>
        <v>51500</v>
      </c>
      <c r="CH1338" t="str">
        <f t="shared" si="21"/>
        <v>update valuation set market_land =51500, market_bldg=0, market_total =51500, market_mdno =405, market_date ='9/10/2023' where link_id = (select link_id from parcel where parcel_year = '2024' and parcel_id = '19112211003');</v>
      </c>
    </row>
    <row r="1339" spans="1:86" x14ac:dyDescent="0.25">
      <c r="A1339">
        <v>19112211447</v>
      </c>
      <c r="B1339">
        <v>0.15</v>
      </c>
      <c r="C1339">
        <v>6439</v>
      </c>
      <c r="D1339" t="s">
        <v>144</v>
      </c>
      <c r="E1339" t="s">
        <v>54</v>
      </c>
      <c r="F1339" t="s">
        <v>54</v>
      </c>
      <c r="G1339">
        <v>3</v>
      </c>
      <c r="H1339" t="s">
        <v>55</v>
      </c>
      <c r="I1339">
        <v>8000</v>
      </c>
      <c r="J1339">
        <v>33300</v>
      </c>
      <c r="K1339">
        <v>0.15</v>
      </c>
      <c r="L1339">
        <f>IF(Wapato_Inventory[[#This Row],[parcel_acres]]-Wapato_Inventory[[#This Row],[non_valued_acres]] =0,0,LN(Wapato_Inventory[[#This Row],[parcel_acres]]-Wapato_Inventory[[#This Row],[non_valued_acres]]))</f>
        <v>-1.8971199848858813</v>
      </c>
      <c r="M1339">
        <v>0</v>
      </c>
      <c r="N1339">
        <v>0</v>
      </c>
      <c r="O1339">
        <v>1</v>
      </c>
      <c r="P1339">
        <v>27904.037</v>
      </c>
      <c r="Q1339">
        <v>74398</v>
      </c>
      <c r="R1339" s="3">
        <f>(Wapato_Inventory[[#This Row],[ln_acres]]*Wapato_Inventory[[#This Row],[coeff]])+Wapato_Inventory[[#This Row],[const]]</f>
        <v>21460.693748304926</v>
      </c>
      <c r="AY1339">
        <v>0</v>
      </c>
      <c r="AZ1339">
        <v>9500</v>
      </c>
      <c r="BE1339">
        <v>0</v>
      </c>
      <c r="BF1339">
        <v>3000</v>
      </c>
      <c r="BG1339">
        <v>0</v>
      </c>
      <c r="BH1339" s="7">
        <f>ROUND(Wapato_Inventory[[#This Row],[detatched_value]]*Lookups!$B$22*Lookups!$H$48,-2)</f>
        <v>8500</v>
      </c>
      <c r="BI1339" s="7">
        <f>ROUND(((Wapato_Inventory[[#This Row],[land_extract]]*Lookups!$B$3) +(Lookups!$B$2*0.5))*Lookups!$H$48,-2)</f>
        <v>53100</v>
      </c>
      <c r="BJ1339" s="7">
        <f>IF(Wapato_Inventory[[#This Row],[bldg_style]]="",0,Lookups!$B$2*0.5)</f>
        <v>0</v>
      </c>
      <c r="BK1339" s="7">
        <f>_xlfn.IFNA(VLOOKUP(Wapato_Inventory[[#This Row],[quality]],Lookups!$H$2:$J$14,3,FALSE),0)</f>
        <v>0</v>
      </c>
      <c r="BL1339" s="7">
        <f>_xlfn.IFNA(VLOOKUP(Wapato_Inventory[[#This Row],[condition]],Lookups!$H$17:$J$24,3,FALSE),0)</f>
        <v>0</v>
      </c>
      <c r="BM1339" s="7">
        <f>Wapato_Inventory[[#This Row],[Age]]*Lookups!$B$16</f>
        <v>0</v>
      </c>
      <c r="BN1339" s="7">
        <f>Wapato_Inventory[[#This Row],[Main Floor]]*Lookups!$B$17</f>
        <v>0</v>
      </c>
      <c r="BO1339" s="7">
        <f>Wapato_Inventory[[#This Row],[Upper Floor]]*Lookups!$B$18</f>
        <v>0</v>
      </c>
      <c r="BP1339" s="7">
        <f>Wapato_Inventory[[#This Row],[Fin BSMT]]*Lookups!$B$19</f>
        <v>0</v>
      </c>
      <c r="BQ1339" s="7">
        <f>(Wapato_Inventory[[#This Row],[att_gar]]+Wapato_Inventory[[#This Row],[blt_gar]])*Lookups!$B$20</f>
        <v>0</v>
      </c>
      <c r="BR1339" s="7">
        <f>Wapato_Inventory[[#This Row],[Patio]]*Lookups!$B$21</f>
        <v>0</v>
      </c>
      <c r="BS1339" s="7">
        <f>SUM(Wapato_Inventory[[#This Row],[intercept]:[patio_value]])*Wapato_Inventory[[#This Row],[res_pct]]</f>
        <v>0</v>
      </c>
      <c r="BT1339" s="7">
        <f>Wapato_Inventory[[#This Row],[land_value]]</f>
        <v>53100</v>
      </c>
      <c r="BU1339" s="2">
        <f>_xlfn.IFNA(VLOOKUP(Wapato_Inventory[[#This Row],[quality]],Lookups!$A$28:$C$37,3,FALSE),1)</f>
        <v>1</v>
      </c>
      <c r="BV1339" s="2">
        <f>_xlfn.IFNA(VLOOKUP(Wapato_Inventory[[#This Row],[condition]],Lookups!$A$41:$C$48,3,FALSE),1)</f>
        <v>1</v>
      </c>
      <c r="BW1339" s="2">
        <f>IF(Wapato_Inventory[[#This Row],[decade]]="",1,_xlfn.IFNA(VLOOKUP(Wapato_Inventory[[#This Row],[decade]],Lookups!$F$28:$H$45,3,FALSE),1))</f>
        <v>1</v>
      </c>
      <c r="BX1339" s="2">
        <f>_xlfn.IFNA(VLOOKUP(Wapato_Inventory[[#This Row],[living_area_range]],Lookups!$K$28:$M$37,3,FALSE),1)</f>
        <v>1</v>
      </c>
      <c r="BY1339" s="2">
        <f>AVERAGE(Wapato_Inventory[[#This Row],[qual_adj]:[range_adj]])</f>
        <v>1</v>
      </c>
      <c r="BZ1339" s="7">
        <f>(Wapato_Inventory[[#This Row],[sum_land]]-IF(Wapato_Inventory[[#This Row],[no_utilities]]=1,12000,0))/IF(Wapato_Inventory[[#This Row],[unbuildable]]=1,2,1)</f>
        <v>41100</v>
      </c>
      <c r="CA1339" s="7">
        <f>Wapato_Inventory[[#This Row],[pre_res]]*Wapato_Inventory[[#This Row],[overall_adj]]</f>
        <v>0</v>
      </c>
      <c r="CB1339" s="3">
        <f>IF(ROUND(Wapato_Inventory[[#This Row],[adj_land]]*Lookups!$H$48,-2)&lt;Wapato_Inventory[[#This Row],[min_land]],Wapato_Inventory[[#This Row],[min_land]],ROUND(Wapato_Inventory[[#This Row],[adj_land]]*Lookups!$H$48,-2))</f>
        <v>39000</v>
      </c>
      <c r="CC1339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39" s="3">
        <f>ROUND(Wapato_Inventory[[#This Row],[det_value]]*Lookups!$H$48,-2)</f>
        <v>8100</v>
      </c>
      <c r="CE1339" s="3">
        <f>Wapato_Inventory[[#This Row],[final_res]]+Wapato_Inventory[[#This Row],[final_det]]</f>
        <v>8100</v>
      </c>
      <c r="CF1339" s="3">
        <f>Wapato_Inventory[[#This Row],[crop_value]]+Wapato_Inventory[[#This Row],[final_land]]+Wapato_Inventory[[#This Row],[final_imp]]</f>
        <v>47100</v>
      </c>
      <c r="CH1339" t="str">
        <f t="shared" si="21"/>
        <v>update valuation set market_land =39000, market_bldg=8100, market_total =47100, market_mdno =405, market_date ='9/10/2023' where link_id = (select link_id from parcel where parcel_year = '2024' and parcel_id = '19112211447');</v>
      </c>
    </row>
    <row r="1340" spans="1:86" x14ac:dyDescent="0.25">
      <c r="A1340">
        <v>19112214007</v>
      </c>
      <c r="B1340">
        <v>0.86</v>
      </c>
      <c r="C1340">
        <v>37258</v>
      </c>
      <c r="D1340" t="s">
        <v>144</v>
      </c>
      <c r="E1340" t="s">
        <v>54</v>
      </c>
      <c r="F1340" t="s">
        <v>54</v>
      </c>
      <c r="G1340">
        <v>3</v>
      </c>
      <c r="H1340" t="s">
        <v>55</v>
      </c>
      <c r="I1340">
        <v>4400</v>
      </c>
      <c r="J1340">
        <v>46200</v>
      </c>
      <c r="K1340">
        <v>0.86</v>
      </c>
      <c r="L1340">
        <f>IF(Wapato_Inventory[[#This Row],[parcel_acres]]-Wapato_Inventory[[#This Row],[non_valued_acres]] =0,0,LN(Wapato_Inventory[[#This Row],[parcel_acres]]-Wapato_Inventory[[#This Row],[non_valued_acres]]))</f>
        <v>-0.15082288973458366</v>
      </c>
      <c r="M1340">
        <v>0</v>
      </c>
      <c r="N1340">
        <v>0</v>
      </c>
      <c r="O1340">
        <v>1</v>
      </c>
      <c r="P1340">
        <v>27904.037</v>
      </c>
      <c r="Q1340">
        <v>74398</v>
      </c>
      <c r="R1340" s="3">
        <f>(Wapato_Inventory[[#This Row],[ln_acres]]*Wapato_Inventory[[#This Row],[coeff]])+Wapato_Inventory[[#This Row],[const]]</f>
        <v>70189.432504399258</v>
      </c>
      <c r="AY1340">
        <v>0</v>
      </c>
      <c r="AZ1340">
        <v>5300</v>
      </c>
      <c r="BE1340">
        <v>0</v>
      </c>
      <c r="BF1340">
        <v>3000</v>
      </c>
      <c r="BG1340">
        <v>0</v>
      </c>
      <c r="BH1340" s="7">
        <f>ROUND(Wapato_Inventory[[#This Row],[detatched_value]]*Lookups!$B$22*Lookups!$H$48,-2)</f>
        <v>4700</v>
      </c>
      <c r="BI1340" s="7">
        <f>ROUND(((Wapato_Inventory[[#This Row],[land_extract]]*Lookups!$B$3) +(Lookups!$B$2*0.5))*Lookups!$H$48,-2)</f>
        <v>57900</v>
      </c>
      <c r="BJ1340" s="7">
        <f>IF(Wapato_Inventory[[#This Row],[bldg_style]]="",0,Lookups!$B$2*0.5)</f>
        <v>0</v>
      </c>
      <c r="BK1340" s="7">
        <f>_xlfn.IFNA(VLOOKUP(Wapato_Inventory[[#This Row],[quality]],Lookups!$H$2:$J$14,3,FALSE),0)</f>
        <v>0</v>
      </c>
      <c r="BL1340" s="7">
        <f>_xlfn.IFNA(VLOOKUP(Wapato_Inventory[[#This Row],[condition]],Lookups!$H$17:$J$24,3,FALSE),0)</f>
        <v>0</v>
      </c>
      <c r="BM1340" s="7">
        <f>Wapato_Inventory[[#This Row],[Age]]*Lookups!$B$16</f>
        <v>0</v>
      </c>
      <c r="BN1340" s="7">
        <f>Wapato_Inventory[[#This Row],[Main Floor]]*Lookups!$B$17</f>
        <v>0</v>
      </c>
      <c r="BO1340" s="7">
        <f>Wapato_Inventory[[#This Row],[Upper Floor]]*Lookups!$B$18</f>
        <v>0</v>
      </c>
      <c r="BP1340" s="7">
        <f>Wapato_Inventory[[#This Row],[Fin BSMT]]*Lookups!$B$19</f>
        <v>0</v>
      </c>
      <c r="BQ1340" s="7">
        <f>(Wapato_Inventory[[#This Row],[att_gar]]+Wapato_Inventory[[#This Row],[blt_gar]])*Lookups!$B$20</f>
        <v>0</v>
      </c>
      <c r="BR1340" s="7">
        <f>Wapato_Inventory[[#This Row],[Patio]]*Lookups!$B$21</f>
        <v>0</v>
      </c>
      <c r="BS1340" s="7">
        <f>SUM(Wapato_Inventory[[#This Row],[intercept]:[patio_value]])*Wapato_Inventory[[#This Row],[res_pct]]</f>
        <v>0</v>
      </c>
      <c r="BT1340" s="7">
        <f>Wapato_Inventory[[#This Row],[land_value]]</f>
        <v>57900</v>
      </c>
      <c r="BU1340" s="2">
        <f>_xlfn.IFNA(VLOOKUP(Wapato_Inventory[[#This Row],[quality]],Lookups!$A$28:$C$37,3,FALSE),1)</f>
        <v>1</v>
      </c>
      <c r="BV1340" s="2">
        <f>_xlfn.IFNA(VLOOKUP(Wapato_Inventory[[#This Row],[condition]],Lookups!$A$41:$C$48,3,FALSE),1)</f>
        <v>1</v>
      </c>
      <c r="BW1340" s="2">
        <f>IF(Wapato_Inventory[[#This Row],[decade]]="",1,_xlfn.IFNA(VLOOKUP(Wapato_Inventory[[#This Row],[decade]],Lookups!$F$28:$H$45,3,FALSE),1))</f>
        <v>1</v>
      </c>
      <c r="BX1340" s="2">
        <f>_xlfn.IFNA(VLOOKUP(Wapato_Inventory[[#This Row],[living_area_range]],Lookups!$K$28:$M$37,3,FALSE),1)</f>
        <v>1</v>
      </c>
      <c r="BY1340" s="2">
        <f>AVERAGE(Wapato_Inventory[[#This Row],[qual_adj]:[range_adj]])</f>
        <v>1</v>
      </c>
      <c r="BZ1340" s="7">
        <f>(Wapato_Inventory[[#This Row],[sum_land]]-IF(Wapato_Inventory[[#This Row],[no_utilities]]=1,12000,0))/IF(Wapato_Inventory[[#This Row],[unbuildable]]=1,2,1)</f>
        <v>45900</v>
      </c>
      <c r="CA1340" s="7">
        <f>Wapato_Inventory[[#This Row],[pre_res]]*Wapato_Inventory[[#This Row],[overall_adj]]</f>
        <v>0</v>
      </c>
      <c r="CB1340" s="3">
        <f>IF(ROUND(Wapato_Inventory[[#This Row],[adj_land]]*Lookups!$H$48,-2)&lt;Wapato_Inventory[[#This Row],[min_land]],Wapato_Inventory[[#This Row],[min_land]],ROUND(Wapato_Inventory[[#This Row],[adj_land]]*Lookups!$H$48,-2))</f>
        <v>43600</v>
      </c>
      <c r="CC1340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40" s="3">
        <f>ROUND(Wapato_Inventory[[#This Row],[det_value]]*Lookups!$H$48,-2)</f>
        <v>4500</v>
      </c>
      <c r="CE1340" s="3">
        <f>Wapato_Inventory[[#This Row],[final_res]]+Wapato_Inventory[[#This Row],[final_det]]</f>
        <v>4500</v>
      </c>
      <c r="CF1340" s="3">
        <f>Wapato_Inventory[[#This Row],[crop_value]]+Wapato_Inventory[[#This Row],[final_land]]+Wapato_Inventory[[#This Row],[final_imp]]</f>
        <v>48100</v>
      </c>
      <c r="CH1340" t="str">
        <f t="shared" si="21"/>
        <v>update valuation set market_land =43600, market_bldg=4500, market_total =48100, market_mdno =405, market_date ='9/10/2023' where link_id = (select link_id from parcel where parcel_year = '2024' and parcel_id = '19112214007');</v>
      </c>
    </row>
    <row r="1341" spans="1:86" x14ac:dyDescent="0.25">
      <c r="A1341">
        <v>19112214406</v>
      </c>
      <c r="B1341">
        <v>0.18</v>
      </c>
      <c r="C1341" t="s">
        <v>144</v>
      </c>
      <c r="D1341" t="s">
        <v>144</v>
      </c>
      <c r="E1341" t="s">
        <v>54</v>
      </c>
      <c r="F1341" t="s">
        <v>54</v>
      </c>
      <c r="G1341">
        <v>3</v>
      </c>
      <c r="H1341" t="s">
        <v>55</v>
      </c>
      <c r="I1341">
        <v>0</v>
      </c>
      <c r="J1341">
        <v>34700</v>
      </c>
      <c r="K1341">
        <v>0.18</v>
      </c>
      <c r="L1341">
        <f>IF(Wapato_Inventory[[#This Row],[parcel_acres]]-Wapato_Inventory[[#This Row],[non_valued_acres]] =0,0,LN(Wapato_Inventory[[#This Row],[parcel_acres]]-Wapato_Inventory[[#This Row],[non_valued_acres]]))</f>
        <v>-1.7147984280919266</v>
      </c>
      <c r="M1341">
        <v>0</v>
      </c>
      <c r="N1341">
        <v>0</v>
      </c>
      <c r="O1341">
        <v>0</v>
      </c>
      <c r="P1341">
        <v>27904.037</v>
      </c>
      <c r="Q1341">
        <v>74398</v>
      </c>
      <c r="R1341" s="3">
        <f>(Wapato_Inventory[[#This Row],[ln_acres]]*Wapato_Inventory[[#This Row],[coeff]])+Wapato_Inventory[[#This Row],[const]]</f>
        <v>26548.20121498104</v>
      </c>
      <c r="AY1341">
        <v>0</v>
      </c>
      <c r="AZ1341">
        <v>0</v>
      </c>
      <c r="BE1341">
        <v>0</v>
      </c>
      <c r="BF1341">
        <v>15000</v>
      </c>
      <c r="BG1341">
        <v>0</v>
      </c>
      <c r="BH1341" s="7">
        <f>ROUND(Wapato_Inventory[[#This Row],[detatched_value]]*Lookups!$B$22*Lookups!$H$48,-2)</f>
        <v>0</v>
      </c>
      <c r="BI1341" s="7">
        <f>ROUND(((Wapato_Inventory[[#This Row],[land_extract]]*Lookups!$B$3) +(Lookups!$B$2*0.5))*Lookups!$H$48,-2)</f>
        <v>53600</v>
      </c>
      <c r="BJ1341" s="7">
        <f>IF(Wapato_Inventory[[#This Row],[bldg_style]]="",0,Lookups!$B$2*0.5)</f>
        <v>0</v>
      </c>
      <c r="BK1341" s="7">
        <f>_xlfn.IFNA(VLOOKUP(Wapato_Inventory[[#This Row],[quality]],Lookups!$H$2:$J$14,3,FALSE),0)</f>
        <v>0</v>
      </c>
      <c r="BL1341" s="7">
        <f>_xlfn.IFNA(VLOOKUP(Wapato_Inventory[[#This Row],[condition]],Lookups!$H$17:$J$24,3,FALSE),0)</f>
        <v>0</v>
      </c>
      <c r="BM1341" s="7">
        <f>Wapato_Inventory[[#This Row],[Age]]*Lookups!$B$16</f>
        <v>0</v>
      </c>
      <c r="BN1341" s="7">
        <f>Wapato_Inventory[[#This Row],[Main Floor]]*Lookups!$B$17</f>
        <v>0</v>
      </c>
      <c r="BO1341" s="7">
        <f>Wapato_Inventory[[#This Row],[Upper Floor]]*Lookups!$B$18</f>
        <v>0</v>
      </c>
      <c r="BP1341" s="7">
        <f>Wapato_Inventory[[#This Row],[Fin BSMT]]*Lookups!$B$19</f>
        <v>0</v>
      </c>
      <c r="BQ1341" s="7">
        <f>(Wapato_Inventory[[#This Row],[att_gar]]+Wapato_Inventory[[#This Row],[blt_gar]])*Lookups!$B$20</f>
        <v>0</v>
      </c>
      <c r="BR1341" s="7">
        <f>Wapato_Inventory[[#This Row],[Patio]]*Lookups!$B$21</f>
        <v>0</v>
      </c>
      <c r="BS1341" s="7">
        <f>SUM(Wapato_Inventory[[#This Row],[intercept]:[patio_value]])*Wapato_Inventory[[#This Row],[res_pct]]</f>
        <v>0</v>
      </c>
      <c r="BT1341" s="7">
        <f>Wapato_Inventory[[#This Row],[land_value]]</f>
        <v>53600</v>
      </c>
      <c r="BU1341" s="2">
        <f>_xlfn.IFNA(VLOOKUP(Wapato_Inventory[[#This Row],[quality]],Lookups!$A$28:$C$37,3,FALSE),1)</f>
        <v>1</v>
      </c>
      <c r="BV1341" s="2">
        <f>_xlfn.IFNA(VLOOKUP(Wapato_Inventory[[#This Row],[condition]],Lookups!$A$41:$C$48,3,FALSE),1)</f>
        <v>1</v>
      </c>
      <c r="BW1341" s="2">
        <f>IF(Wapato_Inventory[[#This Row],[decade]]="",1,_xlfn.IFNA(VLOOKUP(Wapato_Inventory[[#This Row],[decade]],Lookups!$F$28:$H$45,3,FALSE),1))</f>
        <v>1</v>
      </c>
      <c r="BX1341" s="2">
        <f>_xlfn.IFNA(VLOOKUP(Wapato_Inventory[[#This Row],[living_area_range]],Lookups!$K$28:$M$37,3,FALSE),1)</f>
        <v>1</v>
      </c>
      <c r="BY1341" s="2">
        <f>AVERAGE(Wapato_Inventory[[#This Row],[qual_adj]:[range_adj]])</f>
        <v>1</v>
      </c>
      <c r="BZ1341" s="7">
        <f>(Wapato_Inventory[[#This Row],[sum_land]]-IF(Wapato_Inventory[[#This Row],[no_utilities]]=1,12000,0))/IF(Wapato_Inventory[[#This Row],[unbuildable]]=1,2,1)</f>
        <v>53600</v>
      </c>
      <c r="CA1341" s="7">
        <f>Wapato_Inventory[[#This Row],[pre_res]]*Wapato_Inventory[[#This Row],[overall_adj]]</f>
        <v>0</v>
      </c>
      <c r="CB1341" s="3">
        <f>IF(ROUND(Wapato_Inventory[[#This Row],[adj_land]]*Lookups!$H$48,-2)&lt;Wapato_Inventory[[#This Row],[min_land]],Wapato_Inventory[[#This Row],[min_land]],ROUND(Wapato_Inventory[[#This Row],[adj_land]]*Lookups!$H$48,-2))</f>
        <v>50900</v>
      </c>
      <c r="CC1341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41" s="3">
        <f>ROUND(Wapato_Inventory[[#This Row],[det_value]]*Lookups!$H$48,-2)</f>
        <v>0</v>
      </c>
      <c r="CE1341" s="3">
        <f>Wapato_Inventory[[#This Row],[final_res]]+Wapato_Inventory[[#This Row],[final_det]]</f>
        <v>0</v>
      </c>
      <c r="CF1341" s="3">
        <f>Wapato_Inventory[[#This Row],[crop_value]]+Wapato_Inventory[[#This Row],[final_land]]+Wapato_Inventory[[#This Row],[final_imp]]</f>
        <v>50900</v>
      </c>
      <c r="CH1341" t="str">
        <f t="shared" si="21"/>
        <v>update valuation set market_land =50900, market_bldg=0, market_total =50900, market_mdno =405, market_date ='9/10/2023' where link_id = (select link_id from parcel where parcel_year = '2024' and parcel_id = '19112214406');</v>
      </c>
    </row>
    <row r="1342" spans="1:86" x14ac:dyDescent="0.25">
      <c r="A1342">
        <v>19112214442</v>
      </c>
      <c r="B1342">
        <v>0.2</v>
      </c>
      <c r="C1342">
        <v>8743</v>
      </c>
      <c r="D1342" t="s">
        <v>144</v>
      </c>
      <c r="E1342" t="s">
        <v>54</v>
      </c>
      <c r="F1342" t="s">
        <v>54</v>
      </c>
      <c r="G1342">
        <v>3</v>
      </c>
      <c r="H1342" t="s">
        <v>55</v>
      </c>
      <c r="I1342">
        <v>12600</v>
      </c>
      <c r="J1342">
        <v>35400</v>
      </c>
      <c r="K1342">
        <v>0.2</v>
      </c>
      <c r="L1342">
        <f>IF(Wapato_Inventory[[#This Row],[parcel_acres]]-Wapato_Inventory[[#This Row],[non_valued_acres]] =0,0,LN(Wapato_Inventory[[#This Row],[parcel_acres]]-Wapato_Inventory[[#This Row],[non_valued_acres]]))</f>
        <v>-1.6094379124341003</v>
      </c>
      <c r="M1342">
        <v>0</v>
      </c>
      <c r="N1342">
        <v>0</v>
      </c>
      <c r="O1342">
        <v>1</v>
      </c>
      <c r="P1342">
        <v>27904.037</v>
      </c>
      <c r="Q1342">
        <v>74398</v>
      </c>
      <c r="R1342" s="3">
        <f>(Wapato_Inventory[[#This Row],[ln_acres]]*Wapato_Inventory[[#This Row],[coeff]])+Wapato_Inventory[[#This Row],[const]]</f>
        <v>29488.184942236105</v>
      </c>
      <c r="AY1342">
        <v>0</v>
      </c>
      <c r="AZ1342">
        <v>15300</v>
      </c>
      <c r="BE1342">
        <v>0</v>
      </c>
      <c r="BF1342">
        <v>3000</v>
      </c>
      <c r="BG1342">
        <v>0</v>
      </c>
      <c r="BH1342" s="7">
        <f>ROUND(Wapato_Inventory[[#This Row],[detatched_value]]*Lookups!$B$22*Lookups!$H$48,-2)</f>
        <v>13700</v>
      </c>
      <c r="BI1342" s="7">
        <f>ROUND(((Wapato_Inventory[[#This Row],[land_extract]]*Lookups!$B$3) +(Lookups!$B$2*0.5))*Lookups!$H$48,-2)</f>
        <v>53900</v>
      </c>
      <c r="BJ1342" s="7">
        <f>IF(Wapato_Inventory[[#This Row],[bldg_style]]="",0,Lookups!$B$2*0.5)</f>
        <v>0</v>
      </c>
      <c r="BK1342" s="7">
        <f>_xlfn.IFNA(VLOOKUP(Wapato_Inventory[[#This Row],[quality]],Lookups!$H$2:$J$14,3,FALSE),0)</f>
        <v>0</v>
      </c>
      <c r="BL1342" s="7">
        <f>_xlfn.IFNA(VLOOKUP(Wapato_Inventory[[#This Row],[condition]],Lookups!$H$17:$J$24,3,FALSE),0)</f>
        <v>0</v>
      </c>
      <c r="BM1342" s="7">
        <f>Wapato_Inventory[[#This Row],[Age]]*Lookups!$B$16</f>
        <v>0</v>
      </c>
      <c r="BN1342" s="7">
        <f>Wapato_Inventory[[#This Row],[Main Floor]]*Lookups!$B$17</f>
        <v>0</v>
      </c>
      <c r="BO1342" s="7">
        <f>Wapato_Inventory[[#This Row],[Upper Floor]]*Lookups!$B$18</f>
        <v>0</v>
      </c>
      <c r="BP1342" s="7">
        <f>Wapato_Inventory[[#This Row],[Fin BSMT]]*Lookups!$B$19</f>
        <v>0</v>
      </c>
      <c r="BQ1342" s="7">
        <f>(Wapato_Inventory[[#This Row],[att_gar]]+Wapato_Inventory[[#This Row],[blt_gar]])*Lookups!$B$20</f>
        <v>0</v>
      </c>
      <c r="BR1342" s="7">
        <f>Wapato_Inventory[[#This Row],[Patio]]*Lookups!$B$21</f>
        <v>0</v>
      </c>
      <c r="BS1342" s="7">
        <f>SUM(Wapato_Inventory[[#This Row],[intercept]:[patio_value]])*Wapato_Inventory[[#This Row],[res_pct]]</f>
        <v>0</v>
      </c>
      <c r="BT1342" s="7">
        <f>Wapato_Inventory[[#This Row],[land_value]]</f>
        <v>53900</v>
      </c>
      <c r="BU1342" s="2">
        <f>_xlfn.IFNA(VLOOKUP(Wapato_Inventory[[#This Row],[quality]],Lookups!$A$28:$C$37,3,FALSE),1)</f>
        <v>1</v>
      </c>
      <c r="BV1342" s="2">
        <f>_xlfn.IFNA(VLOOKUP(Wapato_Inventory[[#This Row],[condition]],Lookups!$A$41:$C$48,3,FALSE),1)</f>
        <v>1</v>
      </c>
      <c r="BW1342" s="2">
        <f>IF(Wapato_Inventory[[#This Row],[decade]]="",1,_xlfn.IFNA(VLOOKUP(Wapato_Inventory[[#This Row],[decade]],Lookups!$F$28:$H$45,3,FALSE),1))</f>
        <v>1</v>
      </c>
      <c r="BX1342" s="2">
        <f>_xlfn.IFNA(VLOOKUP(Wapato_Inventory[[#This Row],[living_area_range]],Lookups!$K$28:$M$37,3,FALSE),1)</f>
        <v>1</v>
      </c>
      <c r="BY1342" s="2">
        <f>AVERAGE(Wapato_Inventory[[#This Row],[qual_adj]:[range_adj]])</f>
        <v>1</v>
      </c>
      <c r="BZ1342" s="7">
        <f>(Wapato_Inventory[[#This Row],[sum_land]]-IF(Wapato_Inventory[[#This Row],[no_utilities]]=1,12000,0))/IF(Wapato_Inventory[[#This Row],[unbuildable]]=1,2,1)</f>
        <v>41900</v>
      </c>
      <c r="CA1342" s="7">
        <f>Wapato_Inventory[[#This Row],[pre_res]]*Wapato_Inventory[[#This Row],[overall_adj]]</f>
        <v>0</v>
      </c>
      <c r="CB1342" s="3">
        <f>IF(ROUND(Wapato_Inventory[[#This Row],[adj_land]]*Lookups!$H$48,-2)&lt;Wapato_Inventory[[#This Row],[min_land]],Wapato_Inventory[[#This Row],[min_land]],ROUND(Wapato_Inventory[[#This Row],[adj_land]]*Lookups!$H$48,-2))</f>
        <v>39800</v>
      </c>
      <c r="CC1342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42" s="3">
        <f>ROUND(Wapato_Inventory[[#This Row],[det_value]]*Lookups!$H$48,-2)</f>
        <v>13000</v>
      </c>
      <c r="CE1342" s="3">
        <f>Wapato_Inventory[[#This Row],[final_res]]+Wapato_Inventory[[#This Row],[final_det]]</f>
        <v>13000</v>
      </c>
      <c r="CF1342" s="3">
        <f>Wapato_Inventory[[#This Row],[crop_value]]+Wapato_Inventory[[#This Row],[final_land]]+Wapato_Inventory[[#This Row],[final_imp]]</f>
        <v>52800</v>
      </c>
      <c r="CH1342" t="str">
        <f t="shared" si="21"/>
        <v>update valuation set market_land =39800, market_bldg=13000, market_total =52800, market_mdno =405, market_date ='9/10/2023' where link_id = (select link_id from parcel where parcel_year = '2024' and parcel_id = '19112214442');</v>
      </c>
    </row>
    <row r="1343" spans="1:86" x14ac:dyDescent="0.25">
      <c r="A1343">
        <v>19112214448</v>
      </c>
      <c r="B1343">
        <v>12.55</v>
      </c>
      <c r="C1343" t="s">
        <v>144</v>
      </c>
      <c r="D1343">
        <v>12.55</v>
      </c>
      <c r="E1343" t="s">
        <v>54</v>
      </c>
      <c r="F1343" t="s">
        <v>54</v>
      </c>
      <c r="G1343">
        <v>3</v>
      </c>
      <c r="H1343" t="s">
        <v>55</v>
      </c>
      <c r="I1343">
        <v>0</v>
      </c>
      <c r="J1343">
        <v>87900</v>
      </c>
      <c r="K1343">
        <v>12.55</v>
      </c>
      <c r="L1343">
        <f>IF(Wapato_Inventory[[#This Row],[parcel_acres]]-Wapato_Inventory[[#This Row],[non_valued_acres]] =0,0,LN(Wapato_Inventory[[#This Row],[parcel_acres]]-Wapato_Inventory[[#This Row],[non_valued_acres]]))</f>
        <v>2.5297206655777931</v>
      </c>
      <c r="M1343">
        <v>0</v>
      </c>
      <c r="N1343">
        <v>0</v>
      </c>
      <c r="O1343">
        <v>0</v>
      </c>
      <c r="P1343">
        <v>27904.037</v>
      </c>
      <c r="Q1343">
        <v>74398</v>
      </c>
      <c r="R1343" s="3">
        <f>(Wapato_Inventory[[#This Row],[ln_acres]]*Wapato_Inventory[[#This Row],[coeff]])+Wapato_Inventory[[#This Row],[const]]</f>
        <v>144987.41905194736</v>
      </c>
      <c r="AY1343">
        <v>0</v>
      </c>
      <c r="AZ1343">
        <v>0</v>
      </c>
      <c r="BE1343">
        <v>0</v>
      </c>
      <c r="BF1343">
        <v>15000</v>
      </c>
      <c r="BG1343">
        <v>0</v>
      </c>
      <c r="BH1343" s="7">
        <f>ROUND(Wapato_Inventory[[#This Row],[detatched_value]]*Lookups!$B$22*Lookups!$H$48,-2)</f>
        <v>0</v>
      </c>
      <c r="BI1343" s="7">
        <f>ROUND(((Wapato_Inventory[[#This Row],[land_extract]]*Lookups!$B$3) +(Lookups!$B$2*0.5))*Lookups!$H$48,-2)</f>
        <v>65100</v>
      </c>
      <c r="BJ1343" s="7">
        <f>IF(Wapato_Inventory[[#This Row],[bldg_style]]="",0,Lookups!$B$2*0.5)</f>
        <v>0</v>
      </c>
      <c r="BK1343" s="7">
        <f>_xlfn.IFNA(VLOOKUP(Wapato_Inventory[[#This Row],[quality]],Lookups!$H$2:$J$14,3,FALSE),0)</f>
        <v>0</v>
      </c>
      <c r="BL1343" s="7">
        <f>_xlfn.IFNA(VLOOKUP(Wapato_Inventory[[#This Row],[condition]],Lookups!$H$17:$J$24,3,FALSE),0)</f>
        <v>0</v>
      </c>
      <c r="BM1343" s="7">
        <f>Wapato_Inventory[[#This Row],[Age]]*Lookups!$B$16</f>
        <v>0</v>
      </c>
      <c r="BN1343" s="7">
        <f>Wapato_Inventory[[#This Row],[Main Floor]]*Lookups!$B$17</f>
        <v>0</v>
      </c>
      <c r="BO1343" s="7">
        <f>Wapato_Inventory[[#This Row],[Upper Floor]]*Lookups!$B$18</f>
        <v>0</v>
      </c>
      <c r="BP1343" s="7">
        <f>Wapato_Inventory[[#This Row],[Fin BSMT]]*Lookups!$B$19</f>
        <v>0</v>
      </c>
      <c r="BQ1343" s="7">
        <f>(Wapato_Inventory[[#This Row],[att_gar]]+Wapato_Inventory[[#This Row],[blt_gar]])*Lookups!$B$20</f>
        <v>0</v>
      </c>
      <c r="BR1343" s="7">
        <f>Wapato_Inventory[[#This Row],[Patio]]*Lookups!$B$21</f>
        <v>0</v>
      </c>
      <c r="BS1343" s="7">
        <f>SUM(Wapato_Inventory[[#This Row],[intercept]:[patio_value]])*Wapato_Inventory[[#This Row],[res_pct]]</f>
        <v>0</v>
      </c>
      <c r="BT1343" s="7">
        <f>Wapato_Inventory[[#This Row],[land_value]]</f>
        <v>65100</v>
      </c>
      <c r="BU1343" s="2">
        <f>_xlfn.IFNA(VLOOKUP(Wapato_Inventory[[#This Row],[quality]],Lookups!$A$28:$C$37,3,FALSE),1)</f>
        <v>1</v>
      </c>
      <c r="BV1343" s="2">
        <f>_xlfn.IFNA(VLOOKUP(Wapato_Inventory[[#This Row],[condition]],Lookups!$A$41:$C$48,3,FALSE),1)</f>
        <v>1</v>
      </c>
      <c r="BW1343" s="2">
        <f>IF(Wapato_Inventory[[#This Row],[decade]]="",1,_xlfn.IFNA(VLOOKUP(Wapato_Inventory[[#This Row],[decade]],Lookups!$F$28:$H$45,3,FALSE),1))</f>
        <v>1</v>
      </c>
      <c r="BX1343" s="2">
        <f>_xlfn.IFNA(VLOOKUP(Wapato_Inventory[[#This Row],[living_area_range]],Lookups!$K$28:$M$37,3,FALSE),1)</f>
        <v>1</v>
      </c>
      <c r="BY1343" s="2">
        <f>AVERAGE(Wapato_Inventory[[#This Row],[qual_adj]:[range_adj]])</f>
        <v>1</v>
      </c>
      <c r="BZ1343" s="7">
        <f>(Wapato_Inventory[[#This Row],[sum_land]]-IF(Wapato_Inventory[[#This Row],[no_utilities]]=1,12000,0))/IF(Wapato_Inventory[[#This Row],[unbuildable]]=1,2,1)</f>
        <v>65100</v>
      </c>
      <c r="CA1343" s="7">
        <f>Wapato_Inventory[[#This Row],[pre_res]]*Wapato_Inventory[[#This Row],[overall_adj]]</f>
        <v>0</v>
      </c>
      <c r="CB1343" s="3">
        <f>IF(ROUND(Wapato_Inventory[[#This Row],[adj_land]]*Lookups!$H$48,-2)&lt;Wapato_Inventory[[#This Row],[min_land]],Wapato_Inventory[[#This Row],[min_land]],ROUND(Wapato_Inventory[[#This Row],[adj_land]]*Lookups!$H$48,-2))</f>
        <v>61800</v>
      </c>
      <c r="CC1343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43" s="3">
        <f>ROUND(Wapato_Inventory[[#This Row],[det_value]]*Lookups!$H$48,-2)</f>
        <v>0</v>
      </c>
      <c r="CE1343" s="3">
        <f>Wapato_Inventory[[#This Row],[final_res]]+Wapato_Inventory[[#This Row],[final_det]]</f>
        <v>0</v>
      </c>
      <c r="CF1343" s="3">
        <f>Wapato_Inventory[[#This Row],[crop_value]]+Wapato_Inventory[[#This Row],[final_land]]+Wapato_Inventory[[#This Row],[final_imp]]</f>
        <v>61800</v>
      </c>
      <c r="CH1343" t="str">
        <f t="shared" si="21"/>
        <v>update valuation set market_land =61800, market_bldg=0, market_total =61800, market_mdno =405, market_date ='9/10/2023' where link_id = (select link_id from parcel where parcel_year = '2024' and parcel_id = '19112214448');</v>
      </c>
    </row>
    <row r="1344" spans="1:86" x14ac:dyDescent="0.25">
      <c r="A1344">
        <v>19112323001</v>
      </c>
      <c r="B1344">
        <v>1</v>
      </c>
      <c r="C1344">
        <v>43505</v>
      </c>
      <c r="D1344">
        <v>1</v>
      </c>
      <c r="E1344" t="s">
        <v>54</v>
      </c>
      <c r="F1344" t="s">
        <v>54</v>
      </c>
      <c r="G1344">
        <v>3</v>
      </c>
      <c r="H1344" t="s">
        <v>55</v>
      </c>
      <c r="I1344">
        <v>0</v>
      </c>
      <c r="J1344">
        <v>47300</v>
      </c>
      <c r="K1344">
        <v>1</v>
      </c>
      <c r="L1344">
        <f>IF(Wapato_Inventory[[#This Row],[parcel_acres]]-Wapato_Inventory[[#This Row],[non_valued_acres]] =0,0,LN(Wapato_Inventory[[#This Row],[parcel_acres]]-Wapato_Inventory[[#This Row],[non_valued_acres]]))</f>
        <v>0</v>
      </c>
      <c r="M1344">
        <v>0</v>
      </c>
      <c r="N1344">
        <v>0</v>
      </c>
      <c r="O1344">
        <v>1</v>
      </c>
      <c r="P1344">
        <v>27904.037</v>
      </c>
      <c r="Q1344">
        <v>74398</v>
      </c>
      <c r="R1344" s="3">
        <f>(Wapato_Inventory[[#This Row],[ln_acres]]*Wapato_Inventory[[#This Row],[coeff]])+Wapato_Inventory[[#This Row],[const]]</f>
        <v>74398</v>
      </c>
      <c r="AY1344">
        <v>0</v>
      </c>
      <c r="AZ1344">
        <v>0</v>
      </c>
      <c r="BE1344">
        <v>0</v>
      </c>
      <c r="BF1344">
        <v>3000</v>
      </c>
      <c r="BG1344">
        <v>0</v>
      </c>
      <c r="BH1344" s="7">
        <f>ROUND(Wapato_Inventory[[#This Row],[detatched_value]]*Lookups!$B$22*Lookups!$H$48,-2)</f>
        <v>0</v>
      </c>
      <c r="BI1344" s="7">
        <f>ROUND(((Wapato_Inventory[[#This Row],[land_extract]]*Lookups!$B$3) +(Lookups!$B$2*0.5))*Lookups!$H$48,-2)</f>
        <v>58300</v>
      </c>
      <c r="BJ1344" s="7">
        <f>IF(Wapato_Inventory[[#This Row],[bldg_style]]="",0,Lookups!$B$2*0.5)</f>
        <v>0</v>
      </c>
      <c r="BK1344" s="7">
        <f>_xlfn.IFNA(VLOOKUP(Wapato_Inventory[[#This Row],[quality]],Lookups!$H$2:$J$14,3,FALSE),0)</f>
        <v>0</v>
      </c>
      <c r="BL1344" s="7">
        <f>_xlfn.IFNA(VLOOKUP(Wapato_Inventory[[#This Row],[condition]],Lookups!$H$17:$J$24,3,FALSE),0)</f>
        <v>0</v>
      </c>
      <c r="BM1344" s="7">
        <f>Wapato_Inventory[[#This Row],[Age]]*Lookups!$B$16</f>
        <v>0</v>
      </c>
      <c r="BN1344" s="7">
        <f>Wapato_Inventory[[#This Row],[Main Floor]]*Lookups!$B$17</f>
        <v>0</v>
      </c>
      <c r="BO1344" s="7">
        <f>Wapato_Inventory[[#This Row],[Upper Floor]]*Lookups!$B$18</f>
        <v>0</v>
      </c>
      <c r="BP1344" s="7">
        <f>Wapato_Inventory[[#This Row],[Fin BSMT]]*Lookups!$B$19</f>
        <v>0</v>
      </c>
      <c r="BQ1344" s="7">
        <f>(Wapato_Inventory[[#This Row],[att_gar]]+Wapato_Inventory[[#This Row],[blt_gar]])*Lookups!$B$20</f>
        <v>0</v>
      </c>
      <c r="BR1344" s="7">
        <f>Wapato_Inventory[[#This Row],[Patio]]*Lookups!$B$21</f>
        <v>0</v>
      </c>
      <c r="BS1344" s="7">
        <f>SUM(Wapato_Inventory[[#This Row],[intercept]:[patio_value]])*Wapato_Inventory[[#This Row],[res_pct]]</f>
        <v>0</v>
      </c>
      <c r="BT1344" s="7">
        <f>Wapato_Inventory[[#This Row],[land_value]]</f>
        <v>58300</v>
      </c>
      <c r="BU1344" s="2">
        <f>_xlfn.IFNA(VLOOKUP(Wapato_Inventory[[#This Row],[quality]],Lookups!$A$28:$C$37,3,FALSE),1)</f>
        <v>1</v>
      </c>
      <c r="BV1344" s="2">
        <f>_xlfn.IFNA(VLOOKUP(Wapato_Inventory[[#This Row],[condition]],Lookups!$A$41:$C$48,3,FALSE),1)</f>
        <v>1</v>
      </c>
      <c r="BW1344" s="2">
        <f>IF(Wapato_Inventory[[#This Row],[decade]]="",1,_xlfn.IFNA(VLOOKUP(Wapato_Inventory[[#This Row],[decade]],Lookups!$F$28:$H$45,3,FALSE),1))</f>
        <v>1</v>
      </c>
      <c r="BX1344" s="2">
        <f>_xlfn.IFNA(VLOOKUP(Wapato_Inventory[[#This Row],[living_area_range]],Lookups!$K$28:$M$37,3,FALSE),1)</f>
        <v>1</v>
      </c>
      <c r="BY1344" s="2">
        <f>AVERAGE(Wapato_Inventory[[#This Row],[qual_adj]:[range_adj]])</f>
        <v>1</v>
      </c>
      <c r="BZ1344" s="7">
        <f>(Wapato_Inventory[[#This Row],[sum_land]]-IF(Wapato_Inventory[[#This Row],[no_utilities]]=1,12000,0))/IF(Wapato_Inventory[[#This Row],[unbuildable]]=1,2,1)</f>
        <v>46300</v>
      </c>
      <c r="CA1344" s="7">
        <f>Wapato_Inventory[[#This Row],[pre_res]]*Wapato_Inventory[[#This Row],[overall_adj]]</f>
        <v>0</v>
      </c>
      <c r="CB1344" s="3">
        <f>IF(ROUND(Wapato_Inventory[[#This Row],[adj_land]]*Lookups!$H$48,-2)&lt;Wapato_Inventory[[#This Row],[min_land]],Wapato_Inventory[[#This Row],[min_land]],ROUND(Wapato_Inventory[[#This Row],[adj_land]]*Lookups!$H$48,-2))</f>
        <v>44000</v>
      </c>
      <c r="CC1344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44" s="3">
        <f>ROUND(Wapato_Inventory[[#This Row],[det_value]]*Lookups!$H$48,-2)</f>
        <v>0</v>
      </c>
      <c r="CE1344" s="3">
        <f>Wapato_Inventory[[#This Row],[final_res]]+Wapato_Inventory[[#This Row],[final_det]]</f>
        <v>0</v>
      </c>
      <c r="CF1344" s="3">
        <f>Wapato_Inventory[[#This Row],[crop_value]]+Wapato_Inventory[[#This Row],[final_land]]+Wapato_Inventory[[#This Row],[final_imp]]</f>
        <v>44000</v>
      </c>
      <c r="CH1344" t="str">
        <f t="shared" si="21"/>
        <v>update valuation set market_land =44000, market_bldg=0, market_total =44000, market_mdno =405, market_date ='9/10/2023' where link_id = (select link_id from parcel where parcel_year = '2024' and parcel_id = '19112323001');</v>
      </c>
    </row>
    <row r="1345" spans="1:86" x14ac:dyDescent="0.25">
      <c r="A1345">
        <v>19112323401</v>
      </c>
      <c r="B1345">
        <v>30.22</v>
      </c>
      <c r="C1345">
        <v>1316437</v>
      </c>
      <c r="D1345" t="s">
        <v>144</v>
      </c>
      <c r="E1345" t="s">
        <v>54</v>
      </c>
      <c r="F1345" t="s">
        <v>54</v>
      </c>
      <c r="G1345">
        <v>3</v>
      </c>
      <c r="H1345" t="s">
        <v>177</v>
      </c>
      <c r="I1345">
        <v>0</v>
      </c>
      <c r="J1345">
        <v>160200</v>
      </c>
      <c r="K1345">
        <v>30.22</v>
      </c>
      <c r="L1345">
        <f>IF(Wapato_Inventory[[#This Row],[parcel_acres]]-Wapato_Inventory[[#This Row],[non_valued_acres]] =0,0,LN(Wapato_Inventory[[#This Row],[parcel_acres]]-Wapato_Inventory[[#This Row],[non_valued_acres]]))</f>
        <v>3.4085039568445934</v>
      </c>
      <c r="M1345">
        <v>0</v>
      </c>
      <c r="N1345">
        <v>0</v>
      </c>
      <c r="O1345">
        <v>0</v>
      </c>
      <c r="P1345">
        <v>27904.037</v>
      </c>
      <c r="Q1345">
        <v>74398</v>
      </c>
      <c r="R1345" s="3">
        <f>(Wapato_Inventory[[#This Row],[ln_acres]]*Wapato_Inventory[[#This Row],[coeff]])+Wapato_Inventory[[#This Row],[const]]</f>
        <v>169509.02052643793</v>
      </c>
      <c r="AY1345">
        <v>0</v>
      </c>
      <c r="AZ1345">
        <v>0</v>
      </c>
      <c r="BE1345">
        <v>0</v>
      </c>
      <c r="BF1345">
        <v>15000</v>
      </c>
      <c r="BG1345">
        <v>0</v>
      </c>
      <c r="BH1345" s="7">
        <f>ROUND(Wapato_Inventory[[#This Row],[detatched_value]]*Lookups!$B$22*Lookups!$H$48,-2)</f>
        <v>0</v>
      </c>
      <c r="BI1345" s="7">
        <f>ROUND(((Wapato_Inventory[[#This Row],[land_extract]]*Lookups!$B$3) +(Lookups!$B$2*0.5))*Lookups!$H$48,-2)</f>
        <v>67400</v>
      </c>
      <c r="BJ1345" s="7">
        <f>IF(Wapato_Inventory[[#This Row],[bldg_style]]="",0,Lookups!$B$2*0.5)</f>
        <v>0</v>
      </c>
      <c r="BK1345" s="7">
        <f>_xlfn.IFNA(VLOOKUP(Wapato_Inventory[[#This Row],[quality]],Lookups!$H$2:$J$14,3,FALSE),0)</f>
        <v>0</v>
      </c>
      <c r="BL1345" s="7">
        <f>_xlfn.IFNA(VLOOKUP(Wapato_Inventory[[#This Row],[condition]],Lookups!$H$17:$J$24,3,FALSE),0)</f>
        <v>0</v>
      </c>
      <c r="BM1345" s="7">
        <f>Wapato_Inventory[[#This Row],[Age]]*Lookups!$B$16</f>
        <v>0</v>
      </c>
      <c r="BN1345" s="7">
        <f>Wapato_Inventory[[#This Row],[Main Floor]]*Lookups!$B$17</f>
        <v>0</v>
      </c>
      <c r="BO1345" s="7">
        <f>Wapato_Inventory[[#This Row],[Upper Floor]]*Lookups!$B$18</f>
        <v>0</v>
      </c>
      <c r="BP1345" s="7">
        <f>Wapato_Inventory[[#This Row],[Fin BSMT]]*Lookups!$B$19</f>
        <v>0</v>
      </c>
      <c r="BQ1345" s="7">
        <f>(Wapato_Inventory[[#This Row],[att_gar]]+Wapato_Inventory[[#This Row],[blt_gar]])*Lookups!$B$20</f>
        <v>0</v>
      </c>
      <c r="BR1345" s="7">
        <f>Wapato_Inventory[[#This Row],[Patio]]*Lookups!$B$21</f>
        <v>0</v>
      </c>
      <c r="BS1345" s="7">
        <f>SUM(Wapato_Inventory[[#This Row],[intercept]:[patio_value]])*Wapato_Inventory[[#This Row],[res_pct]]</f>
        <v>0</v>
      </c>
      <c r="BT1345" s="7">
        <f>Wapato_Inventory[[#This Row],[land_value]]</f>
        <v>67400</v>
      </c>
      <c r="BU1345" s="2">
        <f>_xlfn.IFNA(VLOOKUP(Wapato_Inventory[[#This Row],[quality]],Lookups!$A$28:$C$37,3,FALSE),1)</f>
        <v>1</v>
      </c>
      <c r="BV1345" s="2">
        <f>_xlfn.IFNA(VLOOKUP(Wapato_Inventory[[#This Row],[condition]],Lookups!$A$41:$C$48,3,FALSE),1)</f>
        <v>1</v>
      </c>
      <c r="BW1345" s="2">
        <f>IF(Wapato_Inventory[[#This Row],[decade]]="",1,_xlfn.IFNA(VLOOKUP(Wapato_Inventory[[#This Row],[decade]],Lookups!$F$28:$H$45,3,FALSE),1))</f>
        <v>1</v>
      </c>
      <c r="BX1345" s="2">
        <f>_xlfn.IFNA(VLOOKUP(Wapato_Inventory[[#This Row],[living_area_range]],Lookups!$K$28:$M$37,3,FALSE),1)</f>
        <v>1</v>
      </c>
      <c r="BY1345" s="2">
        <f>AVERAGE(Wapato_Inventory[[#This Row],[qual_adj]:[range_adj]])</f>
        <v>1</v>
      </c>
      <c r="BZ1345" s="7">
        <f>(Wapato_Inventory[[#This Row],[sum_land]]-IF(Wapato_Inventory[[#This Row],[no_utilities]]=1,12000,0))/IF(Wapato_Inventory[[#This Row],[unbuildable]]=1,2,1)</f>
        <v>67400</v>
      </c>
      <c r="CA1345" s="7">
        <f>Wapato_Inventory[[#This Row],[pre_res]]*Wapato_Inventory[[#This Row],[overall_adj]]</f>
        <v>0</v>
      </c>
      <c r="CB1345" s="3">
        <f>IF(ROUND(Wapato_Inventory[[#This Row],[adj_land]]*Lookups!$H$48,-2)&lt;Wapato_Inventory[[#This Row],[min_land]],Wapato_Inventory[[#This Row],[min_land]],ROUND(Wapato_Inventory[[#This Row],[adj_land]]*Lookups!$H$48,-2))</f>
        <v>64000</v>
      </c>
      <c r="CC1345" s="3">
        <f>IF(ROUND(Wapato_Inventory[[#This Row],[adj_res]]*Lookups!$H$48,-2)&lt;Wapato_Inventory[[#This Row],[min_res]],Wapato_Inventory[[#This Row],[min_res]],ROUND(Wapato_Inventory[[#This Row],[adj_res]]*Lookups!$H$48,-2))</f>
        <v>0</v>
      </c>
      <c r="CD1345" s="3">
        <f>ROUND(Wapato_Inventory[[#This Row],[det_value]]*Lookups!$H$48,-2)</f>
        <v>0</v>
      </c>
      <c r="CE1345" s="3">
        <f>Wapato_Inventory[[#This Row],[final_res]]+Wapato_Inventory[[#This Row],[final_det]]</f>
        <v>0</v>
      </c>
      <c r="CF1345" s="3">
        <f>Wapato_Inventory[[#This Row],[crop_value]]+Wapato_Inventory[[#This Row],[final_land]]+Wapato_Inventory[[#This Row],[final_imp]]</f>
        <v>64000</v>
      </c>
      <c r="CH1345" t="str">
        <f t="shared" si="21"/>
        <v>update valuation set market_land =64000, market_bldg=0, market_total =64000, market_mdno =405, market_date ='9/10/2023' where link_id = (select link_id from parcel where parcel_year = '2024' and parcel_id = '19112323401');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 Data</vt:lpstr>
      <vt:lpstr>Lookups</vt:lpstr>
      <vt:lpstr>Pivot Tabels</vt:lpstr>
      <vt:lpstr>Inventory</vt:lpstr>
    </vt:vector>
  </TitlesOfParts>
  <Company>Yakima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Tate</dc:creator>
  <cp:lastModifiedBy>Jacob Tate</cp:lastModifiedBy>
  <dcterms:created xsi:type="dcterms:W3CDTF">2023-06-09T21:40:32Z</dcterms:created>
  <dcterms:modified xsi:type="dcterms:W3CDTF">2024-01-08T19:24:32Z</dcterms:modified>
</cp:coreProperties>
</file>